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drawings/drawing6.xml" ContentType="application/vnd.openxmlformats-officedocument.drawing+xml"/>
  <Override PartName="/xl/charts/chart5.xml" ContentType="application/vnd.openxmlformats-officedocument.drawingml.chart+xml"/>
  <Override PartName="/xl/drawings/drawing7.xml" ContentType="application/vnd.openxmlformats-officedocument.drawing+xml"/>
  <Override PartName="/xl/charts/chart6.xml" ContentType="application/vnd.openxmlformats-officedocument.drawingml.chart+xml"/>
  <Override PartName="/xl/drawings/drawing8.xml" ContentType="application/vnd.openxmlformats-officedocument.drawing+xml"/>
  <Override PartName="/xl/charts/chart7.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drawings/drawing9.xml" ContentType="application/vnd.openxmlformats-officedocument.drawing+xml"/>
  <Override PartName="/xl/charts/chart8.xml" ContentType="application/vnd.openxmlformats-officedocument.drawingml.chart+xml"/>
  <Override PartName="/xl/drawings/drawing10.xml" ContentType="application/vnd.openxmlformats-officedocument.drawing+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75" windowWidth="17235" windowHeight="11310" tabRatio="674" firstSheet="51" activeTab="57"/>
  </bookViews>
  <sheets>
    <sheet name="Triggers" sheetId="60" r:id="rId1"/>
    <sheet name="Pricing" sheetId="59" r:id="rId2"/>
    <sheet name="FirstLegAdmortization" sheetId="58" r:id="rId3"/>
    <sheet name="FirstLegAnalysis" sheetId="57" r:id="rId4"/>
    <sheet name="SecondLegAdmortization" sheetId="56" r:id="rId5"/>
    <sheet name="SecondLegAnalysis" sheetId="55" r:id="rId6"/>
    <sheet name="MainChecks" sheetId="61" r:id="rId7"/>
    <sheet name="GeneralSettings_4" sheetId="54" r:id="rId8"/>
    <sheet name="EURSTD" sheetId="53" r:id="rId9"/>
    <sheet name="GeneralSettings" sheetId="52" r:id="rId10"/>
    <sheet name="EURON" sheetId="51" r:id="rId11"/>
    <sheet name="EUR3M" sheetId="50" r:id="rId12"/>
    <sheet name="EUR6M" sheetId="49" r:id="rId13"/>
    <sheet name="EUR1M" sheetId="48" r:id="rId14"/>
    <sheet name="EUR1Y" sheetId="47" r:id="rId15"/>
    <sheet name="General Settings_3" sheetId="46" r:id="rId16"/>
    <sheet name="1MSynthDepo" sheetId="45" r:id="rId17"/>
    <sheet name="3MSynthDepo" sheetId="44" r:id="rId18"/>
    <sheet name="6MSynthDepo" sheetId="43" r:id="rId19"/>
    <sheet name="12MSynthDepo" sheetId="42" r:id="rId20"/>
    <sheet name="Contribution_2" sheetId="41" r:id="rId21"/>
    <sheet name="Delta 1M" sheetId="40" r:id="rId22"/>
    <sheet name="Delta 3M" sheetId="39" r:id="rId23"/>
    <sheet name="Delta 6M " sheetId="38" r:id="rId24"/>
    <sheet name="Delta 12M" sheetId="37" r:id="rId25"/>
    <sheet name="General Settings_2" sheetId="36" r:id="rId26"/>
    <sheet name="RateHelpers" sheetId="35" r:id="rId27"/>
    <sheet name="Calculation" sheetId="34" r:id="rId28"/>
    <sheet name="Contribution" sheetId="33" r:id="rId29"/>
    <sheet name="General Settings" sheetId="32" r:id="rId30"/>
    <sheet name="Euribor" sheetId="31" r:id="rId31"/>
    <sheet name="EuriborSwapIsdaFixA" sheetId="30" r:id="rId32"/>
    <sheet name="Deposits" sheetId="29" r:id="rId33"/>
    <sheet name="FRA" sheetId="28" r:id="rId34"/>
    <sheet name="OIS" sheetId="27" r:id="rId35"/>
    <sheet name="ECB OIS" sheetId="26" r:id="rId36"/>
    <sheet name="IMM OIS" sheetId="25" r:id="rId37"/>
    <sheet name="Futures3M" sheetId="24" r:id="rId38"/>
    <sheet name="FuturesHWConvAdj" sheetId="23" r:id="rId39"/>
    <sheet name="BasisSwapEON3M" sheetId="22" r:id="rId40"/>
    <sheet name="BasisSwap1MxM" sheetId="21" r:id="rId41"/>
    <sheet name="BasisSwap3M6M" sheetId="20" r:id="rId42"/>
    <sheet name="BasisSwapxM12M" sheetId="19" r:id="rId43"/>
    <sheet name="Swaps1M_1Y" sheetId="18" r:id="rId44"/>
    <sheet name="Swap1M" sheetId="17" r:id="rId45"/>
    <sheet name="Swap3M" sheetId="16" r:id="rId46"/>
    <sheet name="Swap6M" sheetId="15" r:id="rId47"/>
    <sheet name="ForwardSwap6M" sheetId="14" r:id="rId48"/>
    <sheet name="SwapsIMMDated" sheetId="13" r:id="rId49"/>
    <sheet name="ImmFra6M " sheetId="12" r:id="rId50"/>
    <sheet name="ON Basis Swap" sheetId="11" r:id="rId51"/>
    <sheet name="1M Basis Swap" sheetId="10" r:id="rId52"/>
    <sheet name="3M Basis Swap" sheetId="9" r:id="rId53"/>
    <sheet name="6M Basis Swap" sheetId="8" r:id="rId54"/>
    <sheet name="1Y Basis Swap" sheetId="7" r:id="rId55"/>
    <sheet name="Euribor 3M Time Series" sheetId="6" r:id="rId56"/>
    <sheet name="Euribor 6M Time Series" sheetId="5" r:id="rId57"/>
    <sheet name="EuriborSwapIsdaFixA1Y" sheetId="4" r:id="rId58"/>
  </sheets>
  <definedNames>
    <definedName name="Accuracy">'General Settings_2'!$D$14</definedName>
    <definedName name="AdditionalCF">Pricing!$M$28</definedName>
    <definedName name="AllTriggers" localSheetId="2">Triggers!$D$6:$D$6</definedName>
    <definedName name="AllTriggers" localSheetId="3">Triggers!$D$6:$D$6</definedName>
    <definedName name="AllTriggers" localSheetId="1">Triggers!$D$6:$D$6</definedName>
    <definedName name="AllTriggers" localSheetId="4">Triggers!$D$6:$D$6</definedName>
    <definedName name="AllTriggers" localSheetId="5">Triggers!$D$6:$D$6</definedName>
    <definedName name="AllTriggers" localSheetId="0">Triggers!$D$6:$D$6</definedName>
    <definedName name="AllTriggers">'General Settings_3'!$I$4:$I$8</definedName>
    <definedName name="AreaTable">'General Settings'!$C$34:$D$49</definedName>
    <definedName name="B12Minterpolation">'Delta 12M'!$N$1</definedName>
    <definedName name="B3Minterpolation">'Delta 3M'!$N$1</definedName>
    <definedName name="B6Minterpolation">'Delta 6M '!$N$1</definedName>
    <definedName name="Calendar" localSheetId="19">'General Settings_3'!$D$5</definedName>
    <definedName name="Calendar" localSheetId="16">'General Settings_3'!$D$5</definedName>
    <definedName name="Calendar" localSheetId="17">'General Settings_3'!$D$5</definedName>
    <definedName name="Calendar" localSheetId="18">'General Settings_3'!$D$5</definedName>
    <definedName name="Calendar" localSheetId="27">'General Settings_2'!$D$12</definedName>
    <definedName name="Calendar" localSheetId="28">'General Settings_2'!$D$12</definedName>
    <definedName name="Calendar" localSheetId="20">'General Settings_3'!$D$5</definedName>
    <definedName name="Calendar" localSheetId="24">'General Settings_3'!$D$5</definedName>
    <definedName name="Calendar" localSheetId="21">'General Settings_3'!$D$5</definedName>
    <definedName name="Calendar" localSheetId="22">'General Settings_3'!$D$5</definedName>
    <definedName name="Calendar" localSheetId="23">'General Settings_3'!$D$5</definedName>
    <definedName name="Calendar" localSheetId="13">GeneralSettings!$I$5</definedName>
    <definedName name="Calendar" localSheetId="14">GeneralSettings!$I$5</definedName>
    <definedName name="Calendar" localSheetId="11">GeneralSettings!$I$5</definedName>
    <definedName name="Calendar" localSheetId="12">GeneralSettings!$I$5</definedName>
    <definedName name="Calendar" localSheetId="10">GeneralSettings!$I$5</definedName>
    <definedName name="Calendar" localSheetId="8">GeneralSettings_4!$D$14</definedName>
    <definedName name="Calendar" localSheetId="25">'General Settings_2'!$D$12</definedName>
    <definedName name="Calendar" localSheetId="15">'General Settings_3'!$D$5</definedName>
    <definedName name="Calendar" localSheetId="9">GeneralSettings!$I$5</definedName>
    <definedName name="Calendar" localSheetId="7">GeneralSettings_4!$D$14</definedName>
    <definedName name="Calendar" localSheetId="26">'General Settings_2'!$D$12</definedName>
    <definedName name="Calendar">'General Settings'!$D$18</definedName>
    <definedName name="Contributor" localSheetId="40">BasisSwap1MxM!$O$2</definedName>
    <definedName name="Contributor" localSheetId="41">BasisSwap3M6M!$O$2</definedName>
    <definedName name="Contributor" localSheetId="39">BasisSwapEON3M!$O$2</definedName>
    <definedName name="Contributor" localSheetId="42">BasisSwapxM12M!$O$2</definedName>
    <definedName name="Contributor" localSheetId="32">Deposits!$M$2</definedName>
    <definedName name="Contributor" localSheetId="47">ForwardSwap6M!$M$2</definedName>
    <definedName name="Contributor" localSheetId="33">FRA!$O$2</definedName>
    <definedName name="Contributor" localSheetId="38">FuturesHWConvAdj!$L$2</definedName>
    <definedName name="Contributor" localSheetId="49">'ImmFra6M '!$O$2</definedName>
    <definedName name="Contributor" localSheetId="44">Swap1M!$O$2</definedName>
    <definedName name="Contributor" localSheetId="45">Swap3M!$O$2</definedName>
    <definedName name="Contributor" localSheetId="46">Swap6M!$O$2</definedName>
    <definedName name="Contributor" localSheetId="43">Swaps1M_1Y!$O$2</definedName>
    <definedName name="Contributor" localSheetId="48">SwapsIMMDated!$O$2</definedName>
    <definedName name="Contributor">OIS!$O$2</definedName>
    <definedName name="Contributors">'General Settings'!$C$23:$C$29</definedName>
    <definedName name="ContributorTable">'General Settings'!$C$23:$D$29</definedName>
    <definedName name="Conventions" localSheetId="21">'Delta 1M'!$T$3:$T$4</definedName>
    <definedName name="Currency" localSheetId="19">'General Settings_3'!$D$4</definedName>
    <definedName name="Currency" localSheetId="16">'General Settings_3'!$D$4</definedName>
    <definedName name="Currency" localSheetId="17">'General Settings_3'!$D$4</definedName>
    <definedName name="Currency" localSheetId="18">'General Settings_3'!$D$4</definedName>
    <definedName name="Currency" localSheetId="27">'General Settings_2'!$D$4</definedName>
    <definedName name="Currency" localSheetId="28">'General Settings_2'!$D$4</definedName>
    <definedName name="Currency" localSheetId="20">'General Settings_3'!$D$4</definedName>
    <definedName name="Currency" localSheetId="24">'General Settings_3'!$D$4</definedName>
    <definedName name="Currency" localSheetId="21">'General Settings_3'!$D$4</definedName>
    <definedName name="Currency" localSheetId="22">'General Settings_3'!$D$4</definedName>
    <definedName name="Currency" localSheetId="23">'General Settings_3'!$D$4</definedName>
    <definedName name="Currency" localSheetId="13">GeneralSettings!$D$3</definedName>
    <definedName name="Currency" localSheetId="14">GeneralSettings!$D$3</definedName>
    <definedName name="Currency" localSheetId="11">GeneralSettings!$D$3</definedName>
    <definedName name="Currency" localSheetId="12">GeneralSettings!$D$3</definedName>
    <definedName name="Currency" localSheetId="10">GeneralSettings!$D$3</definedName>
    <definedName name="Currency" localSheetId="8">GeneralSettings_4!$D$3</definedName>
    <definedName name="Currency" localSheetId="2">Pricing!$C$1</definedName>
    <definedName name="Currency" localSheetId="3">Pricing!$C$1</definedName>
    <definedName name="Currency" localSheetId="25">'General Settings_2'!$D$4</definedName>
    <definedName name="Currency" localSheetId="15">'General Settings_3'!$D$4</definedName>
    <definedName name="Currency" localSheetId="9">GeneralSettings!$D$3</definedName>
    <definedName name="Currency" localSheetId="7">GeneralSettings_4!$D$3</definedName>
    <definedName name="Currency" localSheetId="6">MainChecks!$U$4</definedName>
    <definedName name="Currency" localSheetId="1">Pricing!$C$1</definedName>
    <definedName name="Currency" localSheetId="26">'General Settings_2'!$D$4</definedName>
    <definedName name="Currency" localSheetId="4">Pricing!$C$1</definedName>
    <definedName name="Currency" localSheetId="5">Pricing!$C$1</definedName>
    <definedName name="Currency" localSheetId="0">Pricing!$C$1</definedName>
    <definedName name="Currency">'General Settings'!$D$13</definedName>
    <definedName name="Custom" localSheetId="2">FirstLegAdmortization!$F$4:$F$123</definedName>
    <definedName name="Custom" localSheetId="4">SecondLegAdmortization!$F$4:$F$123</definedName>
    <definedName name="Dates" localSheetId="2">FirstLegAdmortization!$B$4:$B$123</definedName>
    <definedName name="Dates" localSheetId="4">SecondLegAdmortization!$B$4:$B$123</definedName>
    <definedName name="DayCounter" localSheetId="19">'General Settings_3'!$D$9</definedName>
    <definedName name="DayCounter" localSheetId="16">'General Settings_3'!$D$9</definedName>
    <definedName name="DayCounter" localSheetId="17">'General Settings_3'!$D$9</definedName>
    <definedName name="DayCounter" localSheetId="18">'General Settings_3'!$D$9</definedName>
    <definedName name="DayCounter" localSheetId="20">'General Settings_3'!$D$9</definedName>
    <definedName name="DayCounter" localSheetId="24">'General Settings_3'!$D$9</definedName>
    <definedName name="DayCounter" localSheetId="21">'General Settings_3'!$D$9</definedName>
    <definedName name="DayCounter" localSheetId="22">'General Settings_3'!$D$9</definedName>
    <definedName name="DayCounter" localSheetId="23">'General Settings_3'!$D$9</definedName>
    <definedName name="DayCounter" localSheetId="15">'General Settings_3'!$D$9</definedName>
    <definedName name="DayCounter">'General Settings_2'!$D$13</definedName>
    <definedName name="Delta1M">'Delta 1M'!$X$26:$X$29</definedName>
    <definedName name="DiscountCurve">Pricing!$C$37</definedName>
    <definedName name="Discounting" localSheetId="13">GeneralSettings!$D$7</definedName>
    <definedName name="Discounting" localSheetId="14">GeneralSettings!$D$7</definedName>
    <definedName name="Discounting" localSheetId="11">GeneralSettings!$D$7</definedName>
    <definedName name="Discounting" localSheetId="12">GeneralSettings!$D$7</definedName>
    <definedName name="Discounting" localSheetId="10">GeneralSettings!$D$7</definedName>
    <definedName name="Discounting" localSheetId="8">GeneralSettings_4!$D$7</definedName>
    <definedName name="Discounting" localSheetId="9">GeneralSettings!$D$7</definedName>
    <definedName name="Discounting" localSheetId="7">GeneralSettings_4!$D$7</definedName>
    <definedName name="Discounting">'General Settings_3'!$D$8</definedName>
    <definedName name="Effective" localSheetId="2">FirstLegAdmortization!$C$4:$C$123</definedName>
    <definedName name="Effective" localSheetId="4">SecondLegAdmortization!$C$4:$C$123</definedName>
    <definedName name="Effective">SecondLegAdmortization!$C$4:$C$123</definedName>
    <definedName name="EvaluationDate" localSheetId="19">'General Settings_3'!$I$5</definedName>
    <definedName name="EvaluationDate" localSheetId="16">'General Settings_3'!$I$5</definedName>
    <definedName name="EvaluationDate" localSheetId="17">'General Settings_3'!$I$5</definedName>
    <definedName name="EvaluationDate" localSheetId="18">'General Settings_3'!$I$5</definedName>
    <definedName name="EvaluationDate" localSheetId="27">'General Settings_2'!$I$4</definedName>
    <definedName name="EvaluationDate" localSheetId="28">'General Settings_2'!$I$4</definedName>
    <definedName name="EvaluationDate" localSheetId="20">'General Settings_3'!$I$5</definedName>
    <definedName name="EvaluationDate" localSheetId="24">'General Settings_3'!$I$5</definedName>
    <definedName name="EvaluationDate" localSheetId="21">'General Settings_3'!$I$5</definedName>
    <definedName name="EvaluationDate" localSheetId="22">'General Settings_3'!$I$5</definedName>
    <definedName name="EvaluationDate" localSheetId="23">'General Settings_3'!$I$5</definedName>
    <definedName name="Evaluationdate" localSheetId="13">GeneralSettings!$I$3</definedName>
    <definedName name="Evaluationdate" localSheetId="14">GeneralSettings!$I$3</definedName>
    <definedName name="Evaluationdate" localSheetId="11">GeneralSettings!$I$3</definedName>
    <definedName name="Evaluationdate" localSheetId="12">GeneralSettings!$I$3</definedName>
    <definedName name="Evaluationdate" localSheetId="10">GeneralSettings!$I$3</definedName>
    <definedName name="Evaluationdate" localSheetId="8">GeneralSettings_4!$D$12</definedName>
    <definedName name="EvaluationDate" localSheetId="2">Triggers!$D$4</definedName>
    <definedName name="EvaluationDate" localSheetId="3">Triggers!$D$4</definedName>
    <definedName name="EvaluationDate" localSheetId="25">'General Settings_2'!$I$4</definedName>
    <definedName name="EvaluationDate" localSheetId="15">'General Settings_3'!$I$5</definedName>
    <definedName name="Evaluationdate" localSheetId="9">GeneralSettings!$I$3</definedName>
    <definedName name="Evaluationdate" localSheetId="7">GeneralSettings_4!$D$12</definedName>
    <definedName name="EvaluationDate" localSheetId="1">Triggers!$D$4</definedName>
    <definedName name="EvaluationDate" localSheetId="26">'General Settings_2'!$I$4</definedName>
    <definedName name="EvaluationDate" localSheetId="4">Triggers!$D$4</definedName>
    <definedName name="EvaluationDate" localSheetId="5">Triggers!$D$4</definedName>
    <definedName name="EvaluationDate" localSheetId="0">Triggers!$D$4</definedName>
    <definedName name="EvaluationDate">'General Settings'!$D$5</definedName>
    <definedName name="FamilyName" localSheetId="13">GeneralSettings!$I$7</definedName>
    <definedName name="FamilyName" localSheetId="14">GeneralSettings!$I$7</definedName>
    <definedName name="FamilyName" localSheetId="11">GeneralSettings!$I$7</definedName>
    <definedName name="FamilyName" localSheetId="12">GeneralSettings!$I$7</definedName>
    <definedName name="FamilyName" localSheetId="10">GeneralSettings!$I$7</definedName>
    <definedName name="FamilyName" localSheetId="8">GeneralSettings_4!$D$8</definedName>
    <definedName name="FamilyName" localSheetId="9">GeneralSettings!$I$7</definedName>
    <definedName name="FamilyName" localSheetId="7">GeneralSettings_4!$D$8</definedName>
    <definedName name="FamilyName">'General Settings'!$D$15</definedName>
    <definedName name="FirstIndex">MainChecks!$K$10</definedName>
    <definedName name="FirstLegCF">Pricing!$C$28</definedName>
    <definedName name="FirstNominal" localSheetId="2">FirstLegAdmortization!$D$1</definedName>
    <definedName name="FirstNominal" localSheetId="4">SecondLegAdmortization!$D$1</definedName>
    <definedName name="FixingType">'General Settings'!$D$17</definedName>
    <definedName name="French" localSheetId="2">FirstLegAdmortization!$H$4:$H$123</definedName>
    <definedName name="French" localSheetId="4">SecondLegAdmortization!$H$4:$H$123</definedName>
    <definedName name="FuturesCodes" localSheetId="37">Futures3M!$P$5:$P$46</definedName>
    <definedName name="FuturesCodes" localSheetId="49">'ImmFra6M '!$M$5:$M$8</definedName>
    <definedName name="FuturesDates" localSheetId="37">Futures3M!$Q$5:$Q$46</definedName>
    <definedName name="FuturesDates" localSheetId="49">'ImmFra6M '!$N$5:$N$8</definedName>
    <definedName name="FuturesDates">MainChecks!$C$14:$C$17</definedName>
    <definedName name="FuturesTable">MainChecks!$A$4:$H$12</definedName>
    <definedName name="FwdInterpolation">'General Settings_2'!$D$21</definedName>
    <definedName name="GENERAL_SETTINGS">'General Settings_3'!$B$2</definedName>
    <definedName name="IborIndex" localSheetId="37">Futures3M!$I$3</definedName>
    <definedName name="iborindex1M">'General Settings_3'!$D$25</definedName>
    <definedName name="IborTenor1M">'General Settings_3'!$D$23</definedName>
    <definedName name="IborType" localSheetId="19">'General Settings_3'!$D$6</definedName>
    <definedName name="IborType" localSheetId="16">'General Settings_3'!$D$6</definedName>
    <definedName name="IborType" localSheetId="17">'General Settings_3'!$D$6</definedName>
    <definedName name="IborType" localSheetId="18">'General Settings_3'!$D$6</definedName>
    <definedName name="IborType" localSheetId="20">'General Settings_3'!$D$6</definedName>
    <definedName name="IborType" localSheetId="24">'General Settings_3'!$D$6</definedName>
    <definedName name="IborType" localSheetId="21">'General Settings_3'!$D$6</definedName>
    <definedName name="IborType" localSheetId="22">'General Settings_3'!$D$6</definedName>
    <definedName name="IborType" localSheetId="23">'General Settings_3'!$D$6</definedName>
    <definedName name="IborType" localSheetId="15">'General Settings_3'!$D$6</definedName>
    <definedName name="IborType">'General Settings_2'!$D$5</definedName>
    <definedName name="IMMFutures">MainChecks!$D$14:$D$17</definedName>
    <definedName name="IncludeFlag" localSheetId="13">EUR1M!$P$3:$P$92</definedName>
    <definedName name="IncludeFlag" localSheetId="14">EUR1Y!$P$3:$P$79</definedName>
    <definedName name="IncludeFlag" localSheetId="11">EUR3M!$P$3:$P$124</definedName>
    <definedName name="IncludeFlag" localSheetId="12">EUR6M!$P$3:$P$391</definedName>
    <definedName name="IncludeFlag" localSheetId="10">EURON!$N$3:$N$57</definedName>
    <definedName name="IncludeFlag" localSheetId="8">EURSTD!$P$3:$P$89</definedName>
    <definedName name="IncludeSettlementDate">Pricing!$C$39</definedName>
    <definedName name="Index">'General Settings_2'!$I$16</definedName>
    <definedName name="IndexCalendar">Pricing!$H$3</definedName>
    <definedName name="Instruments" localSheetId="40">BasisSwap1MxM!$N$5:$N$41</definedName>
    <definedName name="Instruments" localSheetId="41">BasisSwap3M6M!$N$5:$N$41</definedName>
    <definedName name="Instruments" localSheetId="39">BasisSwapEON3M!$N$5:$N$41</definedName>
    <definedName name="Instruments" localSheetId="42">BasisSwapxM12M!$N$5:$N$41</definedName>
    <definedName name="Instruments" localSheetId="47">ForwardSwap6M!$L$5:$L$328</definedName>
    <definedName name="Instruments" localSheetId="33">FRA!$N$5:$N$58</definedName>
    <definedName name="Instruments" localSheetId="36">'IMM OIS'!$P$5:$P$9</definedName>
    <definedName name="Instruments" localSheetId="44">Swap1M!$N$5:$N$41</definedName>
    <definedName name="Instruments" localSheetId="45">Swap3M!$N$5:$N$41</definedName>
    <definedName name="Instruments" localSheetId="46">Swap6M!$N$5:$N$41</definedName>
    <definedName name="Instruments" localSheetId="43">Swaps1M_1Y!$N$5:$N$15</definedName>
    <definedName name="Instruments" localSheetId="48">SwapsIMMDated!$N$5:$N$11</definedName>
    <definedName name="Instruments">'ECB OIS'!$O$5:$O$16</definedName>
    <definedName name="Instruments14F">ForwardSwap6M!$L$239:$L$256</definedName>
    <definedName name="Instruments8F">ForwardSwap6M!$L$131:$L$148</definedName>
    <definedName name="Instruments9F">ForwardSwap6M!$L$149:$L$166</definedName>
    <definedName name="InterestRatesTrigger" localSheetId="19">'General Settings_3'!$I$6</definedName>
    <definedName name="InterestRatesTrigger" localSheetId="16">'General Settings_3'!$I$6</definedName>
    <definedName name="InterestRatesTrigger" localSheetId="17">'General Settings_3'!$I$6</definedName>
    <definedName name="InterestRatesTrigger" localSheetId="18">'General Settings_3'!$I$6</definedName>
    <definedName name="InterestRatesTrigger" localSheetId="20">'General Settings_3'!$I$6</definedName>
    <definedName name="InterestRatesTrigger" localSheetId="24">'General Settings_3'!$I$6</definedName>
    <definedName name="InterestRatesTrigger" localSheetId="21">'General Settings_3'!$I$6</definedName>
    <definedName name="InterestRatesTrigger" localSheetId="22">'General Settings_3'!$I$6</definedName>
    <definedName name="InterestRatesTrigger" localSheetId="23">'General Settings_3'!$I$6</definedName>
    <definedName name="InterestRatesTrigger" localSheetId="15">'General Settings_3'!$I$6</definedName>
    <definedName name="InterestRatesTrigger" localSheetId="6">MainChecks!#REF!</definedName>
    <definedName name="InterestRatesTrigger" localSheetId="0">Triggers!$D$6</definedName>
    <definedName name="InterestRatesTrigger">'General Settings_2'!$I$8</definedName>
    <definedName name="interpolatedbasis3M">'Delta 3M'!$N$3</definedName>
    <definedName name="interpolatedbasis6M" localSheetId="24">'Delta 12M'!$N$3</definedName>
    <definedName name="interpolatedbasis6M">'Delta 6M '!$N$3</definedName>
    <definedName name="interpolator12M">'12MSynthDepo'!$D$11</definedName>
    <definedName name="interpolator1M" localSheetId="16">'1MSynthDepo'!$D$11</definedName>
    <definedName name="interpolator3M">'3MSynthDepo'!$D$11</definedName>
    <definedName name="interpolator6M">'6MSynthDepo'!$D$11</definedName>
    <definedName name="InterpolatorID">'General Settings_2'!$D$16</definedName>
    <definedName name="JumpDate1">Calculation!$M$2</definedName>
    <definedName name="JumpDate10">Calculation!$AW$2</definedName>
    <definedName name="JumpDate11">Calculation!$BA$2</definedName>
    <definedName name="JumpDate12">Calculation!$BE$2</definedName>
    <definedName name="JumpDate13">Calculation!$BI$2</definedName>
    <definedName name="JumpDate2">Calculation!$Q$2</definedName>
    <definedName name="JumpDate3">Calculation!$U$2</definedName>
    <definedName name="JumpDate4">Calculation!$Y$2</definedName>
    <definedName name="JumpDate5">Calculation!$AC$2</definedName>
    <definedName name="JumpDate6">Calculation!$AG$2</definedName>
    <definedName name="JumpDate7">Calculation!$AK$2</definedName>
    <definedName name="JumpDate8">Calculation!$AO$2</definedName>
    <definedName name="JumpDate9">Calculation!$AS$2</definedName>
    <definedName name="JumpDates">Contribution!$C$3:$C$15</definedName>
    <definedName name="JumpDates_1M">EUR1M!$AF$11:$AF$23</definedName>
    <definedName name="JumpDates_3M">EUR3M!$AF$11:$AF$23</definedName>
    <definedName name="JumpDates_6M">EUR6M!$AF$11:$AF$23</definedName>
    <definedName name="JumpDates_ON">EURON!$AD$11:$AD$23</definedName>
    <definedName name="Jumpoverwrite1">Contribution!$F$3</definedName>
    <definedName name="Jumpoverwrite10">Contribution!$F$12</definedName>
    <definedName name="Jumpoverwrite11">Contribution!$F$13</definedName>
    <definedName name="Jumpoverwrite12">Contribution!$F$14</definedName>
    <definedName name="jumpoverwrite13">Contribution!$F$15</definedName>
    <definedName name="Jumpoverwrite2">Contribution!$F$4</definedName>
    <definedName name="Jumpoverwrite3">Contribution!$F$5</definedName>
    <definedName name="Jumpoverwrite4">Contribution!$F$6</definedName>
    <definedName name="Jumpoverwrite5">Contribution!$F$7</definedName>
    <definedName name="Jumpoverwrite6">Contribution!$F$8</definedName>
    <definedName name="Jumpoverwrite7">Contribution!$F$9</definedName>
    <definedName name="Jumpoverwrite8">Contribution!$F$10</definedName>
    <definedName name="Jumpoverwrite9">Contribution!$F$11</definedName>
    <definedName name="JumpQuotes">Contribution!$L$3:$L$15</definedName>
    <definedName name="JumpQuotes_1M">EUR1M!$AL$11:$AL$23</definedName>
    <definedName name="JumpQuotes_3M">EUR3M!$AL$11:$AL$23</definedName>
    <definedName name="JumpQuotes_6M">EUR6M!$AL$11:$AL$23</definedName>
    <definedName name="JumpQuotes_ON">EURON!$AJ$11:$AJ$23</definedName>
    <definedName name="JumpSize1">Calculation!$O$4</definedName>
    <definedName name="JumpSize10">Calculation!$AY$4</definedName>
    <definedName name="JumpSize11">Calculation!$BC$4</definedName>
    <definedName name="JumpSize12">Calculation!$BG$4</definedName>
    <definedName name="JumpSize13">Calculation!$BK$4</definedName>
    <definedName name="JumpSize2">Calculation!$S$4</definedName>
    <definedName name="JumpSize3">Calculation!$W$4</definedName>
    <definedName name="JumpSize4">Calculation!$AA$4</definedName>
    <definedName name="JumpSize5">Calculation!$AE$4</definedName>
    <definedName name="JumpSize6">Calculation!$AI$4</definedName>
    <definedName name="JumpSize7">Calculation!$AM$4</definedName>
    <definedName name="JumpSize8">Calculation!$AQ$4</definedName>
    <definedName name="JumpSize9">Calculation!$AU$4</definedName>
    <definedName name="JumpSuffix">GeneralSettings!$I$9</definedName>
    <definedName name="JumpValue1">Calculation!$O$1</definedName>
    <definedName name="JumpValue10">Calculation!$AY$1</definedName>
    <definedName name="JumpValue11">Calculation!$BC$1</definedName>
    <definedName name="JumpValue12">Calculation!$BG$1</definedName>
    <definedName name="JumpValue13">Calculation!$BK$1</definedName>
    <definedName name="JumpValue2">Calculation!$S$1</definedName>
    <definedName name="JumpValue3">Calculation!$W$1</definedName>
    <definedName name="JumpValue4">Calculation!$AA$1</definedName>
    <definedName name="JumpValue5">Calculation!$AE$1</definedName>
    <definedName name="JumpValue6">Calculation!$AI$1</definedName>
    <definedName name="JumpValue7">Calculation!$AM$1</definedName>
    <definedName name="JumpValue8">Calculation!$AQ$1</definedName>
    <definedName name="JumpValue9">Calculation!$AU$1</definedName>
    <definedName name="LastFixingsTrigger" localSheetId="19">'General Settings_3'!$I$7</definedName>
    <definedName name="LastFixingsTrigger" localSheetId="16">'General Settings_3'!$I$7</definedName>
    <definedName name="LastFixingsTrigger" localSheetId="17">'General Settings_3'!$I$7</definedName>
    <definedName name="LastFixingsTrigger" localSheetId="18">'General Settings_3'!$I$7</definedName>
    <definedName name="LastFixingsTrigger" localSheetId="20">'General Settings_3'!$I$7</definedName>
    <definedName name="LastFixingsTrigger" localSheetId="24">'General Settings_3'!$I$7</definedName>
    <definedName name="LastFixingsTrigger" localSheetId="21">'General Settings_3'!$I$7</definedName>
    <definedName name="LastFixingsTrigger" localSheetId="22">'General Settings_3'!$I$7</definedName>
    <definedName name="LastFixingsTrigger" localSheetId="23">'General Settings_3'!$I$7</definedName>
    <definedName name="LastFixingsTrigger" localSheetId="15">'General Settings_3'!$I$7</definedName>
    <definedName name="LastFixingsTrigger">'General Settings'!$D$8</definedName>
    <definedName name="LastUpdate" localSheetId="25">'General Settings_2'!$D$23</definedName>
    <definedName name="LastUpdate" localSheetId="15">'General Settings_3'!$D$17</definedName>
    <definedName name="LastUpdate">'General Settings'!$I$5</definedName>
    <definedName name="LiveDataFeed" localSheetId="25">'General Settings_2'!$D$24</definedName>
    <definedName name="LiveDataFeed" localSheetId="15">'General Settings_3'!$D$18</definedName>
    <definedName name="LiveDataFeed">'General Settings'!$I$4</definedName>
    <definedName name="MeanReversion" localSheetId="37">Futures3M!$I$2</definedName>
    <definedName name="MinDistance" localSheetId="13">EUR1M!$R$3:$R$92</definedName>
    <definedName name="MinDistance" localSheetId="14">EUR1Y!$R$3:$R$79</definedName>
    <definedName name="MinDistance" localSheetId="11">EUR3M!$R$3:$R$124</definedName>
    <definedName name="MinDistance" localSheetId="12">EUR6M!$R$3:$R$391</definedName>
    <definedName name="MinDistance" localSheetId="10">EURON!$P$3:$P$57</definedName>
    <definedName name="MinDistance" localSheetId="8">EURSTD!$R$3:$R$89</definedName>
    <definedName name="MinDistance">RateHelpers!$I$2:$I$36</definedName>
    <definedName name="Months12M" localSheetId="20">Contribution_2!$A$25</definedName>
    <definedName name="Months1M" localSheetId="20">Contribution_2!$A$3</definedName>
    <definedName name="Months3M" localSheetId="20">Contribution_2!$A$8</definedName>
    <definedName name="Months6M" localSheetId="20">Contribution_2!$A$15</definedName>
    <definedName name="NDays">'General Settings_2'!$D$11</definedName>
    <definedName name="None" localSheetId="2">FirstLegAdmortization!$D$1:$D$123</definedName>
    <definedName name="None" localSheetId="4">SecondLegAdmortization!$D$1:$D$123</definedName>
    <definedName name="NPV">Pricing!$C$47</definedName>
    <definedName name="NPVDate">Pricing!$C$41</definedName>
    <definedName name="ObjectOverwrite" localSheetId="19">'General Settings_3'!$D$12</definedName>
    <definedName name="ObjectOverwrite" localSheetId="16">'General Settings_3'!$D$12</definedName>
    <definedName name="ObjectOverwrite" localSheetId="17">'General Settings_3'!$D$12</definedName>
    <definedName name="ObjectOverwrite" localSheetId="18">'General Settings_3'!$D$12</definedName>
    <definedName name="ObjectOverwrite" localSheetId="20">'General Settings_3'!$D$12</definedName>
    <definedName name="ObjectOverwrite" localSheetId="24">'General Settings_3'!$D$12</definedName>
    <definedName name="ObjectOverwrite" localSheetId="21">'General Settings_3'!$D$12</definedName>
    <definedName name="ObjectOverwrite" localSheetId="22">'General Settings_3'!$D$12</definedName>
    <definedName name="ObjectOverwrite" localSheetId="23">'General Settings_3'!$D$12</definedName>
    <definedName name="ObjectOverwrite" localSheetId="13">GeneralSettings!$D$6</definedName>
    <definedName name="ObjectOverwrite" localSheetId="14">GeneralSettings!$D$6</definedName>
    <definedName name="ObjectOverwrite" localSheetId="11">GeneralSettings!$D$6</definedName>
    <definedName name="ObjectOverwrite" localSheetId="12">GeneralSettings!$D$6</definedName>
    <definedName name="ObjectOverwrite" localSheetId="10">GeneralSettings!$D$6</definedName>
    <definedName name="ObjectOverwrite" localSheetId="8">GeneralSettings_4!$D$6</definedName>
    <definedName name="ObjectOverwrite" localSheetId="15">'General Settings_3'!$D$12</definedName>
    <definedName name="ObjectOverwrite" localSheetId="9">GeneralSettings!$D$6</definedName>
    <definedName name="ObjectOverwrite" localSheetId="7">GeneralSettings_4!$D$6</definedName>
    <definedName name="ObjectOverwrite">'General Settings'!$I$14</definedName>
    <definedName name="OisCurve">'General Settings_3'!$D$8</definedName>
    <definedName name="OvernightIndex" localSheetId="15">'General Settings_3'!$D$7</definedName>
    <definedName name="OvernightIndex">'General Settings_2'!$D$6</definedName>
    <definedName name="Payments" localSheetId="2">FirstLegAdmortization!$F$1</definedName>
    <definedName name="Payments" localSheetId="4">SecondLegAdmortization!$F$1</definedName>
    <definedName name="Permanent" localSheetId="19">'General Settings_3'!$D$11</definedName>
    <definedName name="Permanent" localSheetId="16">'General Settings_3'!$D$11</definedName>
    <definedName name="Permanent" localSheetId="17">'General Settings_3'!$D$11</definedName>
    <definedName name="Permanent" localSheetId="18">'General Settings_3'!$D$11</definedName>
    <definedName name="Permanent" localSheetId="20">'General Settings_3'!$D$11</definedName>
    <definedName name="Permanent" localSheetId="24">'General Settings_3'!$D$11</definedName>
    <definedName name="Permanent" localSheetId="21">'General Settings_3'!$D$11</definedName>
    <definedName name="Permanent" localSheetId="22">'General Settings_3'!$D$11</definedName>
    <definedName name="Permanent" localSheetId="23">'General Settings_3'!$D$11</definedName>
    <definedName name="Permanent" localSheetId="13">GeneralSettings!$D$4</definedName>
    <definedName name="Permanent" localSheetId="14">GeneralSettings!$D$4</definedName>
    <definedName name="Permanent" localSheetId="11">GeneralSettings!$D$4</definedName>
    <definedName name="Permanent" localSheetId="12">GeneralSettings!$D$4</definedName>
    <definedName name="Permanent" localSheetId="10">GeneralSettings!$D$4</definedName>
    <definedName name="Permanent" localSheetId="8">GeneralSettings_4!$D$4</definedName>
    <definedName name="Permanent" localSheetId="15">'General Settings_3'!$D$11</definedName>
    <definedName name="Permanent" localSheetId="9">GeneralSettings!$D$4</definedName>
    <definedName name="Permanent" localSheetId="7">GeneralSettings_4!$D$4</definedName>
    <definedName name="Permanent">'General Settings'!$I$13</definedName>
    <definedName name="PillarDate" localSheetId="8">GeneralSettings_4!$D$10</definedName>
    <definedName name="PillarDate" localSheetId="7">GeneralSettings_4!$D$10</definedName>
    <definedName name="PillarDate">GeneralSettings!$D$8</definedName>
    <definedName name="PriceTickValue" localSheetId="15">'General Settings_3'!$D$15</definedName>
    <definedName name="PriceTickValue">'General Settings'!$I$17</definedName>
    <definedName name="_xlnm.Print_Area" localSheetId="27">Calculation!$A$4:$G$53</definedName>
    <definedName name="Priority" localSheetId="13">EUR1M!$Q$3:$Q$92</definedName>
    <definedName name="Priority" localSheetId="14">EUR1Y!$Q$3:$Q$79</definedName>
    <definedName name="Priority" localSheetId="11">EUR3M!$Q$3:$Q$124</definedName>
    <definedName name="Priority" localSheetId="12">EUR6M!$Q$3:$Q$391</definedName>
    <definedName name="Priority" localSheetId="10">EURON!$O$3:$O$57</definedName>
    <definedName name="Priority" localSheetId="8">EURSTD!$Q$3:$Q$89</definedName>
    <definedName name="Quote" localSheetId="40">BasisSwap1MxM!$W$5:$W$41</definedName>
    <definedName name="Quote" localSheetId="41">BasisSwap3M6M!$W$5:$W$41</definedName>
    <definedName name="Quote" localSheetId="39">BasisSwapEON3M!$W$5:$W$41</definedName>
    <definedName name="Quote" localSheetId="42">BasisSwapxM12M!$W$5:$W$41</definedName>
    <definedName name="Quote" localSheetId="28">Contribution!$L$3:$L$15</definedName>
    <definedName name="Quote" localSheetId="20">Contribution_2!$L$3:$L$40</definedName>
    <definedName name="Quote" localSheetId="32">Deposits!$R$5:$R$15</definedName>
    <definedName name="Quote" localSheetId="35">'ECB OIS'!$Y$5:$Y$16</definedName>
    <definedName name="Quote" localSheetId="47">ForwardSwap6M!$R$5:$R$328</definedName>
    <definedName name="Quote" localSheetId="33">FRA!$W$5:$W$58</definedName>
    <definedName name="Quote" localSheetId="37">Futures3M!$AC$5:$AC$46</definedName>
    <definedName name="Quote" localSheetId="38">FuturesHWConvAdj!$T$5:$T$6</definedName>
    <definedName name="Quote" localSheetId="36">'IMM OIS'!$Z$5:$Z$9</definedName>
    <definedName name="Quote" localSheetId="49">'ImmFra6M '!$Z$5:$Z$8</definedName>
    <definedName name="Quote" localSheetId="34">OIS!$W$5:$W$40</definedName>
    <definedName name="Quote" localSheetId="44">Swap1M!$W$5:$W$41</definedName>
    <definedName name="Quote" localSheetId="45">Swap3M!$W$5:$W$41</definedName>
    <definedName name="Quote" localSheetId="46">Swap6M!$W$5:$W$41</definedName>
    <definedName name="Quote" localSheetId="43">Swaps1M_1Y!$W$5:$W$15</definedName>
    <definedName name="Quote" localSheetId="48">SwapsIMMDated!$W$5:$W$11</definedName>
    <definedName name="QuoteLive" localSheetId="40">BasisSwap1MxM!$R$5:$R$41</definedName>
    <definedName name="QuoteLive" localSheetId="41">BasisSwap3M6M!$R$5:$R$41</definedName>
    <definedName name="QuoteLive" localSheetId="39">BasisSwapEON3M!$R$5:$R$41</definedName>
    <definedName name="QuoteLive" localSheetId="42">BasisSwapxM12M!$R$5:$R$41</definedName>
    <definedName name="QuoteLive" localSheetId="28">Contribution!$D$3:$D$15</definedName>
    <definedName name="QuoteLive" localSheetId="20">Contribution_2!$H$3:$H$40</definedName>
    <definedName name="QuoteLive" localSheetId="32">Deposits!$N$5:$N$15</definedName>
    <definedName name="QuoteLive" localSheetId="35">'ECB OIS'!$T$5:$T$16</definedName>
    <definedName name="QuoteLive" localSheetId="47">ForwardSwap6M!$N$5:$N$328</definedName>
    <definedName name="QuoteLive" localSheetId="33">FRA!$R$5:$R$58</definedName>
    <definedName name="QuoteLive" localSheetId="37">Futures3M!$X$5:$X$46</definedName>
    <definedName name="QuoteLive" localSheetId="38">FuturesHWConvAdj!$P$5:$P$6</definedName>
    <definedName name="QuoteLive" localSheetId="36">'IMM OIS'!$U$5:$U$9</definedName>
    <definedName name="QuoteLive" localSheetId="49">'ImmFra6M '!$U$5:$U$8</definedName>
    <definedName name="QuoteLive" localSheetId="34">OIS!$R$5:$R$40</definedName>
    <definedName name="QuoteLive" localSheetId="44">Swap1M!$R$5:$R$41</definedName>
    <definedName name="QuoteLive" localSheetId="45">Swap3M!$R$5:$R$41</definedName>
    <definedName name="QuoteLive" localSheetId="46">Swap6M!$R$5:$R$41</definedName>
    <definedName name="QuoteLive" localSheetId="43">Swaps1M_1Y!$R$5:$R$15</definedName>
    <definedName name="QuoteLive" localSheetId="48">SwapsIMMDated!$R$5:$R$11</definedName>
    <definedName name="QuoteStatic" localSheetId="40">BasisSwap1MxM!$U$5:$U$41</definedName>
    <definedName name="QuoteStatic" localSheetId="41">BasisSwap3M6M!$U$5:$U$41</definedName>
    <definedName name="QuoteStatic" localSheetId="39">BasisSwapEON3M!$U$5:$U$41</definedName>
    <definedName name="QuoteStatic" localSheetId="42">BasisSwapxM12M!$U$5:$U$41</definedName>
    <definedName name="QuoteStatic" localSheetId="28">Contribution!$H$3:$H$15</definedName>
    <definedName name="QuoteStatic" localSheetId="20">Contribution_2!$J$3:$J$40</definedName>
    <definedName name="QuoteStatic" localSheetId="32">Deposits!$P$5:$P$15</definedName>
    <definedName name="QuoteStatic" localSheetId="35">'ECB OIS'!$W$5:$W$16</definedName>
    <definedName name="QuoteStatic" localSheetId="47">ForwardSwap6M!$P$5:$P$328</definedName>
    <definedName name="QuoteStatic" localSheetId="33">FRA!$U$5:$U$58</definedName>
    <definedName name="QuoteStatic" localSheetId="37">Futures3M!$AA$5:$AA$46</definedName>
    <definedName name="QuoteStatic" localSheetId="38">FuturesHWConvAdj!$R$5:$R$6</definedName>
    <definedName name="QuoteStatic" localSheetId="36">'IMM OIS'!$X$5:$X$9</definedName>
    <definedName name="QuoteStatic" localSheetId="49">'ImmFra6M '!$X$5:$X$8</definedName>
    <definedName name="QuoteStatic" localSheetId="34">OIS!$U$5:$U$40</definedName>
    <definedName name="QuoteStatic" localSheetId="44">Swap1M!$U$5:$U$41</definedName>
    <definedName name="QuoteStatic" localSheetId="45">Swap3M!$U$5:$U$41</definedName>
    <definedName name="QuoteStatic" localSheetId="46">Swap6M!$U$5:$U$41</definedName>
    <definedName name="QuoteStatic" localSheetId="43">Swaps1M_1Y!$U$5:$U$15</definedName>
    <definedName name="QuoteStatic" localSheetId="48">SwapsIMMDated!$U$5:$U$11</definedName>
    <definedName name="QuoteSuffix" localSheetId="19">'General Settings_3'!$D$13</definedName>
    <definedName name="QuoteSuffix" localSheetId="16">'General Settings_3'!$D$13</definedName>
    <definedName name="QuoteSuffix" localSheetId="17">'General Settings_3'!$D$13</definedName>
    <definedName name="QuoteSuffix" localSheetId="18">'General Settings_3'!$D$13</definedName>
    <definedName name="QuoteSuffix" localSheetId="27">'General Settings_2'!$D$7</definedName>
    <definedName name="QuoteSuffix" localSheetId="28">'General Settings_2'!$D$7</definedName>
    <definedName name="QuoteSuffix" localSheetId="20">'General Settings_3'!$D$13</definedName>
    <definedName name="QuoteSuffix" localSheetId="24">'General Settings_3'!$D$13</definedName>
    <definedName name="QuoteSuffix" localSheetId="21">'General Settings_3'!$D$13</definedName>
    <definedName name="QuoteSuffix" localSheetId="22">'General Settings_3'!$D$13</definedName>
    <definedName name="QuoteSuffix" localSheetId="23">'General Settings_3'!$D$13</definedName>
    <definedName name="QuoteSuffix" localSheetId="13">GeneralSettings!$I$8</definedName>
    <definedName name="QuoteSuffix" localSheetId="14">GeneralSettings!$I$8</definedName>
    <definedName name="QuoteSuffix" localSheetId="11">GeneralSettings!$I$8</definedName>
    <definedName name="QuoteSuffix" localSheetId="12">GeneralSettings!$I$8</definedName>
    <definedName name="QuoteSuffix" localSheetId="10">GeneralSettings!$I$8</definedName>
    <definedName name="QuoteSuffix" localSheetId="8">GeneralSettings_4!$D$9</definedName>
    <definedName name="QuoteSuffix" localSheetId="25">'General Settings_2'!$D$7</definedName>
    <definedName name="QuoteSuffix" localSheetId="15">'General Settings_3'!$D$13</definedName>
    <definedName name="QuoteSuffix" localSheetId="9">GeneralSettings!$I$8</definedName>
    <definedName name="QuoteSuffix" localSheetId="7">GeneralSettings_4!$D$9</definedName>
    <definedName name="QuoteSuffix" localSheetId="26">'General Settings_2'!$D$7</definedName>
    <definedName name="QuoteSuffix">'General Settings'!$I$15</definedName>
    <definedName name="Rate" localSheetId="2">FirstLegAdmortization!$H$1</definedName>
    <definedName name="Rate" localSheetId="4">SecondLegAdmortization!$H$1</definedName>
    <definedName name="RateHelpers" localSheetId="13">EUR1M!$M$3:$M$92</definedName>
    <definedName name="RateHelpers" localSheetId="14">EUR1Y!$M$3:$M$79</definedName>
    <definedName name="RateHelpers" localSheetId="11">EUR3M!$M$3:$M$124</definedName>
    <definedName name="RateHelpers" localSheetId="12">EUR6M!$M$3:$M$391</definedName>
    <definedName name="RateHelpers" localSheetId="10">EURON!$K$3:$K$57</definedName>
    <definedName name="RateHelpers" localSheetId="8">EURSTD!$M$3:$M$89</definedName>
    <definedName name="RateHelpers">RateHelpers!$F$2:$F$36</definedName>
    <definedName name="RateHelpers1M">EUR1M!$W$3:$W$92</definedName>
    <definedName name="RateHelpers1Y">EUR1Y!$W$3:$W$79</definedName>
    <definedName name="RateHelpers3M">EUR3M!$W$3:$W$124</definedName>
    <definedName name="RateHelpers6M">EUR6M!$W$3:$W$391</definedName>
    <definedName name="RateHelpersIncluded">RateHelpers!$G$2:$G$36</definedName>
    <definedName name="RateHelpersON">EURON!$U$3:$U$57</definedName>
    <definedName name="RateHelpersPriority">RateHelpers!$H$2:$H$36</definedName>
    <definedName name="RateHelpersSTD">EURSTD!$W$3:$W$89</definedName>
    <definedName name="RateTickValue" localSheetId="19">'General Settings_3'!$D$14</definedName>
    <definedName name="RateTickValue" localSheetId="16">'General Settings_3'!$D$14</definedName>
    <definedName name="RateTickValue" localSheetId="17">'General Settings_3'!$D$14</definedName>
    <definedName name="RateTickValue" localSheetId="18">'General Settings_3'!$D$14</definedName>
    <definedName name="RateTickValue" localSheetId="20">'General Settings_3'!$D$14</definedName>
    <definedName name="RateTickValue" localSheetId="24">'General Settings_3'!$D$14</definedName>
    <definedName name="RateTickValue" localSheetId="21">'General Settings_3'!$D$14</definedName>
    <definedName name="RateTickValue" localSheetId="22">'General Settings_3'!$D$14</definedName>
    <definedName name="RateTickValue" localSheetId="23">'General Settings_3'!$D$14</definedName>
    <definedName name="RateTickValue" localSheetId="15">'General Settings_3'!$D$14</definedName>
    <definedName name="RateTickValue">'General Settings'!$I$16</definedName>
    <definedName name="ReutersRtMode">'General Settings'!$I$18</definedName>
    <definedName name="Schedule" localSheetId="2">FirstLegAdmortization!$B$1</definedName>
    <definedName name="Schedule" localSheetId="4">SecondLegAdmortization!$B$1</definedName>
    <definedName name="SecondLegCF">Pricing!$G$28</definedName>
    <definedName name="SettlementDate" localSheetId="19">'General Settings_3'!$D$10</definedName>
    <definedName name="SettlementDate" localSheetId="16">'General Settings_3'!$D$10</definedName>
    <definedName name="SettlementDate" localSheetId="17">'General Settings_3'!$D$10</definedName>
    <definedName name="SettlementDate" localSheetId="18">'General Settings_3'!$D$10</definedName>
    <definedName name="SettlementDate" localSheetId="20">'General Settings_3'!$D$10</definedName>
    <definedName name="SettlementDate" localSheetId="24">'General Settings_3'!$D$10</definedName>
    <definedName name="SettlementDate" localSheetId="21">'General Settings_3'!$D$10</definedName>
    <definedName name="SettlementDate" localSheetId="22">'General Settings_3'!$D$10</definedName>
    <definedName name="SettlementDate" localSheetId="23">'General Settings_3'!$D$10</definedName>
    <definedName name="Settlementdate" localSheetId="13">GeneralSettings!$I$4</definedName>
    <definedName name="Settlementdate" localSheetId="14">GeneralSettings!$I$4</definedName>
    <definedName name="Settlementdate" localSheetId="11">GeneralSettings!$I$4</definedName>
    <definedName name="Settlementdate" localSheetId="12">GeneralSettings!$I$4</definedName>
    <definedName name="Settlementdate" localSheetId="10">GeneralSettings!$I$4</definedName>
    <definedName name="SettlementDate" localSheetId="2">Pricing!$C$40</definedName>
    <definedName name="SettlementDate" localSheetId="3">Pricing!$C$40</definedName>
    <definedName name="SettlementDate" localSheetId="15">'General Settings_3'!$D$10</definedName>
    <definedName name="Settlementdate" localSheetId="9">GeneralSettings!$I$4</definedName>
    <definedName name="Settlementdate" localSheetId="7">GeneralSettings_4!$D$13</definedName>
    <definedName name="SettlementDate" localSheetId="1">Pricing!$C$40</definedName>
    <definedName name="SettlementDate" localSheetId="4">Pricing!$C$40</definedName>
    <definedName name="SettlementDate" localSheetId="5">Pricing!$C$40</definedName>
    <definedName name="SettlementDate" localSheetId="0">Pricing!$C$40</definedName>
    <definedName name="SettlementDate">'General Settings_2'!$I$5</definedName>
    <definedName name="solver_cvg" localSheetId="28" hidden="1">0.0001</definedName>
    <definedName name="solver_drv" localSheetId="28" hidden="1">1</definedName>
    <definedName name="solver_est" localSheetId="28" hidden="1">1</definedName>
    <definedName name="solver_itr" localSheetId="28" hidden="1">100</definedName>
    <definedName name="solver_lhs1" localSheetId="28" hidden="1">Contribution!#REF!</definedName>
    <definedName name="solver_lhs2" localSheetId="28" hidden="1">Contribution!#REF!</definedName>
    <definedName name="solver_lhs3" localSheetId="28" hidden="1">Contribution!#REF!</definedName>
    <definedName name="solver_lhs4" localSheetId="28" hidden="1">Contribution!#REF!</definedName>
    <definedName name="solver_lin" localSheetId="28" hidden="1">2</definedName>
    <definedName name="solver_neg" localSheetId="28" hidden="1">2</definedName>
    <definedName name="solver_num" localSheetId="28" hidden="1">0</definedName>
    <definedName name="solver_nwt" localSheetId="28" hidden="1">1</definedName>
    <definedName name="solver_pre" localSheetId="28" hidden="1">0.000001</definedName>
    <definedName name="solver_rel1" localSheetId="28" hidden="1">1</definedName>
    <definedName name="solver_rel2" localSheetId="28" hidden="1">3</definedName>
    <definedName name="solver_rel3" localSheetId="28" hidden="1">1</definedName>
    <definedName name="solver_rel4" localSheetId="28" hidden="1">3</definedName>
    <definedName name="solver_rhs1" localSheetId="28" hidden="1">0.2</definedName>
    <definedName name="solver_rhs2" localSheetId="28" hidden="1">0.0005</definedName>
    <definedName name="solver_rhs3" localSheetId="28" hidden="1">0.2</definedName>
    <definedName name="solver_rhs4" localSheetId="28" hidden="1">0.0005</definedName>
    <definedName name="solver_scl" localSheetId="28" hidden="1">2</definedName>
    <definedName name="solver_sho" localSheetId="28" hidden="1">2</definedName>
    <definedName name="solver_tim" localSheetId="28" hidden="1">100</definedName>
    <definedName name="solver_tol" localSheetId="28" hidden="1">0.05</definedName>
    <definedName name="solver_typ" localSheetId="28" hidden="1">1</definedName>
    <definedName name="solver_val" localSheetId="28" hidden="1">0</definedName>
    <definedName name="Step" localSheetId="2">FirstLegAdmortization!$G$4:$G$123</definedName>
    <definedName name="Step" localSheetId="4">SecondLegAdmortization!$G$4:$G$123</definedName>
    <definedName name="StepDecrement" localSheetId="2">FirstLegAdmortization!$G$1</definedName>
    <definedName name="StepDecrement" localSheetId="4">SecondLegAdmortization!$G$1</definedName>
    <definedName name="Swap3M4Y" localSheetId="44">Swap1M!$W$11</definedName>
    <definedName name="Swap3M4Y" localSheetId="45">Swap3M!$W$11</definedName>
    <definedName name="Swap6M4Y" localSheetId="47">ForwardSwap6M!$R$8</definedName>
    <definedName name="Swap6M4Y">Swap6M!$W$11</definedName>
    <definedName name="SwapID">Pricing!$C$29</definedName>
    <definedName name="Tenor" localSheetId="13">EUR1M!$G$1</definedName>
    <definedName name="Tenor" localSheetId="14">EUR1Y!$G$1</definedName>
    <definedName name="Tenor" localSheetId="11">EUR3M!$G$1</definedName>
    <definedName name="Tenor" localSheetId="12">EUR6M!$G$1</definedName>
    <definedName name="Tenor12M" localSheetId="20">Contribution_2!$A$26</definedName>
    <definedName name="Tenor1M" localSheetId="20">Contribution_2!$A$4</definedName>
    <definedName name="Tenor3M" localSheetId="20">Contribution_2!$A$9</definedName>
    <definedName name="Tenor6M" localSheetId="20">Contribution_2!$A$16</definedName>
    <definedName name="TenYearsBondFutures">MainChecks!$C$4:$C$6</definedName>
    <definedName name="Traits" localSheetId="30">Euribor!#REF!</definedName>
    <definedName name="TraitsID">'General Settings_2'!$D$15</definedName>
    <definedName name="Trigger" localSheetId="19">'12MSynthDepo'!$AM$3</definedName>
    <definedName name="Trigger" localSheetId="51">'1M Basis Swap'!$N$3</definedName>
    <definedName name="Trigger" localSheetId="16">'1MSynthDepo'!$AI$3</definedName>
    <definedName name="Trigger" localSheetId="54">'1Y Basis Swap'!$N$3</definedName>
    <definedName name="Trigger" localSheetId="52">'3M Basis Swap'!$N$3</definedName>
    <definedName name="Trigger" localSheetId="17">'3MSynthDepo'!$AM$3</definedName>
    <definedName name="Trigger" localSheetId="53">'6M Basis Swap'!$N$3</definedName>
    <definedName name="Trigger" localSheetId="18">'6MSynthDepo'!$AM$3</definedName>
    <definedName name="Trigger" localSheetId="40">BasisSwap1MxM!$AB$2</definedName>
    <definedName name="Trigger" localSheetId="41">BasisSwap3M6M!$AB$2</definedName>
    <definedName name="Trigger" localSheetId="39">BasisSwapEON3M!$AB$2</definedName>
    <definedName name="Trigger" localSheetId="42">BasisSwapxM12M!$AB$2</definedName>
    <definedName name="Trigger" localSheetId="27">Calculation!$CE$4</definedName>
    <definedName name="Trigger" localSheetId="28">Contribution!$U$3</definedName>
    <definedName name="Trigger" localSheetId="20">Contribution_2!$Q$2</definedName>
    <definedName name="Trigger" localSheetId="24">'Delta 12M'!$V$3</definedName>
    <definedName name="Trigger" localSheetId="21">'Delta 1M'!$Z$3</definedName>
    <definedName name="Trigger" localSheetId="22">'Delta 3M'!$V$3</definedName>
    <definedName name="Trigger" localSheetId="23">'Delta 6M '!$V$3</definedName>
    <definedName name="Trigger" localSheetId="32">Deposits!$W$2</definedName>
    <definedName name="Trigger" localSheetId="35">'ECB OIS'!$AD$2</definedName>
    <definedName name="Trigger" localSheetId="13">EUR1M!$AN$3</definedName>
    <definedName name="Trigger" localSheetId="14">EUR1Y!$AJ$3</definedName>
    <definedName name="Trigger" localSheetId="11">EUR3M!$AN$3</definedName>
    <definedName name="Trigger" localSheetId="12">EUR6M!$AN$3</definedName>
    <definedName name="Trigger" localSheetId="30">Euribor!$Q$4</definedName>
    <definedName name="Trigger" localSheetId="55">'Euribor 3M Time Series'!$I$2</definedName>
    <definedName name="Trigger" localSheetId="56">'Euribor 6M Time Series'!$I$2</definedName>
    <definedName name="Trigger" localSheetId="31">EuriborSwapIsdaFixA!$L$3</definedName>
    <definedName name="Trigger" localSheetId="57">EuriborSwapIsdaFixA1Y!$I$2</definedName>
    <definedName name="Trigger" localSheetId="10">EURON!$AL$3</definedName>
    <definedName name="Trigger" localSheetId="8">EURSTD!$AI$3</definedName>
    <definedName name="Trigger" localSheetId="2">FirstLegAdmortization!$L$2</definedName>
    <definedName name="Trigger" localSheetId="3">FirstLegAnalysis!$X$4</definedName>
    <definedName name="Trigger" localSheetId="47">ForwardSwap6M!$W$2</definedName>
    <definedName name="Trigger" localSheetId="33">FRA!$AB$2</definedName>
    <definedName name="Trigger" localSheetId="37">Futures3M!$AH$2</definedName>
    <definedName name="Trigger" localSheetId="38">FuturesHWConvAdj!$Y$2</definedName>
    <definedName name="Trigger" localSheetId="29">'General Settings'!$M$3</definedName>
    <definedName name="Trigger" localSheetId="25">'General Settings_2'!$N$3</definedName>
    <definedName name="Trigger" localSheetId="15">'General Settings_3'!$M$3</definedName>
    <definedName name="Trigger" localSheetId="9">GeneralSettings!$M$3</definedName>
    <definedName name="Trigger" localSheetId="7">GeneralSettings_4!$H$3</definedName>
    <definedName name="Trigger" localSheetId="36">'IMM OIS'!$AE$2</definedName>
    <definedName name="Trigger" localSheetId="49">'ImmFra6M '!$AE$2</definedName>
    <definedName name="Trigger" localSheetId="6">MainChecks!$X$2</definedName>
    <definedName name="Trigger" localSheetId="34">OIS!$AB$2</definedName>
    <definedName name="Trigger" localSheetId="50">'ON Basis Swap'!$N$3</definedName>
    <definedName name="Trigger" localSheetId="1">Pricing!$S$2</definedName>
    <definedName name="Trigger" localSheetId="26">RateHelpers!$N$2</definedName>
    <definedName name="Trigger" localSheetId="4">SecondLegAdmortization!$L$2</definedName>
    <definedName name="Trigger" localSheetId="5">SecondLegAnalysis!$X$4</definedName>
    <definedName name="Trigger" localSheetId="44">Swap1M!$AB$2</definedName>
    <definedName name="Trigger" localSheetId="45">Swap3M!$AB$2</definedName>
    <definedName name="Trigger" localSheetId="46">Swap6M!$AB$2</definedName>
    <definedName name="Trigger" localSheetId="43">Swaps1M_1Y!$AB$2</definedName>
    <definedName name="Trigger" localSheetId="48">SwapsIMMDated!$AB$2</definedName>
    <definedName name="Trigger" localSheetId="0">Triggers!$H$2</definedName>
    <definedName name="Trigger">'General Settings'!$D$4</definedName>
    <definedName name="Trigger2" localSheetId="19">'12MSynthDepo'!$AM$4</definedName>
    <definedName name="Trigger2" localSheetId="51">'1M Basis Swap'!$N$4</definedName>
    <definedName name="Trigger2" localSheetId="16">'1MSynthDepo'!$AI$4</definedName>
    <definedName name="Trigger2" localSheetId="54">'1Y Basis Swap'!$N$4</definedName>
    <definedName name="Trigger2" localSheetId="52">'3M Basis Swap'!$N$4</definedName>
    <definedName name="Trigger2" localSheetId="17">'3MSynthDepo'!$AM$4</definedName>
    <definedName name="Trigger2" localSheetId="53">'6M Basis Swap'!$N$4</definedName>
    <definedName name="Trigger2" localSheetId="18">'6MSynthDepo'!$AM$4</definedName>
    <definedName name="Trigger2" localSheetId="40">BasisSwap1MxM!$AB$3</definedName>
    <definedName name="Trigger2" localSheetId="41">BasisSwap3M6M!$AB$3</definedName>
    <definedName name="Trigger2" localSheetId="39">BasisSwapEON3M!$AB$3</definedName>
    <definedName name="Trigger2" localSheetId="42">BasisSwapxM12M!$AB$3</definedName>
    <definedName name="Trigger2" localSheetId="27">Calculation!$CE$5</definedName>
    <definedName name="Trigger2" localSheetId="28">Contribution!$U$4</definedName>
    <definedName name="Trigger2" localSheetId="20">Contribution_2!$Q$3</definedName>
    <definedName name="Trigger2" localSheetId="24">'Delta 12M'!$V$4</definedName>
    <definedName name="Trigger2" localSheetId="21">'Delta 1M'!$Z$4</definedName>
    <definedName name="Trigger2" localSheetId="22">'Delta 3M'!$V$4</definedName>
    <definedName name="Trigger2" localSheetId="23">'Delta 6M '!$V$4</definedName>
    <definedName name="Trigger2" localSheetId="32">Deposits!$W$3</definedName>
    <definedName name="Trigger2" localSheetId="35">'ECB OIS'!$AD$3</definedName>
    <definedName name="Trigger2" localSheetId="13">EUR1M!$AN$4</definedName>
    <definedName name="Trigger2" localSheetId="14">EUR1Y!$AJ$4</definedName>
    <definedName name="Trigger2" localSheetId="11">EUR3M!$AN$4</definedName>
    <definedName name="Trigger2" localSheetId="12">EUR6M!$AN$4</definedName>
    <definedName name="Trigger2" localSheetId="30">Euribor!$Q$5</definedName>
    <definedName name="Trigger2" localSheetId="55">'Euribor 3M Time Series'!$I$3</definedName>
    <definedName name="Trigger2" localSheetId="56">'Euribor 6M Time Series'!$I$3</definedName>
    <definedName name="Trigger2" localSheetId="31">EuriborSwapIsdaFixA!$L$4</definedName>
    <definedName name="Trigger2" localSheetId="57">EuriborSwapIsdaFixA1Y!$I$3</definedName>
    <definedName name="Trigger2" localSheetId="10">EURON!$AL$4</definedName>
    <definedName name="Trigger2" localSheetId="8">EURSTD!$AI$4</definedName>
    <definedName name="Trigger2" localSheetId="2">FirstLegAdmortization!$L$3</definedName>
    <definedName name="Trigger2" localSheetId="3">FirstLegAnalysis!$X$5</definedName>
    <definedName name="Trigger2" localSheetId="47">ForwardSwap6M!$W$3</definedName>
    <definedName name="Trigger2" localSheetId="33">FRA!$AB$3</definedName>
    <definedName name="Trigger2" localSheetId="37">Futures3M!$AH$3</definedName>
    <definedName name="Trigger2" localSheetId="38">FuturesHWConvAdj!$Y$3</definedName>
    <definedName name="Trigger2" localSheetId="29">'General Settings'!$M$4</definedName>
    <definedName name="Trigger2" localSheetId="25">'General Settings_2'!$N$4</definedName>
    <definedName name="Trigger2" localSheetId="15">'General Settings_3'!$M$4</definedName>
    <definedName name="Trigger2" localSheetId="9">GeneralSettings!$M$4</definedName>
    <definedName name="Trigger2" localSheetId="7">GeneralSettings_4!$H$4</definedName>
    <definedName name="Trigger2" localSheetId="36">'IMM OIS'!$AE$3</definedName>
    <definedName name="Trigger2" localSheetId="49">'ImmFra6M '!$AE$3</definedName>
    <definedName name="Trigger2" localSheetId="6">MainChecks!$X$3</definedName>
    <definedName name="Trigger2" localSheetId="34">OIS!$AB$3</definedName>
    <definedName name="Trigger2" localSheetId="50">'ON Basis Swap'!$N$4</definedName>
    <definedName name="Trigger2" localSheetId="1">Pricing!$S$3</definedName>
    <definedName name="Trigger2" localSheetId="26">RateHelpers!$N$3</definedName>
    <definedName name="Trigger2" localSheetId="4">SecondLegAdmortization!$L$3</definedName>
    <definedName name="Trigger2" localSheetId="5">SecondLegAnalysis!$X$5</definedName>
    <definedName name="Trigger2" localSheetId="44">Swap1M!$AB$3</definedName>
    <definedName name="Trigger2" localSheetId="45">Swap3M!$AB$3</definedName>
    <definedName name="Trigger2" localSheetId="46">Swap6M!$AB$3</definedName>
    <definedName name="Trigger2" localSheetId="43">Swaps1M_1Y!$AB$3</definedName>
    <definedName name="Trigger2" localSheetId="48">SwapsIMMDated!$AB$3</definedName>
    <definedName name="Trigger2" localSheetId="0">Triggers!$H$3</definedName>
    <definedName name="TriggerCounter" localSheetId="25">'General Settings_2'!$I$9</definedName>
    <definedName name="TriggerCounter" localSheetId="15">'General Settings_3'!$I$8</definedName>
    <definedName name="TriggerCounter">'General Settings'!$D$7</definedName>
    <definedName name="Type" localSheetId="2">FirstLegAdmortization!$C$1</definedName>
    <definedName name="Type" localSheetId="4">SecondLegAdmortization!$C$1</definedName>
    <definedName name="Volatility" localSheetId="37">Futures3M!$I$1</definedName>
    <definedName name="YieldCurve">'General Settings_2'!$D$9</definedName>
    <definedName name="YieldCurve_1M">GeneralSettings!$I$28</definedName>
    <definedName name="YieldCurve_1Y">GeneralSettings!$D$43</definedName>
    <definedName name="YieldCurve_3M">GeneralSettings!$I$13</definedName>
    <definedName name="YieldCurve_6M">GeneralSettings!$D$28</definedName>
    <definedName name="YieldCurve_ON">GeneralSettings!$D$13</definedName>
    <definedName name="YieldCurve_STD">GeneralSettings_4!$D$18</definedName>
  </definedNames>
  <calcPr calcId="145621"/>
</workbook>
</file>

<file path=xl/calcChain.xml><?xml version="1.0" encoding="utf-8"?>
<calcChain xmlns="http://schemas.openxmlformats.org/spreadsheetml/2006/main">
  <c r="K5" i="61" l="1"/>
  <c r="K7" i="61"/>
  <c r="M7" i="61"/>
  <c r="K10" i="61"/>
  <c r="K12" i="61"/>
  <c r="K13" i="61"/>
  <c r="K14" i="61"/>
  <c r="K15" i="61"/>
  <c r="K16" i="61"/>
  <c r="K17" i="61"/>
  <c r="B4" i="4"/>
  <c r="B3" i="4"/>
  <c r="D5" i="32"/>
  <c r="C1" i="59" l="1"/>
  <c r="O4" i="59"/>
  <c r="E5" i="59"/>
  <c r="D5" i="59" s="1"/>
  <c r="C5" i="59" s="1"/>
  <c r="I5" i="59"/>
  <c r="H5" i="59" s="1"/>
  <c r="G5" i="59" s="1"/>
  <c r="O5" i="59"/>
  <c r="E6" i="59"/>
  <c r="D6" i="59" s="1"/>
  <c r="C6" i="59" s="1"/>
  <c r="I6" i="59"/>
  <c r="H6" i="59" s="1"/>
  <c r="G6" i="59" s="1"/>
  <c r="O6" i="59"/>
  <c r="C7" i="59"/>
  <c r="H7" i="59" s="1"/>
  <c r="G7" i="59" s="1"/>
  <c r="D7" i="59"/>
  <c r="O7" i="59"/>
  <c r="O8" i="59"/>
  <c r="O9" i="59"/>
  <c r="O10" i="59"/>
  <c r="O11" i="59"/>
  <c r="D12" i="59"/>
  <c r="C12" i="59" s="1"/>
  <c r="H12" i="59"/>
  <c r="G12" i="59" s="1"/>
  <c r="O12" i="59"/>
  <c r="D13" i="59"/>
  <c r="C13" i="59" s="1"/>
  <c r="H13" i="59"/>
  <c r="G13" i="59" s="1"/>
  <c r="O13" i="59"/>
  <c r="O14" i="59"/>
  <c r="O15" i="59"/>
  <c r="D16" i="59"/>
  <c r="C16" i="59" s="1"/>
  <c r="H16" i="59"/>
  <c r="G16" i="59" s="1"/>
  <c r="O16" i="59"/>
  <c r="D17" i="59"/>
  <c r="C17" i="59" s="1"/>
  <c r="D1" i="58" s="1"/>
  <c r="H17" i="59"/>
  <c r="G17" i="59" s="1"/>
  <c r="D1" i="56" s="1"/>
  <c r="H4" i="56" s="1"/>
  <c r="O17" i="59"/>
  <c r="D18" i="59"/>
  <c r="C18" i="59" s="1"/>
  <c r="C1" i="58" s="1"/>
  <c r="H18" i="59"/>
  <c r="G18" i="59" s="1"/>
  <c r="C1" i="56" s="1"/>
  <c r="O18" i="59"/>
  <c r="O19" i="59"/>
  <c r="D20" i="59"/>
  <c r="C20" i="59" s="1"/>
  <c r="H20" i="59"/>
  <c r="G20" i="59" s="1"/>
  <c r="O20" i="59"/>
  <c r="O21" i="59"/>
  <c r="E22" i="59"/>
  <c r="D22" i="59" s="1"/>
  <c r="C22" i="59" s="1"/>
  <c r="I22" i="59"/>
  <c r="H22" i="59" s="1"/>
  <c r="G22" i="59" s="1"/>
  <c r="O22" i="59"/>
  <c r="C23" i="59"/>
  <c r="D9" i="59" s="1"/>
  <c r="C9" i="59" s="1"/>
  <c r="D23" i="59"/>
  <c r="G23" i="59"/>
  <c r="H23" i="59"/>
  <c r="O23" i="59"/>
  <c r="C24" i="59"/>
  <c r="G24" i="59"/>
  <c r="O24" i="59"/>
  <c r="D25" i="59"/>
  <c r="C25" i="59" s="1"/>
  <c r="H1" i="58" s="1"/>
  <c r="H25" i="59"/>
  <c r="G25" i="59" s="1"/>
  <c r="H1" i="56" s="1"/>
  <c r="O25" i="59"/>
  <c r="E26" i="59"/>
  <c r="D26" i="59" s="1"/>
  <c r="C26" i="59" s="1"/>
  <c r="I26" i="59"/>
  <c r="H26" i="59" s="1"/>
  <c r="G26" i="59" s="1"/>
  <c r="O26" i="59"/>
  <c r="D27" i="59"/>
  <c r="C27" i="59" s="1"/>
  <c r="K3" i="59" s="1"/>
  <c r="H27" i="59"/>
  <c r="G27" i="59" s="1"/>
  <c r="K4" i="59" s="1"/>
  <c r="D32" i="59"/>
  <c r="C32" i="59" s="1"/>
  <c r="H32" i="59"/>
  <c r="G32" i="59" s="1"/>
  <c r="C37" i="59"/>
  <c r="C39" i="59"/>
  <c r="D123" i="58"/>
  <c r="F123" i="58"/>
  <c r="D123" i="56"/>
  <c r="F123" i="56"/>
  <c r="AB2" i="21"/>
  <c r="N3" i="11"/>
  <c r="K2" i="35"/>
  <c r="AB2" i="20"/>
  <c r="AB2" i="17"/>
  <c r="AB2" i="13"/>
  <c r="N3" i="9"/>
  <c r="AB2" i="15"/>
  <c r="Q4" i="31"/>
  <c r="D9" i="31" s="1"/>
  <c r="AD2" i="26"/>
  <c r="AB2" i="22"/>
  <c r="AE2" i="12"/>
  <c r="AB2" i="16"/>
  <c r="D10" i="31"/>
  <c r="D7" i="31"/>
  <c r="AH2" i="24"/>
  <c r="N3" i="7"/>
  <c r="AB2" i="18"/>
  <c r="Q6" i="61"/>
  <c r="Q5" i="61"/>
  <c r="AB2" i="28"/>
  <c r="W2" i="14"/>
  <c r="D12" i="31"/>
  <c r="N3" i="8"/>
  <c r="W2" i="29"/>
  <c r="Q7" i="61"/>
  <c r="AE2" i="25"/>
  <c r="AB2" i="19"/>
  <c r="N3" i="10"/>
  <c r="D13" i="31"/>
  <c r="AB2" i="27"/>
  <c r="D4" i="31"/>
  <c r="L3" i="30"/>
  <c r="Y2" i="23"/>
  <c r="P7" i="61"/>
  <c r="E24" i="59" l="1"/>
  <c r="D24" i="59" s="1"/>
  <c r="I24" i="59"/>
  <c r="H24" i="59" s="1"/>
  <c r="E21" i="59"/>
  <c r="D21" i="59" s="1"/>
  <c r="C21" i="59" s="1"/>
  <c r="G4" i="56"/>
  <c r="G4" i="58"/>
  <c r="H4" i="58"/>
  <c r="D20" i="54"/>
  <c r="V1" i="53" l="1"/>
  <c r="H3" i="53" l="1"/>
  <c r="L3" i="53" l="1"/>
  <c r="H4" i="53" l="1"/>
  <c r="L4" i="53" l="1"/>
  <c r="H5" i="53"/>
  <c r="L5" i="53"/>
  <c r="C6" i="53"/>
  <c r="G6" i="53" s="1"/>
  <c r="H6" i="53"/>
  <c r="L6" i="53"/>
  <c r="C7" i="53"/>
  <c r="G7" i="53" s="1"/>
  <c r="H7" i="53"/>
  <c r="L7" i="53"/>
  <c r="C8" i="53"/>
  <c r="G8" i="53" s="1"/>
  <c r="H8" i="53"/>
  <c r="L8" i="53"/>
  <c r="C9" i="53"/>
  <c r="G9" i="53" s="1"/>
  <c r="H9" i="53"/>
  <c r="L9" i="53"/>
  <c r="C10" i="53"/>
  <c r="G10" i="53" s="1"/>
  <c r="H10" i="53"/>
  <c r="L10" i="53"/>
  <c r="C11" i="53"/>
  <c r="G11" i="53" s="1"/>
  <c r="H11" i="53"/>
  <c r="L11" i="53"/>
  <c r="M11" i="53"/>
  <c r="L12" i="53"/>
  <c r="M12" i="53"/>
  <c r="L13" i="53"/>
  <c r="M13" i="53"/>
  <c r="C14" i="53"/>
  <c r="H14" i="53" s="1"/>
  <c r="G14" i="53"/>
  <c r="L14" i="53"/>
  <c r="M14" i="53"/>
  <c r="C15" i="53"/>
  <c r="H15" i="53" s="1"/>
  <c r="G15" i="53"/>
  <c r="L15" i="53"/>
  <c r="M15" i="53"/>
  <c r="C16" i="53"/>
  <c r="H16" i="53" s="1"/>
  <c r="G16" i="53"/>
  <c r="L16" i="53"/>
  <c r="M16" i="53"/>
  <c r="C17" i="53"/>
  <c r="H17" i="53" s="1"/>
  <c r="G17" i="53"/>
  <c r="L17" i="53"/>
  <c r="C18" i="53"/>
  <c r="H18" i="53" s="1"/>
  <c r="G18" i="53"/>
  <c r="L18" i="53"/>
  <c r="C19" i="53"/>
  <c r="H19" i="53" s="1"/>
  <c r="G19" i="53"/>
  <c r="L19" i="53" l="1"/>
  <c r="C20" i="53"/>
  <c r="H20" i="53" s="1"/>
  <c r="G20" i="53"/>
  <c r="L20" i="53" l="1"/>
  <c r="C21" i="53"/>
  <c r="H21" i="53" s="1"/>
  <c r="G21" i="53"/>
  <c r="L21" i="53" l="1"/>
  <c r="C22" i="53"/>
  <c r="H22" i="53" s="1"/>
  <c r="G22" i="53"/>
  <c r="L22" i="53" l="1"/>
  <c r="C23" i="53"/>
  <c r="H23" i="53" s="1"/>
  <c r="G23" i="53"/>
  <c r="L23" i="53" l="1"/>
  <c r="C24" i="53"/>
  <c r="H24" i="53" s="1"/>
  <c r="G24" i="53"/>
  <c r="L24" i="53" l="1"/>
  <c r="M24" i="53"/>
  <c r="C25" i="53"/>
  <c r="H25" i="53" s="1"/>
  <c r="G25" i="53"/>
  <c r="L25" i="53" l="1"/>
  <c r="M25" i="53"/>
  <c r="C26" i="53"/>
  <c r="H26" i="53" s="1"/>
  <c r="G26" i="53"/>
  <c r="L26" i="53"/>
  <c r="C27" i="53"/>
  <c r="H27" i="53" s="1"/>
  <c r="G27" i="53"/>
  <c r="L27" i="53"/>
  <c r="M27" i="53"/>
  <c r="C28" i="53"/>
  <c r="H28" i="53" s="1"/>
  <c r="G28" i="53"/>
  <c r="L28" i="53" l="1"/>
  <c r="M28" i="53"/>
  <c r="C29" i="53"/>
  <c r="H29" i="53" s="1"/>
  <c r="G29" i="53"/>
  <c r="L29" i="53"/>
  <c r="M29" i="53"/>
  <c r="C30" i="53"/>
  <c r="H30" i="53" s="1"/>
  <c r="G30" i="53"/>
  <c r="L30" i="53"/>
  <c r="M30" i="53"/>
  <c r="C31" i="53"/>
  <c r="H31" i="53" s="1"/>
  <c r="G31" i="53"/>
  <c r="L31" i="53"/>
  <c r="M31" i="53"/>
  <c r="L32" i="53"/>
  <c r="M32" i="53"/>
  <c r="L33" i="53"/>
  <c r="M33" i="53"/>
  <c r="G34" i="53"/>
  <c r="L34" i="53"/>
  <c r="M34" i="53"/>
  <c r="G35" i="53"/>
  <c r="L35" i="53"/>
  <c r="M35" i="53"/>
  <c r="G36" i="53"/>
  <c r="L36" i="53"/>
  <c r="M36" i="53"/>
  <c r="G37" i="53"/>
  <c r="L37" i="53"/>
  <c r="M37" i="53"/>
  <c r="G38" i="53"/>
  <c r="L38" i="53"/>
  <c r="M38" i="53"/>
  <c r="G39" i="53"/>
  <c r="L39" i="53"/>
  <c r="M39" i="53"/>
  <c r="G40" i="53"/>
  <c r="L40" i="53"/>
  <c r="M40" i="53"/>
  <c r="G41" i="53"/>
  <c r="L41" i="53"/>
  <c r="M41" i="53"/>
  <c r="G42" i="53"/>
  <c r="L42" i="53"/>
  <c r="M42" i="53"/>
  <c r="G43" i="53"/>
  <c r="L43" i="53"/>
  <c r="M43" i="53"/>
  <c r="G44" i="53"/>
  <c r="L44" i="53"/>
  <c r="M44" i="53"/>
  <c r="G45" i="53"/>
  <c r="L45" i="53"/>
  <c r="M45" i="53"/>
  <c r="G46" i="53"/>
  <c r="L46" i="53"/>
  <c r="M46" i="53"/>
  <c r="G47" i="53"/>
  <c r="L47" i="53"/>
  <c r="M47" i="53"/>
  <c r="G48" i="53"/>
  <c r="L48" i="53"/>
  <c r="M48" i="53"/>
  <c r="G49" i="53"/>
  <c r="L49" i="53"/>
  <c r="M49" i="53"/>
  <c r="G50" i="53"/>
  <c r="L50" i="53"/>
  <c r="M50" i="53"/>
  <c r="G51" i="53"/>
  <c r="L51" i="53"/>
  <c r="M51" i="53"/>
  <c r="G52" i="53"/>
  <c r="L52" i="53"/>
  <c r="M52" i="53"/>
  <c r="G53" i="53"/>
  <c r="L53" i="53"/>
  <c r="M53" i="53"/>
  <c r="G54" i="53"/>
  <c r="L54" i="53"/>
  <c r="M54" i="53"/>
  <c r="G55" i="53"/>
  <c r="L55" i="53"/>
  <c r="M55" i="53"/>
  <c r="L56" i="53"/>
  <c r="L57" i="53"/>
  <c r="G58" i="53"/>
  <c r="H58" i="53"/>
  <c r="L58" i="53"/>
  <c r="G59" i="53"/>
  <c r="H59" i="53"/>
  <c r="L59" i="53"/>
  <c r="G60" i="53"/>
  <c r="H60" i="53"/>
  <c r="L60" i="53"/>
  <c r="G61" i="53"/>
  <c r="H61" i="53"/>
  <c r="L61" i="53"/>
  <c r="G62" i="53"/>
  <c r="H62" i="53"/>
  <c r="L62" i="53" l="1"/>
  <c r="G63" i="53"/>
  <c r="H63" i="53"/>
  <c r="L63" i="53" l="1"/>
  <c r="G64" i="53"/>
  <c r="H64" i="53"/>
  <c r="L64" i="53" l="1"/>
  <c r="G65" i="53"/>
  <c r="H65" i="53"/>
  <c r="L65" i="53" l="1"/>
  <c r="G66" i="53"/>
  <c r="H66" i="53"/>
  <c r="L66" i="53" l="1"/>
  <c r="G67" i="53"/>
  <c r="H67" i="53"/>
  <c r="L67" i="53" l="1"/>
  <c r="G68" i="53"/>
  <c r="H68" i="53"/>
  <c r="L68" i="53" l="1"/>
  <c r="G69" i="53"/>
  <c r="H69" i="53"/>
  <c r="L69" i="53" l="1"/>
  <c r="G70" i="53"/>
  <c r="H70" i="53"/>
  <c r="L70" i="53" l="1"/>
  <c r="G71" i="53"/>
  <c r="H71" i="53"/>
  <c r="L71" i="53" l="1"/>
  <c r="G72" i="53"/>
  <c r="H72" i="53"/>
  <c r="L72" i="53" l="1"/>
  <c r="G73" i="53"/>
  <c r="H73" i="53"/>
  <c r="L73" i="53" l="1"/>
  <c r="G74" i="53"/>
  <c r="H74" i="53"/>
  <c r="L74" i="53" l="1"/>
  <c r="G75" i="53"/>
  <c r="H75" i="53"/>
  <c r="L75" i="53" l="1"/>
  <c r="G76" i="53"/>
  <c r="H76" i="53"/>
  <c r="L76" i="53" l="1"/>
  <c r="G77" i="53"/>
  <c r="H77" i="53"/>
  <c r="L77" i="53" l="1"/>
  <c r="G78" i="53"/>
  <c r="H78" i="53"/>
  <c r="L78" i="53" l="1"/>
  <c r="G79" i="53"/>
  <c r="H79" i="53"/>
  <c r="L79" i="53" l="1"/>
  <c r="G80" i="53"/>
  <c r="H80" i="53"/>
  <c r="L80" i="53" l="1"/>
  <c r="G81" i="53"/>
  <c r="H81" i="53"/>
  <c r="L81" i="53" l="1"/>
  <c r="G82" i="53"/>
  <c r="H82" i="53"/>
  <c r="L82" i="53" l="1"/>
  <c r="G83" i="53"/>
  <c r="H83" i="53"/>
  <c r="L83" i="53" l="1"/>
  <c r="G84" i="53"/>
  <c r="H84" i="53"/>
  <c r="L84" i="53" l="1"/>
  <c r="G85" i="53"/>
  <c r="H85" i="53"/>
  <c r="L85" i="53" l="1"/>
  <c r="G86" i="53"/>
  <c r="H86" i="53"/>
  <c r="L86" i="53" l="1"/>
  <c r="G87" i="53"/>
  <c r="H87" i="53"/>
  <c r="L87" i="53" l="1"/>
  <c r="M87" i="53"/>
  <c r="G88" i="53"/>
  <c r="H88" i="53"/>
  <c r="L88" i="53" l="1"/>
  <c r="G89" i="53"/>
  <c r="H89" i="53"/>
  <c r="L89" i="53" l="1"/>
  <c r="G90" i="53"/>
  <c r="H90" i="53"/>
  <c r="G91" i="53" l="1"/>
  <c r="H91" i="53"/>
  <c r="G92" i="53" l="1"/>
  <c r="H92" i="53"/>
  <c r="G93" i="53" l="1"/>
  <c r="H93" i="53"/>
  <c r="G94" i="53"/>
  <c r="H94" i="53"/>
  <c r="G95" i="53" l="1"/>
  <c r="H95" i="53"/>
  <c r="D7" i="52" l="1"/>
  <c r="D15" i="52" l="1"/>
  <c r="I15" i="52"/>
  <c r="D30" i="52" l="1"/>
  <c r="I30" i="52"/>
  <c r="D45" i="52"/>
  <c r="T1" i="51"/>
  <c r="E3" i="51"/>
  <c r="F3" i="51"/>
  <c r="J3" i="51"/>
  <c r="E4" i="51"/>
  <c r="F4" i="51"/>
  <c r="J4" i="51"/>
  <c r="E5" i="51"/>
  <c r="F5" i="51"/>
  <c r="J5" i="51"/>
  <c r="K5" i="51"/>
  <c r="J6" i="51"/>
  <c r="J7" i="51"/>
  <c r="E8" i="51"/>
  <c r="J8" i="51" l="1"/>
  <c r="E9" i="51"/>
  <c r="J9" i="51" l="1"/>
  <c r="E10" i="51"/>
  <c r="J10" i="51" l="1"/>
  <c r="E11" i="51"/>
  <c r="J11" i="51" l="1"/>
  <c r="AE11" i="51"/>
  <c r="AJ11" i="51" s="1"/>
  <c r="E12" i="51"/>
  <c r="J12" i="51" l="1"/>
  <c r="AE12" i="51"/>
  <c r="AJ12" i="51" s="1"/>
  <c r="E13" i="51"/>
  <c r="J13" i="51" l="1"/>
  <c r="AE13" i="51"/>
  <c r="AJ13" i="51" s="1"/>
  <c r="E14" i="51"/>
  <c r="J14" i="51" l="1"/>
  <c r="AE14" i="51"/>
  <c r="AJ14" i="51" s="1"/>
  <c r="E15" i="51"/>
  <c r="J15" i="51" l="1"/>
  <c r="AE15" i="51"/>
  <c r="AJ15" i="51" s="1"/>
  <c r="E16" i="51"/>
  <c r="J16" i="51" l="1"/>
  <c r="AE16" i="51"/>
  <c r="AJ16" i="51" s="1"/>
  <c r="E17" i="51"/>
  <c r="J17" i="51" l="1"/>
  <c r="AE17" i="51"/>
  <c r="AJ17" i="51" s="1"/>
  <c r="E18" i="51"/>
  <c r="J18" i="51" l="1"/>
  <c r="K18" i="51"/>
  <c r="AE18" i="51"/>
  <c r="AJ18" i="51" s="1"/>
  <c r="J19" i="51"/>
  <c r="K19" i="51"/>
  <c r="AE19" i="51"/>
  <c r="AJ19" i="51" s="1"/>
  <c r="J20" i="51"/>
  <c r="K20" i="51"/>
  <c r="AE20" i="51"/>
  <c r="AJ20" i="51" s="1"/>
  <c r="E21" i="51"/>
  <c r="J21" i="51" l="1"/>
  <c r="K21" i="51"/>
  <c r="AE21" i="51"/>
  <c r="AJ21" i="51" s="1"/>
  <c r="E22" i="51"/>
  <c r="J22" i="51"/>
  <c r="AE22" i="51"/>
  <c r="AJ22" i="51" s="1"/>
  <c r="E23" i="51"/>
  <c r="J23" i="51"/>
  <c r="AE23" i="51"/>
  <c r="AJ23" i="51" s="1"/>
  <c r="E24" i="51"/>
  <c r="J24" i="51"/>
  <c r="E25" i="51"/>
  <c r="J25" i="51"/>
  <c r="J26" i="51"/>
  <c r="J27" i="51"/>
  <c r="C28" i="51"/>
  <c r="E28" i="51"/>
  <c r="F28" i="51"/>
  <c r="J28" i="51" l="1"/>
  <c r="C29" i="51"/>
  <c r="E29" i="51"/>
  <c r="F29" i="51"/>
  <c r="J29" i="51" l="1"/>
  <c r="C30" i="51"/>
  <c r="E30" i="51"/>
  <c r="F30" i="51"/>
  <c r="J30" i="51" l="1"/>
  <c r="C31" i="51"/>
  <c r="E31" i="51"/>
  <c r="F31" i="51"/>
  <c r="J31" i="51" l="1"/>
  <c r="C32" i="51"/>
  <c r="E32" i="51"/>
  <c r="F32" i="51"/>
  <c r="J32" i="51" l="1"/>
  <c r="C33" i="51"/>
  <c r="E33" i="51"/>
  <c r="F33" i="51"/>
  <c r="J33" i="51" l="1"/>
  <c r="C34" i="51"/>
  <c r="E34" i="51"/>
  <c r="F34" i="51"/>
  <c r="J34" i="51" l="1"/>
  <c r="C35" i="51"/>
  <c r="E35" i="51"/>
  <c r="F35" i="51"/>
  <c r="J35" i="51" l="1"/>
  <c r="C36" i="51"/>
  <c r="E36" i="51"/>
  <c r="F36" i="51"/>
  <c r="J36" i="51" l="1"/>
  <c r="C37" i="51"/>
  <c r="E37" i="51"/>
  <c r="F37" i="51"/>
  <c r="J37" i="51" l="1"/>
  <c r="C38" i="51"/>
  <c r="E38" i="51"/>
  <c r="F38" i="51"/>
  <c r="J38" i="51" l="1"/>
  <c r="C39" i="51"/>
  <c r="E39" i="51"/>
  <c r="F39" i="51"/>
  <c r="J39" i="51" l="1"/>
  <c r="C40" i="51"/>
  <c r="E40" i="51"/>
  <c r="F40" i="51"/>
  <c r="J40" i="51" l="1"/>
  <c r="C41" i="51"/>
  <c r="E41" i="51"/>
  <c r="F41" i="51"/>
  <c r="J41" i="51" l="1"/>
  <c r="C42" i="51"/>
  <c r="E42" i="51"/>
  <c r="F42" i="51"/>
  <c r="J42" i="51" l="1"/>
  <c r="C43" i="51"/>
  <c r="E43" i="51"/>
  <c r="F43" i="51"/>
  <c r="J43" i="51" l="1"/>
  <c r="C44" i="51"/>
  <c r="E44" i="51"/>
  <c r="F44" i="51"/>
  <c r="J44" i="51" l="1"/>
  <c r="C45" i="51"/>
  <c r="E45" i="51"/>
  <c r="F45" i="51"/>
  <c r="J45" i="51" l="1"/>
  <c r="C46" i="51"/>
  <c r="E46" i="51"/>
  <c r="F46" i="51"/>
  <c r="J46" i="51" l="1"/>
  <c r="C47" i="51"/>
  <c r="E47" i="51"/>
  <c r="F47" i="51"/>
  <c r="J47" i="51" l="1"/>
  <c r="C48" i="51"/>
  <c r="E48" i="51"/>
  <c r="F48" i="51"/>
  <c r="J48" i="51" l="1"/>
  <c r="C49" i="51"/>
  <c r="E49" i="51"/>
  <c r="F49" i="51"/>
  <c r="J49" i="51" l="1"/>
  <c r="C50" i="51"/>
  <c r="E50" i="51"/>
  <c r="F50" i="51"/>
  <c r="J50" i="51" l="1"/>
  <c r="C51" i="51"/>
  <c r="E51" i="51"/>
  <c r="F51" i="51"/>
  <c r="J51" i="51" l="1"/>
  <c r="C52" i="51"/>
  <c r="E52" i="51"/>
  <c r="F52" i="51"/>
  <c r="J52" i="51" l="1"/>
  <c r="C53" i="51"/>
  <c r="E53" i="51"/>
  <c r="F53" i="51"/>
  <c r="J53" i="51" l="1"/>
  <c r="C54" i="51"/>
  <c r="E54" i="51"/>
  <c r="F54" i="51"/>
  <c r="J54" i="51" l="1"/>
  <c r="C55" i="51"/>
  <c r="E55" i="51"/>
  <c r="F55" i="51"/>
  <c r="J55" i="51" l="1"/>
  <c r="C56" i="51"/>
  <c r="E56" i="51"/>
  <c r="F56" i="51"/>
  <c r="J56" i="51" l="1"/>
  <c r="C57" i="51"/>
  <c r="E57" i="51"/>
  <c r="F57" i="51"/>
  <c r="J57" i="51" l="1"/>
  <c r="C58" i="51"/>
  <c r="E58" i="51"/>
  <c r="F58" i="51"/>
  <c r="C59" i="51" l="1"/>
  <c r="E59" i="51"/>
  <c r="F59" i="51"/>
  <c r="C60" i="51" l="1"/>
  <c r="E60" i="51"/>
  <c r="F60" i="51"/>
  <c r="C61" i="51" l="1"/>
  <c r="E61" i="51"/>
  <c r="F61" i="51"/>
  <c r="C62" i="51" l="1"/>
  <c r="E62" i="51"/>
  <c r="F62" i="51"/>
  <c r="C63" i="51" l="1"/>
  <c r="E63" i="51"/>
  <c r="F63" i="51"/>
  <c r="H1" i="50" l="1"/>
  <c r="V1" i="50"/>
  <c r="H3" i="50" l="1"/>
  <c r="L3" i="50"/>
  <c r="M3" i="50"/>
  <c r="G4" i="50"/>
  <c r="H4" i="50"/>
  <c r="L4" i="50"/>
  <c r="M4" i="50"/>
  <c r="C5" i="50"/>
  <c r="G5" i="50"/>
  <c r="H5" i="50"/>
  <c r="L5" i="50"/>
  <c r="M5" i="50"/>
  <c r="C6" i="50"/>
  <c r="H6" i="50"/>
  <c r="L6" i="50"/>
  <c r="M6" i="50"/>
  <c r="C7" i="50"/>
  <c r="G7" i="50"/>
  <c r="H7" i="50"/>
  <c r="L7" i="50"/>
  <c r="C8" i="50"/>
  <c r="G8" i="50"/>
  <c r="H8" i="50"/>
  <c r="L8" i="50"/>
  <c r="C9" i="50"/>
  <c r="G9" i="50"/>
  <c r="H9" i="50"/>
  <c r="L9" i="50"/>
  <c r="L10" i="50"/>
  <c r="M10" i="50"/>
  <c r="L11" i="50"/>
  <c r="M11" i="50"/>
  <c r="AG11" i="50"/>
  <c r="AL11" i="50" s="1"/>
  <c r="C12" i="50"/>
  <c r="H12" i="50" s="1"/>
  <c r="G12" i="50"/>
  <c r="L12" i="50"/>
  <c r="M12" i="50"/>
  <c r="AG12" i="50"/>
  <c r="AL12" i="50" s="1"/>
  <c r="C13" i="50"/>
  <c r="H13" i="50" s="1"/>
  <c r="G13" i="50"/>
  <c r="L13" i="50"/>
  <c r="M13" i="50"/>
  <c r="AG13" i="50"/>
  <c r="AL13" i="50" s="1"/>
  <c r="C14" i="50"/>
  <c r="H14" i="50" s="1"/>
  <c r="G14" i="50"/>
  <c r="L14" i="50"/>
  <c r="M14" i="50"/>
  <c r="AG14" i="50"/>
  <c r="AL14" i="50" s="1"/>
  <c r="C15" i="50"/>
  <c r="H15" i="50" s="1"/>
  <c r="G15" i="50"/>
  <c r="L15" i="50"/>
  <c r="M15" i="50"/>
  <c r="AG15" i="50"/>
  <c r="AL15" i="50" s="1"/>
  <c r="C16" i="50"/>
  <c r="H16" i="50" s="1"/>
  <c r="G16" i="50"/>
  <c r="L16" i="50"/>
  <c r="M16" i="50"/>
  <c r="AG16" i="50"/>
  <c r="AL16" i="50" s="1"/>
  <c r="C17" i="50"/>
  <c r="H17" i="50" s="1"/>
  <c r="G17" i="50"/>
  <c r="L17" i="50"/>
  <c r="M17" i="50"/>
  <c r="AG17" i="50"/>
  <c r="AL17" i="50" s="1"/>
  <c r="C18" i="50"/>
  <c r="H18" i="50" s="1"/>
  <c r="G18" i="50"/>
  <c r="L18" i="50"/>
  <c r="M18" i="50"/>
  <c r="AG18" i="50"/>
  <c r="AL18" i="50" s="1"/>
  <c r="C19" i="50"/>
  <c r="H19" i="50" s="1"/>
  <c r="G19" i="50"/>
  <c r="L19" i="50"/>
  <c r="M19" i="50"/>
  <c r="AG19" i="50"/>
  <c r="AL19" i="50" s="1"/>
  <c r="C20" i="50"/>
  <c r="H20" i="50" s="1"/>
  <c r="G20" i="50"/>
  <c r="L20" i="50"/>
  <c r="M20" i="50"/>
  <c r="AG20" i="50"/>
  <c r="AL20" i="50" s="1"/>
  <c r="C21" i="50"/>
  <c r="H21" i="50" s="1"/>
  <c r="G21" i="50"/>
  <c r="L21" i="50"/>
  <c r="M21" i="50"/>
  <c r="AG21" i="50"/>
  <c r="AL21" i="50" s="1"/>
  <c r="C22" i="50"/>
  <c r="H22" i="50" s="1"/>
  <c r="G22" i="50"/>
  <c r="L22" i="50"/>
  <c r="AG22" i="50"/>
  <c r="AL22" i="50" s="1"/>
  <c r="C23" i="50"/>
  <c r="H23" i="50" s="1"/>
  <c r="G23" i="50"/>
  <c r="L23" i="50"/>
  <c r="AG23" i="50"/>
  <c r="AL23" i="50" s="1"/>
  <c r="L24" i="50"/>
  <c r="L25" i="50"/>
  <c r="G26" i="50"/>
  <c r="L26" i="50" l="1"/>
  <c r="G27" i="50"/>
  <c r="L27" i="50" l="1"/>
  <c r="G28" i="50"/>
  <c r="L28" i="50" l="1"/>
  <c r="G29" i="50"/>
  <c r="L29" i="50" l="1"/>
  <c r="G30" i="50"/>
  <c r="L30" i="50" l="1"/>
  <c r="G31" i="50"/>
  <c r="L31" i="50" l="1"/>
  <c r="G32" i="50"/>
  <c r="L32" i="50" l="1"/>
  <c r="G33" i="50"/>
  <c r="L33" i="50" l="1"/>
  <c r="G34" i="50"/>
  <c r="L34" i="50" l="1"/>
  <c r="G35" i="50"/>
  <c r="L35" i="50" l="1"/>
  <c r="G36" i="50"/>
  <c r="L36" i="50" l="1"/>
  <c r="G37" i="50"/>
  <c r="L37" i="50" l="1"/>
  <c r="G38" i="50"/>
  <c r="L38" i="50" l="1"/>
  <c r="G39" i="50"/>
  <c r="L39" i="50" l="1"/>
  <c r="G40" i="50"/>
  <c r="L40" i="50" l="1"/>
  <c r="G41" i="50"/>
  <c r="L41" i="50" l="1"/>
  <c r="G42" i="50"/>
  <c r="L42" i="50" l="1"/>
  <c r="G43" i="50"/>
  <c r="L43" i="50" l="1"/>
  <c r="G44" i="50"/>
  <c r="L44" i="50" l="1"/>
  <c r="M44" i="50"/>
  <c r="G45" i="50"/>
  <c r="L45" i="50" l="1"/>
  <c r="M45" i="50"/>
  <c r="G46" i="50"/>
  <c r="L46" i="50" l="1"/>
  <c r="M46" i="50"/>
  <c r="G47" i="50"/>
  <c r="L47" i="50" l="1"/>
  <c r="M47" i="50"/>
  <c r="L48" i="50"/>
  <c r="M48" i="50"/>
  <c r="L49" i="50"/>
  <c r="G50" i="50"/>
  <c r="H50" i="50"/>
  <c r="L50" i="50"/>
  <c r="G51" i="50"/>
  <c r="H51" i="50"/>
  <c r="L51" i="50"/>
  <c r="G52" i="50"/>
  <c r="H52" i="50"/>
  <c r="L52" i="50"/>
  <c r="G53" i="50"/>
  <c r="H53" i="50"/>
  <c r="L53" i="50"/>
  <c r="G54" i="50"/>
  <c r="H54" i="50"/>
  <c r="L54" i="50"/>
  <c r="G55" i="50"/>
  <c r="H55" i="50"/>
  <c r="L55" i="50" l="1"/>
  <c r="G56" i="50"/>
  <c r="H56" i="50"/>
  <c r="L56" i="50" l="1"/>
  <c r="G57" i="50"/>
  <c r="H57" i="50"/>
  <c r="L57" i="50" l="1"/>
  <c r="M57" i="50"/>
  <c r="G58" i="50"/>
  <c r="H58" i="50"/>
  <c r="L58" i="50" l="1"/>
  <c r="G59" i="50"/>
  <c r="H59" i="50"/>
  <c r="L59" i="50" l="1"/>
  <c r="M59" i="50"/>
  <c r="G60" i="50"/>
  <c r="H60" i="50"/>
  <c r="L60" i="50" l="1"/>
  <c r="M60" i="50"/>
  <c r="G61" i="50"/>
  <c r="H61" i="50"/>
  <c r="L61" i="50" l="1"/>
  <c r="G62" i="50"/>
  <c r="H62" i="50"/>
  <c r="L62" i="50" l="1"/>
  <c r="M62" i="50"/>
  <c r="G63" i="50"/>
  <c r="H63" i="50"/>
  <c r="L63" i="50"/>
  <c r="M63" i="50"/>
  <c r="G64" i="50"/>
  <c r="H64" i="50"/>
  <c r="L64" i="50" l="1"/>
  <c r="M64" i="50"/>
  <c r="G65" i="50"/>
  <c r="H65" i="50"/>
  <c r="L65" i="50"/>
  <c r="M65" i="50"/>
  <c r="G66" i="50"/>
  <c r="H66" i="50"/>
  <c r="L66" i="50"/>
  <c r="G67" i="50"/>
  <c r="H67" i="50"/>
  <c r="L67" i="50" l="1"/>
  <c r="M67" i="50"/>
  <c r="G68" i="50"/>
  <c r="H68" i="50"/>
  <c r="L68" i="50"/>
  <c r="M68" i="50"/>
  <c r="G69" i="50"/>
  <c r="H69" i="50"/>
  <c r="L69" i="50"/>
  <c r="M69" i="50"/>
  <c r="G70" i="50"/>
  <c r="H70" i="50"/>
  <c r="L70" i="50"/>
  <c r="M70" i="50"/>
  <c r="G71" i="50"/>
  <c r="H71" i="50"/>
  <c r="L71" i="50"/>
  <c r="G72" i="50"/>
  <c r="H72" i="50"/>
  <c r="L72" i="50" l="1"/>
  <c r="M72" i="50"/>
  <c r="G73" i="50"/>
  <c r="H73" i="50"/>
  <c r="L73" i="50"/>
  <c r="M73" i="50"/>
  <c r="G74" i="50"/>
  <c r="H74" i="50"/>
  <c r="L74" i="50"/>
  <c r="M74" i="50"/>
  <c r="G75" i="50"/>
  <c r="H75" i="50"/>
  <c r="L75" i="50"/>
  <c r="M75" i="50"/>
  <c r="G76" i="50"/>
  <c r="H76" i="50"/>
  <c r="L76" i="50"/>
  <c r="G77" i="50"/>
  <c r="H77" i="50"/>
  <c r="L77" i="50" l="1"/>
  <c r="M77" i="50"/>
  <c r="G78" i="50"/>
  <c r="H78" i="50"/>
  <c r="L78" i="50"/>
  <c r="G79" i="50"/>
  <c r="H79" i="50"/>
  <c r="L79" i="50"/>
  <c r="G80" i="50"/>
  <c r="H80" i="50"/>
  <c r="L80" i="50"/>
  <c r="G81" i="50"/>
  <c r="H81" i="50"/>
  <c r="L81" i="50"/>
  <c r="M81" i="50"/>
  <c r="G82" i="50"/>
  <c r="H82" i="50"/>
  <c r="L82" i="50" l="1"/>
  <c r="M82" i="50"/>
  <c r="G83" i="50"/>
  <c r="H83" i="50"/>
  <c r="L83" i="50"/>
  <c r="M83" i="50"/>
  <c r="G84" i="50"/>
  <c r="H84" i="50"/>
  <c r="L84" i="50" l="1"/>
  <c r="M84" i="50"/>
  <c r="G85" i="50"/>
  <c r="H85" i="50"/>
  <c r="L85" i="50" l="1"/>
  <c r="M85" i="50"/>
  <c r="G86" i="50"/>
  <c r="H86" i="50"/>
  <c r="L86" i="50" l="1"/>
  <c r="M86" i="50"/>
  <c r="L87" i="50"/>
  <c r="M87" i="50"/>
  <c r="L88" i="50"/>
  <c r="M88" i="50"/>
  <c r="G89" i="50"/>
  <c r="H89" i="50"/>
  <c r="L89" i="50"/>
  <c r="M89" i="50"/>
  <c r="G90" i="50"/>
  <c r="H90" i="50"/>
  <c r="L90" i="50"/>
  <c r="M90" i="50"/>
  <c r="G91" i="50"/>
  <c r="H91" i="50"/>
  <c r="L91" i="50"/>
  <c r="M91" i="50"/>
  <c r="G92" i="50"/>
  <c r="H92" i="50"/>
  <c r="L92" i="50"/>
  <c r="M92" i="50"/>
  <c r="G93" i="50"/>
  <c r="H93" i="50"/>
  <c r="L93" i="50"/>
  <c r="M93" i="50"/>
  <c r="G94" i="50"/>
  <c r="H94" i="50"/>
  <c r="L94" i="50"/>
  <c r="M94" i="50"/>
  <c r="G95" i="50"/>
  <c r="H95" i="50"/>
  <c r="L95" i="50"/>
  <c r="M95" i="50"/>
  <c r="L96" i="50"/>
  <c r="M96" i="50"/>
  <c r="L97" i="50"/>
  <c r="M97" i="50"/>
  <c r="G98" i="50"/>
  <c r="H98" i="50"/>
  <c r="L98" i="50"/>
  <c r="M98" i="50"/>
  <c r="G99" i="50"/>
  <c r="H99" i="50"/>
  <c r="L99" i="50"/>
  <c r="M99" i="50"/>
  <c r="G100" i="50"/>
  <c r="H100" i="50"/>
  <c r="L100" i="50"/>
  <c r="M100" i="50"/>
  <c r="G101" i="50"/>
  <c r="H101" i="50"/>
  <c r="L101" i="50"/>
  <c r="M101" i="50"/>
  <c r="G102" i="50"/>
  <c r="H102" i="50"/>
  <c r="L102" i="50"/>
  <c r="M102" i="50"/>
  <c r="G103" i="50"/>
  <c r="H103" i="50"/>
  <c r="L103" i="50"/>
  <c r="M103" i="50"/>
  <c r="G104" i="50"/>
  <c r="H104" i="50"/>
  <c r="L104" i="50"/>
  <c r="M104" i="50"/>
  <c r="G105" i="50"/>
  <c r="H105" i="50"/>
  <c r="L105" i="50"/>
  <c r="M105" i="50"/>
  <c r="G106" i="50"/>
  <c r="H106" i="50"/>
  <c r="L106" i="50"/>
  <c r="M106" i="50"/>
  <c r="G107" i="50"/>
  <c r="H107" i="50"/>
  <c r="L107" i="50"/>
  <c r="M107" i="50"/>
  <c r="G108" i="50"/>
  <c r="H108" i="50"/>
  <c r="L108" i="50"/>
  <c r="M108" i="50"/>
  <c r="G109" i="50"/>
  <c r="H109" i="50"/>
  <c r="L109" i="50"/>
  <c r="M109" i="50"/>
  <c r="G110" i="50"/>
  <c r="H110" i="50"/>
  <c r="L110" i="50"/>
  <c r="M110" i="50"/>
  <c r="G111" i="50"/>
  <c r="H111" i="50"/>
  <c r="L111" i="50"/>
  <c r="M111" i="50"/>
  <c r="G112" i="50"/>
  <c r="H112" i="50"/>
  <c r="L112" i="50"/>
  <c r="M112" i="50"/>
  <c r="G113" i="50"/>
  <c r="H113" i="50"/>
  <c r="L113" i="50"/>
  <c r="M113" i="50"/>
  <c r="G114" i="50"/>
  <c r="H114" i="50"/>
  <c r="L114" i="50"/>
  <c r="M114" i="50"/>
  <c r="G115" i="50"/>
  <c r="H115" i="50"/>
  <c r="L115" i="50"/>
  <c r="M115" i="50"/>
  <c r="G116" i="50"/>
  <c r="H116" i="50"/>
  <c r="L116" i="50"/>
  <c r="M116" i="50"/>
  <c r="G117" i="50"/>
  <c r="H117" i="50"/>
  <c r="L117" i="50"/>
  <c r="M117" i="50"/>
  <c r="G118" i="50"/>
  <c r="H118" i="50"/>
  <c r="L118" i="50"/>
  <c r="M118" i="50"/>
  <c r="G119" i="50"/>
  <c r="H119" i="50"/>
  <c r="L119" i="50"/>
  <c r="M119" i="50"/>
  <c r="G120" i="50"/>
  <c r="H120" i="50"/>
  <c r="L120" i="50"/>
  <c r="M120" i="50"/>
  <c r="G121" i="50"/>
  <c r="H121" i="50"/>
  <c r="L121" i="50"/>
  <c r="M121" i="50"/>
  <c r="G122" i="50"/>
  <c r="H122" i="50"/>
  <c r="L122" i="50"/>
  <c r="M122" i="50"/>
  <c r="G123" i="50"/>
  <c r="H123" i="50"/>
  <c r="L123" i="50"/>
  <c r="M123" i="50"/>
  <c r="G124" i="50"/>
  <c r="H124" i="50"/>
  <c r="L124" i="50"/>
  <c r="M124" i="50"/>
  <c r="G125" i="50" l="1"/>
  <c r="H125" i="50"/>
  <c r="G126" i="50"/>
  <c r="H126" i="50"/>
  <c r="G127" i="50"/>
  <c r="H127" i="50"/>
  <c r="G128" i="50"/>
  <c r="H128" i="50"/>
  <c r="G129" i="50"/>
  <c r="H129" i="50"/>
  <c r="G130" i="50"/>
  <c r="H130" i="50"/>
  <c r="G131" i="50"/>
  <c r="H131" i="50"/>
  <c r="G132" i="50"/>
  <c r="H132" i="50"/>
  <c r="G133" i="50"/>
  <c r="H133" i="50"/>
  <c r="G134" i="50"/>
  <c r="H134" i="50"/>
  <c r="H1" i="49"/>
  <c r="V1" i="49"/>
  <c r="L3" i="49"/>
  <c r="M3" i="49"/>
  <c r="G4" i="49"/>
  <c r="L4" i="49"/>
  <c r="M4" i="49"/>
  <c r="C5" i="49"/>
  <c r="G5" i="49"/>
  <c r="L5" i="49"/>
  <c r="M5" i="49"/>
  <c r="C6" i="49"/>
  <c r="L6" i="49"/>
  <c r="M6" i="49"/>
  <c r="C7" i="49"/>
  <c r="G7" i="49"/>
  <c r="L7" i="49"/>
  <c r="C8" i="49"/>
  <c r="G8" i="49"/>
  <c r="L8" i="49"/>
  <c r="C9" i="49"/>
  <c r="G9" i="49"/>
  <c r="L9" i="49"/>
  <c r="C10" i="49"/>
  <c r="L10" i="49"/>
  <c r="C11" i="49"/>
  <c r="L11" i="49"/>
  <c r="AG11" i="49"/>
  <c r="AL11" i="49" s="1"/>
  <c r="C12" i="49"/>
  <c r="G12" i="49"/>
  <c r="L12" i="49"/>
  <c r="AG12" i="49"/>
  <c r="AL12" i="49" s="1"/>
  <c r="L13" i="49"/>
  <c r="AG13" i="49"/>
  <c r="AL13" i="49" s="1"/>
  <c r="L14" i="49"/>
  <c r="AG14" i="49"/>
  <c r="AL14" i="49" s="1"/>
  <c r="C15" i="49"/>
  <c r="H15" i="49" s="1"/>
  <c r="G15" i="49"/>
  <c r="H3" i="49" l="1"/>
  <c r="H4" i="49"/>
  <c r="H6" i="49"/>
  <c r="H10" i="49"/>
  <c r="H12" i="49"/>
  <c r="H8" i="49"/>
  <c r="H5" i="49"/>
  <c r="H7" i="49"/>
  <c r="H9" i="49"/>
  <c r="H11" i="49"/>
  <c r="L15" i="49"/>
  <c r="AG15" i="49"/>
  <c r="AL15" i="49" s="1"/>
  <c r="C16" i="49"/>
  <c r="H16" i="49" s="1"/>
  <c r="G16" i="49"/>
  <c r="L16" i="49" l="1"/>
  <c r="AG16" i="49"/>
  <c r="AL16" i="49" s="1"/>
  <c r="C17" i="49"/>
  <c r="H17" i="49" s="1"/>
  <c r="G17" i="49"/>
  <c r="L17" i="49" l="1"/>
  <c r="AG17" i="49"/>
  <c r="AL17" i="49" s="1"/>
  <c r="C18" i="49"/>
  <c r="H18" i="49" s="1"/>
  <c r="G18" i="49"/>
  <c r="L18" i="49" l="1"/>
  <c r="AG18" i="49"/>
  <c r="AL18" i="49" s="1"/>
  <c r="C19" i="49"/>
  <c r="H19" i="49" s="1"/>
  <c r="G19" i="49"/>
  <c r="L19" i="49" l="1"/>
  <c r="AG19" i="49"/>
  <c r="AL19" i="49" s="1"/>
  <c r="C20" i="49"/>
  <c r="H20" i="49" s="1"/>
  <c r="G20" i="49"/>
  <c r="L20" i="49" l="1"/>
  <c r="AG20" i="49"/>
  <c r="AL20" i="49" s="1"/>
  <c r="C21" i="49"/>
  <c r="H21" i="49" s="1"/>
  <c r="G21" i="49"/>
  <c r="L21" i="49" l="1"/>
  <c r="AG21" i="49"/>
  <c r="AL21" i="49" s="1"/>
  <c r="C22" i="49"/>
  <c r="H22" i="49" s="1"/>
  <c r="G22" i="49"/>
  <c r="L22" i="49" l="1"/>
  <c r="AG22" i="49"/>
  <c r="AL22" i="49" s="1"/>
  <c r="C23" i="49"/>
  <c r="H23" i="49" s="1"/>
  <c r="G23" i="49"/>
  <c r="L23" i="49" l="1"/>
  <c r="AG23" i="49"/>
  <c r="AL23" i="49" s="1"/>
  <c r="C24" i="49"/>
  <c r="H24" i="49" s="1"/>
  <c r="G24" i="49"/>
  <c r="L24" i="49" l="1"/>
  <c r="C25" i="49"/>
  <c r="H25" i="49" s="1"/>
  <c r="G25" i="49"/>
  <c r="L25" i="49" l="1"/>
  <c r="C26" i="49"/>
  <c r="H26" i="49" s="1"/>
  <c r="G26" i="49"/>
  <c r="L26" i="49" l="1"/>
  <c r="C27" i="49"/>
  <c r="H27" i="49" s="1"/>
  <c r="G27" i="49"/>
  <c r="L27" i="49" l="1"/>
  <c r="C28" i="49"/>
  <c r="H28" i="49" s="1"/>
  <c r="G28" i="49"/>
  <c r="L28" i="49" l="1"/>
  <c r="C29" i="49"/>
  <c r="H29" i="49" s="1"/>
  <c r="G29" i="49"/>
  <c r="L29" i="49" l="1"/>
  <c r="C30" i="49"/>
  <c r="H30" i="49" s="1"/>
  <c r="G30" i="49"/>
  <c r="L30" i="49" l="1"/>
  <c r="C31" i="49"/>
  <c r="H31" i="49" s="1"/>
  <c r="G31" i="49"/>
  <c r="L31" i="49" l="1"/>
  <c r="M31" i="49"/>
  <c r="C32" i="49"/>
  <c r="H32" i="49" s="1"/>
  <c r="G32" i="49"/>
  <c r="L32" i="49" l="1"/>
  <c r="M32" i="49"/>
  <c r="L33" i="49"/>
  <c r="M33" i="49"/>
  <c r="L34" i="49"/>
  <c r="M34" i="49"/>
  <c r="G35" i="49"/>
  <c r="H35" i="49"/>
  <c r="L35" i="49"/>
  <c r="M35" i="49"/>
  <c r="G36" i="49"/>
  <c r="H36" i="49"/>
  <c r="L36" i="49"/>
  <c r="G37" i="49"/>
  <c r="H37" i="49"/>
  <c r="L37" i="49"/>
  <c r="G38" i="49"/>
  <c r="H38" i="49"/>
  <c r="L38" i="49"/>
  <c r="G39" i="49"/>
  <c r="H39" i="49"/>
  <c r="L39" i="49"/>
  <c r="G40" i="49"/>
  <c r="H40" i="49"/>
  <c r="L40" i="49" l="1"/>
  <c r="G41" i="49"/>
  <c r="H41" i="49"/>
  <c r="L41" i="49" l="1"/>
  <c r="G42" i="49"/>
  <c r="H42" i="49"/>
  <c r="L42" i="49" l="1"/>
  <c r="G43" i="49"/>
  <c r="H43" i="49"/>
  <c r="L43" i="49" l="1"/>
  <c r="G44" i="49"/>
  <c r="H44" i="49"/>
  <c r="L44" i="49" l="1"/>
  <c r="M44" i="49"/>
  <c r="G45" i="49"/>
  <c r="H45" i="49"/>
  <c r="L45" i="49" l="1"/>
  <c r="G46" i="49"/>
  <c r="H46" i="49"/>
  <c r="L46" i="49" l="1"/>
  <c r="M46" i="49"/>
  <c r="G47" i="49"/>
  <c r="H47" i="49"/>
  <c r="L47" i="49" l="1"/>
  <c r="M47" i="49"/>
  <c r="G48" i="49"/>
  <c r="H48" i="49"/>
  <c r="L48" i="49"/>
  <c r="G49" i="49"/>
  <c r="H49" i="49"/>
  <c r="L49" i="49" l="1"/>
  <c r="M49" i="49"/>
  <c r="G50" i="49"/>
  <c r="H50" i="49"/>
  <c r="L50" i="49"/>
  <c r="M50" i="49"/>
  <c r="G51" i="49"/>
  <c r="H51" i="49"/>
  <c r="L51" i="49"/>
  <c r="M51" i="49"/>
  <c r="G52" i="49"/>
  <c r="H52" i="49"/>
  <c r="L52" i="49" l="1"/>
  <c r="M52" i="49"/>
  <c r="G53" i="49"/>
  <c r="H53" i="49"/>
  <c r="L53" i="49"/>
  <c r="G54" i="49"/>
  <c r="H54" i="49"/>
  <c r="L54" i="49"/>
  <c r="M54" i="49"/>
  <c r="G55" i="49"/>
  <c r="H55" i="49"/>
  <c r="L55" i="49"/>
  <c r="M55" i="49"/>
  <c r="G56" i="49"/>
  <c r="H56" i="49"/>
  <c r="L56" i="49"/>
  <c r="M56" i="49"/>
  <c r="G57" i="49"/>
  <c r="H57" i="49"/>
  <c r="L57" i="49" l="1"/>
  <c r="M57" i="49"/>
  <c r="G58" i="49"/>
  <c r="H58" i="49"/>
  <c r="L58" i="49"/>
  <c r="G59" i="49"/>
  <c r="H59" i="49"/>
  <c r="L59" i="49"/>
  <c r="M59" i="49"/>
  <c r="G60" i="49"/>
  <c r="H60" i="49"/>
  <c r="L60" i="49"/>
  <c r="M60" i="49"/>
  <c r="G61" i="49"/>
  <c r="H61" i="49"/>
  <c r="L61" i="49"/>
  <c r="M61" i="49"/>
  <c r="G62" i="49"/>
  <c r="H62" i="49"/>
  <c r="L62" i="49" l="1"/>
  <c r="M62" i="49"/>
  <c r="G63" i="49"/>
  <c r="H63" i="49"/>
  <c r="L63" i="49"/>
  <c r="G64" i="49"/>
  <c r="H64" i="49"/>
  <c r="L64" i="49"/>
  <c r="G65" i="49"/>
  <c r="H65" i="49"/>
  <c r="L65" i="49"/>
  <c r="G66" i="49"/>
  <c r="H66" i="49"/>
  <c r="L66" i="49"/>
  <c r="G67" i="49"/>
  <c r="H67" i="49"/>
  <c r="L67" i="49" l="1"/>
  <c r="G68" i="49"/>
  <c r="H68" i="49"/>
  <c r="L68" i="49" l="1"/>
  <c r="M68" i="49"/>
  <c r="G69" i="49"/>
  <c r="H69" i="49"/>
  <c r="L69" i="49" l="1"/>
  <c r="M69" i="49"/>
  <c r="G70" i="49"/>
  <c r="H70" i="49"/>
  <c r="L70" i="49" l="1"/>
  <c r="M70" i="49"/>
  <c r="G71" i="49"/>
  <c r="H71" i="49"/>
  <c r="L71" i="49" l="1"/>
  <c r="M71" i="49"/>
  <c r="L72" i="49"/>
  <c r="M72" i="49"/>
  <c r="L73" i="49"/>
  <c r="M73" i="49"/>
  <c r="G74" i="49"/>
  <c r="H74" i="49"/>
  <c r="L74" i="49"/>
  <c r="M74" i="49"/>
  <c r="G75" i="49"/>
  <c r="H75" i="49"/>
  <c r="L75" i="49"/>
  <c r="M75" i="49"/>
  <c r="G76" i="49"/>
  <c r="H76" i="49"/>
  <c r="L76" i="49"/>
  <c r="M76" i="49"/>
  <c r="G77" i="49"/>
  <c r="H77" i="49"/>
  <c r="L77" i="49"/>
  <c r="M77" i="49"/>
  <c r="G78" i="49"/>
  <c r="H78" i="49"/>
  <c r="L78" i="49"/>
  <c r="M78" i="49"/>
  <c r="G79" i="49"/>
  <c r="H79" i="49"/>
  <c r="L79" i="49"/>
  <c r="M79" i="49"/>
  <c r="G80" i="49"/>
  <c r="H80" i="49"/>
  <c r="L80" i="49"/>
  <c r="M80" i="49"/>
  <c r="G81" i="49"/>
  <c r="H81" i="49"/>
  <c r="L81" i="49"/>
  <c r="M81" i="49"/>
  <c r="G82" i="49"/>
  <c r="H82" i="49"/>
  <c r="L82" i="49"/>
  <c r="M82" i="49"/>
  <c r="G83" i="49"/>
  <c r="H83" i="49"/>
  <c r="L83" i="49"/>
  <c r="M83" i="49"/>
  <c r="G84" i="49"/>
  <c r="H84" i="49"/>
  <c r="L84" i="49"/>
  <c r="M84" i="49"/>
  <c r="G85" i="49"/>
  <c r="H85" i="49"/>
  <c r="L85" i="49"/>
  <c r="M85" i="49"/>
  <c r="G86" i="49"/>
  <c r="H86" i="49"/>
  <c r="L86" i="49"/>
  <c r="M86" i="49"/>
  <c r="G87" i="49"/>
  <c r="H87" i="49"/>
  <c r="L87" i="49"/>
  <c r="M87" i="49"/>
  <c r="G88" i="49"/>
  <c r="H88" i="49"/>
  <c r="L88" i="49"/>
  <c r="M88" i="49"/>
  <c r="G89" i="49"/>
  <c r="H89" i="49"/>
  <c r="L89" i="49"/>
  <c r="M89" i="49"/>
  <c r="G90" i="49"/>
  <c r="H90" i="49"/>
  <c r="L90" i="49"/>
  <c r="M90" i="49"/>
  <c r="G91" i="49"/>
  <c r="H91" i="49"/>
  <c r="L91" i="49"/>
  <c r="M91" i="49"/>
  <c r="G92" i="49"/>
  <c r="H92" i="49"/>
  <c r="L92" i="49"/>
  <c r="M92" i="49"/>
  <c r="G93" i="49"/>
  <c r="H93" i="49"/>
  <c r="L93" i="49"/>
  <c r="M93" i="49"/>
  <c r="G94" i="49"/>
  <c r="H94" i="49"/>
  <c r="L94" i="49"/>
  <c r="M94" i="49"/>
  <c r="G95" i="49"/>
  <c r="H95" i="49"/>
  <c r="L95" i="49"/>
  <c r="M95" i="49"/>
  <c r="G96" i="49"/>
  <c r="H96" i="49"/>
  <c r="L96" i="49"/>
  <c r="M96" i="49"/>
  <c r="G97" i="49"/>
  <c r="H97" i="49"/>
  <c r="L97" i="49"/>
  <c r="M97" i="49"/>
  <c r="G98" i="49"/>
  <c r="H98" i="49"/>
  <c r="L98" i="49"/>
  <c r="M98" i="49"/>
  <c r="G99" i="49"/>
  <c r="H99" i="49"/>
  <c r="L99" i="49"/>
  <c r="M99" i="49"/>
  <c r="G100" i="49"/>
  <c r="H100" i="49"/>
  <c r="L100" i="49"/>
  <c r="M100" i="49"/>
  <c r="G101" i="49"/>
  <c r="H101" i="49"/>
  <c r="L101" i="49"/>
  <c r="M101" i="49"/>
  <c r="G102" i="49"/>
  <c r="H102" i="49"/>
  <c r="L102" i="49"/>
  <c r="M102" i="49"/>
  <c r="G103" i="49"/>
  <c r="H103" i="49"/>
  <c r="L103" i="49"/>
  <c r="M103" i="49"/>
  <c r="G104" i="49"/>
  <c r="H104" i="49"/>
  <c r="L104" i="49"/>
  <c r="M104" i="49"/>
  <c r="G105" i="49"/>
  <c r="H105" i="49"/>
  <c r="L105" i="49"/>
  <c r="M105" i="49"/>
  <c r="G106" i="49"/>
  <c r="H106" i="49"/>
  <c r="L106" i="49"/>
  <c r="M106" i="49"/>
  <c r="G107" i="49"/>
  <c r="H107" i="49"/>
  <c r="L107" i="49"/>
  <c r="M107" i="49"/>
  <c r="G108" i="49"/>
  <c r="H108" i="49"/>
  <c r="L108" i="49"/>
  <c r="M108" i="49"/>
  <c r="G109" i="49"/>
  <c r="H109" i="49"/>
  <c r="L109" i="49"/>
  <c r="M109" i="49"/>
  <c r="G110" i="49"/>
  <c r="H110" i="49"/>
  <c r="L110" i="49"/>
  <c r="M110" i="49"/>
  <c r="G111" i="49"/>
  <c r="H111" i="49"/>
  <c r="L111" i="49"/>
  <c r="M111" i="49"/>
  <c r="G112" i="49"/>
  <c r="H112" i="49"/>
  <c r="L112" i="49"/>
  <c r="M112" i="49"/>
  <c r="G113" i="49"/>
  <c r="H113" i="49"/>
  <c r="L113" i="49"/>
  <c r="M113" i="49"/>
  <c r="G114" i="49"/>
  <c r="H114" i="49"/>
  <c r="L114" i="49"/>
  <c r="M114" i="49"/>
  <c r="G115" i="49"/>
  <c r="H115" i="49"/>
  <c r="L115" i="49"/>
  <c r="M115" i="49"/>
  <c r="G116" i="49"/>
  <c r="H116" i="49"/>
  <c r="L116" i="49"/>
  <c r="M116" i="49"/>
  <c r="G117" i="49"/>
  <c r="H117" i="49"/>
  <c r="L117" i="49"/>
  <c r="M117" i="49"/>
  <c r="G118" i="49"/>
  <c r="H118" i="49"/>
  <c r="L118" i="49"/>
  <c r="M118" i="49"/>
  <c r="G119" i="49"/>
  <c r="H119" i="49"/>
  <c r="L119" i="49"/>
  <c r="M119" i="49"/>
  <c r="G120" i="49"/>
  <c r="H120" i="49"/>
  <c r="L120" i="49"/>
  <c r="M120" i="49"/>
  <c r="G121" i="49"/>
  <c r="H121" i="49"/>
  <c r="L121" i="49"/>
  <c r="M121" i="49"/>
  <c r="G122" i="49"/>
  <c r="H122" i="49"/>
  <c r="L122" i="49"/>
  <c r="M122" i="49"/>
  <c r="G123" i="49"/>
  <c r="H123" i="49"/>
  <c r="L123" i="49"/>
  <c r="M123" i="49"/>
  <c r="G124" i="49"/>
  <c r="H124" i="49"/>
  <c r="L124" i="49"/>
  <c r="M124" i="49"/>
  <c r="G125" i="49"/>
  <c r="H125" i="49"/>
  <c r="L125" i="49"/>
  <c r="M125" i="49"/>
  <c r="G126" i="49"/>
  <c r="H126" i="49"/>
  <c r="L126" i="49"/>
  <c r="M126" i="49"/>
  <c r="G127" i="49"/>
  <c r="H127" i="49"/>
  <c r="L127" i="49"/>
  <c r="M127" i="49"/>
  <c r="G128" i="49"/>
  <c r="H128" i="49"/>
  <c r="L128" i="49"/>
  <c r="M128" i="49"/>
  <c r="G129" i="49"/>
  <c r="H129" i="49"/>
  <c r="L129" i="49"/>
  <c r="M129" i="49"/>
  <c r="G130" i="49"/>
  <c r="H130" i="49"/>
  <c r="L130" i="49"/>
  <c r="M130" i="49"/>
  <c r="G131" i="49"/>
  <c r="H131" i="49"/>
  <c r="L131" i="49"/>
  <c r="M131" i="49"/>
  <c r="G132" i="49"/>
  <c r="H132" i="49"/>
  <c r="L132" i="49"/>
  <c r="M132" i="49"/>
  <c r="G133" i="49"/>
  <c r="H133" i="49"/>
  <c r="L133" i="49"/>
  <c r="M133" i="49"/>
  <c r="G134" i="49"/>
  <c r="H134" i="49"/>
  <c r="L134" i="49"/>
  <c r="M134" i="49"/>
  <c r="G135" i="49"/>
  <c r="H135" i="49"/>
  <c r="L135" i="49"/>
  <c r="M135" i="49"/>
  <c r="G136" i="49"/>
  <c r="H136" i="49"/>
  <c r="L136" i="49"/>
  <c r="M136" i="49"/>
  <c r="G137" i="49"/>
  <c r="H137" i="49"/>
  <c r="L137" i="49"/>
  <c r="M137" i="49"/>
  <c r="G138" i="49"/>
  <c r="H138" i="49"/>
  <c r="L138" i="49"/>
  <c r="M138" i="49"/>
  <c r="G139" i="49"/>
  <c r="H139" i="49"/>
  <c r="L139" i="49"/>
  <c r="M139" i="49"/>
  <c r="G140" i="49"/>
  <c r="H140" i="49"/>
  <c r="L140" i="49"/>
  <c r="M140" i="49"/>
  <c r="G141" i="49"/>
  <c r="H141" i="49"/>
  <c r="L141" i="49"/>
  <c r="M141" i="49"/>
  <c r="G142" i="49"/>
  <c r="H142" i="49"/>
  <c r="L142" i="49"/>
  <c r="M142" i="49"/>
  <c r="G143" i="49"/>
  <c r="H143" i="49"/>
  <c r="L143" i="49"/>
  <c r="M143" i="49"/>
  <c r="G144" i="49"/>
  <c r="H144" i="49"/>
  <c r="L144" i="49"/>
  <c r="M144" i="49"/>
  <c r="G145" i="49"/>
  <c r="H145" i="49"/>
  <c r="L145" i="49"/>
  <c r="M145" i="49"/>
  <c r="G146" i="49"/>
  <c r="H146" i="49"/>
  <c r="L146" i="49"/>
  <c r="M146" i="49"/>
  <c r="G147" i="49"/>
  <c r="H147" i="49"/>
  <c r="L147" i="49"/>
  <c r="M147" i="49"/>
  <c r="G148" i="49"/>
  <c r="H148" i="49"/>
  <c r="L148" i="49"/>
  <c r="M148" i="49"/>
  <c r="G149" i="49"/>
  <c r="H149" i="49"/>
  <c r="L149" i="49"/>
  <c r="M149" i="49"/>
  <c r="G150" i="49"/>
  <c r="H150" i="49"/>
  <c r="L150" i="49"/>
  <c r="M150" i="49"/>
  <c r="G151" i="49"/>
  <c r="H151" i="49"/>
  <c r="L151" i="49"/>
  <c r="M151" i="49"/>
  <c r="G152" i="49"/>
  <c r="H152" i="49"/>
  <c r="L152" i="49"/>
  <c r="M152" i="49"/>
  <c r="G153" i="49"/>
  <c r="H153" i="49"/>
  <c r="L153" i="49"/>
  <c r="M153" i="49"/>
  <c r="G154" i="49"/>
  <c r="H154" i="49"/>
  <c r="L154" i="49"/>
  <c r="M154" i="49"/>
  <c r="G155" i="49"/>
  <c r="H155" i="49"/>
  <c r="L155" i="49"/>
  <c r="M155" i="49"/>
  <c r="G156" i="49"/>
  <c r="H156" i="49"/>
  <c r="L156" i="49"/>
  <c r="M156" i="49"/>
  <c r="G157" i="49"/>
  <c r="H157" i="49"/>
  <c r="L157" i="49"/>
  <c r="M157" i="49"/>
  <c r="G158" i="49"/>
  <c r="H158" i="49"/>
  <c r="L158" i="49"/>
  <c r="M158" i="49"/>
  <c r="G159" i="49"/>
  <c r="H159" i="49"/>
  <c r="L159" i="49"/>
  <c r="M159" i="49"/>
  <c r="G160" i="49"/>
  <c r="H160" i="49"/>
  <c r="L160" i="49"/>
  <c r="M160" i="49"/>
  <c r="G161" i="49"/>
  <c r="H161" i="49"/>
  <c r="L161" i="49"/>
  <c r="M161" i="49"/>
  <c r="G162" i="49"/>
  <c r="H162" i="49"/>
  <c r="L162" i="49"/>
  <c r="M162" i="49"/>
  <c r="G163" i="49"/>
  <c r="H163" i="49"/>
  <c r="L163" i="49"/>
  <c r="M163" i="49"/>
  <c r="G164" i="49"/>
  <c r="H164" i="49"/>
  <c r="L164" i="49"/>
  <c r="M164" i="49"/>
  <c r="G165" i="49"/>
  <c r="H165" i="49"/>
  <c r="L165" i="49"/>
  <c r="M165" i="49"/>
  <c r="G166" i="49"/>
  <c r="H166" i="49"/>
  <c r="L166" i="49"/>
  <c r="M166" i="49"/>
  <c r="G167" i="49"/>
  <c r="H167" i="49"/>
  <c r="L167" i="49"/>
  <c r="M167" i="49"/>
  <c r="G168" i="49"/>
  <c r="H168" i="49"/>
  <c r="L168" i="49"/>
  <c r="M168" i="49"/>
  <c r="G169" i="49"/>
  <c r="H169" i="49"/>
  <c r="L169" i="49"/>
  <c r="M169" i="49"/>
  <c r="G170" i="49"/>
  <c r="H170" i="49"/>
  <c r="L170" i="49"/>
  <c r="M170" i="49"/>
  <c r="G171" i="49"/>
  <c r="H171" i="49"/>
  <c r="L171" i="49"/>
  <c r="M171" i="49"/>
  <c r="G172" i="49"/>
  <c r="H172" i="49"/>
  <c r="L172" i="49"/>
  <c r="M172" i="49"/>
  <c r="G173" i="49"/>
  <c r="H173" i="49"/>
  <c r="L173" i="49"/>
  <c r="M173" i="49"/>
  <c r="G174" i="49"/>
  <c r="H174" i="49"/>
  <c r="L174" i="49"/>
  <c r="M174" i="49"/>
  <c r="G175" i="49"/>
  <c r="H175" i="49"/>
  <c r="L175" i="49"/>
  <c r="M175" i="49"/>
  <c r="G176" i="49"/>
  <c r="H176" i="49"/>
  <c r="L176" i="49"/>
  <c r="M176" i="49"/>
  <c r="G177" i="49"/>
  <c r="H177" i="49"/>
  <c r="L177" i="49"/>
  <c r="M177" i="49"/>
  <c r="G178" i="49"/>
  <c r="H178" i="49"/>
  <c r="L178" i="49"/>
  <c r="M178" i="49"/>
  <c r="G179" i="49"/>
  <c r="H179" i="49"/>
  <c r="L179" i="49"/>
  <c r="M179" i="49"/>
  <c r="G180" i="49"/>
  <c r="H180" i="49"/>
  <c r="L180" i="49"/>
  <c r="M180" i="49"/>
  <c r="G181" i="49"/>
  <c r="H181" i="49"/>
  <c r="L181" i="49"/>
  <c r="M181" i="49"/>
  <c r="G182" i="49"/>
  <c r="H182" i="49"/>
  <c r="L182" i="49"/>
  <c r="M182" i="49"/>
  <c r="G183" i="49"/>
  <c r="H183" i="49"/>
  <c r="L183" i="49"/>
  <c r="M183" i="49"/>
  <c r="G184" i="49"/>
  <c r="H184" i="49"/>
  <c r="L184" i="49"/>
  <c r="M184" i="49"/>
  <c r="G185" i="49"/>
  <c r="H185" i="49"/>
  <c r="L185" i="49"/>
  <c r="M185" i="49"/>
  <c r="G186" i="49"/>
  <c r="H186" i="49"/>
  <c r="L186" i="49"/>
  <c r="M186" i="49"/>
  <c r="G187" i="49"/>
  <c r="H187" i="49"/>
  <c r="L187" i="49"/>
  <c r="M187" i="49"/>
  <c r="G188" i="49"/>
  <c r="H188" i="49"/>
  <c r="L188" i="49"/>
  <c r="M188" i="49"/>
  <c r="G189" i="49"/>
  <c r="H189" i="49"/>
  <c r="L189" i="49"/>
  <c r="M189" i="49"/>
  <c r="G190" i="49"/>
  <c r="H190" i="49"/>
  <c r="L190" i="49"/>
  <c r="M190" i="49"/>
  <c r="G191" i="49"/>
  <c r="H191" i="49"/>
  <c r="L191" i="49"/>
  <c r="M191" i="49"/>
  <c r="G192" i="49"/>
  <c r="H192" i="49"/>
  <c r="L192" i="49"/>
  <c r="M192" i="49"/>
  <c r="G193" i="49"/>
  <c r="H193" i="49"/>
  <c r="L193" i="49"/>
  <c r="M193" i="49"/>
  <c r="G194" i="49"/>
  <c r="H194" i="49"/>
  <c r="L194" i="49"/>
  <c r="M194" i="49"/>
  <c r="G195" i="49"/>
  <c r="H195" i="49"/>
  <c r="L195" i="49"/>
  <c r="M195" i="49"/>
  <c r="G196" i="49"/>
  <c r="H196" i="49"/>
  <c r="L196" i="49"/>
  <c r="M196" i="49"/>
  <c r="G197" i="49"/>
  <c r="H197" i="49"/>
  <c r="L197" i="49"/>
  <c r="M197" i="49"/>
  <c r="G198" i="49"/>
  <c r="H198" i="49"/>
  <c r="L198" i="49"/>
  <c r="M198" i="49"/>
  <c r="G199" i="49"/>
  <c r="H199" i="49"/>
  <c r="L199" i="49"/>
  <c r="M199" i="49"/>
  <c r="G200" i="49"/>
  <c r="H200" i="49"/>
  <c r="L200" i="49"/>
  <c r="M200" i="49"/>
  <c r="G201" i="49"/>
  <c r="H201" i="49"/>
  <c r="L201" i="49"/>
  <c r="M201" i="49"/>
  <c r="G202" i="49"/>
  <c r="H202" i="49"/>
  <c r="L202" i="49"/>
  <c r="M202" i="49"/>
  <c r="G203" i="49"/>
  <c r="H203" i="49"/>
  <c r="L203" i="49"/>
  <c r="M203" i="49"/>
  <c r="G204" i="49"/>
  <c r="H204" i="49"/>
  <c r="L204" i="49"/>
  <c r="M204" i="49"/>
  <c r="G205" i="49"/>
  <c r="H205" i="49"/>
  <c r="L205" i="49"/>
  <c r="M205" i="49"/>
  <c r="G206" i="49"/>
  <c r="H206" i="49"/>
  <c r="L206" i="49"/>
  <c r="M206" i="49"/>
  <c r="G207" i="49"/>
  <c r="H207" i="49"/>
  <c r="L207" i="49"/>
  <c r="M207" i="49"/>
  <c r="G208" i="49"/>
  <c r="H208" i="49"/>
  <c r="L208" i="49"/>
  <c r="M208" i="49"/>
  <c r="G209" i="49"/>
  <c r="H209" i="49"/>
  <c r="L209" i="49"/>
  <c r="M209" i="49"/>
  <c r="G210" i="49"/>
  <c r="H210" i="49"/>
  <c r="L210" i="49"/>
  <c r="M210" i="49"/>
  <c r="G211" i="49"/>
  <c r="H211" i="49"/>
  <c r="L211" i="49"/>
  <c r="M211" i="49"/>
  <c r="G212" i="49"/>
  <c r="H212" i="49"/>
  <c r="L212" i="49"/>
  <c r="M212" i="49"/>
  <c r="G213" i="49"/>
  <c r="H213" i="49"/>
  <c r="L213" i="49"/>
  <c r="M213" i="49"/>
  <c r="G214" i="49"/>
  <c r="H214" i="49"/>
  <c r="L214" i="49"/>
  <c r="M214" i="49"/>
  <c r="G215" i="49"/>
  <c r="H215" i="49"/>
  <c r="L215" i="49"/>
  <c r="M215" i="49"/>
  <c r="G216" i="49"/>
  <c r="H216" i="49"/>
  <c r="L216" i="49"/>
  <c r="M216" i="49"/>
  <c r="G217" i="49"/>
  <c r="H217" i="49"/>
  <c r="L217" i="49"/>
  <c r="M217" i="49"/>
  <c r="G218" i="49"/>
  <c r="H218" i="49"/>
  <c r="L218" i="49"/>
  <c r="M218" i="49"/>
  <c r="G219" i="49"/>
  <c r="H219" i="49"/>
  <c r="L219" i="49"/>
  <c r="M219" i="49"/>
  <c r="G220" i="49"/>
  <c r="H220" i="49"/>
  <c r="L220" i="49"/>
  <c r="M220" i="49"/>
  <c r="G221" i="49"/>
  <c r="H221" i="49"/>
  <c r="L221" i="49"/>
  <c r="M221" i="49"/>
  <c r="G222" i="49"/>
  <c r="H222" i="49"/>
  <c r="L222" i="49"/>
  <c r="M222" i="49"/>
  <c r="G223" i="49"/>
  <c r="H223" i="49"/>
  <c r="L223" i="49"/>
  <c r="M223" i="49"/>
  <c r="G224" i="49"/>
  <c r="H224" i="49"/>
  <c r="L224" i="49"/>
  <c r="M224" i="49"/>
  <c r="G225" i="49"/>
  <c r="H225" i="49"/>
  <c r="L225" i="49"/>
  <c r="M225" i="49"/>
  <c r="G226" i="49"/>
  <c r="H226" i="49"/>
  <c r="L226" i="49"/>
  <c r="M226" i="49"/>
  <c r="G227" i="49"/>
  <c r="H227" i="49"/>
  <c r="L227" i="49"/>
  <c r="M227" i="49"/>
  <c r="G228" i="49"/>
  <c r="H228" i="49"/>
  <c r="L228" i="49"/>
  <c r="M228" i="49"/>
  <c r="G229" i="49"/>
  <c r="H229" i="49"/>
  <c r="L229" i="49"/>
  <c r="M229" i="49"/>
  <c r="G230" i="49"/>
  <c r="H230" i="49"/>
  <c r="L230" i="49"/>
  <c r="M230" i="49"/>
  <c r="G231" i="49"/>
  <c r="H231" i="49"/>
  <c r="L231" i="49"/>
  <c r="M231" i="49"/>
  <c r="G232" i="49"/>
  <c r="H232" i="49"/>
  <c r="L232" i="49"/>
  <c r="M232" i="49"/>
  <c r="G233" i="49"/>
  <c r="H233" i="49"/>
  <c r="L233" i="49"/>
  <c r="M233" i="49"/>
  <c r="G234" i="49"/>
  <c r="H234" i="49"/>
  <c r="L234" i="49"/>
  <c r="M234" i="49"/>
  <c r="G235" i="49"/>
  <c r="H235" i="49"/>
  <c r="L235" i="49"/>
  <c r="M235" i="49"/>
  <c r="G236" i="49"/>
  <c r="H236" i="49"/>
  <c r="L236" i="49"/>
  <c r="M236" i="49"/>
  <c r="G237" i="49"/>
  <c r="H237" i="49"/>
  <c r="L237" i="49"/>
  <c r="M237" i="49"/>
  <c r="G238" i="49"/>
  <c r="H238" i="49"/>
  <c r="L238" i="49"/>
  <c r="M238" i="49"/>
  <c r="G239" i="49"/>
  <c r="H239" i="49"/>
  <c r="L239" i="49"/>
  <c r="M239" i="49"/>
  <c r="G240" i="49"/>
  <c r="H240" i="49"/>
  <c r="L240" i="49"/>
  <c r="M240" i="49"/>
  <c r="G241" i="49"/>
  <c r="H241" i="49"/>
  <c r="L241" i="49"/>
  <c r="M241" i="49"/>
  <c r="G242" i="49"/>
  <c r="H242" i="49"/>
  <c r="L242" i="49"/>
  <c r="M242" i="49"/>
  <c r="G243" i="49"/>
  <c r="H243" i="49"/>
  <c r="L243" i="49"/>
  <c r="M243" i="49"/>
  <c r="G244" i="49"/>
  <c r="H244" i="49"/>
  <c r="L244" i="49"/>
  <c r="M244" i="49"/>
  <c r="G245" i="49"/>
  <c r="H245" i="49"/>
  <c r="L245" i="49"/>
  <c r="M245" i="49"/>
  <c r="G246" i="49"/>
  <c r="H246" i="49"/>
  <c r="L246" i="49"/>
  <c r="M246" i="49"/>
  <c r="G247" i="49"/>
  <c r="H247" i="49"/>
  <c r="L247" i="49"/>
  <c r="M247" i="49"/>
  <c r="G248" i="49"/>
  <c r="H248" i="49"/>
  <c r="L248" i="49"/>
  <c r="M248" i="49"/>
  <c r="G249" i="49"/>
  <c r="H249" i="49"/>
  <c r="L249" i="49"/>
  <c r="M249" i="49"/>
  <c r="G250" i="49"/>
  <c r="H250" i="49"/>
  <c r="L250" i="49"/>
  <c r="M250" i="49"/>
  <c r="G251" i="49"/>
  <c r="H251" i="49"/>
  <c r="L251" i="49"/>
  <c r="M251" i="49"/>
  <c r="G252" i="49"/>
  <c r="H252" i="49"/>
  <c r="L252" i="49"/>
  <c r="M252" i="49"/>
  <c r="G253" i="49"/>
  <c r="H253" i="49"/>
  <c r="L253" i="49"/>
  <c r="M253" i="49"/>
  <c r="G254" i="49"/>
  <c r="H254" i="49"/>
  <c r="L254" i="49"/>
  <c r="M254" i="49"/>
  <c r="G255" i="49"/>
  <c r="H255" i="49"/>
  <c r="L255" i="49"/>
  <c r="M255" i="49"/>
  <c r="G256" i="49"/>
  <c r="H256" i="49"/>
  <c r="L256" i="49"/>
  <c r="M256" i="49"/>
  <c r="G257" i="49"/>
  <c r="H257" i="49"/>
  <c r="L257" i="49"/>
  <c r="M257" i="49"/>
  <c r="G258" i="49"/>
  <c r="H258" i="49"/>
  <c r="L258" i="49"/>
  <c r="M258" i="49"/>
  <c r="G259" i="49"/>
  <c r="H259" i="49"/>
  <c r="L259" i="49"/>
  <c r="M259" i="49"/>
  <c r="G260" i="49"/>
  <c r="H260" i="49"/>
  <c r="L260" i="49"/>
  <c r="M260" i="49"/>
  <c r="G261" i="49"/>
  <c r="H261" i="49"/>
  <c r="L261" i="49"/>
  <c r="M261" i="49"/>
  <c r="G262" i="49"/>
  <c r="H262" i="49"/>
  <c r="L262" i="49"/>
  <c r="M262" i="49"/>
  <c r="G263" i="49"/>
  <c r="H263" i="49"/>
  <c r="L263" i="49"/>
  <c r="M263" i="49"/>
  <c r="G264" i="49"/>
  <c r="H264" i="49"/>
  <c r="L264" i="49"/>
  <c r="M264" i="49"/>
  <c r="G265" i="49"/>
  <c r="H265" i="49"/>
  <c r="L265" i="49"/>
  <c r="M265" i="49"/>
  <c r="G266" i="49"/>
  <c r="H266" i="49"/>
  <c r="L266" i="49"/>
  <c r="M266" i="49"/>
  <c r="G267" i="49"/>
  <c r="H267" i="49"/>
  <c r="L267" i="49"/>
  <c r="M267" i="49"/>
  <c r="G268" i="49"/>
  <c r="H268" i="49"/>
  <c r="L268" i="49"/>
  <c r="M268" i="49"/>
  <c r="G269" i="49"/>
  <c r="H269" i="49"/>
  <c r="L269" i="49"/>
  <c r="M269" i="49"/>
  <c r="G270" i="49"/>
  <c r="H270" i="49"/>
  <c r="L270" i="49"/>
  <c r="M270" i="49"/>
  <c r="G271" i="49"/>
  <c r="H271" i="49"/>
  <c r="L271" i="49"/>
  <c r="M271" i="49"/>
  <c r="G272" i="49"/>
  <c r="H272" i="49"/>
  <c r="L272" i="49"/>
  <c r="M272" i="49"/>
  <c r="G273" i="49"/>
  <c r="H273" i="49"/>
  <c r="L273" i="49"/>
  <c r="M273" i="49"/>
  <c r="G274" i="49"/>
  <c r="H274" i="49"/>
  <c r="L274" i="49"/>
  <c r="M274" i="49"/>
  <c r="G275" i="49"/>
  <c r="H275" i="49"/>
  <c r="L275" i="49"/>
  <c r="M275" i="49"/>
  <c r="G276" i="49"/>
  <c r="H276" i="49"/>
  <c r="L276" i="49"/>
  <c r="M276" i="49"/>
  <c r="G277" i="49"/>
  <c r="H277" i="49"/>
  <c r="L277" i="49"/>
  <c r="M277" i="49"/>
  <c r="G278" i="49"/>
  <c r="H278" i="49"/>
  <c r="L278" i="49"/>
  <c r="M278" i="49"/>
  <c r="G279" i="49"/>
  <c r="H279" i="49"/>
  <c r="L279" i="49"/>
  <c r="M279" i="49"/>
  <c r="G280" i="49"/>
  <c r="H280" i="49"/>
  <c r="L280" i="49"/>
  <c r="M280" i="49"/>
  <c r="G281" i="49"/>
  <c r="H281" i="49"/>
  <c r="L281" i="49"/>
  <c r="M281" i="49"/>
  <c r="G282" i="49"/>
  <c r="H282" i="49"/>
  <c r="L282" i="49"/>
  <c r="M282" i="49"/>
  <c r="G283" i="49"/>
  <c r="H283" i="49"/>
  <c r="L283" i="49"/>
  <c r="M283" i="49"/>
  <c r="G284" i="49"/>
  <c r="H284" i="49"/>
  <c r="L284" i="49"/>
  <c r="M284" i="49"/>
  <c r="G285" i="49"/>
  <c r="H285" i="49"/>
  <c r="L285" i="49"/>
  <c r="M285" i="49"/>
  <c r="G286" i="49"/>
  <c r="H286" i="49"/>
  <c r="L286" i="49"/>
  <c r="M286" i="49"/>
  <c r="G287" i="49"/>
  <c r="H287" i="49"/>
  <c r="L287" i="49"/>
  <c r="M287" i="49"/>
  <c r="G288" i="49"/>
  <c r="H288" i="49"/>
  <c r="L288" i="49"/>
  <c r="M288" i="49"/>
  <c r="G289" i="49"/>
  <c r="H289" i="49"/>
  <c r="L289" i="49"/>
  <c r="M289" i="49"/>
  <c r="G290" i="49"/>
  <c r="H290" i="49"/>
  <c r="L290" i="49"/>
  <c r="M290" i="49"/>
  <c r="G291" i="49"/>
  <c r="H291" i="49"/>
  <c r="L291" i="49"/>
  <c r="M291" i="49"/>
  <c r="G292" i="49"/>
  <c r="H292" i="49"/>
  <c r="L292" i="49"/>
  <c r="M292" i="49"/>
  <c r="G293" i="49"/>
  <c r="H293" i="49"/>
  <c r="L293" i="49"/>
  <c r="M293" i="49"/>
  <c r="G294" i="49"/>
  <c r="H294" i="49"/>
  <c r="L294" i="49"/>
  <c r="M294" i="49"/>
  <c r="G295" i="49"/>
  <c r="H295" i="49"/>
  <c r="L295" i="49"/>
  <c r="M295" i="49"/>
  <c r="G296" i="49"/>
  <c r="H296" i="49"/>
  <c r="L296" i="49"/>
  <c r="M296" i="49"/>
  <c r="G297" i="49"/>
  <c r="H297" i="49"/>
  <c r="L297" i="49"/>
  <c r="M297" i="49"/>
  <c r="G298" i="49"/>
  <c r="H298" i="49"/>
  <c r="L298" i="49"/>
  <c r="M298" i="49"/>
  <c r="G299" i="49"/>
  <c r="H299" i="49"/>
  <c r="L299" i="49"/>
  <c r="M299" i="49"/>
  <c r="G300" i="49"/>
  <c r="H300" i="49"/>
  <c r="L300" i="49"/>
  <c r="M300" i="49"/>
  <c r="G301" i="49"/>
  <c r="H301" i="49"/>
  <c r="L301" i="49"/>
  <c r="M301" i="49"/>
  <c r="G302" i="49"/>
  <c r="H302" i="49"/>
  <c r="L302" i="49"/>
  <c r="M302" i="49"/>
  <c r="G303" i="49"/>
  <c r="H303" i="49"/>
  <c r="L303" i="49"/>
  <c r="M303" i="49"/>
  <c r="G304" i="49"/>
  <c r="H304" i="49"/>
  <c r="L304" i="49"/>
  <c r="M304" i="49"/>
  <c r="G305" i="49"/>
  <c r="H305" i="49"/>
  <c r="L305" i="49"/>
  <c r="M305" i="49"/>
  <c r="G306" i="49"/>
  <c r="H306" i="49"/>
  <c r="L306" i="49"/>
  <c r="M306" i="49"/>
  <c r="G307" i="49"/>
  <c r="H307" i="49"/>
  <c r="L307" i="49"/>
  <c r="M307" i="49"/>
  <c r="G308" i="49"/>
  <c r="H308" i="49"/>
  <c r="L308" i="49"/>
  <c r="M308" i="49"/>
  <c r="G309" i="49"/>
  <c r="H309" i="49"/>
  <c r="L309" i="49"/>
  <c r="M309" i="49"/>
  <c r="G310" i="49"/>
  <c r="H310" i="49"/>
  <c r="L310" i="49"/>
  <c r="M310" i="49"/>
  <c r="G311" i="49"/>
  <c r="H311" i="49"/>
  <c r="L311" i="49"/>
  <c r="M311" i="49"/>
  <c r="G312" i="49"/>
  <c r="H312" i="49"/>
  <c r="L312" i="49"/>
  <c r="M312" i="49"/>
  <c r="G313" i="49"/>
  <c r="H313" i="49"/>
  <c r="L313" i="49"/>
  <c r="M313" i="49"/>
  <c r="G314" i="49"/>
  <c r="H314" i="49"/>
  <c r="L314" i="49"/>
  <c r="M314" i="49"/>
  <c r="G315" i="49"/>
  <c r="H315" i="49"/>
  <c r="L315" i="49"/>
  <c r="M315" i="49"/>
  <c r="G316" i="49"/>
  <c r="H316" i="49"/>
  <c r="L316" i="49"/>
  <c r="M316" i="49"/>
  <c r="G317" i="49"/>
  <c r="H317" i="49"/>
  <c r="L317" i="49"/>
  <c r="M317" i="49"/>
  <c r="G318" i="49"/>
  <c r="H318" i="49"/>
  <c r="L318" i="49"/>
  <c r="M318" i="49"/>
  <c r="G319" i="49"/>
  <c r="H319" i="49"/>
  <c r="L319" i="49"/>
  <c r="M319" i="49"/>
  <c r="G320" i="49"/>
  <c r="H320" i="49"/>
  <c r="L320" i="49"/>
  <c r="M320" i="49"/>
  <c r="G321" i="49"/>
  <c r="H321" i="49"/>
  <c r="L321" i="49"/>
  <c r="M321" i="49"/>
  <c r="G322" i="49"/>
  <c r="H322" i="49"/>
  <c r="L322" i="49"/>
  <c r="M322" i="49"/>
  <c r="G323" i="49"/>
  <c r="H323" i="49"/>
  <c r="L323" i="49"/>
  <c r="M323" i="49"/>
  <c r="G324" i="49"/>
  <c r="H324" i="49"/>
  <c r="L324" i="49"/>
  <c r="M324" i="49"/>
  <c r="G325" i="49"/>
  <c r="H325" i="49"/>
  <c r="L325" i="49"/>
  <c r="M325" i="49"/>
  <c r="G326" i="49"/>
  <c r="H326" i="49"/>
  <c r="L326" i="49"/>
  <c r="M326" i="49"/>
  <c r="G327" i="49"/>
  <c r="H327" i="49"/>
  <c r="L327" i="49"/>
  <c r="M327" i="49"/>
  <c r="G328" i="49"/>
  <c r="H328" i="49"/>
  <c r="L328" i="49"/>
  <c r="M328" i="49"/>
  <c r="G329" i="49"/>
  <c r="H329" i="49"/>
  <c r="L329" i="49"/>
  <c r="M329" i="49"/>
  <c r="G330" i="49"/>
  <c r="H330" i="49"/>
  <c r="L330" i="49"/>
  <c r="M330" i="49"/>
  <c r="G331" i="49"/>
  <c r="H331" i="49"/>
  <c r="L331" i="49"/>
  <c r="M331" i="49"/>
  <c r="G332" i="49"/>
  <c r="H332" i="49"/>
  <c r="L332" i="49"/>
  <c r="M332" i="49"/>
  <c r="G333" i="49"/>
  <c r="H333" i="49"/>
  <c r="L333" i="49"/>
  <c r="M333" i="49"/>
  <c r="G334" i="49"/>
  <c r="H334" i="49"/>
  <c r="L334" i="49"/>
  <c r="M334" i="49"/>
  <c r="G335" i="49"/>
  <c r="H335" i="49"/>
  <c r="L335" i="49"/>
  <c r="M335" i="49"/>
  <c r="G336" i="49"/>
  <c r="H336" i="49"/>
  <c r="L336" i="49"/>
  <c r="M336" i="49"/>
  <c r="G337" i="49"/>
  <c r="H337" i="49"/>
  <c r="L337" i="49"/>
  <c r="G338" i="49"/>
  <c r="H338" i="49"/>
  <c r="L338" i="49"/>
  <c r="M338" i="49"/>
  <c r="G339" i="49"/>
  <c r="H339" i="49"/>
  <c r="L339" i="49"/>
  <c r="M339" i="49"/>
  <c r="G340" i="49"/>
  <c r="H340" i="49"/>
  <c r="L340" i="49"/>
  <c r="M340" i="49"/>
  <c r="G341" i="49"/>
  <c r="H341" i="49"/>
  <c r="L341" i="49"/>
  <c r="M341" i="49"/>
  <c r="G342" i="49"/>
  <c r="H342" i="49"/>
  <c r="L342" i="49"/>
  <c r="M342" i="49"/>
  <c r="G343" i="49"/>
  <c r="H343" i="49"/>
  <c r="L343" i="49" l="1"/>
  <c r="M343" i="49"/>
  <c r="G344" i="49"/>
  <c r="H344" i="49"/>
  <c r="L344" i="49"/>
  <c r="M344" i="49"/>
  <c r="G345" i="49"/>
  <c r="H345" i="49"/>
  <c r="L345" i="49"/>
  <c r="M345" i="49"/>
  <c r="G346" i="49"/>
  <c r="H346" i="49"/>
  <c r="L346" i="49"/>
  <c r="M346" i="49"/>
  <c r="G347" i="49"/>
  <c r="H347" i="49"/>
  <c r="L347" i="49"/>
  <c r="M347" i="49"/>
  <c r="G348" i="49"/>
  <c r="H348" i="49"/>
  <c r="L348" i="49"/>
  <c r="M348" i="49"/>
  <c r="G349" i="49"/>
  <c r="H349" i="49"/>
  <c r="L349" i="49"/>
  <c r="M349" i="49"/>
  <c r="G350" i="49"/>
  <c r="H350" i="49"/>
  <c r="L350" i="49"/>
  <c r="M350" i="49"/>
  <c r="G351" i="49"/>
  <c r="H351" i="49"/>
  <c r="L351" i="49"/>
  <c r="M351" i="49"/>
  <c r="G352" i="49"/>
  <c r="H352" i="49"/>
  <c r="L352" i="49"/>
  <c r="M352" i="49"/>
  <c r="G353" i="49"/>
  <c r="H353" i="49"/>
  <c r="L353" i="49"/>
  <c r="M353" i="49"/>
  <c r="G354" i="49"/>
  <c r="H354" i="49"/>
  <c r="L354" i="49"/>
  <c r="M354" i="49"/>
  <c r="G355" i="49"/>
  <c r="H355" i="49"/>
  <c r="L355" i="49"/>
  <c r="M355" i="49"/>
  <c r="G356" i="49"/>
  <c r="H356" i="49"/>
  <c r="L356" i="49"/>
  <c r="M356" i="49"/>
  <c r="G357" i="49"/>
  <c r="H357" i="49"/>
  <c r="L357" i="49"/>
  <c r="M357" i="49"/>
  <c r="G358" i="49"/>
  <c r="H358" i="49"/>
  <c r="L358" i="49"/>
  <c r="M358" i="49"/>
  <c r="G359" i="49"/>
  <c r="H359" i="49"/>
  <c r="L359" i="49"/>
  <c r="M359" i="49"/>
  <c r="G360" i="49"/>
  <c r="H360" i="49"/>
  <c r="L360" i="49"/>
  <c r="M360" i="49"/>
  <c r="G361" i="49"/>
  <c r="H361" i="49"/>
  <c r="L361" i="49"/>
  <c r="M361" i="49"/>
  <c r="G362" i="49"/>
  <c r="H362" i="49"/>
  <c r="L362" i="49"/>
  <c r="M362" i="49"/>
  <c r="G363" i="49"/>
  <c r="H363" i="49"/>
  <c r="L363" i="49"/>
  <c r="M363" i="49"/>
  <c r="G364" i="49"/>
  <c r="H364" i="49"/>
  <c r="L364" i="49"/>
  <c r="M364" i="49"/>
  <c r="G365" i="49"/>
  <c r="H365" i="49"/>
  <c r="L365" i="49"/>
  <c r="M365" i="49"/>
  <c r="G366" i="49"/>
  <c r="H366" i="49"/>
  <c r="L366" i="49"/>
  <c r="M366" i="49"/>
  <c r="G367" i="49"/>
  <c r="H367" i="49"/>
  <c r="L367" i="49"/>
  <c r="M367" i="49"/>
  <c r="G368" i="49"/>
  <c r="H368" i="49"/>
  <c r="L368" i="49"/>
  <c r="M368" i="49"/>
  <c r="G369" i="49"/>
  <c r="H369" i="49"/>
  <c r="L369" i="49"/>
  <c r="M369" i="49"/>
  <c r="G370" i="49"/>
  <c r="H370" i="49"/>
  <c r="L370" i="49"/>
  <c r="M370" i="49"/>
  <c r="G371" i="49"/>
  <c r="H371" i="49"/>
  <c r="L371" i="49"/>
  <c r="M371" i="49"/>
  <c r="G372" i="49"/>
  <c r="H372" i="49"/>
  <c r="L372" i="49"/>
  <c r="M372" i="49"/>
  <c r="G373" i="49"/>
  <c r="H373" i="49"/>
  <c r="L373" i="49"/>
  <c r="G374" i="49"/>
  <c r="H374" i="49"/>
  <c r="L374" i="49"/>
  <c r="M374" i="49"/>
  <c r="G375" i="49"/>
  <c r="H375" i="49"/>
  <c r="L375" i="49"/>
  <c r="M375" i="49"/>
  <c r="G376" i="49"/>
  <c r="H376" i="49"/>
  <c r="L376" i="49"/>
  <c r="M376" i="49"/>
  <c r="G377" i="49"/>
  <c r="H377" i="49"/>
  <c r="L377" i="49"/>
  <c r="M377" i="49"/>
  <c r="G378" i="49"/>
  <c r="H378" i="49"/>
  <c r="L378" i="49"/>
  <c r="M378" i="49"/>
  <c r="G379" i="49"/>
  <c r="H379" i="49"/>
  <c r="L379" i="49" l="1"/>
  <c r="M379" i="49"/>
  <c r="G380" i="49"/>
  <c r="H380" i="49"/>
  <c r="L380" i="49"/>
  <c r="M380" i="49"/>
  <c r="G381" i="49"/>
  <c r="H381" i="49"/>
  <c r="L381" i="49"/>
  <c r="M381" i="49"/>
  <c r="G382" i="49"/>
  <c r="H382" i="49"/>
  <c r="L382" i="49"/>
  <c r="M382" i="49"/>
  <c r="G383" i="49"/>
  <c r="H383" i="49"/>
  <c r="L383" i="49"/>
  <c r="M383" i="49"/>
  <c r="G384" i="49"/>
  <c r="H384" i="49"/>
  <c r="L384" i="49"/>
  <c r="M384" i="49"/>
  <c r="G385" i="49"/>
  <c r="H385" i="49"/>
  <c r="L385" i="49"/>
  <c r="M385" i="49"/>
  <c r="G386" i="49"/>
  <c r="H386" i="49"/>
  <c r="L386" i="49"/>
  <c r="M386" i="49"/>
  <c r="G387" i="49"/>
  <c r="H387" i="49"/>
  <c r="L387" i="49"/>
  <c r="M387" i="49"/>
  <c r="G388" i="49"/>
  <c r="H388" i="49"/>
  <c r="L388" i="49"/>
  <c r="M388" i="49"/>
  <c r="G389" i="49"/>
  <c r="H389" i="49"/>
  <c r="L389" i="49"/>
  <c r="M389" i="49"/>
  <c r="G390" i="49"/>
  <c r="H390" i="49"/>
  <c r="L390" i="49"/>
  <c r="M390" i="49"/>
  <c r="G391" i="49"/>
  <c r="H391" i="49"/>
  <c r="L391" i="49"/>
  <c r="M391" i="49"/>
  <c r="G392" i="49" l="1"/>
  <c r="H392" i="49"/>
  <c r="G393" i="49"/>
  <c r="H393" i="49"/>
  <c r="G394" i="49"/>
  <c r="H394" i="49"/>
  <c r="G395" i="49"/>
  <c r="H395" i="49"/>
  <c r="G396" i="49"/>
  <c r="H396" i="49"/>
  <c r="G397" i="49"/>
  <c r="H397" i="49"/>
  <c r="H1" i="48"/>
  <c r="H5" i="48" s="1"/>
  <c r="V1" i="48"/>
  <c r="L3" i="48"/>
  <c r="M3" i="48"/>
  <c r="G4" i="48"/>
  <c r="L4" i="48"/>
  <c r="C5" i="48"/>
  <c r="G5" i="48"/>
  <c r="L5" i="48"/>
  <c r="C6" i="48"/>
  <c r="L6" i="48"/>
  <c r="C7" i="48"/>
  <c r="G7" i="48"/>
  <c r="L7" i="48"/>
  <c r="L8" i="48"/>
  <c r="L9" i="48"/>
  <c r="G10" i="48"/>
  <c r="H10" i="48"/>
  <c r="H7" i="48" l="1"/>
  <c r="H4" i="48"/>
  <c r="H3" i="48"/>
  <c r="H6" i="48"/>
  <c r="L10" i="48"/>
  <c r="G11" i="48"/>
  <c r="H11" i="48"/>
  <c r="L11" i="48" l="1"/>
  <c r="AG11" i="48"/>
  <c r="G12" i="48"/>
  <c r="H12" i="48"/>
  <c r="L12" i="48" l="1"/>
  <c r="AG12" i="48"/>
  <c r="G13" i="48"/>
  <c r="H13" i="48"/>
  <c r="L13" i="48" l="1"/>
  <c r="AG13" i="48"/>
  <c r="G14" i="48"/>
  <c r="H14" i="48"/>
  <c r="L14" i="48" l="1"/>
  <c r="AG14" i="48"/>
  <c r="G15" i="48"/>
  <c r="H15" i="48"/>
  <c r="L15" i="48" l="1"/>
  <c r="AG15" i="48"/>
  <c r="G16" i="48"/>
  <c r="H16" i="48"/>
  <c r="L16" i="48" l="1"/>
  <c r="AG16" i="48"/>
  <c r="G17" i="48"/>
  <c r="H17" i="48"/>
  <c r="L17" i="48" l="1"/>
  <c r="AG17" i="48"/>
  <c r="G18" i="48"/>
  <c r="H18" i="48"/>
  <c r="L18" i="48" l="1"/>
  <c r="AG18" i="48"/>
  <c r="G19" i="48"/>
  <c r="H19" i="48"/>
  <c r="L19" i="48" l="1"/>
  <c r="M19" i="48"/>
  <c r="AG19" i="48"/>
  <c r="G20" i="48"/>
  <c r="H20" i="48"/>
  <c r="L20" i="48" l="1"/>
  <c r="M20" i="48"/>
  <c r="AG20" i="48"/>
  <c r="L21" i="48"/>
  <c r="M21" i="48"/>
  <c r="AG21" i="48"/>
  <c r="L22" i="48"/>
  <c r="M22" i="48"/>
  <c r="AG22" i="48"/>
  <c r="G23" i="48"/>
  <c r="H23" i="48"/>
  <c r="L23" i="48"/>
  <c r="AG23" i="48"/>
  <c r="G24" i="48"/>
  <c r="H24" i="48"/>
  <c r="L24" i="48"/>
  <c r="G25" i="48"/>
  <c r="H25" i="48"/>
  <c r="L25" i="48"/>
  <c r="G26" i="48"/>
  <c r="H26" i="48"/>
  <c r="L26" i="48"/>
  <c r="G27" i="48"/>
  <c r="H27" i="48"/>
  <c r="L27" i="48" l="1"/>
  <c r="G28" i="48"/>
  <c r="H28" i="48"/>
  <c r="L28" i="48" l="1"/>
  <c r="G29" i="48"/>
  <c r="H29" i="48"/>
  <c r="L29" i="48" l="1"/>
  <c r="G30" i="48"/>
  <c r="H30" i="48"/>
  <c r="L30" i="48" l="1"/>
  <c r="G31" i="48"/>
  <c r="H31" i="48"/>
  <c r="L31" i="48" l="1"/>
  <c r="G32" i="48"/>
  <c r="H32" i="48"/>
  <c r="L32" i="48" l="1"/>
  <c r="M32" i="48"/>
  <c r="G33" i="48"/>
  <c r="H33" i="48"/>
  <c r="L33" i="48" l="1"/>
  <c r="G34" i="48"/>
  <c r="H34" i="48"/>
  <c r="L34" i="48" l="1"/>
  <c r="M34" i="48"/>
  <c r="G35" i="48"/>
  <c r="H35" i="48"/>
  <c r="L35" i="48" l="1"/>
  <c r="M35" i="48"/>
  <c r="G36" i="48"/>
  <c r="H36" i="48"/>
  <c r="L36" i="48"/>
  <c r="G37" i="48"/>
  <c r="H37" i="48"/>
  <c r="L37" i="48" l="1"/>
  <c r="M37" i="48"/>
  <c r="G38" i="48"/>
  <c r="H38" i="48"/>
  <c r="L38" i="48"/>
  <c r="M38" i="48"/>
  <c r="G39" i="48"/>
  <c r="H39" i="48"/>
  <c r="L39" i="48"/>
  <c r="M39" i="48"/>
  <c r="G40" i="48"/>
  <c r="H40" i="48"/>
  <c r="L40" i="48" l="1"/>
  <c r="M40" i="48"/>
  <c r="G41" i="48"/>
  <c r="H41" i="48"/>
  <c r="L41" i="48"/>
  <c r="G42" i="48"/>
  <c r="H42" i="48"/>
  <c r="L42" i="48"/>
  <c r="M42" i="48"/>
  <c r="G43" i="48"/>
  <c r="H43" i="48"/>
  <c r="L43" i="48"/>
  <c r="M43" i="48"/>
  <c r="G44" i="48"/>
  <c r="H44" i="48"/>
  <c r="L44" i="48"/>
  <c r="M44" i="48"/>
  <c r="G45" i="48"/>
  <c r="H45" i="48"/>
  <c r="L45" i="48" l="1"/>
  <c r="M45" i="48"/>
  <c r="G46" i="48"/>
  <c r="H46" i="48"/>
  <c r="L46" i="48"/>
  <c r="G47" i="48"/>
  <c r="H47" i="48"/>
  <c r="L47" i="48"/>
  <c r="M47" i="48"/>
  <c r="G48" i="48"/>
  <c r="H48" i="48"/>
  <c r="L48" i="48"/>
  <c r="M48" i="48"/>
  <c r="G49" i="48"/>
  <c r="H49" i="48"/>
  <c r="L49" i="48"/>
  <c r="M49" i="48"/>
  <c r="G50" i="48"/>
  <c r="H50" i="48"/>
  <c r="L50" i="48" l="1"/>
  <c r="M50" i="48"/>
  <c r="G51" i="48"/>
  <c r="H51" i="48"/>
  <c r="L51" i="48"/>
  <c r="G52" i="48"/>
  <c r="H52" i="48"/>
  <c r="L52" i="48"/>
  <c r="M52" i="48"/>
  <c r="G53" i="48"/>
  <c r="H53" i="48"/>
  <c r="L53" i="48"/>
  <c r="G54" i="48"/>
  <c r="H54" i="48"/>
  <c r="L54" i="48"/>
  <c r="G55" i="48"/>
  <c r="H55" i="48"/>
  <c r="L55" i="48" l="1"/>
  <c r="G56" i="48"/>
  <c r="H56" i="48"/>
  <c r="L56" i="48"/>
  <c r="M56" i="48"/>
  <c r="G57" i="48"/>
  <c r="H57" i="48"/>
  <c r="L57" i="48" l="1"/>
  <c r="M57" i="48"/>
  <c r="G58" i="48"/>
  <c r="H58" i="48"/>
  <c r="L58" i="48" l="1"/>
  <c r="M58" i="48"/>
  <c r="G59" i="48"/>
  <c r="H59" i="48"/>
  <c r="L59" i="48" l="1"/>
  <c r="M59" i="48"/>
  <c r="L60" i="48"/>
  <c r="M60" i="48"/>
  <c r="L61" i="48"/>
  <c r="M61" i="48"/>
  <c r="G62" i="48"/>
  <c r="H62" i="48"/>
  <c r="L62" i="48"/>
  <c r="M62" i="48"/>
  <c r="G63" i="48"/>
  <c r="H63" i="48"/>
  <c r="L63" i="48"/>
  <c r="M63" i="48"/>
  <c r="G64" i="48"/>
  <c r="H64" i="48"/>
  <c r="L64" i="48"/>
  <c r="M64" i="48"/>
  <c r="G65" i="48"/>
  <c r="H65" i="48"/>
  <c r="L65" i="48"/>
  <c r="M65" i="48"/>
  <c r="G66" i="48"/>
  <c r="H66" i="48"/>
  <c r="L66" i="48"/>
  <c r="M66" i="48"/>
  <c r="G67" i="48"/>
  <c r="H67" i="48"/>
  <c r="L67" i="48"/>
  <c r="M67" i="48"/>
  <c r="G68" i="48"/>
  <c r="H68" i="48"/>
  <c r="L68" i="48"/>
  <c r="M68" i="48"/>
  <c r="G69" i="48"/>
  <c r="H69" i="48"/>
  <c r="L69" i="48"/>
  <c r="M69" i="48"/>
  <c r="G70" i="48"/>
  <c r="H70" i="48"/>
  <c r="L70" i="48"/>
  <c r="M70" i="48"/>
  <c r="G71" i="48"/>
  <c r="H71" i="48"/>
  <c r="L71" i="48"/>
  <c r="M71" i="48"/>
  <c r="G72" i="48"/>
  <c r="H72" i="48"/>
  <c r="L72" i="48"/>
  <c r="M72" i="48"/>
  <c r="G73" i="48"/>
  <c r="H73" i="48"/>
  <c r="L73" i="48"/>
  <c r="M73" i="48"/>
  <c r="G74" i="48"/>
  <c r="H74" i="48"/>
  <c r="L74" i="48"/>
  <c r="M74" i="48"/>
  <c r="G75" i="48"/>
  <c r="H75" i="48"/>
  <c r="L75" i="48"/>
  <c r="M75" i="48"/>
  <c r="G76" i="48"/>
  <c r="H76" i="48"/>
  <c r="L76" i="48"/>
  <c r="M76" i="48"/>
  <c r="G77" i="48"/>
  <c r="H77" i="48"/>
  <c r="L77" i="48"/>
  <c r="M77" i="48"/>
  <c r="G78" i="48"/>
  <c r="H78" i="48"/>
  <c r="L78" i="48"/>
  <c r="M78" i="48"/>
  <c r="G79" i="48"/>
  <c r="H79" i="48"/>
  <c r="L79" i="48"/>
  <c r="M79" i="48"/>
  <c r="G80" i="48"/>
  <c r="H80" i="48"/>
  <c r="L80" i="48"/>
  <c r="M80" i="48"/>
  <c r="G81" i="48"/>
  <c r="H81" i="48"/>
  <c r="L81" i="48"/>
  <c r="M81" i="48"/>
  <c r="G82" i="48"/>
  <c r="H82" i="48"/>
  <c r="L82" i="48"/>
  <c r="M82" i="48"/>
  <c r="G83" i="48"/>
  <c r="H83" i="48"/>
  <c r="L83" i="48"/>
  <c r="M83" i="48"/>
  <c r="G84" i="48"/>
  <c r="H84" i="48"/>
  <c r="L84" i="48"/>
  <c r="M84" i="48"/>
  <c r="G85" i="48"/>
  <c r="H85" i="48"/>
  <c r="L85" i="48"/>
  <c r="M85" i="48"/>
  <c r="G86" i="48"/>
  <c r="H86" i="48"/>
  <c r="L86" i="48"/>
  <c r="M86" i="48"/>
  <c r="G87" i="48"/>
  <c r="H87" i="48"/>
  <c r="L87" i="48"/>
  <c r="M87" i="48"/>
  <c r="G88" i="48"/>
  <c r="H88" i="48"/>
  <c r="L88" i="48"/>
  <c r="M88" i="48"/>
  <c r="G89" i="48"/>
  <c r="H89" i="48"/>
  <c r="L89" i="48"/>
  <c r="M89" i="48"/>
  <c r="G90" i="48"/>
  <c r="H90" i="48"/>
  <c r="L90" i="48"/>
  <c r="M90" i="48"/>
  <c r="G91" i="48"/>
  <c r="H91" i="48"/>
  <c r="L91" i="48"/>
  <c r="M91" i="48"/>
  <c r="G92" i="48"/>
  <c r="H92" i="48"/>
  <c r="L92" i="48"/>
  <c r="M92" i="48"/>
  <c r="G93" i="48" l="1"/>
  <c r="H93" i="48"/>
  <c r="G94" i="48"/>
  <c r="H94" i="48"/>
  <c r="G95" i="48"/>
  <c r="H95" i="48"/>
  <c r="G96" i="48"/>
  <c r="H96" i="48"/>
  <c r="G97" i="48"/>
  <c r="H97" i="48"/>
  <c r="G98" i="48"/>
  <c r="H98" i="48"/>
  <c r="H1" i="47"/>
  <c r="H3" i="47" s="1"/>
  <c r="V1" i="47"/>
  <c r="L3" i="47"/>
  <c r="M3" i="47"/>
  <c r="G4" i="47"/>
  <c r="L4" i="47"/>
  <c r="M4" i="47"/>
  <c r="C5" i="47"/>
  <c r="G5" i="47"/>
  <c r="L5" i="47"/>
  <c r="M5" i="47"/>
  <c r="C6" i="47"/>
  <c r="L6" i="47"/>
  <c r="M6" i="47"/>
  <c r="C7" i="47"/>
  <c r="G7" i="47"/>
  <c r="L7" i="47"/>
  <c r="M7" i="47"/>
  <c r="C8" i="47"/>
  <c r="G8" i="47"/>
  <c r="L8" i="47"/>
  <c r="M8" i="47"/>
  <c r="C9" i="47"/>
  <c r="G9" i="47"/>
  <c r="L9" i="47"/>
  <c r="C10" i="47"/>
  <c r="L10" i="47"/>
  <c r="M10" i="47"/>
  <c r="C11" i="47"/>
  <c r="L11" i="47"/>
  <c r="M11" i="47"/>
  <c r="C12" i="47"/>
  <c r="G12" i="47"/>
  <c r="L12" i="47"/>
  <c r="C13" i="47"/>
  <c r="L13" i="47"/>
  <c r="M13" i="47"/>
  <c r="C14" i="47"/>
  <c r="L14" i="47"/>
  <c r="M14" i="47"/>
  <c r="C15" i="47"/>
  <c r="G15" i="47"/>
  <c r="L15" i="47"/>
  <c r="C16" i="47"/>
  <c r="L16" i="47"/>
  <c r="M16" i="47"/>
  <c r="C17" i="47"/>
  <c r="L17" i="47"/>
  <c r="M17" i="47"/>
  <c r="C18" i="47"/>
  <c r="G18" i="47"/>
  <c r="L18" i="47"/>
  <c r="L19" i="47"/>
  <c r="L20" i="47"/>
  <c r="C21" i="47"/>
  <c r="H21" i="47" s="1"/>
  <c r="G21" i="47"/>
  <c r="H14" i="47" l="1"/>
  <c r="H16" i="47"/>
  <c r="H18" i="47"/>
  <c r="H12" i="47"/>
  <c r="H10" i="47"/>
  <c r="H8" i="47"/>
  <c r="H6" i="47"/>
  <c r="H15" i="47"/>
  <c r="H9" i="47"/>
  <c r="H4" i="47"/>
  <c r="H17" i="47"/>
  <c r="H13" i="47"/>
  <c r="H11" i="47"/>
  <c r="H7" i="47"/>
  <c r="H5" i="47"/>
  <c r="L21" i="47"/>
  <c r="C22" i="47"/>
  <c r="H22" i="47" s="1"/>
  <c r="G22" i="47"/>
  <c r="L22" i="47" l="1"/>
  <c r="C23" i="47"/>
  <c r="H23" i="47" s="1"/>
  <c r="G23" i="47"/>
  <c r="L23" i="47" l="1"/>
  <c r="C24" i="47"/>
  <c r="H24" i="47" s="1"/>
  <c r="G24" i="47"/>
  <c r="L24" i="47" l="1"/>
  <c r="C25" i="47"/>
  <c r="H25" i="47" s="1"/>
  <c r="G25" i="47"/>
  <c r="L25" i="47" l="1"/>
  <c r="C26" i="47"/>
  <c r="H26" i="47" s="1"/>
  <c r="G26" i="47"/>
  <c r="L26" i="47" l="1"/>
  <c r="C27" i="47"/>
  <c r="H27" i="47" s="1"/>
  <c r="G27" i="47"/>
  <c r="L27" i="47" l="1"/>
  <c r="C28" i="47"/>
  <c r="H28" i="47" s="1"/>
  <c r="G28" i="47"/>
  <c r="L28" i="47" l="1"/>
  <c r="C29" i="47"/>
  <c r="H29" i="47" s="1"/>
  <c r="G29" i="47"/>
  <c r="L29" i="47" l="1"/>
  <c r="C30" i="47"/>
  <c r="H30" i="47" s="1"/>
  <c r="G30" i="47"/>
  <c r="L30" i="47" l="1"/>
  <c r="C31" i="47"/>
  <c r="H31" i="47" s="1"/>
  <c r="G31" i="47"/>
  <c r="L31" i="47" l="1"/>
  <c r="M31" i="47"/>
  <c r="C32" i="47"/>
  <c r="H32" i="47" s="1"/>
  <c r="G32" i="47"/>
  <c r="L32" i="47" l="1"/>
  <c r="M32" i="47"/>
  <c r="C33" i="47"/>
  <c r="H33" i="47" s="1"/>
  <c r="G33" i="47"/>
  <c r="L33" i="47"/>
  <c r="M33" i="47"/>
  <c r="C34" i="47"/>
  <c r="H34" i="47" s="1"/>
  <c r="G34" i="47"/>
  <c r="L34" i="47"/>
  <c r="M34" i="47"/>
  <c r="C35" i="47"/>
  <c r="H35" i="47" s="1"/>
  <c r="G35" i="47"/>
  <c r="L35" i="47"/>
  <c r="M35" i="47"/>
  <c r="C36" i="47"/>
  <c r="H36" i="47" s="1"/>
  <c r="G36" i="47"/>
  <c r="L36" i="47"/>
  <c r="M36" i="47"/>
  <c r="C37" i="47"/>
  <c r="H37" i="47" s="1"/>
  <c r="G37" i="47"/>
  <c r="L37" i="47"/>
  <c r="M37" i="47"/>
  <c r="C38" i="47"/>
  <c r="H38" i="47" s="1"/>
  <c r="G38" i="47"/>
  <c r="L38" i="47"/>
  <c r="M38" i="47"/>
  <c r="C39" i="47"/>
  <c r="H39" i="47" s="1"/>
  <c r="G39" i="47"/>
  <c r="L39" i="47"/>
  <c r="M39" i="47"/>
  <c r="C40" i="47"/>
  <c r="H40" i="47" s="1"/>
  <c r="G40" i="47"/>
  <c r="L40" i="47"/>
  <c r="M40" i="47"/>
  <c r="C41" i="47"/>
  <c r="H41" i="47" s="1"/>
  <c r="G41" i="47"/>
  <c r="L41" i="47"/>
  <c r="M41" i="47"/>
  <c r="C42" i="47"/>
  <c r="H42" i="47" s="1"/>
  <c r="G42" i="47"/>
  <c r="L42" i="47"/>
  <c r="M42" i="47"/>
  <c r="C43" i="47"/>
  <c r="H43" i="47" s="1"/>
  <c r="G43" i="47"/>
  <c r="L43" i="47"/>
  <c r="M43" i="47"/>
  <c r="C44" i="47"/>
  <c r="H44" i="47" s="1"/>
  <c r="G44" i="47"/>
  <c r="L44" i="47"/>
  <c r="M44" i="47"/>
  <c r="L45" i="47"/>
  <c r="M45" i="47"/>
  <c r="L46" i="47"/>
  <c r="M46" i="47"/>
  <c r="G47" i="47"/>
  <c r="H47" i="47"/>
  <c r="L47" i="47"/>
  <c r="M47" i="47"/>
  <c r="G48" i="47"/>
  <c r="H48" i="47"/>
  <c r="L48" i="47"/>
  <c r="G49" i="47"/>
  <c r="H49" i="47"/>
  <c r="L49" i="47"/>
  <c r="G50" i="47"/>
  <c r="H50" i="47"/>
  <c r="L50" i="47"/>
  <c r="G51" i="47"/>
  <c r="H51" i="47"/>
  <c r="L51" i="47"/>
  <c r="G52" i="47"/>
  <c r="H52" i="47"/>
  <c r="L52" i="47" l="1"/>
  <c r="G53" i="47"/>
  <c r="H53" i="47"/>
  <c r="L53" i="47" l="1"/>
  <c r="G54" i="47"/>
  <c r="H54" i="47"/>
  <c r="L54" i="47" l="1"/>
  <c r="G55" i="47"/>
  <c r="H55" i="47"/>
  <c r="L55" i="47" l="1"/>
  <c r="G56" i="47"/>
  <c r="H56" i="47"/>
  <c r="L56" i="47" l="1"/>
  <c r="M56" i="47"/>
  <c r="G57" i="47"/>
  <c r="H57" i="47"/>
  <c r="L57" i="47" l="1"/>
  <c r="G58" i="47"/>
  <c r="H58" i="47"/>
  <c r="L58" i="47" l="1"/>
  <c r="M58" i="47"/>
  <c r="G59" i="47"/>
  <c r="H59" i="47"/>
  <c r="L59" i="47" l="1"/>
  <c r="M59" i="47"/>
  <c r="G60" i="47"/>
  <c r="H60" i="47"/>
  <c r="L60" i="47"/>
  <c r="G61" i="47"/>
  <c r="H61" i="47"/>
  <c r="L61" i="47" l="1"/>
  <c r="M61" i="47"/>
  <c r="G62" i="47"/>
  <c r="H62" i="47"/>
  <c r="L62" i="47"/>
  <c r="M62" i="47"/>
  <c r="G63" i="47"/>
  <c r="H63" i="47"/>
  <c r="L63" i="47"/>
  <c r="M63" i="47"/>
  <c r="G64" i="47"/>
  <c r="H64" i="47"/>
  <c r="L64" i="47" l="1"/>
  <c r="M64" i="47"/>
  <c r="G65" i="47"/>
  <c r="H65" i="47"/>
  <c r="L65" i="47"/>
  <c r="G66" i="47"/>
  <c r="H66" i="47"/>
  <c r="L66" i="47"/>
  <c r="M66" i="47"/>
  <c r="G67" i="47"/>
  <c r="H67" i="47"/>
  <c r="L67" i="47"/>
  <c r="M67" i="47"/>
  <c r="G68" i="47"/>
  <c r="H68" i="47"/>
  <c r="L68" i="47"/>
  <c r="M68" i="47"/>
  <c r="G69" i="47"/>
  <c r="H69" i="47"/>
  <c r="L69" i="47" l="1"/>
  <c r="M69" i="47"/>
  <c r="G70" i="47"/>
  <c r="H70" i="47"/>
  <c r="L70" i="47"/>
  <c r="G71" i="47"/>
  <c r="H71" i="47"/>
  <c r="L71" i="47"/>
  <c r="M71" i="47"/>
  <c r="G72" i="47"/>
  <c r="H72" i="47"/>
  <c r="L72" i="47"/>
  <c r="M72" i="47"/>
  <c r="G73" i="47"/>
  <c r="H73" i="47"/>
  <c r="L73" i="47"/>
  <c r="M73" i="47"/>
  <c r="G74" i="47"/>
  <c r="H74" i="47"/>
  <c r="L74" i="47" l="1"/>
  <c r="M74" i="47"/>
  <c r="G75" i="47"/>
  <c r="H75" i="47"/>
  <c r="L75" i="47"/>
  <c r="G76" i="47"/>
  <c r="H76" i="47"/>
  <c r="L76" i="47"/>
  <c r="M76" i="47"/>
  <c r="G77" i="47"/>
  <c r="H77" i="47"/>
  <c r="L77" i="47"/>
  <c r="G78" i="47"/>
  <c r="H78" i="47"/>
  <c r="L78" i="47"/>
  <c r="G79" i="47"/>
  <c r="H79" i="47"/>
  <c r="L79" i="47" l="1"/>
  <c r="G80" i="47"/>
  <c r="H80" i="47"/>
  <c r="G81" i="47"/>
  <c r="H81" i="47"/>
  <c r="G82" i="47" l="1"/>
  <c r="H82" i="47"/>
  <c r="G83" i="47" l="1"/>
  <c r="H83" i="47"/>
  <c r="D6" i="46" l="1"/>
  <c r="I8" i="46"/>
  <c r="B21" i="46" l="1"/>
  <c r="L3" i="45" l="1"/>
  <c r="B4" i="45"/>
  <c r="C4" i="45" s="1"/>
  <c r="L4" i="45"/>
  <c r="B5" i="45"/>
  <c r="C5" i="45" s="1"/>
  <c r="B6" i="45"/>
  <c r="C6" i="45" s="1"/>
  <c r="B7" i="45"/>
  <c r="C7" i="45" s="1"/>
  <c r="D10" i="45"/>
  <c r="C3" i="45" l="1"/>
  <c r="D3" i="45"/>
  <c r="J13" i="45" l="1"/>
  <c r="P3" i="44"/>
  <c r="E3" i="45"/>
  <c r="P4" i="44" l="1"/>
  <c r="D10" i="44" l="1"/>
  <c r="C3" i="44" l="1"/>
  <c r="D3" i="44"/>
  <c r="E3" i="44"/>
  <c r="N13" i="44" l="1"/>
  <c r="P3" i="43"/>
  <c r="B4" i="43"/>
  <c r="C4" i="43" s="1"/>
  <c r="P4" i="43"/>
  <c r="B5" i="43"/>
  <c r="C5" i="43" s="1"/>
  <c r="B6" i="43"/>
  <c r="C6" i="43" s="1"/>
  <c r="B7" i="43"/>
  <c r="C7" i="43" s="1"/>
  <c r="D10" i="43"/>
  <c r="C3" i="43" l="1"/>
  <c r="D3" i="43"/>
  <c r="N13" i="43" l="1"/>
  <c r="P3" i="42"/>
  <c r="B4" i="42"/>
  <c r="C4" i="42" s="1"/>
  <c r="P4" i="42"/>
  <c r="B5" i="42"/>
  <c r="C5" i="42" s="1"/>
  <c r="B6" i="42"/>
  <c r="C6" i="42" s="1"/>
  <c r="B7" i="42"/>
  <c r="C7" i="42" s="1"/>
  <c r="D10" i="42"/>
  <c r="E3" i="43"/>
  <c r="C3" i="42" l="1"/>
  <c r="D3" i="42"/>
  <c r="N13" i="42" l="1"/>
  <c r="E3" i="42"/>
  <c r="L3" i="41" l="1" a="1"/>
  <c r="L3" i="41" s="1"/>
  <c r="A4" i="41"/>
  <c r="C3" i="41" l="1"/>
  <c r="C4" i="41"/>
  <c r="L4" i="41"/>
  <c r="C5" i="41"/>
  <c r="L5" i="41"/>
  <c r="C6" i="41"/>
  <c r="L6" i="41"/>
  <c r="C7" i="41"/>
  <c r="L7" i="41"/>
  <c r="L8" i="41"/>
  <c r="A9" i="41"/>
  <c r="C8" i="41" l="1"/>
  <c r="C9" i="41"/>
  <c r="L9" i="41"/>
  <c r="C10" i="41"/>
  <c r="L10" i="41"/>
  <c r="C11" i="41"/>
  <c r="L11" i="41"/>
  <c r="C12" i="41"/>
  <c r="L12" i="41"/>
  <c r="C13" i="41"/>
  <c r="L13" i="41"/>
  <c r="C14" i="41"/>
  <c r="L14" i="41"/>
  <c r="L15" i="41"/>
  <c r="A16" i="41"/>
  <c r="C15" i="41" l="1"/>
  <c r="C16" i="41"/>
  <c r="L16" i="41"/>
  <c r="C17" i="41"/>
  <c r="L17" i="41"/>
  <c r="C18" i="41"/>
  <c r="L18" i="41"/>
  <c r="C19" i="41"/>
  <c r="L19" i="41"/>
  <c r="C20" i="41"/>
  <c r="L20" i="41"/>
  <c r="C21" i="41"/>
  <c r="L21" i="41"/>
  <c r="C22" i="41"/>
  <c r="L22" i="41"/>
  <c r="C23" i="41"/>
  <c r="L23" i="41"/>
  <c r="C24" i="41"/>
  <c r="L24" i="41"/>
  <c r="L25" i="41"/>
  <c r="A26" i="41"/>
  <c r="C25" i="41" l="1"/>
  <c r="C26" i="41"/>
  <c r="L26" i="41"/>
  <c r="C27" i="41"/>
  <c r="L27" i="41"/>
  <c r="C28" i="41"/>
  <c r="L28" i="41"/>
  <c r="C29" i="41"/>
  <c r="L29" i="41"/>
  <c r="C30" i="41"/>
  <c r="L30" i="41"/>
  <c r="C31" i="41"/>
  <c r="L31" i="41"/>
  <c r="C32" i="41"/>
  <c r="L32" i="41"/>
  <c r="C33" i="41"/>
  <c r="L33" i="41"/>
  <c r="C34" i="41"/>
  <c r="L34" i="41"/>
  <c r="C35" i="41"/>
  <c r="L35" i="41"/>
  <c r="C36" i="41"/>
  <c r="L36" i="41"/>
  <c r="C37" i="41"/>
  <c r="L37" i="41"/>
  <c r="C38" i="41"/>
  <c r="L38" i="41"/>
  <c r="C39" i="41"/>
  <c r="L39" i="41"/>
  <c r="C40" i="41"/>
  <c r="L40" i="41"/>
  <c r="K3" i="40"/>
  <c r="R3" i="40"/>
  <c r="K4" i="40"/>
  <c r="K5" i="40"/>
  <c r="K6" i="40"/>
  <c r="K7" i="40"/>
  <c r="K8" i="40"/>
  <c r="K9" i="40"/>
  <c r="P11" i="40"/>
  <c r="P24" i="40"/>
  <c r="P25" i="40"/>
  <c r="T25" i="40"/>
  <c r="O26" i="40"/>
  <c r="P26" i="40" s="1"/>
  <c r="O27" i="40" l="1"/>
  <c r="P27" i="40" s="1"/>
  <c r="O28" i="40"/>
  <c r="P28" i="40" s="1"/>
  <c r="O29" i="40"/>
  <c r="P29" i="40" s="1"/>
  <c r="D2" i="39"/>
  <c r="H2" i="39"/>
  <c r="D3" i="39"/>
  <c r="C4" i="39"/>
  <c r="D4" i="39" s="1"/>
  <c r="C5" i="39"/>
  <c r="D5" i="39" s="1"/>
  <c r="C6" i="39"/>
  <c r="D6" i="39" s="1"/>
  <c r="C7" i="39"/>
  <c r="D7" i="39" s="1"/>
  <c r="C8" i="39"/>
  <c r="D8" i="39" s="1"/>
  <c r="C9" i="39"/>
  <c r="D9" i="39" s="1"/>
  <c r="C10" i="39"/>
  <c r="D10" i="39" s="1"/>
  <c r="C11" i="39"/>
  <c r="D11" i="39" s="1"/>
  <c r="C12" i="39"/>
  <c r="D12" i="39" s="1"/>
  <c r="C13" i="39"/>
  <c r="D13" i="39" s="1"/>
  <c r="C14" i="39"/>
  <c r="D14" i="39" s="1"/>
  <c r="C15" i="39"/>
  <c r="D15" i="39" s="1"/>
  <c r="D2" i="38"/>
  <c r="H2" i="38"/>
  <c r="C3" i="38"/>
  <c r="D3" i="38"/>
  <c r="H3" i="39"/>
  <c r="H3" i="38"/>
  <c r="C4" i="38" l="1"/>
  <c r="D4" i="38" s="1"/>
  <c r="C5" i="38"/>
  <c r="D5" i="38" s="1"/>
  <c r="A6" i="38"/>
  <c r="C6" i="38" s="1"/>
  <c r="D6" i="38" l="1"/>
  <c r="A7" i="38" l="1"/>
  <c r="C7" i="38" s="1"/>
  <c r="D7" i="38" l="1"/>
  <c r="A8" i="38" l="1"/>
  <c r="C8" i="38" s="1"/>
  <c r="D8" i="38" l="1"/>
  <c r="A9" i="38" l="1"/>
  <c r="D2" i="37"/>
  <c r="H2" i="37"/>
  <c r="D3" i="37"/>
  <c r="C4" i="37"/>
  <c r="D4" i="37" s="1"/>
  <c r="C5" i="37"/>
  <c r="D5" i="37" s="1"/>
  <c r="A6" i="37"/>
  <c r="C6" i="37" s="1"/>
  <c r="D14" i="36"/>
  <c r="E2" i="35"/>
  <c r="H3" i="37"/>
  <c r="K3" i="35"/>
  <c r="C9" i="38" l="1"/>
  <c r="D9" i="38" s="1"/>
  <c r="A10" i="38"/>
  <c r="A11" i="38" s="1"/>
  <c r="D6" i="37"/>
  <c r="A7" i="37"/>
  <c r="K4" i="35"/>
  <c r="C10" i="38" l="1"/>
  <c r="D10" i="38" s="1"/>
  <c r="C7" i="37"/>
  <c r="D7" i="37" s="1"/>
  <c r="A8" i="37"/>
  <c r="A12" i="38"/>
  <c r="C11" i="38"/>
  <c r="D11" i="38" s="1"/>
  <c r="K5" i="35"/>
  <c r="A9" i="37" l="1"/>
  <c r="C8" i="37"/>
  <c r="D8" i="37" s="1"/>
  <c r="C12" i="38"/>
  <c r="D12" i="38" s="1"/>
  <c r="A13" i="38"/>
  <c r="K6" i="35"/>
  <c r="A14" i="38" l="1"/>
  <c r="C13" i="38"/>
  <c r="D13" i="38" s="1"/>
  <c r="C9" i="37"/>
  <c r="D9" i="37" s="1"/>
  <c r="A10" i="37"/>
  <c r="K7" i="35"/>
  <c r="C14" i="38" l="1"/>
  <c r="D14" i="38" s="1"/>
  <c r="A15" i="38"/>
  <c r="C10" i="37"/>
  <c r="D10" i="37" s="1"/>
  <c r="A11" i="37"/>
  <c r="K8" i="35"/>
  <c r="A12" i="37" l="1"/>
  <c r="C11" i="37"/>
  <c r="D11" i="37" s="1"/>
  <c r="A16" i="38"/>
  <c r="C15" i="38"/>
  <c r="D15" i="38" s="1"/>
  <c r="K9" i="35"/>
  <c r="C16" i="38" l="1"/>
  <c r="D16" i="38" s="1"/>
  <c r="A17" i="38"/>
  <c r="C12" i="37"/>
  <c r="D12" i="37" s="1"/>
  <c r="A13" i="37"/>
  <c r="K10" i="35"/>
  <c r="A14" i="37" l="1"/>
  <c r="C13" i="37"/>
  <c r="D13" i="37" s="1"/>
  <c r="A18" i="38"/>
  <c r="C17" i="38"/>
  <c r="D17" i="38" s="1"/>
  <c r="K11" i="35"/>
  <c r="C18" i="38" l="1"/>
  <c r="D18" i="38" s="1"/>
  <c r="A19" i="38"/>
  <c r="C14" i="37"/>
  <c r="D14" i="37" s="1"/>
  <c r="A15" i="37"/>
  <c r="C18" i="35"/>
  <c r="E18" i="35" s="1"/>
  <c r="C19" i="35"/>
  <c r="E19" i="35" s="1"/>
  <c r="C20" i="35"/>
  <c r="C21" i="35"/>
  <c r="E21" i="35" s="1"/>
  <c r="C22" i="35"/>
  <c r="E22" i="35" s="1"/>
  <c r="C23" i="35"/>
  <c r="E23" i="35" s="1"/>
  <c r="C24" i="35"/>
  <c r="C25" i="35"/>
  <c r="E25" i="35" s="1"/>
  <c r="C26" i="35"/>
  <c r="E26" i="35" s="1"/>
  <c r="C27" i="35"/>
  <c r="E27" i="35" s="1"/>
  <c r="C28" i="35"/>
  <c r="E28" i="35" s="1"/>
  <c r="C29" i="35"/>
  <c r="E29" i="35" s="1"/>
  <c r="C30" i="35"/>
  <c r="E30" i="35" s="1"/>
  <c r="C31" i="35"/>
  <c r="E31" i="35" s="1"/>
  <c r="C32" i="35"/>
  <c r="E32" i="35" s="1"/>
  <c r="C33" i="35"/>
  <c r="E33" i="35" s="1"/>
  <c r="C34" i="35"/>
  <c r="E34" i="35" s="1"/>
  <c r="C35" i="35"/>
  <c r="E35" i="35" s="1"/>
  <c r="C36" i="35"/>
  <c r="E36" i="35" s="1"/>
  <c r="K21" i="35"/>
  <c r="K23" i="35"/>
  <c r="K20" i="35"/>
  <c r="K22" i="35"/>
  <c r="K30" i="35"/>
  <c r="K13" i="35"/>
  <c r="K25" i="35"/>
  <c r="K32" i="35"/>
  <c r="K24" i="35"/>
  <c r="K17" i="35"/>
  <c r="K18" i="35"/>
  <c r="K34" i="35"/>
  <c r="K33" i="35"/>
  <c r="K19" i="35"/>
  <c r="K15" i="35"/>
  <c r="K31" i="35"/>
  <c r="K36" i="35"/>
  <c r="K27" i="35"/>
  <c r="K29" i="35"/>
  <c r="K28" i="35"/>
  <c r="K12" i="35"/>
  <c r="K26" i="35"/>
  <c r="K35" i="35"/>
  <c r="K14" i="35"/>
  <c r="K16" i="35"/>
  <c r="E20" i="35" l="1"/>
  <c r="E24" i="35"/>
  <c r="C15" i="37"/>
  <c r="D15" i="37" s="1"/>
  <c r="A20" i="38"/>
  <c r="C19" i="38"/>
  <c r="D19" i="38" s="1"/>
  <c r="C20" i="38" l="1"/>
  <c r="D20" i="38" s="1"/>
  <c r="A21" i="38"/>
  <c r="C21" i="38" l="1"/>
  <c r="D21" i="38" s="1"/>
  <c r="J3" i="33" l="1"/>
  <c r="L3" i="33" a="1"/>
  <c r="L3" i="33" s="1"/>
  <c r="J4" i="33"/>
  <c r="J5" i="33"/>
  <c r="J6" i="33"/>
  <c r="J7" i="33"/>
  <c r="J8" i="33"/>
  <c r="J9" i="33"/>
  <c r="J10" i="33"/>
  <c r="J11" i="33"/>
  <c r="J12" i="33"/>
  <c r="J13" i="33"/>
  <c r="J14" i="33"/>
  <c r="J15" i="33"/>
  <c r="D14" i="32"/>
  <c r="D23" i="32"/>
  <c r="B1" i="32"/>
  <c r="H3" i="31"/>
  <c r="E5" i="31"/>
  <c r="L8" i="33" l="1"/>
  <c r="L13" i="33"/>
  <c r="L5" i="33"/>
  <c r="L14" i="33"/>
  <c r="L6" i="33"/>
  <c r="L7" i="33"/>
  <c r="L10" i="33"/>
  <c r="L9" i="33"/>
  <c r="L11" i="33"/>
  <c r="L15" i="33"/>
  <c r="L12" i="33"/>
  <c r="L4" i="33"/>
  <c r="C23" i="52"/>
  <c r="H5" i="31"/>
  <c r="H6" i="31"/>
  <c r="K6" i="31"/>
  <c r="E4" i="31"/>
  <c r="E6" i="31"/>
  <c r="F5" i="31"/>
  <c r="K5" i="31"/>
  <c r="H38" i="52" l="1"/>
  <c r="H7" i="31"/>
  <c r="H8" i="31"/>
  <c r="M6" i="31"/>
  <c r="K7" i="31"/>
  <c r="E8" i="31"/>
  <c r="F4" i="31"/>
  <c r="E7" i="31"/>
  <c r="F6" i="31"/>
  <c r="M5" i="31"/>
  <c r="K8" i="31"/>
  <c r="H23" i="52" l="1"/>
  <c r="H9" i="31"/>
  <c r="L6" i="31"/>
  <c r="L5" i="31"/>
  <c r="E9" i="31"/>
  <c r="K9" i="31"/>
  <c r="M8" i="31"/>
  <c r="F7" i="31"/>
  <c r="M7" i="31"/>
  <c r="F9" i="31"/>
  <c r="F8" i="31"/>
  <c r="C38" i="52" l="1"/>
  <c r="H10" i="31"/>
  <c r="H11" i="31"/>
  <c r="L8" i="31"/>
  <c r="L7" i="31"/>
  <c r="M9" i="31"/>
  <c r="K10" i="31"/>
  <c r="E10" i="31"/>
  <c r="E11" i="31"/>
  <c r="K11" i="31"/>
  <c r="C53" i="52" l="1"/>
  <c r="H12" i="31"/>
  <c r="L9" i="31"/>
  <c r="L10" i="31"/>
  <c r="F11" i="31"/>
  <c r="F10" i="31"/>
  <c r="E12" i="31"/>
  <c r="F16" i="31"/>
  <c r="H16" i="31"/>
  <c r="K12" i="31"/>
  <c r="M10" i="31"/>
  <c r="M11" i="31"/>
  <c r="C28" i="54" l="1"/>
  <c r="I17" i="31"/>
  <c r="I20" i="31"/>
  <c r="D3" i="30"/>
  <c r="E3" i="30"/>
  <c r="F3" i="30"/>
  <c r="D4" i="30"/>
  <c r="E4" i="30"/>
  <c r="F4" i="30"/>
  <c r="D5" i="30"/>
  <c r="E5" i="30"/>
  <c r="F5" i="30"/>
  <c r="D6" i="30"/>
  <c r="E6" i="30"/>
  <c r="F6" i="30"/>
  <c r="D7" i="30"/>
  <c r="E7" i="30"/>
  <c r="F7" i="30"/>
  <c r="D8" i="30"/>
  <c r="E8" i="30"/>
  <c r="F8" i="30"/>
  <c r="D9" i="30"/>
  <c r="E9" i="30"/>
  <c r="F9" i="30"/>
  <c r="D10" i="30"/>
  <c r="E10" i="30"/>
  <c r="F10" i="30"/>
  <c r="D11" i="30"/>
  <c r="E11" i="30"/>
  <c r="F11" i="30"/>
  <c r="D12" i="30"/>
  <c r="E12" i="30"/>
  <c r="F12" i="30"/>
  <c r="D13" i="30"/>
  <c r="E13" i="30"/>
  <c r="F13" i="30"/>
  <c r="D14" i="30"/>
  <c r="E14" i="30"/>
  <c r="F14" i="30"/>
  <c r="D15" i="30"/>
  <c r="E15" i="30"/>
  <c r="F15" i="30"/>
  <c r="D16" i="30"/>
  <c r="E16" i="30"/>
  <c r="F16" i="30"/>
  <c r="M2" i="29"/>
  <c r="B5" i="29"/>
  <c r="E5" i="29" s="1"/>
  <c r="L5" i="29"/>
  <c r="R5" i="29" a="1"/>
  <c r="R5" i="29" s="1"/>
  <c r="B6" i="29"/>
  <c r="E6" i="29" s="1"/>
  <c r="L6" i="29"/>
  <c r="B7" i="29"/>
  <c r="E7" i="29" s="1"/>
  <c r="L7" i="29"/>
  <c r="B8" i="29"/>
  <c r="E8" i="29" s="1"/>
  <c r="L8" i="29"/>
  <c r="M8" i="29"/>
  <c r="N8" i="29"/>
  <c r="B9" i="29"/>
  <c r="E9" i="29" s="1"/>
  <c r="L9" i="29"/>
  <c r="M9" i="29"/>
  <c r="N9" i="29"/>
  <c r="B10" i="29"/>
  <c r="E10" i="29" s="1"/>
  <c r="L10" i="29"/>
  <c r="M10" i="29"/>
  <c r="N10" i="29"/>
  <c r="B11" i="29"/>
  <c r="E11" i="29" s="1"/>
  <c r="L11" i="29"/>
  <c r="M11" i="29"/>
  <c r="N11" i="29"/>
  <c r="B12" i="29"/>
  <c r="E12" i="29" s="1"/>
  <c r="L12" i="29"/>
  <c r="M12" i="29"/>
  <c r="N12" i="29"/>
  <c r="B13" i="29"/>
  <c r="E13" i="29" s="1"/>
  <c r="L13" i="29"/>
  <c r="M13" i="29"/>
  <c r="N13" i="29"/>
  <c r="B14" i="29"/>
  <c r="E14" i="29" s="1"/>
  <c r="L14" i="29"/>
  <c r="M14" i="29"/>
  <c r="N14" i="29"/>
  <c r="B15" i="29"/>
  <c r="E15" i="29" s="1"/>
  <c r="L15" i="29"/>
  <c r="M15" i="29"/>
  <c r="N15" i="29"/>
  <c r="O2" i="28"/>
  <c r="B5" i="28"/>
  <c r="C5" i="28"/>
  <c r="M5" i="28"/>
  <c r="D5" i="28" s="1"/>
  <c r="R5" i="28"/>
  <c r="S5" i="28" s="1"/>
  <c r="W5" i="28" a="1"/>
  <c r="W5" i="28" s="1"/>
  <c r="B6" i="28"/>
  <c r="C6" i="28"/>
  <c r="M6" i="28"/>
  <c r="D6" i="28" s="1"/>
  <c r="R6" i="28"/>
  <c r="S6" i="28" s="1"/>
  <c r="L11" i="31"/>
  <c r="G4" i="28"/>
  <c r="F6" i="29"/>
  <c r="H19" i="31"/>
  <c r="F7" i="29"/>
  <c r="G10" i="30"/>
  <c r="G16" i="30"/>
  <c r="G6" i="30"/>
  <c r="G13" i="30"/>
  <c r="L20" i="31"/>
  <c r="G4" i="30"/>
  <c r="M12" i="31"/>
  <c r="G14" i="30"/>
  <c r="F14" i="29"/>
  <c r="F9" i="29"/>
  <c r="G11" i="30"/>
  <c r="G4" i="29"/>
  <c r="G15" i="30"/>
  <c r="G7" i="30"/>
  <c r="F15" i="29"/>
  <c r="F11" i="29"/>
  <c r="G5" i="30"/>
  <c r="F5" i="29"/>
  <c r="G9" i="30"/>
  <c r="F13" i="29"/>
  <c r="G12" i="30"/>
  <c r="F12" i="31"/>
  <c r="F10" i="29"/>
  <c r="F12" i="29"/>
  <c r="G8" i="30"/>
  <c r="M4" i="29"/>
  <c r="G3" i="30"/>
  <c r="O4" i="28"/>
  <c r="L17" i="31"/>
  <c r="F8" i="29"/>
  <c r="R12" i="29" l="1"/>
  <c r="R13" i="29"/>
  <c r="R14" i="29"/>
  <c r="R11" i="29"/>
  <c r="M7" i="29"/>
  <c r="E5" i="28"/>
  <c r="R10" i="29"/>
  <c r="M5" i="29"/>
  <c r="W6" i="28"/>
  <c r="R9" i="29"/>
  <c r="R6" i="29"/>
  <c r="R8" i="29"/>
  <c r="M6" i="29"/>
  <c r="E6" i="28"/>
  <c r="N5" i="28"/>
  <c r="R15" i="29"/>
  <c r="R7" i="29"/>
  <c r="N6" i="28"/>
  <c r="B7" i="28"/>
  <c r="C7" i="28"/>
  <c r="L12" i="31"/>
  <c r="M7" i="28" l="1"/>
  <c r="D7" i="28" s="1"/>
  <c r="E7" i="28" s="1"/>
  <c r="R7" i="28"/>
  <c r="S7" i="28" s="1"/>
  <c r="W7" i="28"/>
  <c r="F121" i="6"/>
  <c r="F62" i="5"/>
  <c r="H8" i="30"/>
  <c r="F245" i="6"/>
  <c r="F217" i="6"/>
  <c r="F130" i="5"/>
  <c r="F30" i="6"/>
  <c r="S10" i="29"/>
  <c r="F110" i="5"/>
  <c r="F80" i="6"/>
  <c r="F111" i="5"/>
  <c r="F120" i="6"/>
  <c r="F218" i="6"/>
  <c r="F19" i="5"/>
  <c r="H5" i="30"/>
  <c r="F141" i="6"/>
  <c r="G5" i="29"/>
  <c r="S7" i="29"/>
  <c r="F20" i="5"/>
  <c r="F188" i="5"/>
  <c r="F129" i="5"/>
  <c r="F57" i="5"/>
  <c r="F250" i="5"/>
  <c r="F66" i="5"/>
  <c r="F79" i="6"/>
  <c r="F28" i="5"/>
  <c r="S6" i="29"/>
  <c r="F223" i="6"/>
  <c r="F80" i="5"/>
  <c r="S11" i="29"/>
  <c r="F168" i="6"/>
  <c r="F148" i="6"/>
  <c r="F183" i="5"/>
  <c r="F12" i="6"/>
  <c r="F26" i="6"/>
  <c r="F11" i="6"/>
  <c r="F56" i="6"/>
  <c r="F164" i="6"/>
  <c r="F119" i="5"/>
  <c r="F54" i="6"/>
  <c r="F70" i="5"/>
  <c r="F246" i="6"/>
  <c r="F32" i="5"/>
  <c r="F191" i="6"/>
  <c r="F180" i="6"/>
  <c r="F172" i="6"/>
  <c r="F49" i="5"/>
  <c r="F209" i="5"/>
  <c r="F200" i="5"/>
  <c r="F51" i="6"/>
  <c r="F166" i="6"/>
  <c r="F150" i="6"/>
  <c r="F69" i="5"/>
  <c r="F243" i="6"/>
  <c r="F76" i="5"/>
  <c r="F166" i="5"/>
  <c r="F71" i="5"/>
  <c r="F215" i="5"/>
  <c r="F212" i="5"/>
  <c r="F86" i="6"/>
  <c r="F59" i="6"/>
  <c r="F259" i="6"/>
  <c r="F25" i="6"/>
  <c r="F231" i="6"/>
  <c r="F214" i="5"/>
  <c r="F68" i="6"/>
  <c r="F33" i="5"/>
  <c r="F72" i="6"/>
  <c r="F17" i="5"/>
  <c r="F69" i="6"/>
  <c r="F92" i="6"/>
  <c r="F219" i="5"/>
  <c r="F44" i="5"/>
  <c r="F195" i="6"/>
  <c r="F118" i="5"/>
  <c r="F45" i="5"/>
  <c r="F234" i="5"/>
  <c r="F233" i="5"/>
  <c r="F175" i="6"/>
  <c r="F41" i="5"/>
  <c r="F156" i="5"/>
  <c r="F200" i="6"/>
  <c r="F37" i="6"/>
  <c r="F85" i="6"/>
  <c r="F226" i="6"/>
  <c r="F105" i="5"/>
  <c r="F75" i="6"/>
  <c r="F94" i="5"/>
  <c r="F57" i="6"/>
  <c r="F82" i="5"/>
  <c r="I2" i="5"/>
  <c r="F13" i="5"/>
  <c r="F227" i="6"/>
  <c r="F156" i="6"/>
  <c r="F103" i="5"/>
  <c r="F130" i="6"/>
  <c r="F112" i="5"/>
  <c r="F84" i="5"/>
  <c r="F124" i="6"/>
  <c r="F96" i="6"/>
  <c r="F78" i="5"/>
  <c r="F227" i="5"/>
  <c r="F247" i="6"/>
  <c r="F46" i="6"/>
  <c r="F231" i="5"/>
  <c r="F206" i="5"/>
  <c r="F38" i="6"/>
  <c r="S14" i="29"/>
  <c r="F208" i="6"/>
  <c r="F247" i="5"/>
  <c r="F129" i="6"/>
  <c r="F257" i="5"/>
  <c r="F6" i="6"/>
  <c r="F116" i="5"/>
  <c r="H4" i="30"/>
  <c r="F74" i="6"/>
  <c r="F99" i="6"/>
  <c r="F154" i="6"/>
  <c r="F178" i="6"/>
  <c r="F125" i="6"/>
  <c r="F118" i="6"/>
  <c r="F101" i="6"/>
  <c r="F159" i="5"/>
  <c r="F14" i="5"/>
  <c r="F28" i="6"/>
  <c r="F85" i="5"/>
  <c r="F170" i="6"/>
  <c r="F224" i="5"/>
  <c r="F50" i="5"/>
  <c r="F161" i="6"/>
  <c r="F203" i="6"/>
  <c r="F204" i="6"/>
  <c r="F20" i="6"/>
  <c r="F50" i="6"/>
  <c r="F138" i="5"/>
  <c r="F199" i="6"/>
  <c r="F70" i="6"/>
  <c r="F82" i="6"/>
  <c r="F132" i="5"/>
  <c r="F177" i="6"/>
  <c r="F27" i="5"/>
  <c r="F97" i="6"/>
  <c r="F259" i="5"/>
  <c r="F21" i="6"/>
  <c r="F206" i="6"/>
  <c r="F225" i="6"/>
  <c r="F187" i="5"/>
  <c r="F173" i="5"/>
  <c r="F98" i="6"/>
  <c r="F155" i="6"/>
  <c r="F106" i="6"/>
  <c r="F229" i="6"/>
  <c r="F176" i="6"/>
  <c r="F6" i="5"/>
  <c r="F201" i="6"/>
  <c r="F249" i="5"/>
  <c r="F117" i="6"/>
  <c r="F40" i="6"/>
  <c r="F112" i="6"/>
  <c r="F89" i="6"/>
  <c r="F67" i="6"/>
  <c r="F72" i="5"/>
  <c r="F95" i="5"/>
  <c r="F232" i="6"/>
  <c r="F63" i="5"/>
  <c r="F142" i="6"/>
  <c r="F37" i="5"/>
  <c r="F14" i="6"/>
  <c r="F207" i="6"/>
  <c r="F197" i="6"/>
  <c r="F165" i="6"/>
  <c r="F104" i="6"/>
  <c r="F212" i="6"/>
  <c r="F229" i="5"/>
  <c r="F84" i="6"/>
  <c r="F242" i="5"/>
  <c r="F64" i="6"/>
  <c r="F137" i="5"/>
  <c r="F145" i="5"/>
  <c r="F167" i="6"/>
  <c r="F157" i="6"/>
  <c r="F243" i="5"/>
  <c r="F62" i="6"/>
  <c r="F22" i="5"/>
  <c r="F73" i="5"/>
  <c r="F251" i="5"/>
  <c r="F81" i="5"/>
  <c r="F21" i="5"/>
  <c r="F17" i="6"/>
  <c r="F122" i="5"/>
  <c r="F16" i="5"/>
  <c r="F196" i="5"/>
  <c r="F109" i="5"/>
  <c r="G15" i="29"/>
  <c r="F100" i="6"/>
  <c r="F142" i="5"/>
  <c r="F141" i="5"/>
  <c r="F134" i="5"/>
  <c r="F122" i="6"/>
  <c r="F193" i="6"/>
  <c r="G13" i="29"/>
  <c r="F135" i="6"/>
  <c r="F192" i="5"/>
  <c r="F236" i="6"/>
  <c r="F52" i="5"/>
  <c r="F73" i="6"/>
  <c r="F92" i="5"/>
  <c r="F169" i="5"/>
  <c r="F32" i="6"/>
  <c r="F208" i="5"/>
  <c r="F198" i="5"/>
  <c r="F198" i="6"/>
  <c r="F179" i="5"/>
  <c r="F167" i="5"/>
  <c r="F7" i="5"/>
  <c r="F177" i="5"/>
  <c r="F40" i="5"/>
  <c r="F138" i="6"/>
  <c r="H3" i="30"/>
  <c r="F77" i="5"/>
  <c r="F218" i="5"/>
  <c r="F205" i="6"/>
  <c r="F194" i="6"/>
  <c r="F185" i="5"/>
  <c r="F29" i="6"/>
  <c r="F113" i="5"/>
  <c r="F83" i="6"/>
  <c r="F224" i="6"/>
  <c r="F47" i="5"/>
  <c r="F252" i="5"/>
  <c r="F83" i="5"/>
  <c r="F186" i="5"/>
  <c r="F107" i="5"/>
  <c r="F180" i="5"/>
  <c r="F119" i="6"/>
  <c r="F68" i="5"/>
  <c r="G14" i="29"/>
  <c r="F113" i="6"/>
  <c r="F102" i="6"/>
  <c r="H16" i="30"/>
  <c r="F220" i="6"/>
  <c r="F116" i="6"/>
  <c r="F158" i="5"/>
  <c r="F86" i="5"/>
  <c r="F230" i="5"/>
  <c r="H13" i="30"/>
  <c r="F221" i="6"/>
  <c r="F48" i="5"/>
  <c r="F148" i="5"/>
  <c r="F239" i="6"/>
  <c r="F234" i="6"/>
  <c r="G8" i="29"/>
  <c r="F67" i="5"/>
  <c r="F139" i="6"/>
  <c r="F103" i="6"/>
  <c r="F9" i="5"/>
  <c r="F184" i="5"/>
  <c r="F238" i="6"/>
  <c r="S13" i="29"/>
  <c r="F153" i="6"/>
  <c r="F187" i="6"/>
  <c r="F249" i="6"/>
  <c r="F10" i="5"/>
  <c r="S12" i="29"/>
  <c r="F173" i="6"/>
  <c r="F25" i="5"/>
  <c r="F214" i="6"/>
  <c r="F217" i="5"/>
  <c r="F140" i="6"/>
  <c r="F90" i="6"/>
  <c r="F123" i="5"/>
  <c r="F240" i="5"/>
  <c r="F93" i="6"/>
  <c r="F15" i="6"/>
  <c r="F220" i="5"/>
  <c r="S5" i="29"/>
  <c r="F185" i="6"/>
  <c r="F95" i="6"/>
  <c r="F108" i="5"/>
  <c r="F155" i="5"/>
  <c r="F36" i="6"/>
  <c r="F216" i="5"/>
  <c r="I2" i="6"/>
  <c r="F8" i="5"/>
  <c r="F46" i="5"/>
  <c r="F18" i="5"/>
  <c r="F258" i="6"/>
  <c r="F33" i="6"/>
  <c r="F255" i="6"/>
  <c r="F74" i="5"/>
  <c r="F60" i="6"/>
  <c r="F256" i="6"/>
  <c r="H14" i="30"/>
  <c r="F64" i="5"/>
  <c r="F239" i="5"/>
  <c r="F228" i="6"/>
  <c r="F162" i="6"/>
  <c r="F159" i="6"/>
  <c r="F136" i="6"/>
  <c r="F31" i="5"/>
  <c r="F149" i="5"/>
  <c r="F189" i="6"/>
  <c r="F19" i="6"/>
  <c r="F152" i="5"/>
  <c r="F22" i="6"/>
  <c r="F183" i="6"/>
  <c r="F63" i="6"/>
  <c r="F254" i="6"/>
  <c r="H11" i="30"/>
  <c r="F222" i="5"/>
  <c r="F61" i="6"/>
  <c r="F60" i="5"/>
  <c r="F244" i="5"/>
  <c r="F219" i="6"/>
  <c r="F160" i="6"/>
  <c r="F195" i="5"/>
  <c r="F23" i="6"/>
  <c r="F157" i="5"/>
  <c r="F51" i="5"/>
  <c r="F203" i="5"/>
  <c r="F127" i="6"/>
  <c r="F140" i="5"/>
  <c r="F121" i="5"/>
  <c r="H7" i="30"/>
  <c r="F18" i="6"/>
  <c r="F236" i="5"/>
  <c r="F34" i="5"/>
  <c r="F131" i="6"/>
  <c r="F181" i="6"/>
  <c r="F233" i="6"/>
  <c r="F5" i="6"/>
  <c r="F202" i="6"/>
  <c r="F202" i="5"/>
  <c r="H15" i="30"/>
  <c r="F197" i="5"/>
  <c r="F65" i="5"/>
  <c r="F253" i="5"/>
  <c r="F89" i="5"/>
  <c r="F104" i="5"/>
  <c r="F93" i="5"/>
  <c r="F133" i="6"/>
  <c r="F36" i="5"/>
  <c r="F6" i="28"/>
  <c r="F170" i="5"/>
  <c r="F253" i="6"/>
  <c r="F168" i="5"/>
  <c r="F205" i="5"/>
  <c r="F109" i="6"/>
  <c r="F24" i="5"/>
  <c r="F115" i="6"/>
  <c r="F134" i="6"/>
  <c r="F246" i="5"/>
  <c r="F136" i="5"/>
  <c r="F223" i="5"/>
  <c r="F133" i="5"/>
  <c r="F165" i="5"/>
  <c r="F186" i="6"/>
  <c r="F49" i="6"/>
  <c r="F5" i="5"/>
  <c r="F230" i="6"/>
  <c r="F126" i="6"/>
  <c r="F215" i="6"/>
  <c r="F171" i="5"/>
  <c r="F131" i="5"/>
  <c r="F153" i="5"/>
  <c r="F31" i="6"/>
  <c r="F182" i="5"/>
  <c r="F162" i="5"/>
  <c r="F137" i="6"/>
  <c r="F182" i="6"/>
  <c r="F66" i="6"/>
  <c r="F45" i="6"/>
  <c r="F188" i="6"/>
  <c r="H10" i="30"/>
  <c r="S8" i="29"/>
  <c r="F53" i="6"/>
  <c r="F211" i="6"/>
  <c r="F256" i="5"/>
  <c r="F255" i="5"/>
  <c r="F88" i="6"/>
  <c r="F149" i="6"/>
  <c r="F115" i="5"/>
  <c r="F179" i="6"/>
  <c r="F56" i="5"/>
  <c r="F91" i="6"/>
  <c r="F81" i="6"/>
  <c r="F114" i="6"/>
  <c r="F54" i="5"/>
  <c r="F90" i="5"/>
  <c r="F99" i="5"/>
  <c r="F132" i="6"/>
  <c r="F210" i="6"/>
  <c r="F117" i="5"/>
  <c r="F144" i="5"/>
  <c r="F174" i="6"/>
  <c r="F209" i="6"/>
  <c r="G11" i="29"/>
  <c r="F24" i="6"/>
  <c r="F12" i="5"/>
  <c r="F257" i="6"/>
  <c r="F226" i="5"/>
  <c r="F178" i="5"/>
  <c r="F169" i="6"/>
  <c r="F163" i="6"/>
  <c r="F35" i="5"/>
  <c r="F204" i="5"/>
  <c r="F61" i="5"/>
  <c r="F143" i="5"/>
  <c r="F211" i="5"/>
  <c r="F146" i="5"/>
  <c r="F248" i="6"/>
  <c r="F102" i="5"/>
  <c r="F199" i="5"/>
  <c r="F13" i="6"/>
  <c r="F174" i="5"/>
  <c r="F71" i="6"/>
  <c r="F147" i="5"/>
  <c r="F213" i="6"/>
  <c r="F26" i="5"/>
  <c r="F97" i="5"/>
  <c r="F189" i="5"/>
  <c r="F59" i="5"/>
  <c r="F126" i="5"/>
  <c r="F39" i="5"/>
  <c r="F245" i="5"/>
  <c r="F237" i="5"/>
  <c r="G10" i="29"/>
  <c r="F238" i="5"/>
  <c r="F163" i="5"/>
  <c r="F248" i="5"/>
  <c r="F43" i="6"/>
  <c r="F154" i="5"/>
  <c r="F228" i="5"/>
  <c r="G9" i="29"/>
  <c r="H9" i="30"/>
  <c r="F128" i="6"/>
  <c r="H12" i="30"/>
  <c r="F79" i="5"/>
  <c r="F77" i="6"/>
  <c r="F9" i="6"/>
  <c r="F47" i="6"/>
  <c r="F151" i="6"/>
  <c r="F23" i="5"/>
  <c r="F53" i="5"/>
  <c r="F207" i="5"/>
  <c r="F100" i="5"/>
  <c r="F98" i="5"/>
  <c r="F7" i="6"/>
  <c r="F172" i="5"/>
  <c r="F120" i="5"/>
  <c r="F35" i="6"/>
  <c r="F114" i="5"/>
  <c r="F242" i="6"/>
  <c r="F210" i="5"/>
  <c r="F42" i="6"/>
  <c r="F42" i="5"/>
  <c r="F107" i="6"/>
  <c r="F222" i="6"/>
  <c r="G12" i="29"/>
  <c r="F106" i="5"/>
  <c r="F190" i="6"/>
  <c r="F11" i="5"/>
  <c r="F176" i="5"/>
  <c r="F48" i="6"/>
  <c r="F30" i="5"/>
  <c r="F143" i="6"/>
  <c r="F194" i="5"/>
  <c r="F88" i="5"/>
  <c r="F252" i="6"/>
  <c r="G7" i="29"/>
  <c r="F76" i="6"/>
  <c r="F58" i="6"/>
  <c r="F15" i="5"/>
  <c r="F213" i="5"/>
  <c r="F240" i="6"/>
  <c r="F193" i="5"/>
  <c r="F254" i="5"/>
  <c r="F128" i="5"/>
  <c r="F52" i="6"/>
  <c r="F201" i="5"/>
  <c r="F87" i="6"/>
  <c r="F221" i="5"/>
  <c r="F251" i="6"/>
  <c r="F65" i="6"/>
  <c r="F127" i="5"/>
  <c r="F152" i="6"/>
  <c r="G6" i="29"/>
  <c r="F237" i="6"/>
  <c r="F27" i="6"/>
  <c r="F192" i="6"/>
  <c r="F164" i="5"/>
  <c r="F146" i="6"/>
  <c r="F184" i="6"/>
  <c r="F94" i="6"/>
  <c r="F241" i="5"/>
  <c r="F125" i="5"/>
  <c r="F78" i="6"/>
  <c r="F258" i="5"/>
  <c r="Q5" i="31"/>
  <c r="F147" i="6"/>
  <c r="F225" i="5"/>
  <c r="F58" i="5"/>
  <c r="F44" i="6"/>
  <c r="F160" i="5"/>
  <c r="F241" i="6"/>
  <c r="F55" i="5"/>
  <c r="F244" i="6"/>
  <c r="F151" i="5"/>
  <c r="F181" i="5"/>
  <c r="F145" i="6"/>
  <c r="F43" i="5"/>
  <c r="F110" i="6"/>
  <c r="F34" i="6"/>
  <c r="F175" i="5"/>
  <c r="F250" i="6"/>
  <c r="F171" i="6"/>
  <c r="F144" i="6"/>
  <c r="F196" i="6"/>
  <c r="H6" i="30"/>
  <c r="F235" i="5"/>
  <c r="F41" i="6"/>
  <c r="F105" i="6"/>
  <c r="F5" i="28"/>
  <c r="F96" i="5"/>
  <c r="F158" i="6"/>
  <c r="F108" i="6"/>
  <c r="F55" i="6"/>
  <c r="S15" i="29"/>
  <c r="F161" i="5"/>
  <c r="F216" i="6"/>
  <c r="F39" i="6"/>
  <c r="F191" i="5"/>
  <c r="F10" i="6"/>
  <c r="F235" i="6"/>
  <c r="F124" i="5"/>
  <c r="S9" i="29"/>
  <c r="F150" i="5"/>
  <c r="F123" i="6"/>
  <c r="F101" i="5"/>
  <c r="F91" i="5"/>
  <c r="F38" i="5"/>
  <c r="F16" i="6"/>
  <c r="F75" i="5"/>
  <c r="F111" i="6"/>
  <c r="F8" i="6"/>
  <c r="F232" i="5"/>
  <c r="F87" i="5"/>
  <c r="F29" i="5"/>
  <c r="F190" i="5"/>
  <c r="F135" i="5"/>
  <c r="F139" i="5"/>
  <c r="G6" i="28"/>
  <c r="G5" i="28"/>
  <c r="X6" i="28"/>
  <c r="F7" i="28"/>
  <c r="X5" i="28"/>
  <c r="N7" i="28" l="1"/>
  <c r="B8" i="28"/>
  <c r="C8" i="28"/>
  <c r="X7" i="28"/>
  <c r="G7" i="28"/>
  <c r="M8" i="28" l="1"/>
  <c r="D8" i="28" s="1"/>
  <c r="E8" i="28" s="1"/>
  <c r="R8" i="28"/>
  <c r="S8" i="28" s="1"/>
  <c r="W8" i="28"/>
  <c r="F8" i="28"/>
  <c r="N8" i="28" l="1"/>
  <c r="B9" i="28"/>
  <c r="C9" i="28"/>
  <c r="G8" i="28"/>
  <c r="X8" i="28"/>
  <c r="M9" i="28" l="1"/>
  <c r="D9" i="28" s="1"/>
  <c r="E9" i="28" s="1"/>
  <c r="R9" i="28"/>
  <c r="S9" i="28" s="1"/>
  <c r="W9" i="28"/>
  <c r="F9" i="28"/>
  <c r="N9" i="28" l="1"/>
  <c r="B10" i="28"/>
  <c r="C10" i="28"/>
  <c r="G9" i="28"/>
  <c r="X9" i="28"/>
  <c r="M10" i="28" l="1"/>
  <c r="D10" i="28" s="1"/>
  <c r="E10" i="28" s="1"/>
  <c r="R10" i="28"/>
  <c r="S10" i="28" s="1"/>
  <c r="W10" i="28"/>
  <c r="F10" i="28"/>
  <c r="N10" i="28" l="1"/>
  <c r="B11" i="28"/>
  <c r="C11" i="28"/>
  <c r="G10" i="28"/>
  <c r="X10" i="28"/>
  <c r="M11" i="28" l="1"/>
  <c r="D11" i="28" s="1"/>
  <c r="E11" i="28" s="1"/>
  <c r="R11" i="28"/>
  <c r="S11" i="28" s="1"/>
  <c r="W11" i="28"/>
  <c r="F11" i="28"/>
  <c r="N11" i="28" l="1"/>
  <c r="B12" i="28"/>
  <c r="C12" i="28"/>
  <c r="G11" i="28"/>
  <c r="X11" i="28"/>
  <c r="M12" i="28" l="1"/>
  <c r="D12" i="28" s="1"/>
  <c r="E12" i="28" s="1"/>
  <c r="R12" i="28"/>
  <c r="S12" i="28" s="1"/>
  <c r="W12" i="28"/>
  <c r="F12" i="28"/>
  <c r="N12" i="28" l="1"/>
  <c r="B13" i="28"/>
  <c r="C13" i="28"/>
  <c r="G12" i="28"/>
  <c r="X12" i="28"/>
  <c r="M13" i="28" l="1"/>
  <c r="D13" i="28" s="1"/>
  <c r="E13" i="28" s="1"/>
  <c r="R13" i="28"/>
  <c r="S13" i="28" s="1"/>
  <c r="W13" i="28"/>
  <c r="F13" i="28"/>
  <c r="N13" i="28" l="1"/>
  <c r="B14" i="28"/>
  <c r="C14" i="28"/>
  <c r="X13" i="28"/>
  <c r="G13" i="28"/>
  <c r="M14" i="28" l="1"/>
  <c r="D14" i="28" s="1"/>
  <c r="E14" i="28" s="1"/>
  <c r="R14" i="28"/>
  <c r="S14" i="28" s="1"/>
  <c r="W14" i="28"/>
  <c r="F14" i="28"/>
  <c r="N14" i="28" l="1"/>
  <c r="B15" i="28"/>
  <c r="C15" i="28"/>
  <c r="G14" i="28"/>
  <c r="X14" i="28"/>
  <c r="M15" i="28" l="1"/>
  <c r="D15" i="28" s="1"/>
  <c r="E15" i="28" s="1"/>
  <c r="R15" i="28"/>
  <c r="S15" i="28" s="1"/>
  <c r="W15" i="28"/>
  <c r="F15" i="28"/>
  <c r="N15" i="28" l="1"/>
  <c r="B16" i="28"/>
  <c r="C16" i="28"/>
  <c r="X15" i="28"/>
  <c r="G15" i="28"/>
  <c r="M16" i="28" l="1"/>
  <c r="D16" i="28" s="1"/>
  <c r="E16" i="28" s="1"/>
  <c r="R16" i="28"/>
  <c r="S16" i="28" s="1"/>
  <c r="W16" i="28"/>
  <c r="F16" i="28"/>
  <c r="N16" i="28" l="1"/>
  <c r="B17" i="28"/>
  <c r="C17" i="28"/>
  <c r="G16" i="28"/>
  <c r="X16" i="28"/>
  <c r="M17" i="28" l="1"/>
  <c r="D17" i="28" s="1"/>
  <c r="E17" i="28" s="1"/>
  <c r="R17" i="28"/>
  <c r="S17" i="28" s="1"/>
  <c r="W17" i="28"/>
  <c r="F17" i="28"/>
  <c r="N17" i="28" l="1"/>
  <c r="B18" i="28"/>
  <c r="C18" i="28"/>
  <c r="X17" i="28"/>
  <c r="G17" i="28"/>
  <c r="M18" i="28" l="1"/>
  <c r="D18" i="28" s="1"/>
  <c r="E18" i="28" s="1"/>
  <c r="R18" i="28"/>
  <c r="S18" i="28" s="1"/>
  <c r="W18" i="28"/>
  <c r="F18" i="28"/>
  <c r="N18" i="28" l="1"/>
  <c r="B19" i="28"/>
  <c r="C19" i="28"/>
  <c r="X18" i="28"/>
  <c r="G18" i="28"/>
  <c r="M19" i="28" l="1"/>
  <c r="D19" i="28" s="1"/>
  <c r="E19" i="28" s="1"/>
  <c r="R19" i="28"/>
  <c r="S19" i="28" s="1"/>
  <c r="W19" i="28"/>
  <c r="F19" i="28"/>
  <c r="N19" i="28" l="1"/>
  <c r="B20" i="28"/>
  <c r="C20" i="28"/>
  <c r="X19" i="28"/>
  <c r="G19" i="28"/>
  <c r="M20" i="28" l="1"/>
  <c r="D20" i="28" s="1"/>
  <c r="E20" i="28" s="1"/>
  <c r="R20" i="28"/>
  <c r="S20" i="28" s="1"/>
  <c r="W20" i="28"/>
  <c r="F20" i="28"/>
  <c r="N20" i="28" l="1"/>
  <c r="B21" i="28"/>
  <c r="C21" i="28"/>
  <c r="G20" i="28"/>
  <c r="X20" i="28"/>
  <c r="M21" i="28" l="1"/>
  <c r="D21" i="28" s="1"/>
  <c r="E21" i="28" s="1"/>
  <c r="R21" i="28"/>
  <c r="S21" i="28" s="1"/>
  <c r="W21" i="28"/>
  <c r="F21" i="28"/>
  <c r="N21" i="28" l="1"/>
  <c r="B22" i="28"/>
  <c r="C22" i="28"/>
  <c r="X21" i="28"/>
  <c r="G21" i="28"/>
  <c r="M22" i="28" l="1"/>
  <c r="D22" i="28" s="1"/>
  <c r="E22" i="28" s="1"/>
  <c r="R22" i="28"/>
  <c r="S22" i="28" s="1"/>
  <c r="W22" i="28"/>
  <c r="F22" i="28"/>
  <c r="N22" i="28" l="1"/>
  <c r="B23" i="28"/>
  <c r="C23" i="28"/>
  <c r="G22" i="28"/>
  <c r="X22" i="28"/>
  <c r="M23" i="28" l="1"/>
  <c r="D23" i="28" s="1"/>
  <c r="E23" i="28" s="1"/>
  <c r="R23" i="28"/>
  <c r="S23" i="28" s="1"/>
  <c r="W23" i="28"/>
  <c r="F23" i="28"/>
  <c r="N23" i="28" l="1"/>
  <c r="B24" i="28"/>
  <c r="C24" i="28"/>
  <c r="G23" i="28"/>
  <c r="X23" i="28"/>
  <c r="M24" i="28" l="1"/>
  <c r="D24" i="28" s="1"/>
  <c r="E24" i="28" s="1"/>
  <c r="R24" i="28"/>
  <c r="S24" i="28" s="1"/>
  <c r="W24" i="28"/>
  <c r="F24" i="28"/>
  <c r="N24" i="28" l="1"/>
  <c r="B25" i="28"/>
  <c r="C25" i="28"/>
  <c r="G24" i="28"/>
  <c r="X24" i="28"/>
  <c r="M25" i="28" l="1"/>
  <c r="D25" i="28" s="1"/>
  <c r="E25" i="28" s="1"/>
  <c r="R25" i="28"/>
  <c r="S25" i="28" s="1"/>
  <c r="W25" i="28"/>
  <c r="F25" i="28"/>
  <c r="N25" i="28" l="1"/>
  <c r="B26" i="28"/>
  <c r="C26" i="28"/>
  <c r="X25" i="28"/>
  <c r="G25" i="28"/>
  <c r="M26" i="28" l="1"/>
  <c r="D26" i="28" s="1"/>
  <c r="E26" i="28" s="1"/>
  <c r="R26" i="28"/>
  <c r="S26" i="28" s="1"/>
  <c r="W26" i="28"/>
  <c r="F26" i="28"/>
  <c r="N26" i="28" l="1"/>
  <c r="B27" i="28"/>
  <c r="C27" i="28"/>
  <c r="X26" i="28"/>
  <c r="G26" i="28"/>
  <c r="M27" i="28" l="1"/>
  <c r="D27" i="28" s="1"/>
  <c r="E27" i="28" s="1"/>
  <c r="R27" i="28"/>
  <c r="S27" i="28" s="1"/>
  <c r="W27" i="28"/>
  <c r="F27" i="28"/>
  <c r="N27" i="28" l="1"/>
  <c r="B28" i="28"/>
  <c r="C28" i="28"/>
  <c r="X27" i="28"/>
  <c r="G27" i="28"/>
  <c r="M28" i="28" l="1"/>
  <c r="D28" i="28" s="1"/>
  <c r="E28" i="28" s="1"/>
  <c r="R28" i="28"/>
  <c r="S28" i="28" s="1"/>
  <c r="W28" i="28"/>
  <c r="F28" i="28"/>
  <c r="N28" i="28" l="1"/>
  <c r="B29" i="28"/>
  <c r="C29" i="28"/>
  <c r="G28" i="28"/>
  <c r="X28" i="28"/>
  <c r="M29" i="28" l="1"/>
  <c r="D29" i="28" s="1"/>
  <c r="E29" i="28" s="1"/>
  <c r="R29" i="28"/>
  <c r="S29" i="28" s="1"/>
  <c r="W29" i="28"/>
  <c r="F29" i="28"/>
  <c r="N29" i="28" l="1"/>
  <c r="B30" i="28"/>
  <c r="C30" i="28"/>
  <c r="G29" i="28"/>
  <c r="X29" i="28"/>
  <c r="M30" i="28" l="1"/>
  <c r="D30" i="28" s="1"/>
  <c r="E30" i="28" s="1"/>
  <c r="R30" i="28"/>
  <c r="S30" i="28" s="1"/>
  <c r="W30" i="28"/>
  <c r="F30" i="28"/>
  <c r="N30" i="28" l="1"/>
  <c r="B31" i="28"/>
  <c r="C31" i="28"/>
  <c r="X30" i="28"/>
  <c r="G30" i="28"/>
  <c r="M31" i="28" l="1"/>
  <c r="D31" i="28" s="1"/>
  <c r="E31" i="28" s="1"/>
  <c r="R31" i="28"/>
  <c r="S31" i="28" s="1"/>
  <c r="W31" i="28"/>
  <c r="F31" i="28"/>
  <c r="N31" i="28" l="1"/>
  <c r="B32" i="28"/>
  <c r="C32" i="28"/>
  <c r="X31" i="28"/>
  <c r="G31" i="28"/>
  <c r="M32" i="28" l="1"/>
  <c r="D32" i="28" s="1"/>
  <c r="E32" i="28" s="1"/>
  <c r="R32" i="28"/>
  <c r="S32" i="28" s="1"/>
  <c r="W32" i="28"/>
  <c r="F32" i="28"/>
  <c r="N32" i="28" l="1"/>
  <c r="B33" i="28"/>
  <c r="C33" i="28"/>
  <c r="G32" i="28"/>
  <c r="X32" i="28"/>
  <c r="M33" i="28" l="1"/>
  <c r="D33" i="28" s="1"/>
  <c r="E33" i="28" s="1"/>
  <c r="R33" i="28"/>
  <c r="S33" i="28" s="1"/>
  <c r="W33" i="28"/>
  <c r="F33" i="28"/>
  <c r="N33" i="28" l="1"/>
  <c r="B34" i="28"/>
  <c r="C34" i="28"/>
  <c r="X33" i="28"/>
  <c r="G33" i="28"/>
  <c r="M34" i="28" l="1"/>
  <c r="D34" i="28" s="1"/>
  <c r="E34" i="28" s="1"/>
  <c r="R34" i="28"/>
  <c r="S34" i="28" s="1"/>
  <c r="W34" i="28"/>
  <c r="F34" i="28"/>
  <c r="N34" i="28" l="1"/>
  <c r="B35" i="28"/>
  <c r="C35" i="28"/>
  <c r="G34" i="28"/>
  <c r="X34" i="28"/>
  <c r="M35" i="28" l="1"/>
  <c r="D35" i="28" s="1"/>
  <c r="E35" i="28" s="1"/>
  <c r="R35" i="28"/>
  <c r="S35" i="28" s="1"/>
  <c r="W35" i="28"/>
  <c r="F35" i="28"/>
  <c r="N35" i="28" l="1"/>
  <c r="B36" i="28"/>
  <c r="C36" i="28"/>
  <c r="G35" i="28"/>
  <c r="X35" i="28"/>
  <c r="M36" i="28" l="1"/>
  <c r="D36" i="28" s="1"/>
  <c r="E36" i="28" s="1"/>
  <c r="R36" i="28"/>
  <c r="S36" i="28" s="1"/>
  <c r="W36" i="28"/>
  <c r="F36" i="28"/>
  <c r="N36" i="28" l="1"/>
  <c r="B37" i="28"/>
  <c r="C37" i="28"/>
  <c r="G36" i="28"/>
  <c r="X36" i="28"/>
  <c r="M37" i="28" l="1"/>
  <c r="D37" i="28" s="1"/>
  <c r="E37" i="28" s="1"/>
  <c r="R37" i="28"/>
  <c r="S37" i="28" s="1"/>
  <c r="W37" i="28"/>
  <c r="F37" i="28"/>
  <c r="N37" i="28" l="1"/>
  <c r="B38" i="28"/>
  <c r="C38" i="28"/>
  <c r="G37" i="28"/>
  <c r="X37" i="28"/>
  <c r="M38" i="28" l="1"/>
  <c r="D38" i="28" s="1"/>
  <c r="E38" i="28" s="1"/>
  <c r="R38" i="28"/>
  <c r="S38" i="28" s="1"/>
  <c r="W38" i="28"/>
  <c r="F38" i="28"/>
  <c r="N38" i="28" l="1"/>
  <c r="B39" i="28"/>
  <c r="C39" i="28"/>
  <c r="G38" i="28"/>
  <c r="X38" i="28"/>
  <c r="M39" i="28" l="1"/>
  <c r="D39" i="28" s="1"/>
  <c r="E39" i="28" s="1"/>
  <c r="R39" i="28"/>
  <c r="S39" i="28" s="1"/>
  <c r="W39" i="28"/>
  <c r="F39" i="28"/>
  <c r="N39" i="28" l="1"/>
  <c r="B40" i="28"/>
  <c r="C40" i="28"/>
  <c r="X39" i="28"/>
  <c r="G39" i="28"/>
  <c r="M40" i="28" l="1"/>
  <c r="D40" i="28" s="1"/>
  <c r="E40" i="28" s="1"/>
  <c r="R40" i="28"/>
  <c r="S40" i="28" s="1"/>
  <c r="W40" i="28"/>
  <c r="F40" i="28"/>
  <c r="N40" i="28" l="1"/>
  <c r="B41" i="28"/>
  <c r="C41" i="28"/>
  <c r="G40" i="28"/>
  <c r="X40" i="28"/>
  <c r="M41" i="28" l="1"/>
  <c r="D41" i="28" s="1"/>
  <c r="E41" i="28" s="1"/>
  <c r="R41" i="28"/>
  <c r="S41" i="28" s="1"/>
  <c r="W41" i="28"/>
  <c r="F41" i="28"/>
  <c r="N41" i="28" l="1"/>
  <c r="B42" i="28"/>
  <c r="C42" i="28"/>
  <c r="X41" i="28"/>
  <c r="G41" i="28"/>
  <c r="M42" i="28" l="1"/>
  <c r="D42" i="28" s="1"/>
  <c r="E42" i="28" s="1"/>
  <c r="R42" i="28"/>
  <c r="S42" i="28" s="1"/>
  <c r="W42" i="28"/>
  <c r="F42" i="28"/>
  <c r="N42" i="28" l="1"/>
  <c r="B43" i="28"/>
  <c r="C43" i="28"/>
  <c r="G42" i="28"/>
  <c r="X42" i="28"/>
  <c r="M43" i="28" l="1"/>
  <c r="D43" i="28" s="1"/>
  <c r="E43" i="28" s="1"/>
  <c r="R43" i="28"/>
  <c r="S43" i="28" s="1"/>
  <c r="W43" i="28"/>
  <c r="F43" i="28"/>
  <c r="N43" i="28" l="1"/>
  <c r="B44" i="28"/>
  <c r="C44" i="28"/>
  <c r="G43" i="28"/>
  <c r="X43" i="28"/>
  <c r="M44" i="28" l="1"/>
  <c r="D44" i="28" s="1"/>
  <c r="E44" i="28" s="1"/>
  <c r="R44" i="28"/>
  <c r="S44" i="28" s="1"/>
  <c r="W44" i="28"/>
  <c r="F44" i="28"/>
  <c r="N44" i="28" l="1"/>
  <c r="B45" i="28"/>
  <c r="C45" i="28"/>
  <c r="G44" i="28"/>
  <c r="X44" i="28"/>
  <c r="M45" i="28" l="1"/>
  <c r="D45" i="28" s="1"/>
  <c r="E45" i="28" s="1"/>
  <c r="R45" i="28"/>
  <c r="S45" i="28" s="1"/>
  <c r="W45" i="28"/>
  <c r="F45" i="28"/>
  <c r="N45" i="28" l="1"/>
  <c r="B46" i="28"/>
  <c r="C46" i="28"/>
  <c r="X45" i="28"/>
  <c r="G45" i="28"/>
  <c r="M46" i="28" l="1"/>
  <c r="D46" i="28" s="1"/>
  <c r="E46" i="28" s="1"/>
  <c r="R46" i="28"/>
  <c r="S46" i="28" s="1"/>
  <c r="W46" i="28"/>
  <c r="F46" i="28"/>
  <c r="N46" i="28" l="1"/>
  <c r="B47" i="28"/>
  <c r="C47" i="28"/>
  <c r="G46" i="28"/>
  <c r="X46" i="28"/>
  <c r="M47" i="28" l="1"/>
  <c r="D47" i="28" s="1"/>
  <c r="E47" i="28" s="1"/>
  <c r="R47" i="28"/>
  <c r="S47" i="28" s="1"/>
  <c r="W47" i="28"/>
  <c r="F47" i="28"/>
  <c r="N47" i="28" l="1"/>
  <c r="B48" i="28"/>
  <c r="C48" i="28"/>
  <c r="X47" i="28"/>
  <c r="G47" i="28"/>
  <c r="M48" i="28" l="1"/>
  <c r="D48" i="28" s="1"/>
  <c r="E48" i="28" s="1"/>
  <c r="R48" i="28"/>
  <c r="S48" i="28" s="1"/>
  <c r="W48" i="28"/>
  <c r="F48" i="28"/>
  <c r="N48" i="28" l="1"/>
  <c r="B49" i="28"/>
  <c r="C49" i="28"/>
  <c r="X48" i="28"/>
  <c r="G48" i="28"/>
  <c r="M49" i="28" l="1"/>
  <c r="D49" i="28" s="1"/>
  <c r="E49" i="28" s="1"/>
  <c r="R49" i="28"/>
  <c r="S49" i="28" s="1"/>
  <c r="W49" i="28"/>
  <c r="F49" i="28"/>
  <c r="N49" i="28" l="1"/>
  <c r="B50" i="28"/>
  <c r="C50" i="28"/>
  <c r="M50" i="28"/>
  <c r="D50" i="28" s="1"/>
  <c r="R50" i="28"/>
  <c r="S50" i="28" s="1"/>
  <c r="W50" i="28"/>
  <c r="X49" i="28"/>
  <c r="G49" i="28"/>
  <c r="N50" i="28" l="1"/>
  <c r="E50" i="28"/>
  <c r="B51" i="28"/>
  <c r="C51" i="28"/>
  <c r="M51" i="28"/>
  <c r="D51" i="28" s="1"/>
  <c r="R51" i="28"/>
  <c r="S51" i="28" s="1"/>
  <c r="W51" i="28"/>
  <c r="G50" i="28"/>
  <c r="F50" i="28"/>
  <c r="E51" i="28" l="1"/>
  <c r="N51" i="28"/>
  <c r="B52" i="28"/>
  <c r="C52" i="28"/>
  <c r="X50" i="28"/>
  <c r="F51" i="28"/>
  <c r="M52" i="28" l="1"/>
  <c r="D52" i="28" s="1"/>
  <c r="E52" i="28" s="1"/>
  <c r="R52" i="28"/>
  <c r="S52" i="28" s="1"/>
  <c r="W52" i="28"/>
  <c r="G51" i="28"/>
  <c r="X51" i="28"/>
  <c r="F52" i="28"/>
  <c r="N52" i="28" l="1"/>
  <c r="B53" i="28"/>
  <c r="C53" i="28"/>
  <c r="G52" i="28"/>
  <c r="X52" i="28"/>
  <c r="M53" i="28" l="1"/>
  <c r="D53" i="28" s="1"/>
  <c r="E53" i="28" s="1"/>
  <c r="R53" i="28"/>
  <c r="S53" i="28" s="1"/>
  <c r="W53" i="28"/>
  <c r="F53" i="28"/>
  <c r="N53" i="28" l="1"/>
  <c r="B54" i="28"/>
  <c r="C54" i="28"/>
  <c r="G53" i="28"/>
  <c r="X53" i="28"/>
  <c r="M54" i="28" l="1"/>
  <c r="D54" i="28" s="1"/>
  <c r="E54" i="28" s="1"/>
  <c r="R54" i="28"/>
  <c r="S54" i="28" s="1"/>
  <c r="W54" i="28"/>
  <c r="F54" i="28"/>
  <c r="N54" i="28" l="1"/>
  <c r="B55" i="28"/>
  <c r="C55" i="28"/>
  <c r="X54" i="28"/>
  <c r="G54" i="28"/>
  <c r="M55" i="28" l="1"/>
  <c r="D55" i="28" s="1"/>
  <c r="E55" i="28" s="1"/>
  <c r="R55" i="28"/>
  <c r="S55" i="28" s="1"/>
  <c r="W55" i="28"/>
  <c r="F55" i="28"/>
  <c r="N55" i="28" l="1"/>
  <c r="B56" i="28"/>
  <c r="C56" i="28"/>
  <c r="X55" i="28"/>
  <c r="G55" i="28"/>
  <c r="M56" i="28" l="1"/>
  <c r="D56" i="28" s="1"/>
  <c r="E56" i="28" s="1"/>
  <c r="R56" i="28"/>
  <c r="S56" i="28" s="1"/>
  <c r="W56" i="28"/>
  <c r="F56" i="28"/>
  <c r="N56" i="28" l="1"/>
  <c r="B57" i="28"/>
  <c r="C57" i="28"/>
  <c r="G56" i="28"/>
  <c r="X56" i="28"/>
  <c r="M57" i="28" l="1"/>
  <c r="D57" i="28" s="1"/>
  <c r="E57" i="28" s="1"/>
  <c r="R57" i="28"/>
  <c r="S57" i="28" s="1"/>
  <c r="W57" i="28"/>
  <c r="F57" i="28"/>
  <c r="N57" i="28" l="1"/>
  <c r="B58" i="28"/>
  <c r="C58" i="28"/>
  <c r="X57" i="28"/>
  <c r="G57" i="28"/>
  <c r="M58" i="28" l="1"/>
  <c r="D58" i="28" s="1"/>
  <c r="E58" i="28" s="1"/>
  <c r="R58" i="28"/>
  <c r="S58" i="28" s="1"/>
  <c r="W58" i="28"/>
  <c r="F58" i="28"/>
  <c r="N58" i="28" l="1"/>
  <c r="O5" i="28" s="1" a="1"/>
  <c r="O2" i="27"/>
  <c r="G58" i="28"/>
  <c r="X58" i="28"/>
  <c r="O4" i="27"/>
  <c r="O5" i="28" l="1"/>
  <c r="O6" i="28"/>
  <c r="O7" i="28"/>
  <c r="O8" i="28"/>
  <c r="O9" i="28"/>
  <c r="O10" i="28"/>
  <c r="O11" i="28"/>
  <c r="O12" i="28"/>
  <c r="O13" i="28"/>
  <c r="O14" i="28"/>
  <c r="O15" i="28"/>
  <c r="O16" i="28"/>
  <c r="O17" i="28"/>
  <c r="O18" i="28"/>
  <c r="O19" i="28"/>
  <c r="O20" i="28"/>
  <c r="O21" i="28"/>
  <c r="O22" i="28"/>
  <c r="O23" i="28"/>
  <c r="O24" i="28"/>
  <c r="O25" i="28"/>
  <c r="O26" i="28"/>
  <c r="O27" i="28"/>
  <c r="O28" i="28"/>
  <c r="O29" i="28"/>
  <c r="O30" i="28"/>
  <c r="O31" i="28"/>
  <c r="O32" i="28"/>
  <c r="O33" i="28"/>
  <c r="O34" i="28"/>
  <c r="O35" i="28"/>
  <c r="O36" i="28"/>
  <c r="O37" i="28"/>
  <c r="O38" i="28"/>
  <c r="O39" i="28"/>
  <c r="O40" i="28"/>
  <c r="O41" i="28"/>
  <c r="O42" i="28"/>
  <c r="O43" i="28"/>
  <c r="O44" i="28"/>
  <c r="O45" i="28"/>
  <c r="O46" i="28"/>
  <c r="O47" i="28"/>
  <c r="O48" i="28"/>
  <c r="O49" i="28"/>
  <c r="O50" i="28"/>
  <c r="O51" i="28"/>
  <c r="O52" i="28"/>
  <c r="O53" i="28"/>
  <c r="O54" i="28"/>
  <c r="O55" i="28"/>
  <c r="O56" i="28"/>
  <c r="O57" i="28"/>
  <c r="O58" i="28"/>
  <c r="B5" i="27"/>
  <c r="E5" i="27" s="1"/>
  <c r="N5" i="27"/>
  <c r="O5" i="27" s="1"/>
  <c r="R5" i="27"/>
  <c r="S5" i="27" s="1"/>
  <c r="W5" i="27" a="1"/>
  <c r="W5" i="27" s="1"/>
  <c r="B6" i="27"/>
  <c r="E6" i="27" s="1"/>
  <c r="N6" i="27"/>
  <c r="O6" i="27" s="1"/>
  <c r="R6" i="27"/>
  <c r="S6" i="27" s="1"/>
  <c r="B7" i="27"/>
  <c r="E7" i="27" s="1"/>
  <c r="N7" i="27"/>
  <c r="O7" i="27" s="1"/>
  <c r="R7" i="27"/>
  <c r="S7" i="27" s="1"/>
  <c r="B8" i="27"/>
  <c r="E8" i="27" s="1"/>
  <c r="N8" i="27"/>
  <c r="O8" i="27" s="1"/>
  <c r="R8" i="27"/>
  <c r="S8" i="27" s="1"/>
  <c r="B9" i="27"/>
  <c r="E9" i="27" s="1"/>
  <c r="N9" i="27"/>
  <c r="O9" i="27" s="1"/>
  <c r="R9" i="27"/>
  <c r="S9" i="27" s="1"/>
  <c r="B10" i="27"/>
  <c r="E10" i="27" s="1"/>
  <c r="N10" i="27"/>
  <c r="O10" i="27" s="1"/>
  <c r="R10" i="27"/>
  <c r="S10" i="27" s="1"/>
  <c r="B11" i="27"/>
  <c r="E11" i="27" s="1"/>
  <c r="N11" i="27"/>
  <c r="O11" i="27" s="1"/>
  <c r="R11" i="27"/>
  <c r="S11" i="27" s="1"/>
  <c r="B12" i="27"/>
  <c r="E12" i="27" s="1"/>
  <c r="N12" i="27"/>
  <c r="O12" i="27" s="1"/>
  <c r="R12" i="27"/>
  <c r="S12" i="27" s="1"/>
  <c r="B13" i="27"/>
  <c r="E13" i="27" s="1"/>
  <c r="N13" i="27"/>
  <c r="O13" i="27" s="1"/>
  <c r="R13" i="27"/>
  <c r="S13" i="27" s="1"/>
  <c r="B14" i="27"/>
  <c r="E14" i="27" s="1"/>
  <c r="N14" i="27"/>
  <c r="O14" i="27" s="1"/>
  <c r="R14" i="27"/>
  <c r="S14" i="27" s="1"/>
  <c r="B15" i="27"/>
  <c r="E15" i="27" s="1"/>
  <c r="N15" i="27"/>
  <c r="O15" i="27" s="1"/>
  <c r="R15" i="27"/>
  <c r="S15" i="27" s="1"/>
  <c r="B16" i="27"/>
  <c r="E16" i="27" s="1"/>
  <c r="N16" i="27"/>
  <c r="O16" i="27" s="1"/>
  <c r="R16" i="27"/>
  <c r="S16" i="27" s="1"/>
  <c r="B17" i="27"/>
  <c r="E17" i="27" s="1"/>
  <c r="N17" i="27"/>
  <c r="O17" i="27" s="1"/>
  <c r="R17" i="27"/>
  <c r="S17" i="27" s="1"/>
  <c r="B18" i="27"/>
  <c r="E18" i="27" s="1"/>
  <c r="N18" i="27"/>
  <c r="O18" i="27" s="1"/>
  <c r="R18" i="27"/>
  <c r="S18" i="27" s="1"/>
  <c r="B19" i="27"/>
  <c r="E19" i="27" s="1"/>
  <c r="N19" i="27"/>
  <c r="O19" i="27" s="1"/>
  <c r="R19" i="27"/>
  <c r="S19" i="27" s="1"/>
  <c r="B20" i="27"/>
  <c r="E20" i="27" s="1"/>
  <c r="N20" i="27"/>
  <c r="O20" i="27" s="1"/>
  <c r="R20" i="27"/>
  <c r="S20" i="27" s="1"/>
  <c r="B21" i="27"/>
  <c r="E21" i="27" s="1"/>
  <c r="N21" i="27"/>
  <c r="O21" i="27" s="1"/>
  <c r="R21" i="27"/>
  <c r="S21" i="27" s="1"/>
  <c r="B22" i="27"/>
  <c r="E22" i="27" s="1"/>
  <c r="N22" i="27"/>
  <c r="O22" i="27" s="1"/>
  <c r="R22" i="27"/>
  <c r="S22" i="27" s="1"/>
  <c r="B23" i="27"/>
  <c r="E23" i="27" s="1"/>
  <c r="N23" i="27"/>
  <c r="O23" i="27" s="1"/>
  <c r="R23" i="27"/>
  <c r="S23" i="27" s="1"/>
  <c r="B24" i="27"/>
  <c r="E24" i="27" s="1"/>
  <c r="N24" i="27"/>
  <c r="O24" i="27" s="1"/>
  <c r="R24" i="27"/>
  <c r="S24" i="27" s="1"/>
  <c r="B25" i="27"/>
  <c r="E25" i="27" s="1"/>
  <c r="N25" i="27"/>
  <c r="O25" i="27" s="1"/>
  <c r="R25" i="27"/>
  <c r="S25" i="27" s="1"/>
  <c r="B26" i="27"/>
  <c r="E26" i="27" s="1"/>
  <c r="N26" i="27"/>
  <c r="O26" i="27" s="1"/>
  <c r="R26" i="27"/>
  <c r="S26" i="27" s="1"/>
  <c r="B27" i="27"/>
  <c r="E27" i="27" s="1"/>
  <c r="N27" i="27"/>
  <c r="O27" i="27" s="1"/>
  <c r="R27" i="27"/>
  <c r="S27" i="27" s="1"/>
  <c r="B28" i="27"/>
  <c r="E28" i="27" s="1"/>
  <c r="N28" i="27"/>
  <c r="O28" i="27" s="1"/>
  <c r="R28" i="27"/>
  <c r="S28" i="27" s="1"/>
  <c r="B29" i="27"/>
  <c r="E29" i="27" s="1"/>
  <c r="N29" i="27"/>
  <c r="O29" i="27" s="1"/>
  <c r="R29" i="27"/>
  <c r="S29" i="27" s="1"/>
  <c r="B30" i="27"/>
  <c r="E30" i="27" s="1"/>
  <c r="N30" i="27"/>
  <c r="O30" i="27" s="1"/>
  <c r="R30" i="27"/>
  <c r="S30" i="27" s="1"/>
  <c r="B31" i="27"/>
  <c r="E31" i="27" s="1"/>
  <c r="N31" i="27"/>
  <c r="O31" i="27" s="1"/>
  <c r="R31" i="27"/>
  <c r="S31" i="27" s="1"/>
  <c r="B32" i="27"/>
  <c r="E32" i="27" s="1"/>
  <c r="N32" i="27"/>
  <c r="O32" i="27" s="1"/>
  <c r="R32" i="27"/>
  <c r="S32" i="27" s="1"/>
  <c r="B33" i="27"/>
  <c r="E33" i="27" s="1"/>
  <c r="N33" i="27"/>
  <c r="O33" i="27" s="1"/>
  <c r="R33" i="27"/>
  <c r="S33" i="27" s="1"/>
  <c r="B34" i="27"/>
  <c r="E34" i="27" s="1"/>
  <c r="N34" i="27"/>
  <c r="O34" i="27" s="1"/>
  <c r="R34" i="27"/>
  <c r="S34" i="27" s="1"/>
  <c r="B35" i="27"/>
  <c r="E35" i="27" s="1"/>
  <c r="N35" i="27"/>
  <c r="O35" i="27" s="1"/>
  <c r="R35" i="27"/>
  <c r="S35" i="27" s="1"/>
  <c r="B36" i="27"/>
  <c r="E36" i="27" s="1"/>
  <c r="N36" i="27"/>
  <c r="O36" i="27" s="1"/>
  <c r="R36" i="27"/>
  <c r="S36" i="27" s="1"/>
  <c r="B37" i="27"/>
  <c r="E37" i="27" s="1"/>
  <c r="N37" i="27"/>
  <c r="O37" i="27" s="1"/>
  <c r="R37" i="27"/>
  <c r="S37" i="27" s="1"/>
  <c r="B38" i="27"/>
  <c r="E38" i="27" s="1"/>
  <c r="N38" i="27"/>
  <c r="O38" i="27" s="1"/>
  <c r="R38" i="27"/>
  <c r="S38" i="27" s="1"/>
  <c r="B39" i="27"/>
  <c r="E39" i="27"/>
  <c r="N39" i="27"/>
  <c r="O39" i="27" s="1"/>
  <c r="R39" i="27"/>
  <c r="S39" i="27" s="1"/>
  <c r="B40" i="27"/>
  <c r="E40" i="27" s="1"/>
  <c r="N40" i="27"/>
  <c r="O40" i="27" s="1"/>
  <c r="R40" i="27"/>
  <c r="S40" i="27" s="1"/>
  <c r="P2" i="26"/>
  <c r="C5" i="26"/>
  <c r="D5" i="26"/>
  <c r="O5" i="26"/>
  <c r="T5" i="26"/>
  <c r="U5" i="26" s="1"/>
  <c r="Y5" i="26" a="1"/>
  <c r="Y5" i="26" s="1"/>
  <c r="C6" i="26"/>
  <c r="D6" i="26"/>
  <c r="O6" i="26"/>
  <c r="T6" i="26"/>
  <c r="U6" i="26" s="1"/>
  <c r="E5" i="26"/>
  <c r="F33" i="27"/>
  <c r="F34" i="27"/>
  <c r="F25" i="27"/>
  <c r="F27" i="27"/>
  <c r="F28" i="27"/>
  <c r="F35" i="27"/>
  <c r="F38" i="27"/>
  <c r="P4" i="26"/>
  <c r="F18" i="27"/>
  <c r="F29" i="27"/>
  <c r="F40" i="27"/>
  <c r="F39" i="27"/>
  <c r="F23" i="27"/>
  <c r="F20" i="27"/>
  <c r="F26" i="27"/>
  <c r="W8" i="27" l="1"/>
  <c r="Y6" i="26"/>
  <c r="F5" i="26"/>
  <c r="W14" i="27"/>
  <c r="W9" i="27"/>
  <c r="W40" i="27"/>
  <c r="W39" i="27"/>
  <c r="W38" i="27"/>
  <c r="W37" i="27"/>
  <c r="W36" i="27"/>
  <c r="W35" i="27"/>
  <c r="W34" i="27"/>
  <c r="W33" i="27"/>
  <c r="W32" i="27"/>
  <c r="W31" i="27"/>
  <c r="W30" i="27"/>
  <c r="W29" i="27"/>
  <c r="W28" i="27"/>
  <c r="W27" i="27"/>
  <c r="W26" i="27"/>
  <c r="W25" i="27"/>
  <c r="W24" i="27"/>
  <c r="W23" i="27"/>
  <c r="W22" i="27"/>
  <c r="W16" i="27"/>
  <c r="W13" i="27"/>
  <c r="W11" i="27"/>
  <c r="W10" i="27"/>
  <c r="W7" i="27"/>
  <c r="W15" i="27"/>
  <c r="W12" i="27"/>
  <c r="W6" i="27"/>
  <c r="W18" i="27"/>
  <c r="W17" i="27"/>
  <c r="W19" i="27"/>
  <c r="W21" i="27"/>
  <c r="W20" i="27"/>
  <c r="C7" i="26"/>
  <c r="D7" i="26"/>
  <c r="O7" i="26"/>
  <c r="T7" i="26"/>
  <c r="U7" i="26" s="1"/>
  <c r="Y7" i="26"/>
  <c r="F12" i="27"/>
  <c r="X27" i="27"/>
  <c r="G20" i="27"/>
  <c r="F30" i="27"/>
  <c r="X29" i="27"/>
  <c r="F9" i="27"/>
  <c r="X9" i="27"/>
  <c r="F5" i="27"/>
  <c r="B5" i="26"/>
  <c r="G27" i="27"/>
  <c r="X25" i="27"/>
  <c r="G28" i="27"/>
  <c r="F17" i="27"/>
  <c r="G26" i="27"/>
  <c r="X38" i="27"/>
  <c r="X18" i="27"/>
  <c r="F16" i="27"/>
  <c r="X23" i="27"/>
  <c r="F19" i="27"/>
  <c r="X34" i="27"/>
  <c r="F31" i="27"/>
  <c r="G23" i="27"/>
  <c r="X20" i="27"/>
  <c r="F15" i="27"/>
  <c r="X35" i="27"/>
  <c r="X33" i="27"/>
  <c r="G38" i="27"/>
  <c r="F8" i="27"/>
  <c r="F13" i="27"/>
  <c r="G34" i="27"/>
  <c r="G33" i="27"/>
  <c r="F32" i="27"/>
  <c r="X39" i="27"/>
  <c r="F36" i="27"/>
  <c r="G18" i="27"/>
  <c r="G39" i="27"/>
  <c r="F24" i="27"/>
  <c r="F7" i="27"/>
  <c r="X28" i="27"/>
  <c r="F21" i="27"/>
  <c r="X40" i="27"/>
  <c r="G5" i="26"/>
  <c r="F10" i="27"/>
  <c r="X26" i="27"/>
  <c r="F22" i="27"/>
  <c r="G29" i="27"/>
  <c r="F14" i="27"/>
  <c r="G25" i="27"/>
  <c r="X21" i="27"/>
  <c r="F37" i="27"/>
  <c r="G40" i="27"/>
  <c r="G35" i="27"/>
  <c r="F11" i="27"/>
  <c r="F6" i="27"/>
  <c r="C8" i="26" l="1"/>
  <c r="D8" i="26"/>
  <c r="O8" i="26"/>
  <c r="T8" i="26"/>
  <c r="U8" i="26" s="1"/>
  <c r="Y8" i="26"/>
  <c r="X36" i="27"/>
  <c r="X5" i="27"/>
  <c r="G37" i="27"/>
  <c r="X10" i="27"/>
  <c r="G30" i="27"/>
  <c r="G17" i="27"/>
  <c r="G8" i="27"/>
  <c r="E6" i="26"/>
  <c r="G10" i="27"/>
  <c r="X17" i="27"/>
  <c r="X8" i="27"/>
  <c r="X7" i="27"/>
  <c r="Z5" i="26"/>
  <c r="X24" i="27"/>
  <c r="X15" i="27"/>
  <c r="X30" i="27"/>
  <c r="G6" i="27"/>
  <c r="X13" i="27"/>
  <c r="X31" i="27"/>
  <c r="X11" i="27"/>
  <c r="G15" i="27"/>
  <c r="G13" i="27"/>
  <c r="X6" i="27"/>
  <c r="X32" i="27"/>
  <c r="X37" i="27"/>
  <c r="G5" i="27"/>
  <c r="G32" i="27"/>
  <c r="G16" i="27"/>
  <c r="G24" i="27"/>
  <c r="G21" i="27"/>
  <c r="G14" i="27"/>
  <c r="G19" i="27"/>
  <c r="X14" i="27"/>
  <c r="G31" i="27"/>
  <c r="G7" i="27"/>
  <c r="G22" i="27"/>
  <c r="X22" i="27"/>
  <c r="G11" i="27"/>
  <c r="G12" i="27"/>
  <c r="G9" i="27"/>
  <c r="G36" i="27"/>
  <c r="X16" i="27"/>
  <c r="X12" i="27"/>
  <c r="X19" i="27"/>
  <c r="H5" i="26"/>
  <c r="F6" i="26" l="1"/>
  <c r="C9" i="26"/>
  <c r="D9" i="26"/>
  <c r="O9" i="26"/>
  <c r="T9" i="26"/>
  <c r="U9" i="26" s="1"/>
  <c r="Y9" i="26"/>
  <c r="B6" i="26"/>
  <c r="G6" i="26"/>
  <c r="C10" i="26" l="1"/>
  <c r="D10" i="26"/>
  <c r="O10" i="26"/>
  <c r="T10" i="26"/>
  <c r="U10" i="26" s="1"/>
  <c r="Y10" i="26"/>
  <c r="Z6" i="26"/>
  <c r="E7" i="26"/>
  <c r="H6" i="26"/>
  <c r="F7" i="26" l="1"/>
  <c r="C11" i="26"/>
  <c r="D11" i="26"/>
  <c r="O11" i="26"/>
  <c r="T11" i="26"/>
  <c r="U11" i="26" s="1"/>
  <c r="Y11" i="26"/>
  <c r="H7" i="26"/>
  <c r="Z7" i="26"/>
  <c r="B7" i="26"/>
  <c r="G7" i="26"/>
  <c r="C12" i="26" l="1"/>
  <c r="D12" i="26"/>
  <c r="O12" i="26"/>
  <c r="T12" i="26"/>
  <c r="U12" i="26" s="1"/>
  <c r="Y12" i="26"/>
  <c r="E8" i="26"/>
  <c r="F8" i="26" l="1"/>
  <c r="C13" i="26"/>
  <c r="D13" i="26"/>
  <c r="O13" i="26"/>
  <c r="T13" i="26"/>
  <c r="U13" i="26" s="1"/>
  <c r="Y13" i="26"/>
  <c r="G8" i="26"/>
  <c r="B8" i="26"/>
  <c r="C14" i="26" l="1"/>
  <c r="D14" i="26"/>
  <c r="O14" i="26"/>
  <c r="T14" i="26"/>
  <c r="U14" i="26" s="1"/>
  <c r="Y14" i="26"/>
  <c r="H8" i="26"/>
  <c r="Z8" i="26"/>
  <c r="B9" i="26"/>
  <c r="E9" i="26"/>
  <c r="F9" i="26" l="1"/>
  <c r="C15" i="26"/>
  <c r="D15" i="26"/>
  <c r="O15" i="26"/>
  <c r="T15" i="26"/>
  <c r="U15" i="26" s="1"/>
  <c r="Y15" i="26"/>
  <c r="E10" i="26"/>
  <c r="G9" i="26"/>
  <c r="F10" i="26" l="1"/>
  <c r="C16" i="26"/>
  <c r="D16" i="26"/>
  <c r="O16" i="26"/>
  <c r="P5" i="26" s="1" a="1"/>
  <c r="P16" i="26" s="1"/>
  <c r="T16" i="26"/>
  <c r="U16" i="26" s="1"/>
  <c r="Y16" i="26"/>
  <c r="Z9" i="26"/>
  <c r="Z10" i="26"/>
  <c r="H9" i="26"/>
  <c r="G10" i="26"/>
  <c r="H10" i="26"/>
  <c r="B10" i="26"/>
  <c r="E11" i="26"/>
  <c r="F11" i="26" l="1"/>
  <c r="P5" i="26"/>
  <c r="P6" i="26"/>
  <c r="P7" i="26"/>
  <c r="P8" i="26"/>
  <c r="P9" i="26"/>
  <c r="P10" i="26"/>
  <c r="P11" i="26"/>
  <c r="P12" i="26"/>
  <c r="P13" i="26"/>
  <c r="P14" i="26"/>
  <c r="P15" i="26"/>
  <c r="Q2" i="25"/>
  <c r="P5" i="25"/>
  <c r="U5" i="25"/>
  <c r="V5" i="25" s="1"/>
  <c r="Z5" i="25" a="1"/>
  <c r="Z5" i="25" s="1"/>
  <c r="B11" i="26"/>
  <c r="Q4" i="25"/>
  <c r="G11" i="26"/>
  <c r="H11" i="26"/>
  <c r="D5" i="25"/>
  <c r="G5" i="25"/>
  <c r="F5" i="25" l="1"/>
  <c r="E5" i="25"/>
  <c r="P6" i="25"/>
  <c r="U6" i="25"/>
  <c r="V6" i="25" s="1"/>
  <c r="Z6" i="25"/>
  <c r="D6" i="25"/>
  <c r="AA5" i="25"/>
  <c r="E12" i="26"/>
  <c r="B13" i="26"/>
  <c r="G6" i="25"/>
  <c r="Z11" i="26"/>
  <c r="F12" i="26" l="1"/>
  <c r="F6" i="25"/>
  <c r="E6" i="25"/>
  <c r="P7" i="25"/>
  <c r="U7" i="25"/>
  <c r="V7" i="25" s="1"/>
  <c r="Z7" i="25"/>
  <c r="D7" i="25"/>
  <c r="E14" i="26"/>
  <c r="Z13" i="26"/>
  <c r="B12" i="26"/>
  <c r="Z12" i="26"/>
  <c r="G12" i="26"/>
  <c r="AA6" i="25"/>
  <c r="H12" i="26"/>
  <c r="G7" i="25"/>
  <c r="H13" i="26"/>
  <c r="F14" i="26" l="1"/>
  <c r="E7" i="25"/>
  <c r="F7" i="25"/>
  <c r="P8" i="25"/>
  <c r="U8" i="25"/>
  <c r="V8" i="25" s="1"/>
  <c r="Z8" i="25"/>
  <c r="AA7" i="25"/>
  <c r="E13" i="26"/>
  <c r="G8" i="25"/>
  <c r="B14" i="26"/>
  <c r="B15" i="26"/>
  <c r="D8" i="25"/>
  <c r="D9" i="25"/>
  <c r="G14" i="26"/>
  <c r="F13" i="26" l="1"/>
  <c r="E8" i="25"/>
  <c r="F8" i="25"/>
  <c r="E9" i="25"/>
  <c r="F9" i="25"/>
  <c r="P9" i="25"/>
  <c r="Q5" i="25" s="1" a="1"/>
  <c r="Q9" i="25" s="1"/>
  <c r="U9" i="25"/>
  <c r="V9" i="25" s="1"/>
  <c r="Z9" i="25"/>
  <c r="H14" i="26"/>
  <c r="Z14" i="26"/>
  <c r="H16" i="26"/>
  <c r="G13" i="26"/>
  <c r="Z15" i="26"/>
  <c r="H15" i="26"/>
  <c r="E15" i="26"/>
  <c r="AA8" i="25"/>
  <c r="G9" i="25"/>
  <c r="B16" i="26"/>
  <c r="E16" i="26"/>
  <c r="Z16" i="26"/>
  <c r="F15" i="26" l="1"/>
  <c r="F16" i="26"/>
  <c r="Q5" i="25"/>
  <c r="Q6" i="25"/>
  <c r="Q7" i="25"/>
  <c r="Q8" i="25"/>
  <c r="I1" i="24"/>
  <c r="I2" i="24"/>
  <c r="I3" i="24"/>
  <c r="AC5" i="24" a="1"/>
  <c r="AC5" i="24" s="1"/>
  <c r="R4" i="24"/>
  <c r="Q5" i="24" a="1"/>
  <c r="G15" i="26"/>
  <c r="X5" i="24"/>
  <c r="AA9" i="25"/>
  <c r="G16" i="26"/>
  <c r="Q5" i="24" l="1"/>
  <c r="Y5" i="24"/>
  <c r="Q6" i="24"/>
  <c r="AC6" i="24"/>
  <c r="X6" i="24"/>
  <c r="Y6" i="24" l="1"/>
  <c r="Q7" i="24"/>
  <c r="AC7" i="24"/>
  <c r="X7" i="24"/>
  <c r="Y7" i="24" l="1"/>
  <c r="Q8" i="24"/>
  <c r="AC8" i="24"/>
  <c r="X8" i="24"/>
  <c r="Y8" i="24" l="1"/>
  <c r="Q9" i="24"/>
  <c r="AC9" i="24"/>
  <c r="X9" i="24"/>
  <c r="Y9" i="24" l="1"/>
  <c r="Q10" i="24"/>
  <c r="AC10" i="24"/>
  <c r="X10" i="24"/>
  <c r="Y10" i="24" l="1"/>
  <c r="Q11" i="24"/>
  <c r="AC11" i="24"/>
  <c r="X11" i="24"/>
  <c r="Y11" i="24" l="1"/>
  <c r="Q12" i="24"/>
  <c r="AC12" i="24"/>
  <c r="X12" i="24"/>
  <c r="Y12" i="24" l="1"/>
  <c r="Q13" i="24"/>
  <c r="AC13" i="24"/>
  <c r="X13" i="24"/>
  <c r="Y13" i="24" l="1"/>
  <c r="Q14" i="24"/>
  <c r="AC14" i="24"/>
  <c r="X14" i="24"/>
  <c r="Y14" i="24" l="1"/>
  <c r="Q15" i="24"/>
  <c r="AC15" i="24"/>
  <c r="X15" i="24"/>
  <c r="Y15" i="24" l="1"/>
  <c r="Q16" i="24"/>
  <c r="AC16" i="24"/>
  <c r="X16" i="24"/>
  <c r="Y16" i="24" l="1"/>
  <c r="Q17" i="24"/>
  <c r="AC17" i="24"/>
  <c r="X17" i="24"/>
  <c r="Y17" i="24" l="1"/>
  <c r="Q18" i="24"/>
  <c r="AC18" i="24"/>
  <c r="X18" i="24"/>
  <c r="Y18" i="24" l="1"/>
  <c r="Q19" i="24"/>
  <c r="AC19" i="24"/>
  <c r="X19" i="24"/>
  <c r="Y19" i="24" l="1"/>
  <c r="Q20" i="24"/>
  <c r="AC20" i="24"/>
  <c r="X20" i="24"/>
  <c r="Y20" i="24" l="1"/>
  <c r="Q21" i="24"/>
  <c r="AC21" i="24"/>
  <c r="X21" i="24"/>
  <c r="Y21" i="24" l="1"/>
  <c r="Q22" i="24"/>
  <c r="AC22" i="24"/>
  <c r="X22" i="24"/>
  <c r="Y22" i="24" l="1"/>
  <c r="Q23" i="24"/>
  <c r="AC23" i="24"/>
  <c r="X23" i="24"/>
  <c r="Y23" i="24" l="1"/>
  <c r="Q24" i="24"/>
  <c r="AC24" i="24"/>
  <c r="X24" i="24"/>
  <c r="Y24" i="24" l="1"/>
  <c r="Q25" i="24"/>
  <c r="AC25" i="24"/>
  <c r="X25" i="24"/>
  <c r="Y25" i="24" l="1"/>
  <c r="Q26" i="24"/>
  <c r="AC26" i="24"/>
  <c r="X26" i="24"/>
  <c r="Y26" i="24" l="1"/>
  <c r="Q27" i="24"/>
  <c r="AC27" i="24"/>
  <c r="X27" i="24"/>
  <c r="Y27" i="24" l="1"/>
  <c r="Q28" i="24"/>
  <c r="AC28" i="24"/>
  <c r="X28" i="24"/>
  <c r="Y28" i="24" l="1"/>
  <c r="Q29" i="24"/>
  <c r="AC29" i="24"/>
  <c r="X29" i="24"/>
  <c r="Y29" i="24" l="1"/>
  <c r="Q30" i="24"/>
  <c r="AC30" i="24"/>
  <c r="X30" i="24"/>
  <c r="Y30" i="24" l="1"/>
  <c r="Q31" i="24"/>
  <c r="AC31" i="24"/>
  <c r="X31" i="24"/>
  <c r="Y31" i="24" l="1"/>
  <c r="Q32" i="24"/>
  <c r="AC32" i="24"/>
  <c r="X32" i="24"/>
  <c r="Y32" i="24" l="1"/>
  <c r="Q33" i="24"/>
  <c r="AC33" i="24"/>
  <c r="X33" i="24"/>
  <c r="Y33" i="24" l="1"/>
  <c r="Q34" i="24"/>
  <c r="AC34" i="24"/>
  <c r="X34" i="24"/>
  <c r="Y34" i="24" l="1"/>
  <c r="Q35" i="24"/>
  <c r="AC35" i="24"/>
  <c r="X35" i="24"/>
  <c r="Y35" i="24" l="1"/>
  <c r="Q36" i="24"/>
  <c r="AC36" i="24"/>
  <c r="X36" i="24"/>
  <c r="Y36" i="24" l="1"/>
  <c r="Q37" i="24"/>
  <c r="AC37" i="24"/>
  <c r="X37" i="24"/>
  <c r="Y37" i="24" l="1"/>
  <c r="Q38" i="24"/>
  <c r="AC38" i="24"/>
  <c r="X38" i="24"/>
  <c r="Y38" i="24" l="1"/>
  <c r="Q39" i="24"/>
  <c r="AC39" i="24"/>
  <c r="X39" i="24"/>
  <c r="Y39" i="24" l="1"/>
  <c r="Q40" i="24"/>
  <c r="AC40" i="24"/>
  <c r="X40" i="24"/>
  <c r="Y40" i="24" l="1"/>
  <c r="Q41" i="24"/>
  <c r="AC41" i="24"/>
  <c r="X41" i="24"/>
  <c r="Y41" i="24" l="1"/>
  <c r="Q42" i="24"/>
  <c r="AC42" i="24"/>
  <c r="X42" i="24"/>
  <c r="Y42" i="24" l="1"/>
  <c r="Q43" i="24"/>
  <c r="AC43" i="24"/>
  <c r="X43" i="24"/>
  <c r="Y43" i="24" l="1"/>
  <c r="Q44" i="24"/>
  <c r="AC44" i="24"/>
  <c r="X44" i="24"/>
  <c r="Y44" i="24" l="1"/>
  <c r="Q45" i="24"/>
  <c r="AC45" i="24"/>
  <c r="X45" i="24"/>
  <c r="Y45" i="24" l="1"/>
  <c r="Q46" i="24"/>
  <c r="AC46" i="24"/>
  <c r="X46" i="24"/>
  <c r="L4" i="23"/>
  <c r="Y46" i="24" l="1"/>
  <c r="B5" i="23"/>
  <c r="K5" i="23"/>
  <c r="L5" i="23" s="1"/>
  <c r="T5" i="23" a="1"/>
  <c r="T5" i="23" s="1"/>
  <c r="B6" i="23"/>
  <c r="O2" i="22"/>
  <c r="B5" i="22"/>
  <c r="C5" i="22"/>
  <c r="D5" i="22"/>
  <c r="N5" i="22"/>
  <c r="W5" i="22" a="1"/>
  <c r="W5" i="22" s="1"/>
  <c r="C5" i="23"/>
  <c r="O4" i="22"/>
  <c r="R5" i="22"/>
  <c r="C6" i="23"/>
  <c r="T6" i="23" l="1"/>
  <c r="E5" i="22"/>
  <c r="S5" i="22"/>
  <c r="B6" i="22"/>
  <c r="C6" i="22"/>
  <c r="D6" i="22"/>
  <c r="N6" i="22"/>
  <c r="W6" i="22"/>
  <c r="R6" i="22"/>
  <c r="D6" i="23"/>
  <c r="D5" i="23"/>
  <c r="U5" i="23"/>
  <c r="F5" i="22"/>
  <c r="U6" i="23"/>
  <c r="E6" i="22" l="1"/>
  <c r="S6" i="22"/>
  <c r="B7" i="22"/>
  <c r="C7" i="22"/>
  <c r="D7" i="22"/>
  <c r="N7" i="22"/>
  <c r="W7" i="22"/>
  <c r="X5" i="22"/>
  <c r="F6" i="22"/>
  <c r="G5" i="22"/>
  <c r="R7" i="22"/>
  <c r="U2" i="23"/>
  <c r="E7" i="22" l="1"/>
  <c r="S7" i="22"/>
  <c r="B8" i="22"/>
  <c r="C8" i="22"/>
  <c r="D8" i="22"/>
  <c r="N8" i="22"/>
  <c r="W8" i="22"/>
  <c r="G6" i="22"/>
  <c r="X6" i="22"/>
  <c r="X7" i="22"/>
  <c r="G7" i="22"/>
  <c r="R8" i="22"/>
  <c r="F7" i="22"/>
  <c r="E8" i="22" l="1"/>
  <c r="S8" i="22"/>
  <c r="B9" i="22"/>
  <c r="C9" i="22"/>
  <c r="D9" i="22"/>
  <c r="N9" i="22"/>
  <c r="W9" i="22"/>
  <c r="X8" i="22"/>
  <c r="R9" i="22"/>
  <c r="G8" i="22"/>
  <c r="F8" i="22"/>
  <c r="E9" i="22" l="1"/>
  <c r="S9" i="22"/>
  <c r="B10" i="22"/>
  <c r="C10" i="22"/>
  <c r="D10" i="22"/>
  <c r="N10" i="22"/>
  <c r="W10" i="22"/>
  <c r="R10" i="22"/>
  <c r="F9" i="22"/>
  <c r="E10" i="22" l="1"/>
  <c r="S10" i="22"/>
  <c r="B11" i="22"/>
  <c r="C11" i="22"/>
  <c r="D11" i="22"/>
  <c r="N11" i="22"/>
  <c r="W11" i="22"/>
  <c r="X10" i="22"/>
  <c r="F10" i="22"/>
  <c r="R11" i="22"/>
  <c r="G9" i="22"/>
  <c r="X9" i="22"/>
  <c r="E11" i="22" l="1"/>
  <c r="S11" i="22"/>
  <c r="B12" i="22"/>
  <c r="C12" i="22"/>
  <c r="D12" i="22"/>
  <c r="N12" i="22"/>
  <c r="W12" i="22"/>
  <c r="G10" i="22"/>
  <c r="F11" i="22"/>
  <c r="R12" i="22"/>
  <c r="E12" i="22" l="1"/>
  <c r="S12" i="22"/>
  <c r="B13" i="22"/>
  <c r="C13" i="22"/>
  <c r="D13" i="22"/>
  <c r="N13" i="22"/>
  <c r="W13" i="22"/>
  <c r="G11" i="22"/>
  <c r="R13" i="22"/>
  <c r="F13" i="22"/>
  <c r="X11" i="22"/>
  <c r="F12" i="22"/>
  <c r="E13" i="22" l="1"/>
  <c r="S13" i="22"/>
  <c r="B14" i="22"/>
  <c r="C14" i="22"/>
  <c r="D14" i="22"/>
  <c r="N14" i="22"/>
  <c r="W14" i="22"/>
  <c r="X13" i="22"/>
  <c r="X12" i="22"/>
  <c r="G13" i="22"/>
  <c r="G12" i="22"/>
  <c r="R14" i="22"/>
  <c r="E14" i="22" l="1"/>
  <c r="S14" i="22"/>
  <c r="B15" i="22"/>
  <c r="C15" i="22"/>
  <c r="D15" i="22"/>
  <c r="N15" i="22"/>
  <c r="W15" i="22"/>
  <c r="R15" i="22"/>
  <c r="X14" i="22"/>
  <c r="F14" i="22"/>
  <c r="E15" i="22" l="1"/>
  <c r="S15" i="22"/>
  <c r="B16" i="22"/>
  <c r="C16" i="22"/>
  <c r="D16" i="22"/>
  <c r="N16" i="22"/>
  <c r="W16" i="22"/>
  <c r="G14" i="22"/>
  <c r="X15" i="22"/>
  <c r="R16" i="22"/>
  <c r="F15" i="22"/>
  <c r="E16" i="22" l="1"/>
  <c r="S16" i="22"/>
  <c r="B17" i="22"/>
  <c r="C17" i="22"/>
  <c r="D17" i="22"/>
  <c r="N17" i="22"/>
  <c r="W17" i="22"/>
  <c r="G15" i="22"/>
  <c r="F16" i="22"/>
  <c r="R17" i="22"/>
  <c r="E17" i="22" l="1"/>
  <c r="S17" i="22"/>
  <c r="B18" i="22"/>
  <c r="C18" i="22"/>
  <c r="D18" i="22"/>
  <c r="N18" i="22"/>
  <c r="W18" i="22"/>
  <c r="X16" i="22"/>
  <c r="F17" i="22"/>
  <c r="R18" i="22"/>
  <c r="G16" i="22"/>
  <c r="E18" i="22" l="1"/>
  <c r="S18" i="22"/>
  <c r="B19" i="22"/>
  <c r="C19" i="22"/>
  <c r="D19" i="22"/>
  <c r="N19" i="22"/>
  <c r="W19" i="22"/>
  <c r="F18" i="22"/>
  <c r="G17" i="22"/>
  <c r="R19" i="22"/>
  <c r="X17" i="22"/>
  <c r="E19" i="22" l="1"/>
  <c r="S19" i="22"/>
  <c r="B20" i="22"/>
  <c r="C20" i="22"/>
  <c r="D20" i="22"/>
  <c r="N20" i="22"/>
  <c r="W20" i="22"/>
  <c r="X18" i="22"/>
  <c r="R20" i="22"/>
  <c r="F19" i="22"/>
  <c r="G19" i="22"/>
  <c r="G18" i="22"/>
  <c r="E20" i="22" l="1"/>
  <c r="S20" i="22"/>
  <c r="B21" i="22"/>
  <c r="C21" i="22"/>
  <c r="D21" i="22"/>
  <c r="N21" i="22"/>
  <c r="W21" i="22"/>
  <c r="G20" i="22"/>
  <c r="F20" i="22"/>
  <c r="X20" i="22"/>
  <c r="R21" i="22"/>
  <c r="X19" i="22"/>
  <c r="E21" i="22" l="1"/>
  <c r="S21" i="22"/>
  <c r="B22" i="22"/>
  <c r="C22" i="22"/>
  <c r="D22" i="22"/>
  <c r="N22" i="22"/>
  <c r="W22" i="22"/>
  <c r="X21" i="22"/>
  <c r="F21" i="22"/>
  <c r="R22" i="22"/>
  <c r="E22" i="22" l="1"/>
  <c r="S22" i="22"/>
  <c r="B23" i="22"/>
  <c r="C23" i="22"/>
  <c r="D23" i="22"/>
  <c r="N23" i="22"/>
  <c r="W23" i="22"/>
  <c r="F22" i="22"/>
  <c r="R23" i="22"/>
  <c r="G21" i="22"/>
  <c r="E23" i="22" l="1"/>
  <c r="S23" i="22"/>
  <c r="B24" i="22"/>
  <c r="C24" i="22"/>
  <c r="D24" i="22"/>
  <c r="N24" i="22"/>
  <c r="W24" i="22"/>
  <c r="G22" i="22"/>
  <c r="X22" i="22"/>
  <c r="F23" i="22"/>
  <c r="X23" i="22"/>
  <c r="G23" i="22"/>
  <c r="R24" i="22"/>
  <c r="E24" i="22" l="1"/>
  <c r="S24" i="22"/>
  <c r="B25" i="22"/>
  <c r="C25" i="22"/>
  <c r="D25" i="22"/>
  <c r="N25" i="22"/>
  <c r="W25" i="22"/>
  <c r="X24" i="22"/>
  <c r="G24" i="22"/>
  <c r="R25" i="22"/>
  <c r="F24" i="22"/>
  <c r="E25" i="22" l="1"/>
  <c r="S25" i="22"/>
  <c r="B26" i="22"/>
  <c r="C26" i="22"/>
  <c r="D26" i="22"/>
  <c r="N26" i="22"/>
  <c r="W26" i="22"/>
  <c r="R26" i="22"/>
  <c r="F25" i="22"/>
  <c r="E26" i="22" l="1"/>
  <c r="S26" i="22"/>
  <c r="B27" i="22"/>
  <c r="C27" i="22"/>
  <c r="D27" i="22"/>
  <c r="N27" i="22"/>
  <c r="W27" i="22"/>
  <c r="X26" i="22"/>
  <c r="G25" i="22"/>
  <c r="G26" i="22"/>
  <c r="X25" i="22"/>
  <c r="F26" i="22"/>
  <c r="R27" i="22"/>
  <c r="E27" i="22" l="1"/>
  <c r="S27" i="22"/>
  <c r="B28" i="22"/>
  <c r="C28" i="22"/>
  <c r="D28" i="22"/>
  <c r="N28" i="22"/>
  <c r="W28" i="22"/>
  <c r="F27" i="22"/>
  <c r="G27" i="22"/>
  <c r="R28" i="22"/>
  <c r="E28" i="22" l="1"/>
  <c r="S28" i="22"/>
  <c r="B29" i="22"/>
  <c r="C29" i="22"/>
  <c r="D29" i="22"/>
  <c r="N29" i="22"/>
  <c r="W29" i="22"/>
  <c r="F28" i="22"/>
  <c r="G28" i="22"/>
  <c r="X28" i="22"/>
  <c r="R29" i="22"/>
  <c r="X27" i="22"/>
  <c r="E29" i="22" l="1"/>
  <c r="S29" i="22"/>
  <c r="B30" i="22"/>
  <c r="C30" i="22"/>
  <c r="D30" i="22"/>
  <c r="N30" i="22"/>
  <c r="W30" i="22"/>
  <c r="X29" i="22"/>
  <c r="R30" i="22"/>
  <c r="F29" i="22"/>
  <c r="G29" i="22"/>
  <c r="E30" i="22" l="1"/>
  <c r="S30" i="22"/>
  <c r="B31" i="22"/>
  <c r="C31" i="22"/>
  <c r="D31" i="22"/>
  <c r="N31" i="22"/>
  <c r="W31" i="22"/>
  <c r="R31" i="22"/>
  <c r="X30" i="22"/>
  <c r="F30" i="22"/>
  <c r="G30" i="22"/>
  <c r="E31" i="22" l="1"/>
  <c r="S31" i="22"/>
  <c r="B32" i="22"/>
  <c r="C32" i="22"/>
  <c r="D32" i="22"/>
  <c r="N32" i="22"/>
  <c r="W32" i="22"/>
  <c r="X31" i="22"/>
  <c r="F31" i="22"/>
  <c r="R32" i="22"/>
  <c r="E32" i="22" l="1"/>
  <c r="S32" i="22"/>
  <c r="B33" i="22"/>
  <c r="C33" i="22"/>
  <c r="D33" i="22"/>
  <c r="N33" i="22"/>
  <c r="W33" i="22"/>
  <c r="F32" i="22"/>
  <c r="G31" i="22"/>
  <c r="R33" i="22"/>
  <c r="E33" i="22" l="1"/>
  <c r="S33" i="22"/>
  <c r="B34" i="22"/>
  <c r="C34" i="22"/>
  <c r="D34" i="22"/>
  <c r="N34" i="22"/>
  <c r="W34" i="22"/>
  <c r="G32" i="22"/>
  <c r="R34" i="22"/>
  <c r="F33" i="22"/>
  <c r="X32" i="22"/>
  <c r="E34" i="22" l="1"/>
  <c r="S34" i="22"/>
  <c r="B35" i="22"/>
  <c r="C35" i="22"/>
  <c r="D35" i="22"/>
  <c r="N35" i="22"/>
  <c r="W35" i="22"/>
  <c r="X33" i="22"/>
  <c r="R35" i="22"/>
  <c r="F34" i="22"/>
  <c r="G33" i="22"/>
  <c r="E35" i="22" l="1"/>
  <c r="S35" i="22"/>
  <c r="B36" i="22"/>
  <c r="C36" i="22"/>
  <c r="D36" i="22"/>
  <c r="N36" i="22"/>
  <c r="W36" i="22"/>
  <c r="X34" i="22"/>
  <c r="R36" i="22"/>
  <c r="F35" i="22"/>
  <c r="G34" i="22"/>
  <c r="E36" i="22" l="1"/>
  <c r="S36" i="22"/>
  <c r="B37" i="22"/>
  <c r="C37" i="22"/>
  <c r="D37" i="22"/>
  <c r="N37" i="22"/>
  <c r="W37" i="22"/>
  <c r="F36" i="22"/>
  <c r="R37" i="22"/>
  <c r="X35" i="22"/>
  <c r="G35" i="22"/>
  <c r="E37" i="22" l="1"/>
  <c r="S37" i="22"/>
  <c r="B38" i="22"/>
  <c r="C38" i="22"/>
  <c r="D38" i="22"/>
  <c r="N38" i="22"/>
  <c r="W38" i="22"/>
  <c r="F37" i="22"/>
  <c r="R38" i="22"/>
  <c r="X36" i="22"/>
  <c r="G36" i="22"/>
  <c r="E38" i="22" l="1"/>
  <c r="S38" i="22"/>
  <c r="B39" i="22"/>
  <c r="C39" i="22"/>
  <c r="D39" i="22"/>
  <c r="N39" i="22"/>
  <c r="W39" i="22"/>
  <c r="R39" i="22"/>
  <c r="X37" i="22"/>
  <c r="G37" i="22"/>
  <c r="F38" i="22"/>
  <c r="E39" i="22" l="1"/>
  <c r="S39" i="22"/>
  <c r="B40" i="22"/>
  <c r="C40" i="22"/>
  <c r="D40" i="22"/>
  <c r="N40" i="22"/>
  <c r="W40" i="22"/>
  <c r="R40" i="22"/>
  <c r="X38" i="22"/>
  <c r="G38" i="22"/>
  <c r="F39" i="22"/>
  <c r="E40" i="22" l="1"/>
  <c r="S40" i="22"/>
  <c r="B41" i="22"/>
  <c r="C41" i="22"/>
  <c r="D41" i="22"/>
  <c r="N41" i="22"/>
  <c r="O5" i="22" s="1" a="1"/>
  <c r="O41" i="22" s="1"/>
  <c r="W41" i="22"/>
  <c r="X39" i="22"/>
  <c r="F40" i="22"/>
  <c r="G39" i="22"/>
  <c r="R41" i="22"/>
  <c r="E41" i="22" l="1"/>
  <c r="S41" i="22"/>
  <c r="O5" i="22"/>
  <c r="O6" i="22"/>
  <c r="O7" i="22"/>
  <c r="O8" i="22"/>
  <c r="O9" i="22"/>
  <c r="O10" i="22"/>
  <c r="O11" i="22"/>
  <c r="O12" i="22"/>
  <c r="O13" i="22"/>
  <c r="O14" i="22"/>
  <c r="O15" i="22"/>
  <c r="O16" i="22"/>
  <c r="O17" i="22"/>
  <c r="O18" i="22"/>
  <c r="O19" i="22"/>
  <c r="O20" i="22"/>
  <c r="O21" i="22"/>
  <c r="O22" i="22"/>
  <c r="O23" i="22"/>
  <c r="O24" i="22"/>
  <c r="O25" i="22"/>
  <c r="O26" i="22"/>
  <c r="O27" i="22"/>
  <c r="O28" i="22"/>
  <c r="O29" i="22"/>
  <c r="O30" i="22"/>
  <c r="O31" i="22"/>
  <c r="O32" i="22"/>
  <c r="O33" i="22"/>
  <c r="O34" i="22"/>
  <c r="O35" i="22"/>
  <c r="O36" i="22"/>
  <c r="O37" i="22"/>
  <c r="O38" i="22"/>
  <c r="O39" i="22"/>
  <c r="O40" i="22"/>
  <c r="O2" i="21"/>
  <c r="B5" i="21"/>
  <c r="C5" i="21"/>
  <c r="D5" i="21"/>
  <c r="N5" i="21"/>
  <c r="W5" i="21" a="1"/>
  <c r="W5" i="21" s="1"/>
  <c r="R5" i="21"/>
  <c r="X40" i="22"/>
  <c r="O4" i="21"/>
  <c r="G40" i="22"/>
  <c r="F41" i="22"/>
  <c r="E5" i="21" l="1"/>
  <c r="S5" i="21"/>
  <c r="B6" i="21"/>
  <c r="C6" i="21"/>
  <c r="D6" i="21"/>
  <c r="N6" i="21"/>
  <c r="W6" i="21"/>
  <c r="R6" i="21"/>
  <c r="X41" i="22"/>
  <c r="G41" i="22"/>
  <c r="F5" i="21"/>
  <c r="E6" i="21" l="1"/>
  <c r="S6" i="21"/>
  <c r="B7" i="21"/>
  <c r="C7" i="21"/>
  <c r="D7" i="21"/>
  <c r="N7" i="21"/>
  <c r="W7" i="21"/>
  <c r="G5" i="21"/>
  <c r="X5" i="21"/>
  <c r="R7" i="21"/>
  <c r="F6" i="21"/>
  <c r="E7" i="21" l="1"/>
  <c r="S7" i="21"/>
  <c r="B8" i="21"/>
  <c r="C8" i="21"/>
  <c r="D8" i="21"/>
  <c r="N8" i="21"/>
  <c r="W8" i="21"/>
  <c r="X6" i="21"/>
  <c r="F7" i="21"/>
  <c r="G6" i="21"/>
  <c r="R8" i="21"/>
  <c r="E8" i="21" l="1"/>
  <c r="S8" i="21"/>
  <c r="B9" i="21"/>
  <c r="C9" i="21"/>
  <c r="D9" i="21"/>
  <c r="N9" i="21"/>
  <c r="W9" i="21"/>
  <c r="X7" i="21"/>
  <c r="F8" i="21"/>
  <c r="R9" i="21"/>
  <c r="G7" i="21"/>
  <c r="E9" i="21" l="1"/>
  <c r="S9" i="21"/>
  <c r="B10" i="21"/>
  <c r="C10" i="21"/>
  <c r="D10" i="21"/>
  <c r="N10" i="21"/>
  <c r="W10" i="21"/>
  <c r="X8" i="21"/>
  <c r="F9" i="21"/>
  <c r="R10" i="21"/>
  <c r="G8" i="21"/>
  <c r="E10" i="21" l="1"/>
  <c r="S10" i="21"/>
  <c r="B11" i="21"/>
  <c r="C11" i="21"/>
  <c r="D11" i="21"/>
  <c r="N11" i="21"/>
  <c r="W11" i="21"/>
  <c r="X10" i="21"/>
  <c r="X9" i="21"/>
  <c r="F10" i="21"/>
  <c r="G9" i="21"/>
  <c r="R11" i="21"/>
  <c r="E11" i="21" l="1"/>
  <c r="S11" i="21"/>
  <c r="B12" i="21"/>
  <c r="C12" i="21"/>
  <c r="D12" i="21"/>
  <c r="N12" i="21"/>
  <c r="W12" i="21"/>
  <c r="F11" i="21"/>
  <c r="G10" i="21"/>
  <c r="R12" i="21"/>
  <c r="E12" i="21" l="1"/>
  <c r="S12" i="21"/>
  <c r="B13" i="21"/>
  <c r="C13" i="21"/>
  <c r="D13" i="21"/>
  <c r="N13" i="21"/>
  <c r="W13" i="21"/>
  <c r="R13" i="21"/>
  <c r="F12" i="21"/>
  <c r="X11" i="21"/>
  <c r="G11" i="21"/>
  <c r="E13" i="21" l="1"/>
  <c r="S13" i="21"/>
  <c r="B14" i="21"/>
  <c r="C14" i="21"/>
  <c r="D14" i="21"/>
  <c r="N14" i="21"/>
  <c r="W14" i="21"/>
  <c r="F13" i="21"/>
  <c r="G12" i="21"/>
  <c r="R14" i="21"/>
  <c r="X12" i="21"/>
  <c r="E14" i="21" l="1"/>
  <c r="S14" i="21"/>
  <c r="B15" i="21"/>
  <c r="C15" i="21"/>
  <c r="D15" i="21"/>
  <c r="N15" i="21"/>
  <c r="W15" i="21"/>
  <c r="F14" i="21"/>
  <c r="X13" i="21"/>
  <c r="G13" i="21"/>
  <c r="R15" i="21"/>
  <c r="X14" i="21"/>
  <c r="E15" i="21" l="1"/>
  <c r="S15" i="21"/>
  <c r="B16" i="21"/>
  <c r="C16" i="21"/>
  <c r="D16" i="21"/>
  <c r="N16" i="21"/>
  <c r="W16" i="21"/>
  <c r="G14" i="21"/>
  <c r="F15" i="21"/>
  <c r="R16" i="21"/>
  <c r="E16" i="21" l="1"/>
  <c r="S16" i="21"/>
  <c r="B17" i="21"/>
  <c r="C17" i="21"/>
  <c r="D17" i="21"/>
  <c r="N17" i="21"/>
  <c r="W17" i="21"/>
  <c r="G15" i="21"/>
  <c r="X15" i="21"/>
  <c r="R17" i="21"/>
  <c r="F16" i="21"/>
  <c r="E17" i="21" l="1"/>
  <c r="S17" i="21"/>
  <c r="B18" i="21"/>
  <c r="C18" i="21"/>
  <c r="D18" i="21"/>
  <c r="N18" i="21"/>
  <c r="W18" i="21"/>
  <c r="R18" i="21"/>
  <c r="F17" i="21"/>
  <c r="G16" i="21"/>
  <c r="X16" i="21"/>
  <c r="E18" i="21" l="1"/>
  <c r="S18" i="21"/>
  <c r="B19" i="21"/>
  <c r="C19" i="21"/>
  <c r="D19" i="21"/>
  <c r="N19" i="21"/>
  <c r="W19" i="21"/>
  <c r="X17" i="21"/>
  <c r="R19" i="21"/>
  <c r="G17" i="21"/>
  <c r="F18" i="21"/>
  <c r="E19" i="21" l="1"/>
  <c r="S19" i="21"/>
  <c r="B20" i="21"/>
  <c r="C20" i="21"/>
  <c r="D20" i="21"/>
  <c r="N20" i="21"/>
  <c r="W20" i="21"/>
  <c r="X18" i="21"/>
  <c r="F19" i="21"/>
  <c r="R20" i="21"/>
  <c r="G18" i="21"/>
  <c r="E20" i="21" l="1"/>
  <c r="S20" i="21"/>
  <c r="B21" i="21"/>
  <c r="C21" i="21"/>
  <c r="D21" i="21"/>
  <c r="N21" i="21"/>
  <c r="W21" i="21"/>
  <c r="X19" i="21"/>
  <c r="G19" i="21"/>
  <c r="R21" i="21"/>
  <c r="X20" i="21"/>
  <c r="F20" i="21"/>
  <c r="E21" i="21" l="1"/>
  <c r="S21" i="21"/>
  <c r="B22" i="21"/>
  <c r="C22" i="21"/>
  <c r="D22" i="21"/>
  <c r="N22" i="21"/>
  <c r="W22" i="21"/>
  <c r="R22" i="21"/>
  <c r="G21" i="21"/>
  <c r="F21" i="21"/>
  <c r="G20" i="21"/>
  <c r="E22" i="21" l="1"/>
  <c r="S22" i="21"/>
  <c r="B23" i="21"/>
  <c r="C23" i="21"/>
  <c r="D23" i="21"/>
  <c r="N23" i="21"/>
  <c r="W23" i="21"/>
  <c r="F22" i="21"/>
  <c r="X21" i="21"/>
  <c r="G22" i="21"/>
  <c r="R23" i="21"/>
  <c r="X22" i="21"/>
  <c r="E23" i="21" l="1"/>
  <c r="S23" i="21"/>
  <c r="B24" i="21"/>
  <c r="C24" i="21"/>
  <c r="D24" i="21"/>
  <c r="N24" i="21"/>
  <c r="W24" i="21"/>
  <c r="R24" i="21"/>
  <c r="F23" i="21"/>
  <c r="E24" i="21" l="1"/>
  <c r="S24" i="21"/>
  <c r="B25" i="21"/>
  <c r="C25" i="21"/>
  <c r="D25" i="21"/>
  <c r="N25" i="21"/>
  <c r="W25" i="21"/>
  <c r="G23" i="21"/>
  <c r="R25" i="21"/>
  <c r="X23" i="21"/>
  <c r="F24" i="21"/>
  <c r="E25" i="21" l="1"/>
  <c r="S25" i="21"/>
  <c r="B26" i="21"/>
  <c r="C26" i="21"/>
  <c r="D26" i="21"/>
  <c r="N26" i="21"/>
  <c r="W26" i="21"/>
  <c r="R26" i="21"/>
  <c r="G24" i="21"/>
  <c r="X24" i="21"/>
  <c r="F25" i="21"/>
  <c r="F26" i="21"/>
  <c r="E26" i="21" l="1"/>
  <c r="S26" i="21"/>
  <c r="B27" i="21"/>
  <c r="C27" i="21"/>
  <c r="D27" i="21"/>
  <c r="N27" i="21"/>
  <c r="W27" i="21"/>
  <c r="R27" i="21"/>
  <c r="G27" i="21"/>
  <c r="G26" i="21"/>
  <c r="X26" i="21"/>
  <c r="F27" i="21"/>
  <c r="G25" i="21"/>
  <c r="X27" i="21"/>
  <c r="X25" i="21"/>
  <c r="E27" i="21" l="1"/>
  <c r="S27" i="21"/>
  <c r="B28" i="21"/>
  <c r="C28" i="21"/>
  <c r="D28" i="21"/>
  <c r="N28" i="21"/>
  <c r="W28" i="21"/>
  <c r="R28" i="21"/>
  <c r="E28" i="21" l="1"/>
  <c r="S28" i="21"/>
  <c r="B29" i="21"/>
  <c r="C29" i="21"/>
  <c r="D29" i="21"/>
  <c r="N29" i="21"/>
  <c r="W29" i="21"/>
  <c r="F29" i="21"/>
  <c r="F28" i="21"/>
  <c r="R29" i="21"/>
  <c r="E29" i="21" l="1"/>
  <c r="S29" i="21"/>
  <c r="B30" i="21"/>
  <c r="C30" i="21"/>
  <c r="D30" i="21"/>
  <c r="N30" i="21"/>
  <c r="W30" i="21"/>
  <c r="X29" i="21"/>
  <c r="G29" i="21"/>
  <c r="R30" i="21"/>
  <c r="X28" i="21"/>
  <c r="G28" i="21"/>
  <c r="E30" i="21" l="1"/>
  <c r="S30" i="21"/>
  <c r="B31" i="21"/>
  <c r="C31" i="21"/>
  <c r="D31" i="21"/>
  <c r="N31" i="21"/>
  <c r="W31" i="21"/>
  <c r="R31" i="21"/>
  <c r="F30" i="21"/>
  <c r="E31" i="21" l="1"/>
  <c r="S31" i="21"/>
  <c r="B32" i="21"/>
  <c r="C32" i="21"/>
  <c r="D32" i="21"/>
  <c r="N32" i="21"/>
  <c r="W32" i="21"/>
  <c r="R32" i="21"/>
  <c r="X30" i="21"/>
  <c r="G30" i="21"/>
  <c r="G31" i="21"/>
  <c r="X31" i="21"/>
  <c r="F31" i="21"/>
  <c r="E32" i="21" l="1"/>
  <c r="S32" i="21"/>
  <c r="B33" i="21"/>
  <c r="C33" i="21"/>
  <c r="D33" i="21"/>
  <c r="N33" i="21"/>
  <c r="W33" i="21"/>
  <c r="R33" i="21"/>
  <c r="F32" i="21"/>
  <c r="G32" i="21"/>
  <c r="E33" i="21" l="1"/>
  <c r="S33" i="21"/>
  <c r="B34" i="21"/>
  <c r="C34" i="21"/>
  <c r="D34" i="21"/>
  <c r="N34" i="21"/>
  <c r="W34" i="21"/>
  <c r="R34" i="21"/>
  <c r="X32" i="21"/>
  <c r="F33" i="21"/>
  <c r="E34" i="21" l="1"/>
  <c r="S34" i="21"/>
  <c r="B35" i="21"/>
  <c r="C35" i="21"/>
  <c r="D35" i="21"/>
  <c r="N35" i="21"/>
  <c r="W35" i="21"/>
  <c r="R35" i="21"/>
  <c r="F34" i="21"/>
  <c r="G33" i="21"/>
  <c r="X33" i="21"/>
  <c r="E35" i="21" l="1"/>
  <c r="S35" i="21"/>
  <c r="B36" i="21"/>
  <c r="C36" i="21"/>
  <c r="D36" i="21"/>
  <c r="N36" i="21"/>
  <c r="W36" i="21"/>
  <c r="X34" i="21"/>
  <c r="F35" i="21"/>
  <c r="G34" i="21"/>
  <c r="R36" i="21"/>
  <c r="E36" i="21" l="1"/>
  <c r="S36" i="21"/>
  <c r="B37" i="21"/>
  <c r="C37" i="21"/>
  <c r="D37" i="21"/>
  <c r="N37" i="21"/>
  <c r="W37" i="21"/>
  <c r="G35" i="21"/>
  <c r="R37" i="21"/>
  <c r="F36" i="21"/>
  <c r="X35" i="21"/>
  <c r="E37" i="21" l="1"/>
  <c r="S37" i="21"/>
  <c r="B38" i="21"/>
  <c r="C38" i="21"/>
  <c r="D38" i="21"/>
  <c r="N38" i="21"/>
  <c r="W38" i="21"/>
  <c r="R38" i="21"/>
  <c r="X36" i="21"/>
  <c r="G36" i="21"/>
  <c r="F37" i="21"/>
  <c r="E38" i="21" l="1"/>
  <c r="S38" i="21"/>
  <c r="B39" i="21"/>
  <c r="C39" i="21"/>
  <c r="D39" i="21"/>
  <c r="N39" i="21"/>
  <c r="W39" i="21"/>
  <c r="X37" i="21"/>
  <c r="F38" i="21"/>
  <c r="G37" i="21"/>
  <c r="R39" i="21"/>
  <c r="E39" i="21" l="1"/>
  <c r="S39" i="21"/>
  <c r="B40" i="21"/>
  <c r="C40" i="21"/>
  <c r="D40" i="21"/>
  <c r="N40" i="21"/>
  <c r="W40" i="21"/>
  <c r="G38" i="21"/>
  <c r="F39" i="21"/>
  <c r="R40" i="21"/>
  <c r="X38" i="21"/>
  <c r="E40" i="21" l="1"/>
  <c r="S40" i="21"/>
  <c r="B41" i="21"/>
  <c r="C41" i="21"/>
  <c r="D41" i="21"/>
  <c r="N41" i="21"/>
  <c r="O5" i="21" s="1" a="1"/>
  <c r="O41" i="21" s="1"/>
  <c r="W41" i="21"/>
  <c r="R41" i="21"/>
  <c r="F40" i="21"/>
  <c r="G39" i="21"/>
  <c r="X39" i="21"/>
  <c r="E41" i="21" l="1"/>
  <c r="S41" i="21"/>
  <c r="O5" i="21"/>
  <c r="O6" i="21"/>
  <c r="O7" i="21"/>
  <c r="O8" i="21"/>
  <c r="O9" i="21"/>
  <c r="O10" i="21"/>
  <c r="O11" i="21"/>
  <c r="O12" i="21"/>
  <c r="O13" i="21"/>
  <c r="O14" i="21"/>
  <c r="O15" i="21"/>
  <c r="O16" i="21"/>
  <c r="O17" i="21"/>
  <c r="O18" i="21"/>
  <c r="O19" i="21"/>
  <c r="O20" i="21"/>
  <c r="O21" i="21"/>
  <c r="O22" i="21"/>
  <c r="O23" i="21"/>
  <c r="O24" i="21"/>
  <c r="O25" i="21"/>
  <c r="O26" i="21"/>
  <c r="O27" i="21"/>
  <c r="O28" i="21"/>
  <c r="O29" i="21"/>
  <c r="O30" i="21"/>
  <c r="O31" i="21"/>
  <c r="O32" i="21"/>
  <c r="O33" i="21"/>
  <c r="O34" i="21"/>
  <c r="O35" i="21"/>
  <c r="O36" i="21"/>
  <c r="O37" i="21"/>
  <c r="O38" i="21"/>
  <c r="O39" i="21"/>
  <c r="O40" i="21"/>
  <c r="O2" i="20"/>
  <c r="B5" i="20"/>
  <c r="C5" i="20"/>
  <c r="D5" i="20"/>
  <c r="N5" i="20"/>
  <c r="W5" i="20" a="1"/>
  <c r="W5" i="20" s="1"/>
  <c r="F41" i="21"/>
  <c r="G40" i="21"/>
  <c r="X40" i="21"/>
  <c r="R5" i="20"/>
  <c r="O4" i="20"/>
  <c r="E5" i="20" l="1"/>
  <c r="S5" i="20"/>
  <c r="B6" i="20"/>
  <c r="C6" i="20"/>
  <c r="D6" i="20"/>
  <c r="N6" i="20"/>
  <c r="W6" i="20"/>
  <c r="F5" i="20"/>
  <c r="R6" i="20"/>
  <c r="G41" i="21"/>
  <c r="X41" i="21"/>
  <c r="E6" i="20" l="1"/>
  <c r="S6" i="20"/>
  <c r="B7" i="20"/>
  <c r="C7" i="20"/>
  <c r="D7" i="20"/>
  <c r="N7" i="20"/>
  <c r="W7" i="20"/>
  <c r="G5" i="20"/>
  <c r="F6" i="20"/>
  <c r="X5" i="20"/>
  <c r="R7" i="20"/>
  <c r="E7" i="20" l="1"/>
  <c r="S7" i="20"/>
  <c r="B8" i="20"/>
  <c r="C8" i="20"/>
  <c r="D8" i="20"/>
  <c r="N8" i="20"/>
  <c r="W8" i="20"/>
  <c r="R8" i="20"/>
  <c r="X6" i="20"/>
  <c r="G6" i="20"/>
  <c r="F7" i="20"/>
  <c r="E8" i="20" l="1"/>
  <c r="S8" i="20"/>
  <c r="B9" i="20"/>
  <c r="C9" i="20"/>
  <c r="D9" i="20"/>
  <c r="N9" i="20"/>
  <c r="W9" i="20"/>
  <c r="X7" i="20"/>
  <c r="F8" i="20"/>
  <c r="R9" i="20"/>
  <c r="G7" i="20"/>
  <c r="E9" i="20" l="1"/>
  <c r="S9" i="20"/>
  <c r="B10" i="20"/>
  <c r="C10" i="20"/>
  <c r="D10" i="20"/>
  <c r="N10" i="20"/>
  <c r="W10" i="20"/>
  <c r="F9" i="20"/>
  <c r="R10" i="20"/>
  <c r="G8" i="20"/>
  <c r="X8" i="20"/>
  <c r="E10" i="20" l="1"/>
  <c r="S10" i="20"/>
  <c r="B11" i="20"/>
  <c r="C11" i="20"/>
  <c r="D11" i="20"/>
  <c r="N11" i="20"/>
  <c r="W11" i="20"/>
  <c r="G9" i="20"/>
  <c r="R11" i="20"/>
  <c r="F10" i="20"/>
  <c r="X9" i="20"/>
  <c r="X10" i="20"/>
  <c r="E11" i="20" l="1"/>
  <c r="S11" i="20"/>
  <c r="B12" i="20"/>
  <c r="C12" i="20"/>
  <c r="D12" i="20"/>
  <c r="N12" i="20"/>
  <c r="W12" i="20"/>
  <c r="G10" i="20"/>
  <c r="F11" i="20"/>
  <c r="R12" i="20"/>
  <c r="E12" i="20" l="1"/>
  <c r="S12" i="20"/>
  <c r="B13" i="20"/>
  <c r="C13" i="20"/>
  <c r="D13" i="20"/>
  <c r="N13" i="20"/>
  <c r="W13" i="20"/>
  <c r="X11" i="20"/>
  <c r="G11" i="20"/>
  <c r="R13" i="20"/>
  <c r="G12" i="20"/>
  <c r="F12" i="20"/>
  <c r="E13" i="20" l="1"/>
  <c r="S13" i="20"/>
  <c r="B14" i="20"/>
  <c r="C14" i="20"/>
  <c r="D14" i="20"/>
  <c r="N14" i="20"/>
  <c r="W14" i="20"/>
  <c r="R14" i="20"/>
  <c r="X12" i="20"/>
  <c r="F13" i="20"/>
  <c r="E14" i="20" l="1"/>
  <c r="S14" i="20"/>
  <c r="B15" i="20"/>
  <c r="C15" i="20"/>
  <c r="D15" i="20"/>
  <c r="N15" i="20"/>
  <c r="W15" i="20"/>
  <c r="F14" i="20"/>
  <c r="X13" i="20"/>
  <c r="G13" i="20"/>
  <c r="R15" i="20"/>
  <c r="E15" i="20" l="1"/>
  <c r="S15" i="20"/>
  <c r="B16" i="20"/>
  <c r="C16" i="20"/>
  <c r="D16" i="20"/>
  <c r="N16" i="20"/>
  <c r="W16" i="20"/>
  <c r="X14" i="20"/>
  <c r="R16" i="20"/>
  <c r="F15" i="20"/>
  <c r="G14" i="20"/>
  <c r="E16" i="20" l="1"/>
  <c r="S16" i="20"/>
  <c r="B17" i="20"/>
  <c r="C17" i="20"/>
  <c r="D17" i="20"/>
  <c r="N17" i="20"/>
  <c r="W17" i="20"/>
  <c r="X15" i="20"/>
  <c r="R17" i="20"/>
  <c r="F16" i="20"/>
  <c r="G15" i="20"/>
  <c r="E17" i="20" l="1"/>
  <c r="S17" i="20"/>
  <c r="B18" i="20"/>
  <c r="C18" i="20"/>
  <c r="D18" i="20"/>
  <c r="N18" i="20"/>
  <c r="W18" i="20"/>
  <c r="F17" i="20"/>
  <c r="G16" i="20"/>
  <c r="X16" i="20"/>
  <c r="R18" i="20"/>
  <c r="E18" i="20" l="1"/>
  <c r="S18" i="20"/>
  <c r="B19" i="20"/>
  <c r="C19" i="20"/>
  <c r="D19" i="20"/>
  <c r="N19" i="20"/>
  <c r="W19" i="20"/>
  <c r="G17" i="20"/>
  <c r="X17" i="20"/>
  <c r="F18" i="20"/>
  <c r="R19" i="20"/>
  <c r="E19" i="20" l="1"/>
  <c r="S19" i="20"/>
  <c r="B20" i="20"/>
  <c r="C20" i="20"/>
  <c r="D20" i="20"/>
  <c r="N20" i="20"/>
  <c r="W20" i="20"/>
  <c r="X19" i="20"/>
  <c r="X18" i="20"/>
  <c r="G18" i="20"/>
  <c r="R20" i="20"/>
  <c r="F19" i="20"/>
  <c r="E20" i="20" l="1"/>
  <c r="S20" i="20"/>
  <c r="B21" i="20"/>
  <c r="C21" i="20"/>
  <c r="D21" i="20"/>
  <c r="N21" i="20"/>
  <c r="W21" i="20"/>
  <c r="G20" i="20"/>
  <c r="G19" i="20"/>
  <c r="F20" i="20"/>
  <c r="R21" i="20"/>
  <c r="E21" i="20" l="1"/>
  <c r="S21" i="20"/>
  <c r="B22" i="20"/>
  <c r="C22" i="20"/>
  <c r="D22" i="20"/>
  <c r="N22" i="20"/>
  <c r="W22" i="20"/>
  <c r="R22" i="20"/>
  <c r="F21" i="20"/>
  <c r="X20" i="20"/>
  <c r="E22" i="20" l="1"/>
  <c r="S22" i="20"/>
  <c r="B23" i="20"/>
  <c r="C23" i="20"/>
  <c r="D23" i="20"/>
  <c r="N23" i="20"/>
  <c r="W23" i="20"/>
  <c r="G21" i="20"/>
  <c r="F22" i="20"/>
  <c r="X21" i="20"/>
  <c r="R23" i="20"/>
  <c r="E23" i="20" l="1"/>
  <c r="S23" i="20"/>
  <c r="B24" i="20"/>
  <c r="C24" i="20"/>
  <c r="D24" i="20"/>
  <c r="N24" i="20"/>
  <c r="W24" i="20"/>
  <c r="F23" i="20"/>
  <c r="G22" i="20"/>
  <c r="R24" i="20"/>
  <c r="X23" i="20"/>
  <c r="X22" i="20"/>
  <c r="E24" i="20" l="1"/>
  <c r="S24" i="20"/>
  <c r="B25" i="20"/>
  <c r="C25" i="20"/>
  <c r="D25" i="20"/>
  <c r="N25" i="20"/>
  <c r="W25" i="20"/>
  <c r="G23" i="20"/>
  <c r="F24" i="20"/>
  <c r="R25" i="20"/>
  <c r="E25" i="20" l="1"/>
  <c r="S25" i="20"/>
  <c r="B26" i="20"/>
  <c r="C26" i="20"/>
  <c r="D26" i="20"/>
  <c r="N26" i="20"/>
  <c r="W26" i="20"/>
  <c r="G24" i="20"/>
  <c r="R26" i="20"/>
  <c r="X24" i="20"/>
  <c r="F25" i="20"/>
  <c r="E26" i="20" l="1"/>
  <c r="S26" i="20"/>
  <c r="B27" i="20"/>
  <c r="C27" i="20"/>
  <c r="D27" i="20"/>
  <c r="N27" i="20"/>
  <c r="W27" i="20"/>
  <c r="R27" i="20"/>
  <c r="X25" i="20"/>
  <c r="G25" i="20"/>
  <c r="F26" i="20"/>
  <c r="E27" i="20" l="1"/>
  <c r="S27" i="20"/>
  <c r="B28" i="20"/>
  <c r="C28" i="20"/>
  <c r="D28" i="20"/>
  <c r="N28" i="20"/>
  <c r="W28" i="20"/>
  <c r="G26" i="20"/>
  <c r="R28" i="20"/>
  <c r="F27" i="20"/>
  <c r="X26" i="20"/>
  <c r="E28" i="20" l="1"/>
  <c r="S28" i="20"/>
  <c r="B29" i="20"/>
  <c r="C29" i="20"/>
  <c r="D29" i="20"/>
  <c r="N29" i="20"/>
  <c r="W29" i="20"/>
  <c r="R29" i="20"/>
  <c r="G27" i="20"/>
  <c r="F28" i="20"/>
  <c r="X27" i="20"/>
  <c r="E29" i="20" l="1"/>
  <c r="S29" i="20"/>
  <c r="B30" i="20"/>
  <c r="C30" i="20"/>
  <c r="D30" i="20"/>
  <c r="N30" i="20"/>
  <c r="W30" i="20"/>
  <c r="R30" i="20"/>
  <c r="X29" i="20"/>
  <c r="X28" i="20"/>
  <c r="G29" i="20"/>
  <c r="G28" i="20"/>
  <c r="F29" i="20"/>
  <c r="E30" i="20" l="1"/>
  <c r="S30" i="20"/>
  <c r="B31" i="20"/>
  <c r="C31" i="20"/>
  <c r="D31" i="20"/>
  <c r="N31" i="20"/>
  <c r="W31" i="20"/>
  <c r="G30" i="20"/>
  <c r="F30" i="20"/>
  <c r="R31" i="20"/>
  <c r="E31" i="20" l="1"/>
  <c r="S31" i="20"/>
  <c r="B32" i="20"/>
  <c r="C32" i="20"/>
  <c r="D32" i="20"/>
  <c r="N32" i="20"/>
  <c r="W32" i="20"/>
  <c r="F31" i="20"/>
  <c r="R32" i="20"/>
  <c r="X30" i="20"/>
  <c r="E32" i="20" l="1"/>
  <c r="S32" i="20"/>
  <c r="B33" i="20"/>
  <c r="C33" i="20"/>
  <c r="D33" i="20"/>
  <c r="N33" i="20"/>
  <c r="W33" i="20"/>
  <c r="G31" i="20"/>
  <c r="F32" i="20"/>
  <c r="R33" i="20"/>
  <c r="X31" i="20"/>
  <c r="E33" i="20" l="1"/>
  <c r="S33" i="20"/>
  <c r="B34" i="20"/>
  <c r="C34" i="20"/>
  <c r="D34" i="20"/>
  <c r="N34" i="20"/>
  <c r="W34" i="20"/>
  <c r="F33" i="20"/>
  <c r="G32" i="20"/>
  <c r="R34" i="20"/>
  <c r="X32" i="20"/>
  <c r="E34" i="20" l="1"/>
  <c r="S34" i="20"/>
  <c r="B35" i="20"/>
  <c r="C35" i="20"/>
  <c r="D35" i="20"/>
  <c r="N35" i="20"/>
  <c r="W35" i="20"/>
  <c r="R35" i="20"/>
  <c r="F34" i="20"/>
  <c r="X33" i="20"/>
  <c r="G33" i="20"/>
  <c r="E35" i="20" l="1"/>
  <c r="S35" i="20"/>
  <c r="B36" i="20"/>
  <c r="C36" i="20"/>
  <c r="D36" i="20"/>
  <c r="N36" i="20"/>
  <c r="W36" i="20"/>
  <c r="F35" i="20"/>
  <c r="R36" i="20"/>
  <c r="X34" i="20"/>
  <c r="G34" i="20"/>
  <c r="E36" i="20" l="1"/>
  <c r="S36" i="20"/>
  <c r="B37" i="20"/>
  <c r="C37" i="20"/>
  <c r="D37" i="20"/>
  <c r="N37" i="20"/>
  <c r="W37" i="20"/>
  <c r="F36" i="20"/>
  <c r="X35" i="20"/>
  <c r="R37" i="20"/>
  <c r="G35" i="20"/>
  <c r="X36" i="20"/>
  <c r="E37" i="20" l="1"/>
  <c r="S37" i="20"/>
  <c r="B38" i="20"/>
  <c r="C38" i="20"/>
  <c r="D38" i="20"/>
  <c r="N38" i="20"/>
  <c r="W38" i="20"/>
  <c r="F37" i="20"/>
  <c r="R38" i="20"/>
  <c r="G36" i="20"/>
  <c r="E38" i="20" l="1"/>
  <c r="S38" i="20"/>
  <c r="B39" i="20"/>
  <c r="C39" i="20"/>
  <c r="D39" i="20"/>
  <c r="N39" i="20"/>
  <c r="W39" i="20"/>
  <c r="F38" i="20"/>
  <c r="R39" i="20"/>
  <c r="G37" i="20"/>
  <c r="X37" i="20"/>
  <c r="E39" i="20" l="1"/>
  <c r="S39" i="20"/>
  <c r="B40" i="20"/>
  <c r="C40" i="20"/>
  <c r="D40" i="20"/>
  <c r="N40" i="20"/>
  <c r="W40" i="20"/>
  <c r="F39" i="20"/>
  <c r="G38" i="20"/>
  <c r="R40" i="20"/>
  <c r="X38" i="20"/>
  <c r="X39" i="20"/>
  <c r="E40" i="20" l="1"/>
  <c r="S40" i="20"/>
  <c r="B41" i="20"/>
  <c r="C41" i="20"/>
  <c r="D41" i="20"/>
  <c r="N41" i="20"/>
  <c r="O5" i="20" s="1" a="1"/>
  <c r="O41" i="20" s="1"/>
  <c r="W41" i="20"/>
  <c r="R41" i="20"/>
  <c r="F40" i="20"/>
  <c r="G39" i="20"/>
  <c r="X40" i="20"/>
  <c r="E41" i="20" l="1"/>
  <c r="S41" i="20"/>
  <c r="O5" i="20"/>
  <c r="O6" i="20"/>
  <c r="O7" i="20"/>
  <c r="O8" i="20"/>
  <c r="O9" i="20"/>
  <c r="O10" i="20"/>
  <c r="O11" i="20"/>
  <c r="O12" i="20"/>
  <c r="O13" i="20"/>
  <c r="O14" i="20"/>
  <c r="O15" i="20"/>
  <c r="O16" i="20"/>
  <c r="O17" i="20"/>
  <c r="O18" i="20"/>
  <c r="O19" i="20"/>
  <c r="O20" i="20"/>
  <c r="O21" i="20"/>
  <c r="O22" i="20"/>
  <c r="O23" i="20"/>
  <c r="O24" i="20"/>
  <c r="O25" i="20"/>
  <c r="O26" i="20"/>
  <c r="O27" i="20"/>
  <c r="O28" i="20"/>
  <c r="O29" i="20"/>
  <c r="O30" i="20"/>
  <c r="O31" i="20"/>
  <c r="O32" i="20"/>
  <c r="O33" i="20"/>
  <c r="O34" i="20"/>
  <c r="O35" i="20"/>
  <c r="O36" i="20"/>
  <c r="O37" i="20"/>
  <c r="O38" i="20"/>
  <c r="O39" i="20"/>
  <c r="O40" i="20"/>
  <c r="O2" i="19"/>
  <c r="B5" i="19"/>
  <c r="C5" i="19"/>
  <c r="D5" i="19"/>
  <c r="N5" i="19"/>
  <c r="W5" i="19" a="1"/>
  <c r="W5" i="19" s="1"/>
  <c r="G40" i="20"/>
  <c r="F41" i="20"/>
  <c r="R5" i="19"/>
  <c r="O4" i="19"/>
  <c r="E5" i="19" l="1"/>
  <c r="S5" i="19"/>
  <c r="B6" i="19"/>
  <c r="C6" i="19"/>
  <c r="D6" i="19"/>
  <c r="N6" i="19"/>
  <c r="W6" i="19"/>
  <c r="R6" i="19"/>
  <c r="F5" i="19"/>
  <c r="F6" i="19"/>
  <c r="G41" i="20"/>
  <c r="X41" i="20"/>
  <c r="E6" i="19" l="1"/>
  <c r="S6" i="19"/>
  <c r="B7" i="19"/>
  <c r="C7" i="19"/>
  <c r="D7" i="19"/>
  <c r="N7" i="19"/>
  <c r="W7" i="19"/>
  <c r="G5" i="19"/>
  <c r="G6" i="19"/>
  <c r="X6" i="19"/>
  <c r="X5" i="19"/>
  <c r="R7" i="19"/>
  <c r="E7" i="19" l="1"/>
  <c r="S7" i="19"/>
  <c r="B8" i="19"/>
  <c r="C8" i="19"/>
  <c r="D8" i="19"/>
  <c r="N8" i="19"/>
  <c r="W8" i="19"/>
  <c r="R8" i="19"/>
  <c r="F7" i="19"/>
  <c r="E8" i="19" l="1"/>
  <c r="S8" i="19"/>
  <c r="B9" i="19"/>
  <c r="C9" i="19"/>
  <c r="D9" i="19"/>
  <c r="N9" i="19"/>
  <c r="W9" i="19"/>
  <c r="R9" i="19"/>
  <c r="X7" i="19"/>
  <c r="G7" i="19"/>
  <c r="F8" i="19"/>
  <c r="E9" i="19" l="1"/>
  <c r="S9" i="19"/>
  <c r="B10" i="19"/>
  <c r="C10" i="19"/>
  <c r="D10" i="19"/>
  <c r="N10" i="19"/>
  <c r="W10" i="19"/>
  <c r="F9" i="19"/>
  <c r="R10" i="19"/>
  <c r="X8" i="19"/>
  <c r="G8" i="19"/>
  <c r="E10" i="19" l="1"/>
  <c r="S10" i="19"/>
  <c r="B11" i="19"/>
  <c r="C11" i="19"/>
  <c r="D11" i="19"/>
  <c r="N11" i="19"/>
  <c r="W11" i="19"/>
  <c r="G9" i="19"/>
  <c r="X9" i="19"/>
  <c r="R11" i="19"/>
  <c r="F10" i="19"/>
  <c r="G10" i="19"/>
  <c r="E11" i="19" l="1"/>
  <c r="S11" i="19"/>
  <c r="B12" i="19"/>
  <c r="C12" i="19"/>
  <c r="D12" i="19"/>
  <c r="N12" i="19"/>
  <c r="W12" i="19"/>
  <c r="X10" i="19"/>
  <c r="R12" i="19"/>
  <c r="F11" i="19"/>
  <c r="E12" i="19" l="1"/>
  <c r="S12" i="19"/>
  <c r="B13" i="19"/>
  <c r="C13" i="19"/>
  <c r="D13" i="19"/>
  <c r="N13" i="19"/>
  <c r="W13" i="19"/>
  <c r="R13" i="19"/>
  <c r="F12" i="19"/>
  <c r="G12" i="19"/>
  <c r="G11" i="19"/>
  <c r="X11" i="19"/>
  <c r="X12" i="19"/>
  <c r="E13" i="19" l="1"/>
  <c r="S13" i="19"/>
  <c r="B14" i="19"/>
  <c r="C14" i="19"/>
  <c r="D14" i="19"/>
  <c r="N14" i="19"/>
  <c r="W14" i="19"/>
  <c r="F13" i="19"/>
  <c r="X13" i="19"/>
  <c r="R14" i="19"/>
  <c r="E14" i="19" l="1"/>
  <c r="S14" i="19"/>
  <c r="B15" i="19"/>
  <c r="C15" i="19"/>
  <c r="D15" i="19"/>
  <c r="N15" i="19"/>
  <c r="W15" i="19"/>
  <c r="G13" i="19"/>
  <c r="G14" i="19"/>
  <c r="F14" i="19"/>
  <c r="R15" i="19"/>
  <c r="E15" i="19" l="1"/>
  <c r="S15" i="19"/>
  <c r="B16" i="19"/>
  <c r="C16" i="19"/>
  <c r="D16" i="19"/>
  <c r="N16" i="19"/>
  <c r="W16" i="19"/>
  <c r="G15" i="19"/>
  <c r="F15" i="19"/>
  <c r="X14" i="19"/>
  <c r="R16" i="19"/>
  <c r="E16" i="19" l="1"/>
  <c r="S16" i="19"/>
  <c r="B17" i="19"/>
  <c r="C17" i="19"/>
  <c r="D17" i="19"/>
  <c r="N17" i="19"/>
  <c r="W17" i="19"/>
  <c r="R17" i="19"/>
  <c r="X15" i="19"/>
  <c r="F16" i="19"/>
  <c r="E17" i="19" l="1"/>
  <c r="S17" i="19"/>
  <c r="B18" i="19"/>
  <c r="C18" i="19"/>
  <c r="D18" i="19"/>
  <c r="N18" i="19"/>
  <c r="W18" i="19"/>
  <c r="F17" i="19"/>
  <c r="R18" i="19"/>
  <c r="X16" i="19"/>
  <c r="X17" i="19"/>
  <c r="G16" i="19"/>
  <c r="E18" i="19" l="1"/>
  <c r="S18" i="19"/>
  <c r="B19" i="19"/>
  <c r="C19" i="19"/>
  <c r="D19" i="19"/>
  <c r="N19" i="19"/>
  <c r="W19" i="19"/>
  <c r="F18" i="19"/>
  <c r="G17" i="19"/>
  <c r="R19" i="19"/>
  <c r="E19" i="19" l="1"/>
  <c r="S19" i="19"/>
  <c r="B20" i="19"/>
  <c r="C20" i="19"/>
  <c r="D20" i="19"/>
  <c r="N20" i="19"/>
  <c r="W20" i="19"/>
  <c r="F19" i="19"/>
  <c r="R20" i="19"/>
  <c r="X18" i="19"/>
  <c r="G18" i="19"/>
  <c r="E20" i="19" l="1"/>
  <c r="S20" i="19"/>
  <c r="B21" i="19"/>
  <c r="C21" i="19"/>
  <c r="D21" i="19"/>
  <c r="N21" i="19"/>
  <c r="W21" i="19"/>
  <c r="F20" i="19"/>
  <c r="R21" i="19"/>
  <c r="G19" i="19"/>
  <c r="X19" i="19"/>
  <c r="E21" i="19" l="1"/>
  <c r="S21" i="19"/>
  <c r="B22" i="19"/>
  <c r="C22" i="19"/>
  <c r="D22" i="19"/>
  <c r="N22" i="19"/>
  <c r="W22" i="19"/>
  <c r="F21" i="19"/>
  <c r="X20" i="19"/>
  <c r="R22" i="19"/>
  <c r="G20" i="19"/>
  <c r="E22" i="19" l="1"/>
  <c r="S22" i="19"/>
  <c r="B23" i="19"/>
  <c r="C23" i="19"/>
  <c r="D23" i="19"/>
  <c r="N23" i="19"/>
  <c r="W23" i="19"/>
  <c r="R23" i="19"/>
  <c r="X22" i="19"/>
  <c r="X21" i="19"/>
  <c r="F22" i="19"/>
  <c r="G21" i="19"/>
  <c r="E23" i="19" l="1"/>
  <c r="S23" i="19"/>
  <c r="B24" i="19"/>
  <c r="C24" i="19"/>
  <c r="D24" i="19"/>
  <c r="N24" i="19"/>
  <c r="W24" i="19"/>
  <c r="G22" i="19"/>
  <c r="F23" i="19"/>
  <c r="R24" i="19"/>
  <c r="E24" i="19" l="1"/>
  <c r="S24" i="19"/>
  <c r="B25" i="19"/>
  <c r="C25" i="19"/>
  <c r="D25" i="19"/>
  <c r="N25" i="19"/>
  <c r="W25" i="19"/>
  <c r="F24" i="19"/>
  <c r="R25" i="19"/>
  <c r="G23" i="19"/>
  <c r="X23" i="19"/>
  <c r="E25" i="19" l="1"/>
  <c r="S25" i="19"/>
  <c r="B26" i="19"/>
  <c r="C26" i="19"/>
  <c r="D26" i="19"/>
  <c r="N26" i="19"/>
  <c r="W26" i="19"/>
  <c r="R26" i="19"/>
  <c r="G24" i="19"/>
  <c r="F25" i="19"/>
  <c r="X24" i="19"/>
  <c r="X25" i="19"/>
  <c r="G25" i="19"/>
  <c r="E26" i="19" l="1"/>
  <c r="S26" i="19"/>
  <c r="B27" i="19"/>
  <c r="C27" i="19"/>
  <c r="D27" i="19"/>
  <c r="N27" i="19"/>
  <c r="W27" i="19"/>
  <c r="R27" i="19"/>
  <c r="F26" i="19"/>
  <c r="E27" i="19" l="1"/>
  <c r="S27" i="19"/>
  <c r="B28" i="19"/>
  <c r="C28" i="19"/>
  <c r="D28" i="19"/>
  <c r="N28" i="19"/>
  <c r="W28" i="19"/>
  <c r="G27" i="19"/>
  <c r="R28" i="19"/>
  <c r="F27" i="19"/>
  <c r="X27" i="19"/>
  <c r="G26" i="19"/>
  <c r="X26" i="19"/>
  <c r="E28" i="19" l="1"/>
  <c r="S28" i="19"/>
  <c r="B29" i="19"/>
  <c r="C29" i="19"/>
  <c r="D29" i="19"/>
  <c r="N29" i="19"/>
  <c r="W29" i="19"/>
  <c r="R29" i="19"/>
  <c r="F28" i="19"/>
  <c r="E29" i="19" l="1"/>
  <c r="S29" i="19"/>
  <c r="B30" i="19"/>
  <c r="C30" i="19"/>
  <c r="D30" i="19"/>
  <c r="N30" i="19"/>
  <c r="W30" i="19"/>
  <c r="X28" i="19"/>
  <c r="R30" i="19"/>
  <c r="F29" i="19"/>
  <c r="G28" i="19"/>
  <c r="E30" i="19" l="1"/>
  <c r="S30" i="19"/>
  <c r="B31" i="19"/>
  <c r="C31" i="19"/>
  <c r="D31" i="19"/>
  <c r="N31" i="19"/>
  <c r="W31" i="19"/>
  <c r="X29" i="19"/>
  <c r="F30" i="19"/>
  <c r="R31" i="19"/>
  <c r="G29" i="19"/>
  <c r="E31" i="19" l="1"/>
  <c r="S31" i="19"/>
  <c r="B32" i="19"/>
  <c r="C32" i="19"/>
  <c r="D32" i="19"/>
  <c r="N32" i="19"/>
  <c r="W32" i="19"/>
  <c r="F31" i="19"/>
  <c r="G30" i="19"/>
  <c r="R32" i="19"/>
  <c r="G31" i="19"/>
  <c r="X31" i="19"/>
  <c r="X30" i="19"/>
  <c r="E32" i="19" l="1"/>
  <c r="S32" i="19"/>
  <c r="B33" i="19"/>
  <c r="C33" i="19"/>
  <c r="D33" i="19"/>
  <c r="N33" i="19"/>
  <c r="W33" i="19"/>
  <c r="R33" i="19"/>
  <c r="F32" i="19"/>
  <c r="E33" i="19" l="1"/>
  <c r="S33" i="19"/>
  <c r="B34" i="19"/>
  <c r="C34" i="19"/>
  <c r="D34" i="19"/>
  <c r="N34" i="19"/>
  <c r="W34" i="19"/>
  <c r="F33" i="19"/>
  <c r="R34" i="19"/>
  <c r="G32" i="19"/>
  <c r="X32" i="19"/>
  <c r="E34" i="19" l="1"/>
  <c r="S34" i="19"/>
  <c r="B35" i="19"/>
  <c r="C35" i="19"/>
  <c r="D35" i="19"/>
  <c r="N35" i="19"/>
  <c r="W35" i="19"/>
  <c r="F34" i="19"/>
  <c r="G33" i="19"/>
  <c r="X33" i="19"/>
  <c r="R35" i="19"/>
  <c r="E35" i="19" l="1"/>
  <c r="S35" i="19"/>
  <c r="B36" i="19"/>
  <c r="C36" i="19"/>
  <c r="D36" i="19"/>
  <c r="N36" i="19"/>
  <c r="W36" i="19"/>
  <c r="R36" i="19"/>
  <c r="F35" i="19"/>
  <c r="X34" i="19"/>
  <c r="G34" i="19"/>
  <c r="E36" i="19" l="1"/>
  <c r="S36" i="19"/>
  <c r="B37" i="19"/>
  <c r="C37" i="19"/>
  <c r="D37" i="19"/>
  <c r="N37" i="19"/>
  <c r="W37" i="19"/>
  <c r="F36" i="19"/>
  <c r="R37" i="19"/>
  <c r="X35" i="19"/>
  <c r="G35" i="19"/>
  <c r="E37" i="19" l="1"/>
  <c r="S37" i="19"/>
  <c r="B38" i="19"/>
  <c r="C38" i="19"/>
  <c r="D38" i="19"/>
  <c r="N38" i="19"/>
  <c r="W38" i="19"/>
  <c r="R38" i="19"/>
  <c r="F37" i="19"/>
  <c r="G36" i="19"/>
  <c r="X36" i="19"/>
  <c r="E38" i="19" l="1"/>
  <c r="S38" i="19"/>
  <c r="B39" i="19"/>
  <c r="C39" i="19"/>
  <c r="D39" i="19"/>
  <c r="N39" i="19"/>
  <c r="W39" i="19"/>
  <c r="X37" i="19"/>
  <c r="G37" i="19"/>
  <c r="R39" i="19"/>
  <c r="F38" i="19"/>
  <c r="E39" i="19" l="1"/>
  <c r="S39" i="19"/>
  <c r="B40" i="19"/>
  <c r="C40" i="19"/>
  <c r="D40" i="19"/>
  <c r="N40" i="19"/>
  <c r="W40" i="19"/>
  <c r="R40" i="19"/>
  <c r="X38" i="19"/>
  <c r="G38" i="19"/>
  <c r="F39" i="19"/>
  <c r="E40" i="19" l="1"/>
  <c r="S40" i="19"/>
  <c r="B41" i="19"/>
  <c r="C41" i="19"/>
  <c r="D41" i="19"/>
  <c r="N41" i="19"/>
  <c r="O5" i="19" s="1" a="1"/>
  <c r="W41" i="19"/>
  <c r="F40" i="19"/>
  <c r="X39" i="19"/>
  <c r="G40" i="19"/>
  <c r="R41" i="19"/>
  <c r="G39" i="19"/>
  <c r="E41" i="19" l="1"/>
  <c r="S41"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2" i="18"/>
  <c r="C5" i="18"/>
  <c r="D5" i="18"/>
  <c r="N5" i="18"/>
  <c r="R5" i="18"/>
  <c r="S5" i="18" s="1"/>
  <c r="W5" i="18" a="1"/>
  <c r="W5" i="18" s="1"/>
  <c r="F5" i="18"/>
  <c r="O4" i="18"/>
  <c r="G5" i="18"/>
  <c r="X5" i="18"/>
  <c r="X40" i="19"/>
  <c r="F41" i="19"/>
  <c r="E5" i="18" l="1"/>
  <c r="C6" i="18"/>
  <c r="D6" i="18"/>
  <c r="N6" i="18"/>
  <c r="R6" i="18"/>
  <c r="S6" i="18" s="1"/>
  <c r="W6" i="18"/>
  <c r="X41" i="19"/>
  <c r="F6" i="18"/>
  <c r="G41" i="19"/>
  <c r="E6" i="18" l="1"/>
  <c r="C7" i="18"/>
  <c r="D7" i="18"/>
  <c r="N7" i="18"/>
  <c r="R7" i="18"/>
  <c r="S7" i="18" s="1"/>
  <c r="W7" i="18"/>
  <c r="F7" i="18"/>
  <c r="G6" i="18"/>
  <c r="X6" i="18"/>
  <c r="E7" i="18" l="1"/>
  <c r="C8" i="18"/>
  <c r="D8" i="18"/>
  <c r="N8" i="18"/>
  <c r="R8" i="18"/>
  <c r="S8" i="18" s="1"/>
  <c r="W8" i="18"/>
  <c r="G7" i="18"/>
  <c r="F8" i="18"/>
  <c r="X7" i="18"/>
  <c r="E8" i="18" l="1"/>
  <c r="C9" i="18"/>
  <c r="D9" i="18"/>
  <c r="N9" i="18"/>
  <c r="R9" i="18"/>
  <c r="S9" i="18" s="1"/>
  <c r="W9" i="18"/>
  <c r="G8" i="18"/>
  <c r="X8" i="18"/>
  <c r="E9" i="18" l="1"/>
  <c r="C10" i="18"/>
  <c r="D10" i="18"/>
  <c r="N10" i="18"/>
  <c r="R10" i="18"/>
  <c r="S10" i="18" s="1"/>
  <c r="W10" i="18"/>
  <c r="X9" i="18"/>
  <c r="F9" i="18"/>
  <c r="G9" i="18"/>
  <c r="E10" i="18" l="1"/>
  <c r="C11" i="18"/>
  <c r="D11" i="18"/>
  <c r="N11" i="18"/>
  <c r="R11" i="18"/>
  <c r="S11" i="18" s="1"/>
  <c r="W11" i="18"/>
  <c r="F10" i="18"/>
  <c r="F11" i="18"/>
  <c r="E11" i="18" l="1"/>
  <c r="C12" i="18"/>
  <c r="D12" i="18"/>
  <c r="N12" i="18"/>
  <c r="R12" i="18"/>
  <c r="S12" i="18" s="1"/>
  <c r="W12" i="18"/>
  <c r="G10" i="18"/>
  <c r="X11" i="18"/>
  <c r="G11" i="18"/>
  <c r="F12" i="18"/>
  <c r="X10" i="18"/>
  <c r="E12" i="18" l="1"/>
  <c r="C13" i="18"/>
  <c r="D13" i="18"/>
  <c r="E13" i="18" s="1"/>
  <c r="N13" i="18"/>
  <c r="R13" i="18"/>
  <c r="S13" i="18" s="1"/>
  <c r="W13" i="18"/>
  <c r="F13" i="18"/>
  <c r="G12" i="18"/>
  <c r="X12" i="18"/>
  <c r="C14" i="18" l="1"/>
  <c r="D14" i="18"/>
  <c r="N14" i="18"/>
  <c r="R14" i="18"/>
  <c r="S14" i="18" s="1"/>
  <c r="W14" i="18"/>
  <c r="X13" i="18"/>
  <c r="G13" i="18"/>
  <c r="F14" i="18"/>
  <c r="E14" i="18" l="1"/>
  <c r="C15" i="18"/>
  <c r="D15" i="18"/>
  <c r="N15" i="18"/>
  <c r="O5" i="18" s="1" a="1"/>
  <c r="O15" i="18" s="1"/>
  <c r="R15" i="18"/>
  <c r="S15" i="18" s="1"/>
  <c r="W15" i="18"/>
  <c r="G14" i="18"/>
  <c r="F15" i="18"/>
  <c r="X14" i="18"/>
  <c r="E15" i="18" l="1"/>
  <c r="O5" i="18"/>
  <c r="O6" i="18"/>
  <c r="O7" i="18"/>
  <c r="O8" i="18"/>
  <c r="O9" i="18"/>
  <c r="O10" i="18"/>
  <c r="O11" i="18"/>
  <c r="O12" i="18"/>
  <c r="O13" i="18"/>
  <c r="O14" i="18"/>
  <c r="O2" i="17"/>
  <c r="B5" i="17"/>
  <c r="C5" i="17"/>
  <c r="D5" i="17"/>
  <c r="N5" i="17"/>
  <c r="R5" i="17"/>
  <c r="S5" i="17" s="1"/>
  <c r="W5" i="17" a="1"/>
  <c r="W5" i="17" s="1"/>
  <c r="B6" i="17"/>
  <c r="C6" i="17"/>
  <c r="D6" i="17"/>
  <c r="N6" i="17"/>
  <c r="R6" i="17"/>
  <c r="S6" i="17" s="1"/>
  <c r="F5" i="17"/>
  <c r="G15" i="18"/>
  <c r="O4" i="17"/>
  <c r="X15" i="18"/>
  <c r="E6" i="17" l="1"/>
  <c r="E5" i="17"/>
  <c r="W6" i="17"/>
  <c r="B7" i="17"/>
  <c r="C7" i="17"/>
  <c r="D7" i="17"/>
  <c r="N7" i="17"/>
  <c r="R7" i="17"/>
  <c r="S7" i="17" s="1"/>
  <c r="W7" i="17"/>
  <c r="X5" i="17"/>
  <c r="G5" i="17"/>
  <c r="F6" i="17"/>
  <c r="E7" i="17" l="1"/>
  <c r="B8" i="17"/>
  <c r="C8" i="17"/>
  <c r="D8" i="17"/>
  <c r="N8" i="17"/>
  <c r="R8" i="17"/>
  <c r="S8" i="17" s="1"/>
  <c r="W8" i="17"/>
  <c r="F7" i="17"/>
  <c r="X6" i="17"/>
  <c r="G6" i="17"/>
  <c r="E8" i="17" l="1"/>
  <c r="B9" i="17"/>
  <c r="C9" i="17"/>
  <c r="D9" i="17"/>
  <c r="N9" i="17"/>
  <c r="R9" i="17"/>
  <c r="S9" i="17" s="1"/>
  <c r="W9" i="17"/>
  <c r="X7" i="17"/>
  <c r="F8" i="17"/>
  <c r="G7" i="17"/>
  <c r="F9" i="17"/>
  <c r="E9" i="17" l="1"/>
  <c r="B10" i="17"/>
  <c r="C10" i="17"/>
  <c r="D10" i="17"/>
  <c r="N10" i="17"/>
  <c r="R10" i="17"/>
  <c r="S10" i="17" s="1"/>
  <c r="W10" i="17"/>
  <c r="G8" i="17"/>
  <c r="X9" i="17"/>
  <c r="X8" i="17"/>
  <c r="G9" i="17"/>
  <c r="E10" i="17" l="1"/>
  <c r="B11" i="17"/>
  <c r="C11" i="17"/>
  <c r="D11" i="17"/>
  <c r="N11" i="17"/>
  <c r="R11" i="17"/>
  <c r="S11" i="17" s="1"/>
  <c r="W11" i="17"/>
  <c r="X10" i="17"/>
  <c r="F10" i="17"/>
  <c r="G10" i="17"/>
  <c r="E11" i="17" l="1"/>
  <c r="B12" i="17"/>
  <c r="C12" i="17"/>
  <c r="D12" i="17"/>
  <c r="N12" i="17"/>
  <c r="R12" i="17"/>
  <c r="S12" i="17" s="1"/>
  <c r="W12" i="17"/>
  <c r="F11" i="17"/>
  <c r="F12" i="17"/>
  <c r="E12" i="17" l="1"/>
  <c r="B13" i="17"/>
  <c r="C13" i="17"/>
  <c r="D13" i="17"/>
  <c r="N13" i="17"/>
  <c r="R13" i="17"/>
  <c r="S13" i="17" s="1"/>
  <c r="W13" i="17"/>
  <c r="G12" i="17"/>
  <c r="X12" i="17"/>
  <c r="X11" i="17"/>
  <c r="G11" i="17"/>
  <c r="E13" i="17" l="1"/>
  <c r="B14" i="17"/>
  <c r="C14" i="17"/>
  <c r="D14" i="17"/>
  <c r="N14" i="17"/>
  <c r="R14" i="17"/>
  <c r="S14" i="17" s="1"/>
  <c r="W14" i="17"/>
  <c r="G13" i="17"/>
  <c r="F13" i="17"/>
  <c r="E14" i="17" l="1"/>
  <c r="B15" i="17"/>
  <c r="C15" i="17"/>
  <c r="D15" i="17"/>
  <c r="N15" i="17"/>
  <c r="R15" i="17"/>
  <c r="S15" i="17" s="1"/>
  <c r="W15" i="17"/>
  <c r="F14" i="17"/>
  <c r="X13" i="17"/>
  <c r="X14" i="17"/>
  <c r="E15" i="17" l="1"/>
  <c r="B16" i="17"/>
  <c r="C16" i="17"/>
  <c r="D16" i="17"/>
  <c r="N16" i="17"/>
  <c r="R16" i="17"/>
  <c r="S16" i="17" s="1"/>
  <c r="W16" i="17"/>
  <c r="G14" i="17"/>
  <c r="F15" i="17"/>
  <c r="E16" i="17" l="1"/>
  <c r="B17" i="17"/>
  <c r="C17" i="17"/>
  <c r="D17" i="17"/>
  <c r="N17" i="17"/>
  <c r="R17" i="17"/>
  <c r="S17" i="17" s="1"/>
  <c r="W17" i="17"/>
  <c r="X15" i="17"/>
  <c r="G15" i="17"/>
  <c r="G16" i="17"/>
  <c r="F16" i="17"/>
  <c r="E17" i="17" l="1"/>
  <c r="B18" i="17"/>
  <c r="C18" i="17"/>
  <c r="D18" i="17"/>
  <c r="N18" i="17"/>
  <c r="R18" i="17"/>
  <c r="S18" i="17" s="1"/>
  <c r="W18" i="17"/>
  <c r="G17" i="17"/>
  <c r="F17" i="17"/>
  <c r="X16" i="17"/>
  <c r="X17" i="17"/>
  <c r="E18" i="17" l="1"/>
  <c r="B19" i="17"/>
  <c r="C19" i="17"/>
  <c r="D19" i="17"/>
  <c r="N19" i="17"/>
  <c r="R19" i="17"/>
  <c r="S19" i="17" s="1"/>
  <c r="W19" i="17"/>
  <c r="F18" i="17"/>
  <c r="F19" i="17"/>
  <c r="E19" i="17" l="1"/>
  <c r="B20" i="17"/>
  <c r="C20" i="17"/>
  <c r="D20" i="17"/>
  <c r="N20" i="17"/>
  <c r="R20" i="17"/>
  <c r="S20" i="17" s="1"/>
  <c r="W20" i="17"/>
  <c r="X18" i="17"/>
  <c r="G18" i="17"/>
  <c r="X19" i="17"/>
  <c r="G19" i="17"/>
  <c r="E20" i="17" l="1"/>
  <c r="B21" i="17"/>
  <c r="C21" i="17"/>
  <c r="D21" i="17"/>
  <c r="N21" i="17"/>
  <c r="R21" i="17"/>
  <c r="S21" i="17" s="1"/>
  <c r="W21" i="17"/>
  <c r="F20" i="17"/>
  <c r="X20" i="17"/>
  <c r="G20" i="17"/>
  <c r="E21" i="17" l="1"/>
  <c r="B22" i="17"/>
  <c r="C22" i="17"/>
  <c r="D22" i="17"/>
  <c r="N22" i="17"/>
  <c r="R22" i="17"/>
  <c r="S22" i="17" s="1"/>
  <c r="W22" i="17"/>
  <c r="F22" i="17"/>
  <c r="F21" i="17"/>
  <c r="G21" i="17"/>
  <c r="X21" i="17"/>
  <c r="E22" i="17" l="1"/>
  <c r="B23" i="17"/>
  <c r="C23" i="17"/>
  <c r="D23" i="17"/>
  <c r="N23" i="17"/>
  <c r="R23" i="17"/>
  <c r="S23" i="17" s="1"/>
  <c r="W23" i="17"/>
  <c r="X22" i="17"/>
  <c r="G22" i="17"/>
  <c r="E23" i="17" l="1"/>
  <c r="B24" i="17"/>
  <c r="C24" i="17"/>
  <c r="D24" i="17"/>
  <c r="N24" i="17"/>
  <c r="R24" i="17"/>
  <c r="S24" i="17" s="1"/>
  <c r="W24" i="17"/>
  <c r="G23" i="17"/>
  <c r="F23" i="17"/>
  <c r="E24" i="17" l="1"/>
  <c r="B25" i="17"/>
  <c r="C25" i="17"/>
  <c r="D25" i="17"/>
  <c r="N25" i="17"/>
  <c r="R25" i="17"/>
  <c r="S25" i="17" s="1"/>
  <c r="W25" i="17"/>
  <c r="X24" i="17"/>
  <c r="F24" i="17"/>
  <c r="G24" i="17"/>
  <c r="X23" i="17"/>
  <c r="F25" i="17"/>
  <c r="E25" i="17" l="1"/>
  <c r="B26" i="17"/>
  <c r="C26" i="17"/>
  <c r="D26" i="17"/>
  <c r="N26" i="17"/>
  <c r="R26" i="17"/>
  <c r="S26" i="17" s="1"/>
  <c r="W26" i="17"/>
  <c r="G25" i="17"/>
  <c r="X25" i="17"/>
  <c r="F26" i="17"/>
  <c r="E26" i="17" l="1"/>
  <c r="B27" i="17"/>
  <c r="C27" i="17"/>
  <c r="D27" i="17"/>
  <c r="N27" i="17"/>
  <c r="R27" i="17"/>
  <c r="S27" i="17" s="1"/>
  <c r="W27" i="17"/>
  <c r="G26" i="17"/>
  <c r="X26" i="17"/>
  <c r="E27" i="17" l="1"/>
  <c r="B28" i="17"/>
  <c r="C28" i="17"/>
  <c r="D28" i="17"/>
  <c r="N28" i="17"/>
  <c r="R28" i="17"/>
  <c r="S28" i="17" s="1"/>
  <c r="W28" i="17"/>
  <c r="G27" i="17"/>
  <c r="X27" i="17"/>
  <c r="F27" i="17"/>
  <c r="E28" i="17" l="1"/>
  <c r="B29" i="17"/>
  <c r="C29" i="17"/>
  <c r="D29" i="17"/>
  <c r="N29" i="17"/>
  <c r="R29" i="17"/>
  <c r="S29" i="17" s="1"/>
  <c r="W29" i="17"/>
  <c r="F28" i="17"/>
  <c r="E29" i="17" l="1"/>
  <c r="B30" i="17"/>
  <c r="C30" i="17"/>
  <c r="D30" i="17"/>
  <c r="N30" i="17"/>
  <c r="R30" i="17"/>
  <c r="S30" i="17" s="1"/>
  <c r="W30" i="17"/>
  <c r="G28" i="17"/>
  <c r="X28" i="17"/>
  <c r="F29" i="17"/>
  <c r="F30" i="17"/>
  <c r="X29" i="17"/>
  <c r="E30" i="17" l="1"/>
  <c r="B31" i="17"/>
  <c r="C31" i="17"/>
  <c r="D31" i="17"/>
  <c r="N31" i="17"/>
  <c r="R31" i="17"/>
  <c r="S31" i="17" s="1"/>
  <c r="W31" i="17"/>
  <c r="G29" i="17"/>
  <c r="G30" i="17"/>
  <c r="X30" i="17"/>
  <c r="E31" i="17" l="1"/>
  <c r="B32" i="17"/>
  <c r="C32" i="17"/>
  <c r="D32" i="17"/>
  <c r="N32" i="17"/>
  <c r="R32" i="17"/>
  <c r="S32" i="17" s="1"/>
  <c r="W32" i="17"/>
  <c r="F31" i="17"/>
  <c r="E32" i="17" l="1"/>
  <c r="B33" i="17"/>
  <c r="C33" i="17"/>
  <c r="D33" i="17"/>
  <c r="N33" i="17"/>
  <c r="R33" i="17"/>
  <c r="S33" i="17" s="1"/>
  <c r="W33" i="17"/>
  <c r="G31" i="17"/>
  <c r="F32" i="17"/>
  <c r="X31" i="17"/>
  <c r="E33" i="17" l="1"/>
  <c r="B34" i="17"/>
  <c r="C34" i="17"/>
  <c r="D34" i="17"/>
  <c r="N34" i="17"/>
  <c r="R34" i="17"/>
  <c r="S34" i="17" s="1"/>
  <c r="W34" i="17"/>
  <c r="G33" i="17"/>
  <c r="X33" i="17"/>
  <c r="G32" i="17"/>
  <c r="X32" i="17"/>
  <c r="F33" i="17"/>
  <c r="E34" i="17" l="1"/>
  <c r="B35" i="17"/>
  <c r="C35" i="17"/>
  <c r="D35" i="17"/>
  <c r="N35" i="17"/>
  <c r="R35" i="17"/>
  <c r="S35" i="17" s="1"/>
  <c r="W35" i="17"/>
  <c r="X34" i="17"/>
  <c r="F34" i="17"/>
  <c r="E35" i="17" l="1"/>
  <c r="B36" i="17"/>
  <c r="C36" i="17"/>
  <c r="D36" i="17"/>
  <c r="N36" i="17"/>
  <c r="R36" i="17"/>
  <c r="S36" i="17" s="1"/>
  <c r="W36" i="17"/>
  <c r="F36" i="17"/>
  <c r="F35" i="17"/>
  <c r="G34" i="17"/>
  <c r="E36" i="17" l="1"/>
  <c r="B37" i="17"/>
  <c r="C37" i="17"/>
  <c r="D37" i="17"/>
  <c r="N37" i="17"/>
  <c r="R37" i="17"/>
  <c r="S37" i="17" s="1"/>
  <c r="W37" i="17"/>
  <c r="G35" i="17"/>
  <c r="X36" i="17"/>
  <c r="G36" i="17"/>
  <c r="X35" i="17"/>
  <c r="F37" i="17"/>
  <c r="E37" i="17" l="1"/>
  <c r="B38" i="17"/>
  <c r="C38" i="17"/>
  <c r="D38" i="17"/>
  <c r="N38" i="17"/>
  <c r="R38" i="17"/>
  <c r="S38" i="17" s="1"/>
  <c r="W38" i="17"/>
  <c r="X37" i="17"/>
  <c r="G37" i="17"/>
  <c r="E38" i="17" l="1"/>
  <c r="B39" i="17"/>
  <c r="C39" i="17"/>
  <c r="D39" i="17"/>
  <c r="N39" i="17"/>
  <c r="R39" i="17"/>
  <c r="S39" i="17" s="1"/>
  <c r="W39" i="17"/>
  <c r="X38" i="17"/>
  <c r="F38" i="17"/>
  <c r="G38" i="17"/>
  <c r="E39" i="17" l="1"/>
  <c r="B40" i="17"/>
  <c r="C40" i="17"/>
  <c r="D40" i="17"/>
  <c r="N40" i="17"/>
  <c r="R40" i="17"/>
  <c r="S40" i="17" s="1"/>
  <c r="W40" i="17"/>
  <c r="F40" i="17"/>
  <c r="F39" i="17"/>
  <c r="G39" i="17"/>
  <c r="X39" i="17"/>
  <c r="E40" i="17" l="1"/>
  <c r="B41" i="17"/>
  <c r="C41" i="17"/>
  <c r="D41" i="17"/>
  <c r="N41" i="17"/>
  <c r="O5" i="17" s="1" a="1"/>
  <c r="O41" i="17" s="1"/>
  <c r="R41" i="17"/>
  <c r="S41" i="17" s="1"/>
  <c r="W41" i="17"/>
  <c r="X40" i="17"/>
  <c r="G40" i="17"/>
  <c r="E41" i="17" l="1"/>
  <c r="O5" i="17"/>
  <c r="O6" i="17"/>
  <c r="O7" i="17"/>
  <c r="O8" i="17"/>
  <c r="O9" i="17"/>
  <c r="O10" i="17"/>
  <c r="O11" i="17"/>
  <c r="O12" i="17"/>
  <c r="O13" i="17"/>
  <c r="O14" i="17"/>
  <c r="O15" i="17"/>
  <c r="O16" i="17"/>
  <c r="O17" i="17"/>
  <c r="O18" i="17"/>
  <c r="O19" i="17"/>
  <c r="O20" i="17"/>
  <c r="O21" i="17"/>
  <c r="O22" i="17"/>
  <c r="O23" i="17"/>
  <c r="O24" i="17"/>
  <c r="O25" i="17"/>
  <c r="O26" i="17"/>
  <c r="O27" i="17"/>
  <c r="O28" i="17"/>
  <c r="O29" i="17"/>
  <c r="O30" i="17"/>
  <c r="O31" i="17"/>
  <c r="O32" i="17"/>
  <c r="O33" i="17"/>
  <c r="O34" i="17"/>
  <c r="O35" i="17"/>
  <c r="O36" i="17"/>
  <c r="O37" i="17"/>
  <c r="O38" i="17"/>
  <c r="O39" i="17"/>
  <c r="O40" i="17"/>
  <c r="O2" i="16"/>
  <c r="B5" i="16"/>
  <c r="C5" i="16"/>
  <c r="D5" i="16"/>
  <c r="N5" i="16"/>
  <c r="R5" i="16"/>
  <c r="S5" i="16" s="1"/>
  <c r="W5" i="16" a="1"/>
  <c r="W5" i="16" s="1"/>
  <c r="B6" i="16"/>
  <c r="C6" i="16"/>
  <c r="D6" i="16"/>
  <c r="N6" i="16"/>
  <c r="R6" i="16"/>
  <c r="S6" i="16" s="1"/>
  <c r="F5" i="16"/>
  <c r="O4" i="16"/>
  <c r="F6" i="16"/>
  <c r="F41" i="17"/>
  <c r="W6" i="16" l="1"/>
  <c r="E5" i="16"/>
  <c r="E6" i="16"/>
  <c r="B7" i="16"/>
  <c r="C7" i="16"/>
  <c r="D7" i="16"/>
  <c r="N7" i="16"/>
  <c r="R7" i="16"/>
  <c r="S7" i="16" s="1"/>
  <c r="W7" i="16"/>
  <c r="X6" i="16"/>
  <c r="G6" i="16"/>
  <c r="G5" i="16"/>
  <c r="X41" i="17"/>
  <c r="G41" i="17"/>
  <c r="F7" i="16"/>
  <c r="X5" i="16"/>
  <c r="E7" i="16" l="1"/>
  <c r="B8" i="16"/>
  <c r="C8" i="16"/>
  <c r="D8" i="16"/>
  <c r="N8" i="16"/>
  <c r="R8" i="16"/>
  <c r="S8" i="16" s="1"/>
  <c r="W8" i="16"/>
  <c r="F8" i="16"/>
  <c r="X7" i="16"/>
  <c r="G7" i="16"/>
  <c r="E8" i="16" l="1"/>
  <c r="B9" i="16"/>
  <c r="C9" i="16"/>
  <c r="D9" i="16"/>
  <c r="N9" i="16"/>
  <c r="R9" i="16"/>
  <c r="S9" i="16" s="1"/>
  <c r="W9" i="16"/>
  <c r="F9" i="16"/>
  <c r="G8" i="16"/>
  <c r="X9" i="16"/>
  <c r="G9" i="16"/>
  <c r="X8" i="16"/>
  <c r="E9" i="16" l="1"/>
  <c r="B10" i="16"/>
  <c r="C10" i="16"/>
  <c r="D10" i="16"/>
  <c r="N10" i="16"/>
  <c r="R10" i="16"/>
  <c r="S10" i="16" s="1"/>
  <c r="W10" i="16"/>
  <c r="F10" i="16"/>
  <c r="E10" i="16" l="1"/>
  <c r="B11" i="16"/>
  <c r="C11" i="16"/>
  <c r="D11" i="16"/>
  <c r="N11" i="16"/>
  <c r="R11" i="16"/>
  <c r="S11" i="16" s="1"/>
  <c r="W11" i="16"/>
  <c r="X10" i="16"/>
  <c r="G10" i="16"/>
  <c r="E11" i="16" l="1"/>
  <c r="B12" i="16"/>
  <c r="C12" i="16"/>
  <c r="D12" i="16"/>
  <c r="N12" i="16"/>
  <c r="R12" i="16"/>
  <c r="S12" i="16" s="1"/>
  <c r="W12" i="16"/>
  <c r="F11" i="16"/>
  <c r="X11" i="16"/>
  <c r="G11" i="16"/>
  <c r="F12" i="16"/>
  <c r="E12" i="16" l="1"/>
  <c r="B13" i="16"/>
  <c r="C13" i="16"/>
  <c r="D13" i="16"/>
  <c r="N13" i="16"/>
  <c r="R13" i="16"/>
  <c r="S13" i="16" s="1"/>
  <c r="W13" i="16"/>
  <c r="X12" i="16"/>
  <c r="F13" i="16"/>
  <c r="G12" i="16"/>
  <c r="E13" i="16" l="1"/>
  <c r="B14" i="16"/>
  <c r="C14" i="16"/>
  <c r="D14" i="16"/>
  <c r="N14" i="16"/>
  <c r="R14" i="16"/>
  <c r="S14" i="16" s="1"/>
  <c r="W14" i="16"/>
  <c r="G14" i="16"/>
  <c r="G13" i="16"/>
  <c r="X14" i="16"/>
  <c r="F14" i="16"/>
  <c r="X13" i="16"/>
  <c r="E14" i="16" l="1"/>
  <c r="B15" i="16"/>
  <c r="C15" i="16"/>
  <c r="D15" i="16"/>
  <c r="N15" i="16"/>
  <c r="R15" i="16"/>
  <c r="S15" i="16" s="1"/>
  <c r="W15" i="16"/>
  <c r="F15" i="16"/>
  <c r="X15" i="16"/>
  <c r="G15" i="16"/>
  <c r="E15" i="16" l="1"/>
  <c r="B16" i="16"/>
  <c r="C16" i="16"/>
  <c r="D16" i="16"/>
  <c r="N16" i="16"/>
  <c r="R16" i="16"/>
  <c r="S16" i="16" s="1"/>
  <c r="W16" i="16"/>
  <c r="G16" i="16"/>
  <c r="F16" i="16"/>
  <c r="E16" i="16" l="1"/>
  <c r="B17" i="16"/>
  <c r="C17" i="16"/>
  <c r="D17" i="16"/>
  <c r="N17" i="16"/>
  <c r="R17" i="16"/>
  <c r="S17" i="16" s="1"/>
  <c r="W17" i="16"/>
  <c r="X16" i="16"/>
  <c r="E17" i="16" l="1"/>
  <c r="B18" i="16"/>
  <c r="C18" i="16"/>
  <c r="D18" i="16"/>
  <c r="N18" i="16"/>
  <c r="R18" i="16"/>
  <c r="S18" i="16" s="1"/>
  <c r="W18" i="16"/>
  <c r="F17" i="16"/>
  <c r="F18" i="16"/>
  <c r="E18" i="16" l="1"/>
  <c r="B19" i="16"/>
  <c r="C19" i="16"/>
  <c r="D19" i="16"/>
  <c r="N19" i="16"/>
  <c r="R19" i="16"/>
  <c r="S19" i="16" s="1"/>
  <c r="W19" i="16"/>
  <c r="X17" i="16"/>
  <c r="G17" i="16"/>
  <c r="G18" i="16"/>
  <c r="X18" i="16"/>
  <c r="E19" i="16" l="1"/>
  <c r="B20" i="16"/>
  <c r="C20" i="16"/>
  <c r="D20" i="16"/>
  <c r="N20" i="16"/>
  <c r="R20" i="16"/>
  <c r="S20" i="16" s="1"/>
  <c r="W20" i="16"/>
  <c r="F19" i="16"/>
  <c r="E20" i="16" l="1"/>
  <c r="B21" i="16"/>
  <c r="C21" i="16"/>
  <c r="D21" i="16"/>
  <c r="N21" i="16"/>
  <c r="R21" i="16"/>
  <c r="S21" i="16" s="1"/>
  <c r="W21" i="16"/>
  <c r="G20" i="16"/>
  <c r="G21" i="16"/>
  <c r="X21" i="16"/>
  <c r="G19" i="16"/>
  <c r="F20" i="16"/>
  <c r="F21" i="16"/>
  <c r="X20" i="16"/>
  <c r="X19" i="16"/>
  <c r="E21" i="16" l="1"/>
  <c r="B22" i="16"/>
  <c r="C22" i="16"/>
  <c r="D22" i="16"/>
  <c r="N22" i="16"/>
  <c r="R22" i="16"/>
  <c r="S22" i="16" s="1"/>
  <c r="W22" i="16"/>
  <c r="F22" i="16"/>
  <c r="X22" i="16"/>
  <c r="G22" i="16"/>
  <c r="E22" i="16" l="1"/>
  <c r="B23" i="16"/>
  <c r="C23" i="16"/>
  <c r="D23" i="16"/>
  <c r="N23" i="16"/>
  <c r="R23" i="16"/>
  <c r="S23" i="16" s="1"/>
  <c r="W23" i="16"/>
  <c r="F23" i="16"/>
  <c r="X23" i="16"/>
  <c r="G23" i="16"/>
  <c r="E23" i="16" l="1"/>
  <c r="B24" i="16"/>
  <c r="C24" i="16"/>
  <c r="D24" i="16"/>
  <c r="N24" i="16"/>
  <c r="R24" i="16"/>
  <c r="S24" i="16" s="1"/>
  <c r="W24" i="16"/>
  <c r="E24" i="16" l="1"/>
  <c r="B25" i="16"/>
  <c r="C25" i="16"/>
  <c r="D25" i="16"/>
  <c r="N25" i="16"/>
  <c r="R25" i="16"/>
  <c r="S25" i="16" s="1"/>
  <c r="W25" i="16"/>
  <c r="F24" i="16"/>
  <c r="F25" i="16"/>
  <c r="E25" i="16" l="1"/>
  <c r="B26" i="16"/>
  <c r="C26" i="16"/>
  <c r="D26" i="16"/>
  <c r="N26" i="16"/>
  <c r="R26" i="16"/>
  <c r="S26" i="16" s="1"/>
  <c r="W26" i="16"/>
  <c r="G24" i="16"/>
  <c r="X25" i="16"/>
  <c r="X24" i="16"/>
  <c r="G25" i="16"/>
  <c r="E26" i="16" l="1"/>
  <c r="B27" i="16"/>
  <c r="C27" i="16"/>
  <c r="D27" i="16"/>
  <c r="N27" i="16"/>
  <c r="R27" i="16"/>
  <c r="S27" i="16" s="1"/>
  <c r="W27" i="16"/>
  <c r="X26" i="16"/>
  <c r="G26" i="16"/>
  <c r="F26" i="16"/>
  <c r="E27" i="16" l="1"/>
  <c r="B28" i="16"/>
  <c r="C28" i="16"/>
  <c r="D28" i="16"/>
  <c r="N28" i="16"/>
  <c r="R28" i="16"/>
  <c r="S28" i="16" s="1"/>
  <c r="W28" i="16"/>
  <c r="F27" i="16"/>
  <c r="X27" i="16"/>
  <c r="G27" i="16"/>
  <c r="E28" i="16" l="1"/>
  <c r="B29" i="16"/>
  <c r="C29" i="16"/>
  <c r="D29" i="16"/>
  <c r="N29" i="16"/>
  <c r="R29" i="16"/>
  <c r="S29" i="16" s="1"/>
  <c r="W29" i="16"/>
  <c r="F28" i="16"/>
  <c r="E29" i="16" l="1"/>
  <c r="B30" i="16"/>
  <c r="C30" i="16"/>
  <c r="D30" i="16"/>
  <c r="N30" i="16"/>
  <c r="R30" i="16"/>
  <c r="S30" i="16" s="1"/>
  <c r="W30" i="16"/>
  <c r="F29" i="16"/>
  <c r="X28" i="16"/>
  <c r="G28" i="16"/>
  <c r="E30" i="16" l="1"/>
  <c r="B31" i="16"/>
  <c r="C31" i="16"/>
  <c r="D31" i="16"/>
  <c r="N31" i="16"/>
  <c r="R31" i="16"/>
  <c r="S31" i="16" s="1"/>
  <c r="W31" i="16"/>
  <c r="F30" i="16"/>
  <c r="G29" i="16"/>
  <c r="X29" i="16"/>
  <c r="F31" i="16"/>
  <c r="E31" i="16" l="1"/>
  <c r="B32" i="16"/>
  <c r="C32" i="16"/>
  <c r="D32" i="16"/>
  <c r="N32" i="16"/>
  <c r="R32" i="16"/>
  <c r="S32" i="16" s="1"/>
  <c r="W32" i="16"/>
  <c r="G31" i="16"/>
  <c r="X31" i="16"/>
  <c r="X30" i="16"/>
  <c r="G30" i="16"/>
  <c r="E32" i="16" l="1"/>
  <c r="B33" i="16"/>
  <c r="C33" i="16"/>
  <c r="D33" i="16"/>
  <c r="N33" i="16"/>
  <c r="R33" i="16"/>
  <c r="S33" i="16" s="1"/>
  <c r="W33" i="16"/>
  <c r="F32" i="16"/>
  <c r="X32" i="16"/>
  <c r="G32" i="16"/>
  <c r="E33" i="16" l="1"/>
  <c r="B34" i="16"/>
  <c r="C34" i="16"/>
  <c r="D34" i="16"/>
  <c r="N34" i="16"/>
  <c r="R34" i="16"/>
  <c r="S34" i="16" s="1"/>
  <c r="W34" i="16"/>
  <c r="F33" i="16"/>
  <c r="F34" i="16"/>
  <c r="E34" i="16" l="1"/>
  <c r="B35" i="16"/>
  <c r="C35" i="16"/>
  <c r="D35" i="16"/>
  <c r="N35" i="16"/>
  <c r="R35" i="16"/>
  <c r="S35" i="16" s="1"/>
  <c r="W35" i="16"/>
  <c r="G34" i="16"/>
  <c r="X34" i="16"/>
  <c r="X33" i="16"/>
  <c r="F35" i="16"/>
  <c r="G33" i="16"/>
  <c r="E35" i="16" l="1"/>
  <c r="B36" i="16"/>
  <c r="C36" i="16"/>
  <c r="D36" i="16"/>
  <c r="N36" i="16"/>
  <c r="R36" i="16"/>
  <c r="S36" i="16" s="1"/>
  <c r="W36" i="16"/>
  <c r="F36" i="16"/>
  <c r="X35" i="16"/>
  <c r="G35" i="16"/>
  <c r="E36" i="16" l="1"/>
  <c r="B37" i="16"/>
  <c r="C37" i="16"/>
  <c r="D37" i="16"/>
  <c r="N37" i="16"/>
  <c r="R37" i="16"/>
  <c r="S37" i="16" s="1"/>
  <c r="W37" i="16"/>
  <c r="G36" i="16"/>
  <c r="F37" i="16"/>
  <c r="G37" i="16"/>
  <c r="X36" i="16"/>
  <c r="E37" i="16" l="1"/>
  <c r="B38" i="16"/>
  <c r="C38" i="16"/>
  <c r="D38" i="16"/>
  <c r="N38" i="16"/>
  <c r="R38" i="16"/>
  <c r="S38" i="16" s="1"/>
  <c r="W38" i="16"/>
  <c r="F38" i="16"/>
  <c r="X38" i="16"/>
  <c r="X37" i="16"/>
  <c r="E38" i="16" l="1"/>
  <c r="B39" i="16"/>
  <c r="C39" i="16"/>
  <c r="D39" i="16"/>
  <c r="N39" i="16"/>
  <c r="R39" i="16"/>
  <c r="S39" i="16" s="1"/>
  <c r="W39" i="16"/>
  <c r="F39" i="16"/>
  <c r="X39" i="16"/>
  <c r="G38" i="16"/>
  <c r="G39" i="16"/>
  <c r="E39" i="16" l="1"/>
  <c r="B40" i="16"/>
  <c r="C40" i="16"/>
  <c r="D40" i="16"/>
  <c r="N40" i="16"/>
  <c r="R40" i="16"/>
  <c r="S40" i="16" s="1"/>
  <c r="W40" i="16"/>
  <c r="E40" i="16" l="1"/>
  <c r="B41" i="16"/>
  <c r="C41" i="16"/>
  <c r="D41" i="16"/>
  <c r="N41" i="16"/>
  <c r="O5" i="16" s="1" a="1"/>
  <c r="O41" i="16" s="1"/>
  <c r="R41" i="16"/>
  <c r="S41" i="16" s="1"/>
  <c r="W41" i="16"/>
  <c r="F41" i="16"/>
  <c r="F40" i="16"/>
  <c r="E41" i="16" l="1"/>
  <c r="O5" i="16"/>
  <c r="O6" i="16"/>
  <c r="O7" i="16"/>
  <c r="O8" i="16"/>
  <c r="O9" i="16"/>
  <c r="O10" i="16"/>
  <c r="O11" i="16"/>
  <c r="O12" i="16"/>
  <c r="O13" i="16"/>
  <c r="O14" i="16"/>
  <c r="O15" i="16"/>
  <c r="O16" i="16"/>
  <c r="O17" i="16"/>
  <c r="O18" i="16"/>
  <c r="O19" i="16"/>
  <c r="O20" i="16"/>
  <c r="O21" i="16"/>
  <c r="O22" i="16"/>
  <c r="O23" i="16"/>
  <c r="O24" i="16"/>
  <c r="O25" i="16"/>
  <c r="O26" i="16"/>
  <c r="O27" i="16"/>
  <c r="O28" i="16"/>
  <c r="O29" i="16"/>
  <c r="O30" i="16"/>
  <c r="O31" i="16"/>
  <c r="O32" i="16"/>
  <c r="O33" i="16"/>
  <c r="O34" i="16"/>
  <c r="O35" i="16"/>
  <c r="O36" i="16"/>
  <c r="O37" i="16"/>
  <c r="O38" i="16"/>
  <c r="O39" i="16"/>
  <c r="O40" i="16"/>
  <c r="O2" i="15"/>
  <c r="B5" i="15"/>
  <c r="C5" i="15"/>
  <c r="D5" i="15"/>
  <c r="N5" i="15"/>
  <c r="R5" i="15"/>
  <c r="S5" i="15" s="1"/>
  <c r="W5" i="15" a="1"/>
  <c r="W5" i="15" s="1"/>
  <c r="B6" i="15"/>
  <c r="C6" i="15"/>
  <c r="D6" i="15"/>
  <c r="N6" i="15"/>
  <c r="R6" i="15"/>
  <c r="S6" i="15" s="1"/>
  <c r="G40" i="16"/>
  <c r="G41" i="16"/>
  <c r="X40" i="16"/>
  <c r="O4" i="15"/>
  <c r="X41" i="16"/>
  <c r="F5" i="15"/>
  <c r="F6" i="15"/>
  <c r="E5" i="15" l="1"/>
  <c r="E6" i="15"/>
  <c r="W6" i="15"/>
  <c r="B7" i="15"/>
  <c r="C7" i="15"/>
  <c r="D7" i="15"/>
  <c r="N7" i="15"/>
  <c r="R7" i="15"/>
  <c r="S7" i="15" s="1"/>
  <c r="W7" i="15"/>
  <c r="X5" i="15"/>
  <c r="G6" i="15"/>
  <c r="F7" i="15"/>
  <c r="G5" i="15"/>
  <c r="X6" i="15"/>
  <c r="G7" i="15"/>
  <c r="X7" i="15"/>
  <c r="E7" i="15" l="1"/>
  <c r="B8" i="15"/>
  <c r="C8" i="15"/>
  <c r="D8" i="15"/>
  <c r="N8" i="15"/>
  <c r="R8" i="15"/>
  <c r="S8" i="15" s="1"/>
  <c r="W8" i="15"/>
  <c r="F8" i="15"/>
  <c r="E8" i="15" l="1"/>
  <c r="B9" i="15"/>
  <c r="C9" i="15"/>
  <c r="D9" i="15"/>
  <c r="N9" i="15"/>
  <c r="R9" i="15"/>
  <c r="S9" i="15" s="1"/>
  <c r="W9" i="15"/>
  <c r="G8" i="15"/>
  <c r="F9" i="15"/>
  <c r="X8" i="15"/>
  <c r="E9" i="15" l="1"/>
  <c r="B10" i="15"/>
  <c r="C10" i="15"/>
  <c r="D10" i="15"/>
  <c r="N10" i="15"/>
  <c r="R10" i="15"/>
  <c r="S10" i="15" s="1"/>
  <c r="W10" i="15"/>
  <c r="X9" i="15"/>
  <c r="G9" i="15"/>
  <c r="E10" i="15" l="1"/>
  <c r="B11" i="15"/>
  <c r="C11" i="15"/>
  <c r="D11" i="15"/>
  <c r="N11" i="15"/>
  <c r="R11" i="15"/>
  <c r="S11" i="15" s="1"/>
  <c r="W11" i="15"/>
  <c r="P5" i="23" s="1"/>
  <c r="F10" i="15"/>
  <c r="E11" i="15" l="1"/>
  <c r="B12" i="15"/>
  <c r="C12" i="15"/>
  <c r="D12" i="15"/>
  <c r="N12" i="15"/>
  <c r="R12" i="15"/>
  <c r="S12" i="15" s="1"/>
  <c r="W12" i="15"/>
  <c r="G10" i="15"/>
  <c r="F12" i="15"/>
  <c r="X10" i="15"/>
  <c r="F11" i="15"/>
  <c r="E12" i="15" l="1"/>
  <c r="B13" i="15"/>
  <c r="C13" i="15"/>
  <c r="D13" i="15"/>
  <c r="N13" i="15"/>
  <c r="R13" i="15"/>
  <c r="S13" i="15" s="1"/>
  <c r="W13" i="15"/>
  <c r="F13" i="15"/>
  <c r="G11" i="15"/>
  <c r="X12" i="15"/>
  <c r="G12" i="15"/>
  <c r="X11" i="15"/>
  <c r="E13" i="15" l="1"/>
  <c r="B14" i="15"/>
  <c r="C14" i="15"/>
  <c r="D14" i="15"/>
  <c r="N14" i="15"/>
  <c r="R14" i="15"/>
  <c r="S14" i="15" s="1"/>
  <c r="W14" i="15"/>
  <c r="G13" i="15"/>
  <c r="F14" i="15"/>
  <c r="X13" i="15"/>
  <c r="E14" i="15" l="1"/>
  <c r="B15" i="15"/>
  <c r="C15" i="15"/>
  <c r="D15" i="15"/>
  <c r="N15" i="15"/>
  <c r="R15" i="15"/>
  <c r="S15" i="15" s="1"/>
  <c r="W15" i="15"/>
  <c r="X14" i="15"/>
  <c r="F15" i="15"/>
  <c r="G14" i="15"/>
  <c r="X15" i="15"/>
  <c r="E15" i="15" l="1"/>
  <c r="B16" i="15"/>
  <c r="C16" i="15"/>
  <c r="D16" i="15"/>
  <c r="N16" i="15"/>
  <c r="R16" i="15"/>
  <c r="S16" i="15" s="1"/>
  <c r="W16" i="15"/>
  <c r="F16" i="15"/>
  <c r="G15" i="15"/>
  <c r="E16" i="15" l="1"/>
  <c r="B17" i="15"/>
  <c r="C17" i="15"/>
  <c r="D17" i="15"/>
  <c r="N17" i="15"/>
  <c r="R17" i="15"/>
  <c r="S17" i="15" s="1"/>
  <c r="W17" i="15"/>
  <c r="X16" i="15"/>
  <c r="G16" i="15"/>
  <c r="E17" i="15" l="1"/>
  <c r="B18" i="15"/>
  <c r="C18" i="15"/>
  <c r="D18" i="15"/>
  <c r="N18" i="15"/>
  <c r="R18" i="15"/>
  <c r="S18" i="15" s="1"/>
  <c r="W18" i="15"/>
  <c r="F18" i="15"/>
  <c r="G17" i="15"/>
  <c r="F17" i="15"/>
  <c r="G18" i="15"/>
  <c r="E18" i="15" l="1"/>
  <c r="B19" i="15"/>
  <c r="C19" i="15"/>
  <c r="D19" i="15"/>
  <c r="N19" i="15"/>
  <c r="R19" i="15"/>
  <c r="S19" i="15" s="1"/>
  <c r="W19" i="15"/>
  <c r="X18" i="15"/>
  <c r="X17" i="15"/>
  <c r="F19" i="15"/>
  <c r="E19" i="15" l="1"/>
  <c r="B20" i="15"/>
  <c r="C20" i="15"/>
  <c r="D20" i="15"/>
  <c r="N20" i="15"/>
  <c r="R20" i="15"/>
  <c r="S20" i="15" s="1"/>
  <c r="W20" i="15"/>
  <c r="G20" i="15"/>
  <c r="F20" i="15"/>
  <c r="G19" i="15"/>
  <c r="X19" i="15"/>
  <c r="E20" i="15" l="1"/>
  <c r="B21" i="15"/>
  <c r="C21" i="15"/>
  <c r="D21" i="15"/>
  <c r="N21" i="15"/>
  <c r="R21" i="15"/>
  <c r="S21" i="15" s="1"/>
  <c r="W21" i="15"/>
  <c r="F21" i="15"/>
  <c r="X20" i="15"/>
  <c r="E21" i="15" l="1"/>
  <c r="B22" i="15"/>
  <c r="C22" i="15"/>
  <c r="D22" i="15"/>
  <c r="N22" i="15"/>
  <c r="R22" i="15"/>
  <c r="S22" i="15" s="1"/>
  <c r="W22" i="15"/>
  <c r="X21" i="15"/>
  <c r="F22" i="15"/>
  <c r="G21" i="15"/>
  <c r="E22" i="15" l="1"/>
  <c r="B23" i="15"/>
  <c r="C23" i="15"/>
  <c r="D23" i="15"/>
  <c r="N23" i="15"/>
  <c r="R23" i="15"/>
  <c r="S23" i="15" s="1"/>
  <c r="W23" i="15"/>
  <c r="X22" i="15"/>
  <c r="G22" i="15"/>
  <c r="E23" i="15" l="1"/>
  <c r="B24" i="15"/>
  <c r="C24" i="15"/>
  <c r="D24" i="15"/>
  <c r="N24" i="15"/>
  <c r="R24" i="15"/>
  <c r="S24" i="15" s="1"/>
  <c r="W24" i="15"/>
  <c r="X23" i="15"/>
  <c r="F23" i="15"/>
  <c r="F24" i="15"/>
  <c r="G23" i="15"/>
  <c r="X24" i="15"/>
  <c r="G24" i="15"/>
  <c r="E24" i="15" l="1"/>
  <c r="B25" i="15"/>
  <c r="C25" i="15"/>
  <c r="D25" i="15"/>
  <c r="N25" i="15"/>
  <c r="R25" i="15"/>
  <c r="S25" i="15" s="1"/>
  <c r="W25" i="15"/>
  <c r="F25" i="15"/>
  <c r="E25" i="15" l="1"/>
  <c r="B26" i="15"/>
  <c r="C26" i="15"/>
  <c r="D26" i="15"/>
  <c r="N26" i="15"/>
  <c r="R26" i="15"/>
  <c r="S26" i="15" s="1"/>
  <c r="W26" i="15"/>
  <c r="G25" i="15"/>
  <c r="F26" i="15"/>
  <c r="X25" i="15"/>
  <c r="E26" i="15" l="1"/>
  <c r="B27" i="15"/>
  <c r="C27" i="15"/>
  <c r="D27" i="15"/>
  <c r="N27" i="15"/>
  <c r="R27" i="15"/>
  <c r="S27" i="15" s="1"/>
  <c r="W27" i="15"/>
  <c r="X26" i="15"/>
  <c r="G26" i="15"/>
  <c r="E27" i="15" l="1"/>
  <c r="B28" i="15"/>
  <c r="C28" i="15"/>
  <c r="D28" i="15"/>
  <c r="N28" i="15"/>
  <c r="R28" i="15"/>
  <c r="S28" i="15" s="1"/>
  <c r="W28" i="15"/>
  <c r="F27" i="15"/>
  <c r="E28" i="15" l="1"/>
  <c r="B29" i="15"/>
  <c r="C29" i="15"/>
  <c r="D29" i="15"/>
  <c r="N29" i="15"/>
  <c r="R29" i="15"/>
  <c r="S29" i="15" s="1"/>
  <c r="W29" i="15"/>
  <c r="F28" i="15"/>
  <c r="X28" i="15"/>
  <c r="X27" i="15"/>
  <c r="G27" i="15"/>
  <c r="F29" i="15"/>
  <c r="E29" i="15" l="1"/>
  <c r="B30" i="15"/>
  <c r="C30" i="15"/>
  <c r="D30" i="15"/>
  <c r="N30" i="15"/>
  <c r="R30" i="15"/>
  <c r="S30" i="15" s="1"/>
  <c r="W30" i="15"/>
  <c r="G29" i="15"/>
  <c r="F30" i="15"/>
  <c r="X30" i="15"/>
  <c r="G28" i="15"/>
  <c r="X29" i="15"/>
  <c r="E30" i="15" l="1"/>
  <c r="B31" i="15"/>
  <c r="C31" i="15"/>
  <c r="D31" i="15"/>
  <c r="N31" i="15"/>
  <c r="R31" i="15"/>
  <c r="S31" i="15" s="1"/>
  <c r="W31" i="15"/>
  <c r="F31" i="15"/>
  <c r="G30" i="15"/>
  <c r="E31" i="15" l="1"/>
  <c r="B32" i="15"/>
  <c r="C32" i="15"/>
  <c r="D32" i="15"/>
  <c r="N32" i="15"/>
  <c r="R32" i="15"/>
  <c r="S32" i="15" s="1"/>
  <c r="W32" i="15"/>
  <c r="F32" i="15"/>
  <c r="X31" i="15"/>
  <c r="G31" i="15"/>
  <c r="E32" i="15" l="1"/>
  <c r="B33" i="15"/>
  <c r="C33" i="15"/>
  <c r="D33" i="15"/>
  <c r="N33" i="15"/>
  <c r="R33" i="15"/>
  <c r="S33" i="15" s="1"/>
  <c r="W33" i="15"/>
  <c r="X32" i="15"/>
  <c r="G32" i="15"/>
  <c r="E33" i="15" l="1"/>
  <c r="B34" i="15"/>
  <c r="C34" i="15"/>
  <c r="D34" i="15"/>
  <c r="N34" i="15"/>
  <c r="R34" i="15"/>
  <c r="S34" i="15" s="1"/>
  <c r="W34" i="15"/>
  <c r="F33" i="15"/>
  <c r="E34" i="15" l="1"/>
  <c r="B35" i="15"/>
  <c r="C35" i="15"/>
  <c r="D35" i="15"/>
  <c r="N35" i="15"/>
  <c r="R35" i="15"/>
  <c r="S35" i="15" s="1"/>
  <c r="W35" i="15"/>
  <c r="G33" i="15"/>
  <c r="X33" i="15"/>
  <c r="F34" i="15"/>
  <c r="E35" i="15" l="1"/>
  <c r="B36" i="15"/>
  <c r="C36" i="15"/>
  <c r="D36" i="15"/>
  <c r="N36" i="15"/>
  <c r="R36" i="15"/>
  <c r="S36" i="15" s="1"/>
  <c r="W36" i="15"/>
  <c r="X34" i="15"/>
  <c r="F36" i="15"/>
  <c r="G35" i="15"/>
  <c r="G34" i="15"/>
  <c r="F35" i="15"/>
  <c r="X35" i="15"/>
  <c r="E36" i="15" l="1"/>
  <c r="B37" i="15"/>
  <c r="C37" i="15"/>
  <c r="D37" i="15"/>
  <c r="N37" i="15"/>
  <c r="R37" i="15"/>
  <c r="S37" i="15" s="1"/>
  <c r="W37" i="15"/>
  <c r="G36" i="15"/>
  <c r="X36" i="15"/>
  <c r="E37" i="15" l="1"/>
  <c r="B38" i="15"/>
  <c r="C38" i="15"/>
  <c r="D38" i="15"/>
  <c r="N38" i="15"/>
  <c r="R38" i="15"/>
  <c r="S38" i="15" s="1"/>
  <c r="W38" i="15"/>
  <c r="G37" i="15"/>
  <c r="F38" i="15"/>
  <c r="F37" i="15"/>
  <c r="X37" i="15"/>
  <c r="E38" i="15" l="1"/>
  <c r="B39" i="15"/>
  <c r="C39" i="15"/>
  <c r="D39" i="15"/>
  <c r="N39" i="15"/>
  <c r="R39" i="15"/>
  <c r="S39" i="15" s="1"/>
  <c r="W39" i="15"/>
  <c r="F39" i="15"/>
  <c r="X38" i="15"/>
  <c r="G38" i="15"/>
  <c r="E39" i="15" l="1"/>
  <c r="B40" i="15"/>
  <c r="C40" i="15"/>
  <c r="D40" i="15"/>
  <c r="N40" i="15"/>
  <c r="R40" i="15"/>
  <c r="S40" i="15" s="1"/>
  <c r="W40" i="15"/>
  <c r="X39" i="15"/>
  <c r="G39" i="15"/>
  <c r="E40" i="15" l="1"/>
  <c r="B41" i="15"/>
  <c r="C41" i="15"/>
  <c r="D41" i="15"/>
  <c r="N41" i="15"/>
  <c r="O5" i="15" s="1" a="1"/>
  <c r="R41" i="15"/>
  <c r="S41" i="15" s="1"/>
  <c r="W41" i="15"/>
  <c r="F41" i="15"/>
  <c r="F40" i="15"/>
  <c r="E41" i="15" l="1"/>
  <c r="O5" i="15"/>
  <c r="O6" i="15"/>
  <c r="O7" i="15"/>
  <c r="O8" i="15"/>
  <c r="O9" i="15"/>
  <c r="O10" i="15"/>
  <c r="O11" i="15"/>
  <c r="O12" i="15"/>
  <c r="O13" i="15"/>
  <c r="O14" i="15"/>
  <c r="O15" i="15"/>
  <c r="O16" i="15"/>
  <c r="O17" i="15"/>
  <c r="O18" i="15"/>
  <c r="O19" i="15"/>
  <c r="O20" i="15"/>
  <c r="O21" i="15"/>
  <c r="O22" i="15"/>
  <c r="O23" i="15"/>
  <c r="O24" i="15"/>
  <c r="O25" i="15"/>
  <c r="O26" i="15"/>
  <c r="O27" i="15"/>
  <c r="O28" i="15"/>
  <c r="O29" i="15"/>
  <c r="O30" i="15"/>
  <c r="O31" i="15"/>
  <c r="O32" i="15"/>
  <c r="O33" i="15"/>
  <c r="O34" i="15"/>
  <c r="O35" i="15"/>
  <c r="O36" i="15"/>
  <c r="O37" i="15"/>
  <c r="O38" i="15"/>
  <c r="O39" i="15"/>
  <c r="O40" i="15"/>
  <c r="O41" i="15"/>
  <c r="M2" i="14"/>
  <c r="B5" i="14"/>
  <c r="K5" i="14"/>
  <c r="C5" i="14" s="1"/>
  <c r="R5" i="14" a="1"/>
  <c r="R5" i="14" s="1"/>
  <c r="X40" i="15"/>
  <c r="X41" i="15"/>
  <c r="G40" i="15"/>
  <c r="M4" i="14"/>
  <c r="G41" i="15"/>
  <c r="D5" i="14" l="1"/>
  <c r="L5" i="14"/>
  <c r="B6" i="14"/>
  <c r="E5" i="14"/>
  <c r="F5" i="14"/>
  <c r="K6" i="14" l="1"/>
  <c r="C6" i="14" s="1"/>
  <c r="D6" i="14" s="1"/>
  <c r="R6" i="14"/>
  <c r="E6" i="14"/>
  <c r="S5" i="14"/>
  <c r="L6" i="14" l="1"/>
  <c r="B7" i="14"/>
  <c r="F6" i="14"/>
  <c r="S6" i="14"/>
  <c r="K7" i="14" l="1"/>
  <c r="C7" i="14" s="1"/>
  <c r="D7" i="14" s="1"/>
  <c r="R7" i="14"/>
  <c r="E7" i="14"/>
  <c r="L7" i="14" l="1"/>
  <c r="B8" i="14"/>
  <c r="S7" i="14"/>
  <c r="F7" i="14"/>
  <c r="K8" i="14" l="1"/>
  <c r="C8" i="14" s="1"/>
  <c r="D8" i="14" s="1"/>
  <c r="R8" i="14"/>
  <c r="E8" i="14"/>
  <c r="L8" i="14" l="1"/>
  <c r="B9" i="14"/>
  <c r="S8" i="14"/>
  <c r="F8" i="14"/>
  <c r="K9" i="14" l="1"/>
  <c r="C9" i="14" s="1"/>
  <c r="D9" i="14" s="1"/>
  <c r="R9" i="14"/>
  <c r="E9" i="14"/>
  <c r="L9" i="14" l="1"/>
  <c r="B10" i="14"/>
  <c r="S9" i="14"/>
  <c r="F9" i="14"/>
  <c r="K10" i="14" l="1"/>
  <c r="C10" i="14" s="1"/>
  <c r="D10" i="14" s="1"/>
  <c r="R10" i="14"/>
  <c r="E10" i="14"/>
  <c r="L10" i="14" l="1"/>
  <c r="B11" i="14"/>
  <c r="F10" i="14"/>
  <c r="S10" i="14"/>
  <c r="K11" i="14" l="1"/>
  <c r="C11" i="14" s="1"/>
  <c r="D11" i="14" s="1"/>
  <c r="R11" i="14"/>
  <c r="E11" i="14"/>
  <c r="L11" i="14" l="1"/>
  <c r="B12" i="14"/>
  <c r="F11" i="14"/>
  <c r="S11" i="14"/>
  <c r="K12" i="14" l="1"/>
  <c r="C12" i="14" s="1"/>
  <c r="D12" i="14" s="1"/>
  <c r="R12" i="14"/>
  <c r="E12" i="14"/>
  <c r="L12" i="14" l="1"/>
  <c r="B13" i="14"/>
  <c r="F12" i="14"/>
  <c r="S12" i="14"/>
  <c r="K13" i="14" l="1"/>
  <c r="C13" i="14" s="1"/>
  <c r="D13" i="14" s="1"/>
  <c r="R13" i="14"/>
  <c r="E13" i="14"/>
  <c r="L13" i="14" l="1"/>
  <c r="B14" i="14"/>
  <c r="K14" i="14"/>
  <c r="C14" i="14" s="1"/>
  <c r="D14" i="14" s="1"/>
  <c r="R14" i="14"/>
  <c r="E14" i="14"/>
  <c r="S13" i="14"/>
  <c r="F13" i="14"/>
  <c r="L14" i="14" l="1"/>
  <c r="B15" i="14"/>
  <c r="K15" i="14"/>
  <c r="C15" i="14" s="1"/>
  <c r="D15" i="14" s="1"/>
  <c r="R15" i="14"/>
  <c r="F14" i="14"/>
  <c r="S14" i="14"/>
  <c r="E15" i="14"/>
  <c r="L15" i="14" l="1"/>
  <c r="B16" i="14"/>
  <c r="S15" i="14"/>
  <c r="F15" i="14"/>
  <c r="K16" i="14" l="1"/>
  <c r="C16" i="14" s="1"/>
  <c r="D16" i="14" s="1"/>
  <c r="R16" i="14"/>
  <c r="E16" i="14"/>
  <c r="L16" i="14" l="1"/>
  <c r="B17" i="14"/>
  <c r="S16" i="14"/>
  <c r="F16" i="14"/>
  <c r="K17" i="14" l="1"/>
  <c r="C17" i="14" s="1"/>
  <c r="D17" i="14" s="1"/>
  <c r="R17" i="14"/>
  <c r="E17" i="14"/>
  <c r="L17" i="14" l="1"/>
  <c r="B18" i="14"/>
  <c r="F17" i="14"/>
  <c r="S17" i="14"/>
  <c r="K18" i="14" l="1"/>
  <c r="C18" i="14" s="1"/>
  <c r="D18" i="14" s="1"/>
  <c r="R18" i="14"/>
  <c r="E18" i="14"/>
  <c r="L18" i="14" l="1"/>
  <c r="B19" i="14"/>
  <c r="F18" i="14"/>
  <c r="S18" i="14"/>
  <c r="K19" i="14" l="1"/>
  <c r="C19" i="14" s="1"/>
  <c r="D19" i="14" s="1"/>
  <c r="R19" i="14"/>
  <c r="E19" i="14"/>
  <c r="L19" i="14" l="1"/>
  <c r="B20" i="14"/>
  <c r="F19" i="14"/>
  <c r="S19" i="14"/>
  <c r="K20" i="14" l="1"/>
  <c r="C20" i="14" s="1"/>
  <c r="D20" i="14" s="1"/>
  <c r="R20" i="14"/>
  <c r="E20" i="14"/>
  <c r="L20" i="14" l="1"/>
  <c r="B21" i="14"/>
  <c r="F20" i="14"/>
  <c r="S20" i="14"/>
  <c r="K21" i="14" l="1"/>
  <c r="C21" i="14" s="1"/>
  <c r="D21" i="14" s="1"/>
  <c r="R21" i="14"/>
  <c r="E21" i="14"/>
  <c r="L21" i="14" l="1"/>
  <c r="B22" i="14"/>
  <c r="S21" i="14"/>
  <c r="F21" i="14"/>
  <c r="K22" i="14" l="1"/>
  <c r="C22" i="14" s="1"/>
  <c r="D22" i="14" s="1"/>
  <c r="R22" i="14"/>
  <c r="E22" i="14"/>
  <c r="L22" i="14" l="1"/>
  <c r="B23" i="14"/>
  <c r="F22" i="14"/>
  <c r="S22" i="14"/>
  <c r="K23" i="14" l="1"/>
  <c r="C23" i="14" s="1"/>
  <c r="D23" i="14" s="1"/>
  <c r="R23" i="14"/>
  <c r="E23" i="14"/>
  <c r="L23" i="14" l="1"/>
  <c r="B24" i="14"/>
  <c r="F23" i="14"/>
  <c r="S23" i="14"/>
  <c r="K24" i="14" l="1"/>
  <c r="C24" i="14" s="1"/>
  <c r="D24" i="14" s="1"/>
  <c r="R24" i="14"/>
  <c r="E24" i="14"/>
  <c r="L24" i="14" l="1"/>
  <c r="B25" i="14"/>
  <c r="S24" i="14"/>
  <c r="F24" i="14"/>
  <c r="K25" i="14" l="1"/>
  <c r="C25" i="14" s="1"/>
  <c r="D25" i="14" s="1"/>
  <c r="R25" i="14"/>
  <c r="E25" i="14"/>
  <c r="L25" i="14" l="1"/>
  <c r="B26" i="14"/>
  <c r="F25" i="14"/>
  <c r="S25" i="14"/>
  <c r="K26" i="14" l="1"/>
  <c r="C26" i="14" s="1"/>
  <c r="D26" i="14" s="1"/>
  <c r="R26" i="14"/>
  <c r="E26" i="14"/>
  <c r="L26" i="14" l="1"/>
  <c r="B27" i="14"/>
  <c r="F26" i="14"/>
  <c r="S26" i="14"/>
  <c r="K27" i="14" l="1"/>
  <c r="C27" i="14" s="1"/>
  <c r="D27" i="14" s="1"/>
  <c r="R27" i="14"/>
  <c r="E27" i="14"/>
  <c r="L27" i="14" l="1"/>
  <c r="B28" i="14"/>
  <c r="S27" i="14"/>
  <c r="F27" i="14"/>
  <c r="K28" i="14" l="1"/>
  <c r="C28" i="14" s="1"/>
  <c r="D28" i="14" s="1"/>
  <c r="R28" i="14"/>
  <c r="E28" i="14"/>
  <c r="L28" i="14" l="1"/>
  <c r="B29" i="14"/>
  <c r="S28" i="14"/>
  <c r="F28" i="14"/>
  <c r="K29" i="14" l="1"/>
  <c r="C29" i="14" s="1"/>
  <c r="D29" i="14" s="1"/>
  <c r="R29" i="14"/>
  <c r="E29" i="14"/>
  <c r="L29" i="14" l="1"/>
  <c r="B30" i="14"/>
  <c r="S29" i="14"/>
  <c r="F29" i="14"/>
  <c r="K30" i="14" l="1"/>
  <c r="C30" i="14" s="1"/>
  <c r="D30" i="14" s="1"/>
  <c r="R30" i="14"/>
  <c r="E30" i="14"/>
  <c r="L30" i="14" l="1"/>
  <c r="B31" i="14"/>
  <c r="K31" i="14"/>
  <c r="C31" i="14" s="1"/>
  <c r="R31" i="14"/>
  <c r="F30" i="14"/>
  <c r="S30" i="14"/>
  <c r="D31" i="14" l="1"/>
  <c r="L31" i="14"/>
  <c r="B32" i="14"/>
  <c r="K32" i="14"/>
  <c r="C32" i="14" s="1"/>
  <c r="R32" i="14"/>
  <c r="E31" i="14"/>
  <c r="D32" i="14" l="1"/>
  <c r="L32" i="14"/>
  <c r="B33" i="14"/>
  <c r="K33" i="14"/>
  <c r="C33" i="14" s="1"/>
  <c r="R33" i="14"/>
  <c r="S31" i="14"/>
  <c r="F31" i="14"/>
  <c r="E32" i="14"/>
  <c r="D33" i="14" l="1"/>
  <c r="L33" i="14"/>
  <c r="B34" i="14"/>
  <c r="K34" i="14"/>
  <c r="C34" i="14" s="1"/>
  <c r="R34" i="14"/>
  <c r="E33" i="14"/>
  <c r="S32" i="14"/>
  <c r="F32" i="14"/>
  <c r="D34" i="14" l="1"/>
  <c r="L34" i="14"/>
  <c r="B35" i="14"/>
  <c r="K35" i="14"/>
  <c r="C35" i="14" s="1"/>
  <c r="R35" i="14"/>
  <c r="S33" i="14"/>
  <c r="F33" i="14"/>
  <c r="E34" i="14"/>
  <c r="L35" i="14" l="1"/>
  <c r="D35" i="14"/>
  <c r="B36" i="14"/>
  <c r="K36" i="14"/>
  <c r="C36" i="14" s="1"/>
  <c r="R36" i="14"/>
  <c r="F35" i="14"/>
  <c r="E35" i="14"/>
  <c r="S34" i="14"/>
  <c r="F34" i="14"/>
  <c r="D36" i="14" l="1"/>
  <c r="L36" i="14"/>
  <c r="B37" i="14"/>
  <c r="K37" i="14"/>
  <c r="C37" i="14" s="1"/>
  <c r="R37" i="14"/>
  <c r="S35" i="14"/>
  <c r="F36" i="14"/>
  <c r="E36" i="14"/>
  <c r="D37" i="14" l="1"/>
  <c r="L37" i="14"/>
  <c r="B38" i="14"/>
  <c r="K38" i="14"/>
  <c r="C38" i="14" s="1"/>
  <c r="R38" i="14"/>
  <c r="S36" i="14"/>
  <c r="E37" i="14"/>
  <c r="F37" i="14"/>
  <c r="D38" i="14" l="1"/>
  <c r="L38" i="14"/>
  <c r="B39" i="14"/>
  <c r="K39" i="14"/>
  <c r="C39" i="14" s="1"/>
  <c r="R39" i="14"/>
  <c r="S37" i="14"/>
  <c r="E38" i="14"/>
  <c r="D39" i="14" l="1"/>
  <c r="L39" i="14"/>
  <c r="B40" i="14"/>
  <c r="K40" i="14"/>
  <c r="C40" i="14" s="1"/>
  <c r="R40" i="14"/>
  <c r="E39" i="14"/>
  <c r="F38" i="14"/>
  <c r="S38" i="14"/>
  <c r="D40" i="14" l="1"/>
  <c r="L40" i="14"/>
  <c r="B41" i="14"/>
  <c r="F39" i="14"/>
  <c r="E40" i="14"/>
  <c r="S39" i="14"/>
  <c r="K41" i="14" l="1"/>
  <c r="C41" i="14" s="1"/>
  <c r="D41" i="14" s="1"/>
  <c r="R41" i="14"/>
  <c r="E41" i="14"/>
  <c r="S40" i="14"/>
  <c r="F40" i="14"/>
  <c r="L41" i="14" l="1"/>
  <c r="B42" i="14"/>
  <c r="F41" i="14"/>
  <c r="S41" i="14"/>
  <c r="K42" i="14" l="1"/>
  <c r="C42" i="14" s="1"/>
  <c r="D42" i="14" s="1"/>
  <c r="R42" i="14"/>
  <c r="E42" i="14"/>
  <c r="L42" i="14" l="1"/>
  <c r="B43" i="14"/>
  <c r="F42" i="14"/>
  <c r="S42" i="14"/>
  <c r="K43" i="14" l="1"/>
  <c r="C43" i="14" s="1"/>
  <c r="D43" i="14" s="1"/>
  <c r="R43" i="14"/>
  <c r="E43" i="14"/>
  <c r="L43" i="14" l="1"/>
  <c r="B44" i="14"/>
  <c r="F43" i="14"/>
  <c r="S43" i="14"/>
  <c r="K44" i="14" l="1"/>
  <c r="C44" i="14" s="1"/>
  <c r="D44" i="14" s="1"/>
  <c r="R44" i="14"/>
  <c r="E44" i="14"/>
  <c r="L44" i="14" l="1"/>
  <c r="B45" i="14"/>
  <c r="S44" i="14"/>
  <c r="F44" i="14"/>
  <c r="K45" i="14" l="1"/>
  <c r="C45" i="14" s="1"/>
  <c r="D45" i="14" s="1"/>
  <c r="R45" i="14"/>
  <c r="E45" i="14"/>
  <c r="L45" i="14" l="1"/>
  <c r="B46" i="14"/>
  <c r="S45" i="14"/>
  <c r="F45" i="14"/>
  <c r="K46" i="14" l="1"/>
  <c r="C46" i="14" s="1"/>
  <c r="D46" i="14" s="1"/>
  <c r="R46" i="14"/>
  <c r="E46" i="14"/>
  <c r="L46" i="14" l="1"/>
  <c r="B47" i="14"/>
  <c r="F46" i="14"/>
  <c r="S46" i="14"/>
  <c r="K47" i="14" l="1"/>
  <c r="C47" i="14" s="1"/>
  <c r="D47" i="14" s="1"/>
  <c r="R47" i="14"/>
  <c r="E47" i="14"/>
  <c r="L47" i="14" l="1"/>
  <c r="B48" i="14"/>
  <c r="F47" i="14"/>
  <c r="S47" i="14"/>
  <c r="K48" i="14" l="1"/>
  <c r="C48" i="14" s="1"/>
  <c r="D48" i="14" s="1"/>
  <c r="R48" i="14"/>
  <c r="E48" i="14"/>
  <c r="L48" i="14" l="1"/>
  <c r="B49" i="14"/>
  <c r="F48" i="14"/>
  <c r="S48" i="14"/>
  <c r="K49" i="14" l="1"/>
  <c r="C49" i="14" s="1"/>
  <c r="D49" i="14" s="1"/>
  <c r="R49" i="14"/>
  <c r="E49" i="14"/>
  <c r="L49" i="14" l="1"/>
  <c r="B50" i="14"/>
  <c r="F49" i="14"/>
  <c r="S49" i="14"/>
  <c r="K50" i="14" l="1"/>
  <c r="C50" i="14" s="1"/>
  <c r="D50" i="14" s="1"/>
  <c r="R50" i="14"/>
  <c r="E50" i="14"/>
  <c r="L50" i="14" l="1"/>
  <c r="B51" i="14"/>
  <c r="F50" i="14"/>
  <c r="S50" i="14"/>
  <c r="K51" i="14" l="1"/>
  <c r="C51" i="14" s="1"/>
  <c r="D51" i="14" s="1"/>
  <c r="R51" i="14"/>
  <c r="E51" i="14"/>
  <c r="L51" i="14" l="1"/>
  <c r="B52" i="14"/>
  <c r="F51" i="14"/>
  <c r="S51" i="14"/>
  <c r="K52" i="14" l="1"/>
  <c r="C52" i="14" s="1"/>
  <c r="D52" i="14" s="1"/>
  <c r="R52" i="14"/>
  <c r="E52" i="14"/>
  <c r="L52" i="14" l="1"/>
  <c r="B53" i="14"/>
  <c r="F52" i="14"/>
  <c r="S52" i="14"/>
  <c r="K53" i="14" l="1"/>
  <c r="C53" i="14" s="1"/>
  <c r="D53" i="14" s="1"/>
  <c r="R53" i="14"/>
  <c r="E53" i="14"/>
  <c r="L53" i="14" l="1"/>
  <c r="B54" i="14"/>
  <c r="S53" i="14"/>
  <c r="F53" i="14"/>
  <c r="K54" i="14" l="1"/>
  <c r="C54" i="14" s="1"/>
  <c r="D54" i="14" s="1"/>
  <c r="R54" i="14"/>
  <c r="E54" i="14"/>
  <c r="L54" i="14" l="1"/>
  <c r="B55" i="14"/>
  <c r="F54" i="14"/>
  <c r="S54" i="14"/>
  <c r="K55" i="14" l="1"/>
  <c r="C55" i="14" s="1"/>
  <c r="D55" i="14" s="1"/>
  <c r="R55" i="14"/>
  <c r="E55" i="14"/>
  <c r="L55" i="14" l="1"/>
  <c r="B56" i="14"/>
  <c r="S55" i="14"/>
  <c r="F55" i="14"/>
  <c r="K56" i="14" l="1"/>
  <c r="C56" i="14" s="1"/>
  <c r="D56" i="14" s="1"/>
  <c r="R56" i="14"/>
  <c r="E56" i="14"/>
  <c r="L56" i="14" l="1"/>
  <c r="B57" i="14"/>
  <c r="F56" i="14"/>
  <c r="S56" i="14"/>
  <c r="K57" i="14" l="1"/>
  <c r="C57" i="14" s="1"/>
  <c r="D57" i="14" s="1"/>
  <c r="R57" i="14"/>
  <c r="E57" i="14"/>
  <c r="L57" i="14" l="1"/>
  <c r="B58" i="14"/>
  <c r="S57" i="14"/>
  <c r="F57" i="14"/>
  <c r="K58" i="14" l="1"/>
  <c r="C58" i="14" s="1"/>
  <c r="D58" i="14" s="1"/>
  <c r="R58" i="14"/>
  <c r="E58" i="14"/>
  <c r="L58" i="14" l="1"/>
  <c r="B59" i="14"/>
  <c r="F58" i="14"/>
  <c r="S58" i="14"/>
  <c r="K59" i="14" l="1"/>
  <c r="C59" i="14" s="1"/>
  <c r="D59" i="14" s="1"/>
  <c r="R59" i="14"/>
  <c r="E59" i="14"/>
  <c r="L59" i="14" l="1"/>
  <c r="B60" i="14"/>
  <c r="S59" i="14"/>
  <c r="F59" i="14"/>
  <c r="K60" i="14" l="1"/>
  <c r="C60" i="14" s="1"/>
  <c r="D60" i="14" s="1"/>
  <c r="R60" i="14"/>
  <c r="E60" i="14"/>
  <c r="L60" i="14" l="1"/>
  <c r="B61" i="14"/>
  <c r="S60" i="14"/>
  <c r="F60" i="14"/>
  <c r="K61" i="14" l="1"/>
  <c r="C61" i="14" s="1"/>
  <c r="D61" i="14" s="1"/>
  <c r="R61" i="14"/>
  <c r="E61" i="14"/>
  <c r="L61" i="14" l="1"/>
  <c r="B62" i="14"/>
  <c r="F61" i="14"/>
  <c r="S61" i="14"/>
  <c r="K62" i="14" l="1"/>
  <c r="C62" i="14" s="1"/>
  <c r="D62" i="14" s="1"/>
  <c r="R62" i="14"/>
  <c r="E62" i="14"/>
  <c r="L62" i="14" l="1"/>
  <c r="B63" i="14"/>
  <c r="S62" i="14"/>
  <c r="F62" i="14"/>
  <c r="K63" i="14" l="1"/>
  <c r="C63" i="14" s="1"/>
  <c r="D63" i="14" s="1"/>
  <c r="R63" i="14"/>
  <c r="E63" i="14"/>
  <c r="L63" i="14" l="1"/>
  <c r="B64" i="14"/>
  <c r="S63" i="14"/>
  <c r="F63" i="14"/>
  <c r="K64" i="14" l="1"/>
  <c r="C64" i="14" s="1"/>
  <c r="D64" i="14" s="1"/>
  <c r="R64" i="14"/>
  <c r="E64" i="14"/>
  <c r="L64" i="14" l="1"/>
  <c r="B65" i="14"/>
  <c r="F64" i="14"/>
  <c r="S64" i="14"/>
  <c r="K65" i="14" l="1"/>
  <c r="C65" i="14" s="1"/>
  <c r="D65" i="14" s="1"/>
  <c r="R65" i="14"/>
  <c r="E65" i="14"/>
  <c r="L65" i="14" l="1"/>
  <c r="B66" i="14"/>
  <c r="F65" i="14"/>
  <c r="S65" i="14"/>
  <c r="K66" i="14" l="1"/>
  <c r="C66" i="14" s="1"/>
  <c r="D66" i="14" s="1"/>
  <c r="R66" i="14"/>
  <c r="E66" i="14"/>
  <c r="L66" i="14" l="1"/>
  <c r="B67" i="14"/>
  <c r="S66" i="14"/>
  <c r="F66" i="14"/>
  <c r="K67" i="14" l="1"/>
  <c r="C67" i="14" s="1"/>
  <c r="D67" i="14" s="1"/>
  <c r="R67" i="14"/>
  <c r="E67" i="14"/>
  <c r="L67" i="14" l="1"/>
  <c r="B68" i="14"/>
  <c r="F67" i="14"/>
  <c r="S67" i="14"/>
  <c r="K68" i="14" l="1"/>
  <c r="C68" i="14" s="1"/>
  <c r="D68" i="14" s="1"/>
  <c r="R68" i="14"/>
  <c r="E68" i="14"/>
  <c r="L68" i="14" l="1"/>
  <c r="B69" i="14"/>
  <c r="S68" i="14"/>
  <c r="F68" i="14"/>
  <c r="K69" i="14" l="1"/>
  <c r="C69" i="14" s="1"/>
  <c r="D69" i="14" s="1"/>
  <c r="R69" i="14"/>
  <c r="E69" i="14"/>
  <c r="L69" i="14" l="1"/>
  <c r="B70" i="14"/>
  <c r="F69" i="14"/>
  <c r="S69" i="14"/>
  <c r="K70" i="14" l="1"/>
  <c r="C70" i="14" s="1"/>
  <c r="D70" i="14" s="1"/>
  <c r="R70" i="14"/>
  <c r="E70" i="14"/>
  <c r="L70" i="14" l="1"/>
  <c r="B71" i="14"/>
  <c r="F70" i="14"/>
  <c r="S70" i="14"/>
  <c r="K71" i="14" l="1"/>
  <c r="C71" i="14" s="1"/>
  <c r="D71" i="14" s="1"/>
  <c r="R71" i="14"/>
  <c r="E71" i="14"/>
  <c r="L71" i="14" l="1"/>
  <c r="B72" i="14"/>
  <c r="F71" i="14"/>
  <c r="S71" i="14"/>
  <c r="K72" i="14" l="1"/>
  <c r="C72" i="14" s="1"/>
  <c r="D72" i="14" s="1"/>
  <c r="R72" i="14"/>
  <c r="E72" i="14"/>
  <c r="L72" i="14" l="1"/>
  <c r="B73" i="14"/>
  <c r="F72" i="14"/>
  <c r="S72" i="14"/>
  <c r="K73" i="14" l="1"/>
  <c r="C73" i="14" s="1"/>
  <c r="D73" i="14" s="1"/>
  <c r="R73" i="14"/>
  <c r="E73" i="14"/>
  <c r="L73" i="14" l="1"/>
  <c r="B74" i="14"/>
  <c r="F73" i="14"/>
  <c r="S73" i="14"/>
  <c r="K74" i="14" l="1"/>
  <c r="C74" i="14" s="1"/>
  <c r="D74" i="14" s="1"/>
  <c r="R74" i="14"/>
  <c r="E74" i="14"/>
  <c r="L74" i="14" l="1"/>
  <c r="B75" i="14"/>
  <c r="F74" i="14"/>
  <c r="S74" i="14"/>
  <c r="K75" i="14" l="1"/>
  <c r="C75" i="14" s="1"/>
  <c r="D75" i="14" s="1"/>
  <c r="R75" i="14"/>
  <c r="E75" i="14"/>
  <c r="L75" i="14" l="1"/>
  <c r="B76" i="14"/>
  <c r="F75" i="14"/>
  <c r="S75" i="14"/>
  <c r="K76" i="14" l="1"/>
  <c r="C76" i="14" s="1"/>
  <c r="D76" i="14" s="1"/>
  <c r="R76" i="14"/>
  <c r="E76" i="14"/>
  <c r="L76" i="14" l="1"/>
  <c r="B77" i="14"/>
  <c r="S76" i="14"/>
  <c r="F76" i="14"/>
  <c r="K77" i="14" l="1"/>
  <c r="C77" i="14" s="1"/>
  <c r="D77" i="14" s="1"/>
  <c r="R77" i="14"/>
  <c r="E77" i="14"/>
  <c r="L77" i="14" l="1"/>
  <c r="B78" i="14"/>
  <c r="S77" i="14"/>
  <c r="F77" i="14"/>
  <c r="K78" i="14" l="1"/>
  <c r="C78" i="14" s="1"/>
  <c r="D78" i="14" s="1"/>
  <c r="R78" i="14"/>
  <c r="E78" i="14"/>
  <c r="L78" i="14" l="1"/>
  <c r="B79" i="14"/>
  <c r="F78" i="14"/>
  <c r="S78" i="14"/>
  <c r="K79" i="14" l="1"/>
  <c r="C79" i="14" s="1"/>
  <c r="D79" i="14" s="1"/>
  <c r="R79" i="14"/>
  <c r="E79" i="14"/>
  <c r="L79" i="14" l="1"/>
  <c r="B80" i="14"/>
  <c r="F79" i="14"/>
  <c r="S79" i="14"/>
  <c r="K80" i="14" l="1"/>
  <c r="C80" i="14" s="1"/>
  <c r="D80" i="14" s="1"/>
  <c r="R80" i="14"/>
  <c r="E80" i="14"/>
  <c r="L80" i="14" l="1"/>
  <c r="B81" i="14"/>
  <c r="F80" i="14"/>
  <c r="S80" i="14"/>
  <c r="K81" i="14" l="1"/>
  <c r="C81" i="14" s="1"/>
  <c r="D81" i="14" s="1"/>
  <c r="R81" i="14"/>
  <c r="E81" i="14"/>
  <c r="L81" i="14" l="1"/>
  <c r="B82" i="14"/>
  <c r="S81" i="14"/>
  <c r="F81" i="14"/>
  <c r="K82" i="14" l="1"/>
  <c r="C82" i="14" s="1"/>
  <c r="D82" i="14" s="1"/>
  <c r="R82" i="14"/>
  <c r="E82" i="14"/>
  <c r="L82" i="14" l="1"/>
  <c r="B83" i="14"/>
  <c r="S82" i="14"/>
  <c r="F82" i="14"/>
  <c r="K83" i="14" l="1"/>
  <c r="C83" i="14" s="1"/>
  <c r="D83" i="14" s="1"/>
  <c r="R83" i="14"/>
  <c r="E83" i="14"/>
  <c r="L83" i="14" l="1"/>
  <c r="B84" i="14"/>
  <c r="S83" i="14"/>
  <c r="F83" i="14"/>
  <c r="K84" i="14" l="1"/>
  <c r="C84" i="14" s="1"/>
  <c r="D84" i="14" s="1"/>
  <c r="R84" i="14"/>
  <c r="E84" i="14"/>
  <c r="L84" i="14" l="1"/>
  <c r="B85" i="14"/>
  <c r="S84" i="14"/>
  <c r="F84" i="14"/>
  <c r="K85" i="14" l="1"/>
  <c r="C85" i="14" s="1"/>
  <c r="D85" i="14" s="1"/>
  <c r="R85" i="14"/>
  <c r="E85" i="14"/>
  <c r="L85" i="14" l="1"/>
  <c r="B86" i="14"/>
  <c r="F85" i="14"/>
  <c r="S85" i="14"/>
  <c r="K86" i="14" l="1"/>
  <c r="C86" i="14" s="1"/>
  <c r="D86" i="14" s="1"/>
  <c r="R86" i="14"/>
  <c r="E86" i="14"/>
  <c r="L86" i="14" l="1"/>
  <c r="B87" i="14"/>
  <c r="S86" i="14"/>
  <c r="F86" i="14"/>
  <c r="K87" i="14" l="1"/>
  <c r="C87" i="14" s="1"/>
  <c r="D87" i="14" s="1"/>
  <c r="R87" i="14"/>
  <c r="E87" i="14"/>
  <c r="L87" i="14" l="1"/>
  <c r="B88" i="14"/>
  <c r="S87" i="14"/>
  <c r="F87" i="14"/>
  <c r="K88" i="14" l="1"/>
  <c r="C88" i="14" s="1"/>
  <c r="D88" i="14" s="1"/>
  <c r="R88" i="14"/>
  <c r="E88" i="14"/>
  <c r="L88" i="14" l="1"/>
  <c r="B89" i="14"/>
  <c r="S88" i="14"/>
  <c r="F88" i="14"/>
  <c r="K89" i="14" l="1"/>
  <c r="C89" i="14" s="1"/>
  <c r="D89" i="14" s="1"/>
  <c r="R89" i="14"/>
  <c r="E89" i="14"/>
  <c r="L89" i="14" l="1"/>
  <c r="B90" i="14"/>
  <c r="F89" i="14"/>
  <c r="S89" i="14"/>
  <c r="K90" i="14" l="1"/>
  <c r="C90" i="14" s="1"/>
  <c r="D90" i="14" s="1"/>
  <c r="R90" i="14"/>
  <c r="E90" i="14"/>
  <c r="L90" i="14" l="1"/>
  <c r="B91" i="14"/>
  <c r="S90" i="14"/>
  <c r="F90" i="14"/>
  <c r="K91" i="14" l="1"/>
  <c r="C91" i="14" s="1"/>
  <c r="D91" i="14" s="1"/>
  <c r="R91" i="14"/>
  <c r="E91" i="14"/>
  <c r="L91" i="14" l="1"/>
  <c r="B92" i="14"/>
  <c r="K92" i="14"/>
  <c r="C92" i="14" s="1"/>
  <c r="R92" i="14"/>
  <c r="S91" i="14"/>
  <c r="F91" i="14"/>
  <c r="D92" i="14" l="1"/>
  <c r="L92" i="14"/>
  <c r="B93" i="14"/>
  <c r="K93" i="14"/>
  <c r="C93" i="14" s="1"/>
  <c r="R93" i="14"/>
  <c r="E92" i="14"/>
  <c r="D93" i="14" l="1"/>
  <c r="L93" i="14"/>
  <c r="B94" i="14"/>
  <c r="K94" i="14"/>
  <c r="C94" i="14" s="1"/>
  <c r="R94" i="14"/>
  <c r="S92" i="14"/>
  <c r="F93" i="14"/>
  <c r="F92" i="14"/>
  <c r="E93" i="14"/>
  <c r="D94" i="14" l="1"/>
  <c r="L94" i="14"/>
  <c r="B95" i="14"/>
  <c r="K95" i="14"/>
  <c r="C95" i="14" s="1"/>
  <c r="R95" i="14"/>
  <c r="S93" i="14"/>
  <c r="E94" i="14"/>
  <c r="S94" i="14"/>
  <c r="D95" i="14" l="1"/>
  <c r="L95" i="14"/>
  <c r="B96" i="14"/>
  <c r="K96" i="14"/>
  <c r="C96" i="14" s="1"/>
  <c r="R96" i="14"/>
  <c r="F94" i="14"/>
  <c r="F95" i="14"/>
  <c r="E95" i="14"/>
  <c r="D96" i="14" l="1"/>
  <c r="L96" i="14"/>
  <c r="B97" i="14"/>
  <c r="K97" i="14"/>
  <c r="C97" i="14" s="1"/>
  <c r="R97" i="14"/>
  <c r="S95" i="14"/>
  <c r="F96" i="14"/>
  <c r="E96" i="14"/>
  <c r="D97" i="14" l="1"/>
  <c r="L97" i="14"/>
  <c r="B98" i="14"/>
  <c r="K98" i="14"/>
  <c r="C98" i="14" s="1"/>
  <c r="R98" i="14"/>
  <c r="S96" i="14"/>
  <c r="E97" i="14"/>
  <c r="D98" i="14" l="1"/>
  <c r="L98" i="14"/>
  <c r="B99" i="14"/>
  <c r="K99" i="14"/>
  <c r="C99" i="14" s="1"/>
  <c r="R99" i="14"/>
  <c r="F97" i="14"/>
  <c r="S98" i="14"/>
  <c r="F98" i="14"/>
  <c r="E98" i="14"/>
  <c r="S97" i="14"/>
  <c r="D99" i="14" l="1"/>
  <c r="L99" i="14"/>
  <c r="B100" i="14"/>
  <c r="K100" i="14"/>
  <c r="C100" i="14" s="1"/>
  <c r="R100" i="14"/>
  <c r="E99" i="14"/>
  <c r="D100" i="14" l="1"/>
  <c r="L100" i="14"/>
  <c r="B101" i="14"/>
  <c r="K101" i="14"/>
  <c r="C101" i="14" s="1"/>
  <c r="R101" i="14"/>
  <c r="S100" i="14"/>
  <c r="F100" i="14"/>
  <c r="E100" i="14"/>
  <c r="S99" i="14"/>
  <c r="F99" i="14"/>
  <c r="D101" i="14" l="1"/>
  <c r="L101" i="14"/>
  <c r="B102" i="14"/>
  <c r="K102" i="14"/>
  <c r="C102" i="14" s="1"/>
  <c r="R102" i="14"/>
  <c r="E101" i="14"/>
  <c r="F101" i="14"/>
  <c r="D102" i="14" l="1"/>
  <c r="L102" i="14"/>
  <c r="B103" i="14"/>
  <c r="K103" i="14"/>
  <c r="C103" i="14" s="1"/>
  <c r="R103" i="14"/>
  <c r="S101" i="14"/>
  <c r="E102" i="14"/>
  <c r="S102" i="14"/>
  <c r="D103" i="14" l="1"/>
  <c r="L103" i="14"/>
  <c r="B104" i="14"/>
  <c r="F102" i="14"/>
  <c r="E103" i="14"/>
  <c r="S103" i="14"/>
  <c r="F103" i="14"/>
  <c r="K104" i="14" l="1"/>
  <c r="C104" i="14" s="1"/>
  <c r="D104" i="14" s="1"/>
  <c r="R104" i="14"/>
  <c r="E104" i="14"/>
  <c r="L104" i="14" l="1"/>
  <c r="B105" i="14"/>
  <c r="S104" i="14"/>
  <c r="F104" i="14"/>
  <c r="K105" i="14" l="1"/>
  <c r="C105" i="14" s="1"/>
  <c r="D105" i="14" s="1"/>
  <c r="R105" i="14"/>
  <c r="E105" i="14"/>
  <c r="L105" i="14" l="1"/>
  <c r="B106" i="14"/>
  <c r="S105" i="14"/>
  <c r="F105" i="14"/>
  <c r="K106" i="14" l="1"/>
  <c r="C106" i="14" s="1"/>
  <c r="D106" i="14" s="1"/>
  <c r="R106" i="14"/>
  <c r="E106" i="14"/>
  <c r="L106" i="14" l="1"/>
  <c r="B107" i="14"/>
  <c r="K107" i="14"/>
  <c r="C107" i="14" s="1"/>
  <c r="R107" i="14"/>
  <c r="S106" i="14"/>
  <c r="E107" i="14"/>
  <c r="F106" i="14"/>
  <c r="D107" i="14" l="1"/>
  <c r="L107" i="14"/>
  <c r="B108" i="14"/>
  <c r="K108" i="14"/>
  <c r="C108" i="14" s="1"/>
  <c r="D108" i="14" s="1"/>
  <c r="R108" i="14"/>
  <c r="S107" i="14"/>
  <c r="F107" i="14"/>
  <c r="E108" i="14"/>
  <c r="L108" i="14" l="1"/>
  <c r="B109" i="14"/>
  <c r="K109" i="14"/>
  <c r="C109" i="14" s="1"/>
  <c r="D109" i="14" s="1"/>
  <c r="R109" i="14"/>
  <c r="F108" i="14"/>
  <c r="E109" i="14"/>
  <c r="S108" i="14"/>
  <c r="L109" i="14" l="1"/>
  <c r="B110" i="14"/>
  <c r="K110" i="14"/>
  <c r="C110" i="14" s="1"/>
  <c r="R110" i="14"/>
  <c r="F109" i="14"/>
  <c r="S109" i="14"/>
  <c r="E110" i="14"/>
  <c r="D110" i="14" l="1"/>
  <c r="L110" i="14"/>
  <c r="B111" i="14"/>
  <c r="K111" i="14"/>
  <c r="C111" i="14" s="1"/>
  <c r="D111" i="14" s="1"/>
  <c r="R111" i="14"/>
  <c r="F110" i="14"/>
  <c r="S110" i="14"/>
  <c r="E111" i="14"/>
  <c r="L111" i="14" l="1"/>
  <c r="B112" i="14"/>
  <c r="K112" i="14"/>
  <c r="C112" i="14" s="1"/>
  <c r="D112" i="14" s="1"/>
  <c r="R112" i="14"/>
  <c r="S111" i="14"/>
  <c r="E112" i="14"/>
  <c r="F111" i="14"/>
  <c r="L112" i="14" l="1"/>
  <c r="B113" i="14"/>
  <c r="K113" i="14"/>
  <c r="C113" i="14" s="1"/>
  <c r="R113" i="14"/>
  <c r="E113" i="14"/>
  <c r="F112" i="14"/>
  <c r="S112" i="14"/>
  <c r="D113" i="14" l="1"/>
  <c r="L113" i="14"/>
  <c r="B114" i="14"/>
  <c r="K114" i="14"/>
  <c r="C114" i="14" s="1"/>
  <c r="D114" i="14" s="1"/>
  <c r="R114" i="14"/>
  <c r="F113" i="14"/>
  <c r="S113" i="14"/>
  <c r="E114" i="14"/>
  <c r="L114" i="14" l="1"/>
  <c r="B115" i="14"/>
  <c r="K115" i="14"/>
  <c r="C115" i="14" s="1"/>
  <c r="D115" i="14" s="1"/>
  <c r="R115" i="14"/>
  <c r="S114" i="14"/>
  <c r="E115" i="14"/>
  <c r="F114" i="14"/>
  <c r="L115" i="14" l="1"/>
  <c r="B116" i="14"/>
  <c r="K116" i="14"/>
  <c r="C116" i="14" s="1"/>
  <c r="D116" i="14" s="1"/>
  <c r="R116" i="14"/>
  <c r="E116" i="14"/>
  <c r="F115" i="14"/>
  <c r="S115" i="14"/>
  <c r="L116" i="14" l="1"/>
  <c r="B117" i="14"/>
  <c r="K117" i="14"/>
  <c r="C117" i="14" s="1"/>
  <c r="D117" i="14" s="1"/>
  <c r="R117" i="14"/>
  <c r="F116" i="14"/>
  <c r="S116" i="14"/>
  <c r="E117" i="14"/>
  <c r="L117" i="14" l="1"/>
  <c r="B118" i="14"/>
  <c r="K118" i="14"/>
  <c r="C118" i="14" s="1"/>
  <c r="D118" i="14" s="1"/>
  <c r="R118" i="14"/>
  <c r="E118" i="14"/>
  <c r="F117" i="14"/>
  <c r="S117" i="14"/>
  <c r="L118" i="14" l="1"/>
  <c r="B119" i="14"/>
  <c r="K119" i="14"/>
  <c r="C119" i="14" s="1"/>
  <c r="R119" i="14"/>
  <c r="F118" i="14"/>
  <c r="S118" i="14"/>
  <c r="D119" i="14" l="1"/>
  <c r="L119" i="14"/>
  <c r="B120" i="14"/>
  <c r="K120" i="14"/>
  <c r="C120" i="14" s="1"/>
  <c r="R120" i="14"/>
  <c r="E119" i="14"/>
  <c r="D120" i="14" l="1"/>
  <c r="L120" i="14"/>
  <c r="B121" i="14"/>
  <c r="K121" i="14"/>
  <c r="C121" i="14" s="1"/>
  <c r="R121" i="14"/>
  <c r="S119" i="14"/>
  <c r="F119" i="14"/>
  <c r="E120" i="14"/>
  <c r="D121" i="14" l="1"/>
  <c r="L121" i="14"/>
  <c r="B122" i="14"/>
  <c r="K122" i="14"/>
  <c r="C122" i="14" s="1"/>
  <c r="R122" i="14"/>
  <c r="E121" i="14"/>
  <c r="F120" i="14"/>
  <c r="S120" i="14"/>
  <c r="D122" i="14" l="1"/>
  <c r="L122" i="14"/>
  <c r="B123" i="14"/>
  <c r="K123" i="14"/>
  <c r="C123" i="14" s="1"/>
  <c r="R123" i="14"/>
  <c r="E122" i="14"/>
  <c r="F121" i="14"/>
  <c r="S121" i="14"/>
  <c r="D123" i="14" l="1"/>
  <c r="L123" i="14"/>
  <c r="B124" i="14"/>
  <c r="K124" i="14"/>
  <c r="C124" i="14" s="1"/>
  <c r="R124" i="14"/>
  <c r="S122" i="14"/>
  <c r="E123" i="14"/>
  <c r="F122" i="14"/>
  <c r="D124" i="14" l="1"/>
  <c r="L124" i="14"/>
  <c r="B125" i="14"/>
  <c r="K125" i="14"/>
  <c r="C125" i="14" s="1"/>
  <c r="R125" i="14"/>
  <c r="S123" i="14"/>
  <c r="F123" i="14"/>
  <c r="E124" i="14"/>
  <c r="D125" i="14" l="1"/>
  <c r="L125" i="14"/>
  <c r="B126" i="14"/>
  <c r="K126" i="14"/>
  <c r="C126" i="14" s="1"/>
  <c r="R126" i="14"/>
  <c r="S124" i="14"/>
  <c r="F125" i="14"/>
  <c r="F124" i="14"/>
  <c r="E125" i="14"/>
  <c r="S125" i="14"/>
  <c r="D126" i="14" l="1"/>
  <c r="L126" i="14"/>
  <c r="B127" i="14"/>
  <c r="K127" i="14"/>
  <c r="C127" i="14" s="1"/>
  <c r="R127" i="14"/>
  <c r="E126" i="14"/>
  <c r="D127" i="14" l="1"/>
  <c r="L127" i="14"/>
  <c r="B128" i="14"/>
  <c r="K128" i="14"/>
  <c r="C128" i="14" s="1"/>
  <c r="R128" i="14"/>
  <c r="S126" i="14"/>
  <c r="S127" i="14"/>
  <c r="F126" i="14"/>
  <c r="E127" i="14"/>
  <c r="D128" i="14" l="1"/>
  <c r="L128" i="14"/>
  <c r="B129" i="14"/>
  <c r="K129" i="14"/>
  <c r="C129" i="14" s="1"/>
  <c r="R129" i="14"/>
  <c r="F127" i="14"/>
  <c r="F128" i="14"/>
  <c r="E128" i="14"/>
  <c r="D129" i="14" l="1"/>
  <c r="L129" i="14"/>
  <c r="B130" i="14"/>
  <c r="K130" i="14"/>
  <c r="C130" i="14" s="1"/>
  <c r="R130" i="14"/>
  <c r="S128" i="14"/>
  <c r="F129" i="14"/>
  <c r="E129" i="14"/>
  <c r="D130" i="14" l="1"/>
  <c r="L130" i="14"/>
  <c r="B131" i="14"/>
  <c r="K131" i="14"/>
  <c r="C131" i="14" s="1"/>
  <c r="R131" i="14"/>
  <c r="S129" i="14"/>
  <c r="F130" i="14"/>
  <c r="E130" i="14"/>
  <c r="D131" i="14" l="1"/>
  <c r="L131" i="14"/>
  <c r="B132" i="14"/>
  <c r="K132" i="14"/>
  <c r="C132" i="14" s="1"/>
  <c r="R132" i="14"/>
  <c r="S130" i="14"/>
  <c r="E131" i="14"/>
  <c r="D132" i="14" l="1"/>
  <c r="L132" i="14"/>
  <c r="B133" i="14"/>
  <c r="K133" i="14"/>
  <c r="C133" i="14" s="1"/>
  <c r="R133" i="14"/>
  <c r="S131" i="14"/>
  <c r="F132" i="14"/>
  <c r="F131" i="14"/>
  <c r="E132" i="14"/>
  <c r="D133" i="14" l="1"/>
  <c r="L133" i="14"/>
  <c r="B134" i="14"/>
  <c r="K134" i="14"/>
  <c r="C134" i="14" s="1"/>
  <c r="R134" i="14"/>
  <c r="S132" i="14"/>
  <c r="S133" i="14"/>
  <c r="E133" i="14"/>
  <c r="D134" i="14" l="1"/>
  <c r="L134" i="14"/>
  <c r="B135" i="14"/>
  <c r="K135" i="14"/>
  <c r="C135" i="14" s="1"/>
  <c r="R135" i="14"/>
  <c r="F133" i="14"/>
  <c r="E134" i="14"/>
  <c r="D135" i="14" l="1"/>
  <c r="L135" i="14"/>
  <c r="B136" i="14"/>
  <c r="K136" i="14"/>
  <c r="C136" i="14" s="1"/>
  <c r="R136" i="14"/>
  <c r="F135" i="14"/>
  <c r="E135" i="14"/>
  <c r="S134" i="14"/>
  <c r="F134" i="14"/>
  <c r="S135" i="14"/>
  <c r="D136" i="14" l="1"/>
  <c r="L136" i="14"/>
  <c r="B137" i="14"/>
  <c r="K137" i="14"/>
  <c r="C137" i="14" s="1"/>
  <c r="R137" i="14"/>
  <c r="E136" i="14"/>
  <c r="D137" i="14" l="1"/>
  <c r="L137" i="14"/>
  <c r="B138" i="14"/>
  <c r="K138" i="14"/>
  <c r="C138" i="14" s="1"/>
  <c r="R138" i="14"/>
  <c r="S136" i="14"/>
  <c r="E137" i="14"/>
  <c r="F136" i="14"/>
  <c r="D138" i="14" l="1"/>
  <c r="L138" i="14"/>
  <c r="B139" i="14"/>
  <c r="K139" i="14"/>
  <c r="C139" i="14" s="1"/>
  <c r="R139" i="14"/>
  <c r="F137" i="14"/>
  <c r="S137" i="14"/>
  <c r="E138" i="14"/>
  <c r="S138" i="14"/>
  <c r="F138" i="14"/>
  <c r="D139" i="14" l="1"/>
  <c r="L139" i="14"/>
  <c r="B140" i="14"/>
  <c r="K140" i="14"/>
  <c r="C140" i="14" s="1"/>
  <c r="R140" i="14"/>
  <c r="E139" i="14"/>
  <c r="F139" i="14"/>
  <c r="D140" i="14" l="1"/>
  <c r="L140" i="14"/>
  <c r="B141" i="14"/>
  <c r="K141" i="14"/>
  <c r="C141" i="14" s="1"/>
  <c r="R141" i="14"/>
  <c r="S139" i="14"/>
  <c r="E140" i="14"/>
  <c r="F140" i="14"/>
  <c r="D141" i="14" l="1"/>
  <c r="L141" i="14"/>
  <c r="B142" i="14"/>
  <c r="K142" i="14"/>
  <c r="C142" i="14" s="1"/>
  <c r="R142" i="14"/>
  <c r="S141" i="14"/>
  <c r="F141" i="14"/>
  <c r="S140" i="14"/>
  <c r="E141" i="14"/>
  <c r="D142" i="14" l="1"/>
  <c r="L142" i="14"/>
  <c r="B143" i="14"/>
  <c r="K143" i="14"/>
  <c r="C143" i="14" s="1"/>
  <c r="R143" i="14"/>
  <c r="E142" i="14"/>
  <c r="D143" i="14" l="1"/>
  <c r="L143" i="14"/>
  <c r="B144" i="14"/>
  <c r="K144" i="14"/>
  <c r="C144" i="14" s="1"/>
  <c r="R144" i="14"/>
  <c r="S142" i="14"/>
  <c r="F142" i="14"/>
  <c r="E143" i="14"/>
  <c r="S143" i="14"/>
  <c r="D144" i="14" l="1"/>
  <c r="L144" i="14"/>
  <c r="B145" i="14"/>
  <c r="K145" i="14"/>
  <c r="C145" i="14" s="1"/>
  <c r="R145" i="14"/>
  <c r="E144" i="14"/>
  <c r="F143" i="14"/>
  <c r="D145" i="14" l="1"/>
  <c r="L145" i="14"/>
  <c r="B146" i="14"/>
  <c r="K146" i="14"/>
  <c r="C146" i="14" s="1"/>
  <c r="R146" i="14"/>
  <c r="F144" i="14"/>
  <c r="E145" i="14"/>
  <c r="S144" i="14"/>
  <c r="D146" i="14" l="1"/>
  <c r="L146" i="14"/>
  <c r="B147" i="14"/>
  <c r="K147" i="14"/>
  <c r="C147" i="14" s="1"/>
  <c r="R147" i="14"/>
  <c r="F145" i="14"/>
  <c r="S145" i="14"/>
  <c r="E146" i="14"/>
  <c r="F146" i="14"/>
  <c r="D147" i="14" l="1"/>
  <c r="L147" i="14"/>
  <c r="B148" i="14"/>
  <c r="K148" i="14"/>
  <c r="C148" i="14" s="1"/>
  <c r="R148" i="14"/>
  <c r="E147" i="14"/>
  <c r="F147" i="14"/>
  <c r="S146" i="14"/>
  <c r="D148" i="14" l="1"/>
  <c r="L148" i="14"/>
  <c r="B149" i="14"/>
  <c r="K149" i="14"/>
  <c r="C149" i="14" s="1"/>
  <c r="R149" i="14"/>
  <c r="F148" i="14"/>
  <c r="E148" i="14"/>
  <c r="S148" i="14"/>
  <c r="S147" i="14"/>
  <c r="D149" i="14" l="1"/>
  <c r="L149" i="14"/>
  <c r="B150" i="14"/>
  <c r="K150" i="14"/>
  <c r="C150" i="14" s="1"/>
  <c r="R150" i="14"/>
  <c r="E149" i="14"/>
  <c r="D150" i="14" l="1"/>
  <c r="L150" i="14"/>
  <c r="B151" i="14"/>
  <c r="K151" i="14"/>
  <c r="C151" i="14" s="1"/>
  <c r="R151" i="14"/>
  <c r="F149" i="14"/>
  <c r="F150" i="14"/>
  <c r="S150" i="14"/>
  <c r="E150" i="14"/>
  <c r="S149" i="14"/>
  <c r="D151" i="14" l="1"/>
  <c r="L151" i="14"/>
  <c r="B152" i="14"/>
  <c r="K152" i="14"/>
  <c r="C152" i="14" s="1"/>
  <c r="R152" i="14"/>
  <c r="E151" i="14"/>
  <c r="S151" i="14"/>
  <c r="D152" i="14" l="1"/>
  <c r="L152" i="14"/>
  <c r="B153" i="14"/>
  <c r="K153" i="14"/>
  <c r="C153" i="14" s="1"/>
  <c r="R153" i="14"/>
  <c r="F151" i="14"/>
  <c r="F152" i="14"/>
  <c r="E152" i="14"/>
  <c r="D153" i="14" l="1"/>
  <c r="L153" i="14"/>
  <c r="B154" i="14"/>
  <c r="K154" i="14"/>
  <c r="C154" i="14" s="1"/>
  <c r="R154" i="14"/>
  <c r="S152" i="14"/>
  <c r="F153" i="14"/>
  <c r="E153" i="14"/>
  <c r="D154" i="14" l="1"/>
  <c r="L154" i="14"/>
  <c r="B155" i="14"/>
  <c r="K155" i="14"/>
  <c r="C155" i="14" s="1"/>
  <c r="R155" i="14"/>
  <c r="S153" i="14"/>
  <c r="F154" i="14"/>
  <c r="E154" i="14"/>
  <c r="D155" i="14" l="1"/>
  <c r="L155" i="14"/>
  <c r="B156" i="14"/>
  <c r="K156" i="14"/>
  <c r="C156" i="14" s="1"/>
  <c r="R156" i="14"/>
  <c r="S154" i="14"/>
  <c r="S155" i="14"/>
  <c r="E155" i="14"/>
  <c r="D156" i="14" l="1"/>
  <c r="L156" i="14"/>
  <c r="B157" i="14"/>
  <c r="K157" i="14"/>
  <c r="C157" i="14" s="1"/>
  <c r="R157" i="14"/>
  <c r="F155" i="14"/>
  <c r="F156" i="14"/>
  <c r="E156" i="14"/>
  <c r="D157" i="14" l="1"/>
  <c r="L157" i="14"/>
  <c r="B158" i="14"/>
  <c r="K158" i="14"/>
  <c r="C158" i="14" s="1"/>
  <c r="R158" i="14"/>
  <c r="S156" i="14"/>
  <c r="E157" i="14"/>
  <c r="F157" i="14"/>
  <c r="D158" i="14" l="1"/>
  <c r="L158" i="14"/>
  <c r="B159" i="14"/>
  <c r="K159" i="14"/>
  <c r="C159" i="14" s="1"/>
  <c r="R159" i="14"/>
  <c r="S157" i="14"/>
  <c r="F158" i="14"/>
  <c r="E158" i="14"/>
  <c r="D159" i="14" l="1"/>
  <c r="L159" i="14"/>
  <c r="B160" i="14"/>
  <c r="K160" i="14"/>
  <c r="C160" i="14" s="1"/>
  <c r="R160" i="14"/>
  <c r="S158" i="14"/>
  <c r="F159" i="14"/>
  <c r="E159" i="14"/>
  <c r="D160" i="14" l="1"/>
  <c r="L160" i="14"/>
  <c r="B161" i="14"/>
  <c r="K161" i="14"/>
  <c r="C161" i="14" s="1"/>
  <c r="R161" i="14"/>
  <c r="S159" i="14"/>
  <c r="E160" i="14"/>
  <c r="F160" i="14"/>
  <c r="D161" i="14" l="1"/>
  <c r="L161" i="14"/>
  <c r="B162" i="14"/>
  <c r="K162" i="14"/>
  <c r="C162" i="14" s="1"/>
  <c r="R162" i="14"/>
  <c r="S160" i="14"/>
  <c r="F161" i="14"/>
  <c r="E161" i="14"/>
  <c r="D162" i="14" l="1"/>
  <c r="L162" i="14"/>
  <c r="B163" i="14"/>
  <c r="K163" i="14"/>
  <c r="C163" i="14" s="1"/>
  <c r="R163" i="14"/>
  <c r="S161" i="14"/>
  <c r="S162" i="14"/>
  <c r="E162" i="14"/>
  <c r="D163" i="14" l="1"/>
  <c r="L163" i="14"/>
  <c r="B164" i="14"/>
  <c r="K164" i="14"/>
  <c r="C164" i="14" s="1"/>
  <c r="R164" i="14"/>
  <c r="F162" i="14"/>
  <c r="S163" i="14"/>
  <c r="E163" i="14"/>
  <c r="D164" i="14" l="1"/>
  <c r="L164" i="14"/>
  <c r="B165" i="14"/>
  <c r="K165" i="14"/>
  <c r="C165" i="14" s="1"/>
  <c r="R165" i="14"/>
  <c r="F163" i="14"/>
  <c r="F164" i="14"/>
  <c r="E164" i="14"/>
  <c r="D165" i="14" l="1"/>
  <c r="L165" i="14"/>
  <c r="B166" i="14"/>
  <c r="K166" i="14"/>
  <c r="C166" i="14" s="1"/>
  <c r="R166" i="14"/>
  <c r="S164" i="14"/>
  <c r="S165" i="14"/>
  <c r="E165" i="14"/>
  <c r="D166" i="14" l="1"/>
  <c r="L166" i="14"/>
  <c r="B167" i="14"/>
  <c r="K167" i="14"/>
  <c r="C167" i="14" s="1"/>
  <c r="R167" i="14"/>
  <c r="F165" i="14"/>
  <c r="E166" i="14"/>
  <c r="F166" i="14"/>
  <c r="D167" i="14" l="1"/>
  <c r="L167" i="14"/>
  <c r="B168" i="14"/>
  <c r="K168" i="14"/>
  <c r="C168" i="14" s="1"/>
  <c r="R168" i="14"/>
  <c r="S166" i="14"/>
  <c r="F167" i="14"/>
  <c r="E167" i="14"/>
  <c r="D168" i="14" l="1"/>
  <c r="L168" i="14"/>
  <c r="B169" i="14"/>
  <c r="E168" i="14"/>
  <c r="S168" i="14"/>
  <c r="S167" i="14"/>
  <c r="F168" i="14"/>
  <c r="K169" i="14" l="1"/>
  <c r="C169" i="14" s="1"/>
  <c r="D169" i="14" s="1"/>
  <c r="R169" i="14"/>
  <c r="E169" i="14"/>
  <c r="L169" i="14" l="1"/>
  <c r="B170" i="14"/>
  <c r="K170" i="14"/>
  <c r="C170" i="14" s="1"/>
  <c r="D170" i="14" s="1"/>
  <c r="R170" i="14"/>
  <c r="S169" i="14"/>
  <c r="E170" i="14"/>
  <c r="F169" i="14"/>
  <c r="L170" i="14" l="1"/>
  <c r="B171" i="14"/>
  <c r="K171" i="14"/>
  <c r="C171" i="14" s="1"/>
  <c r="D171" i="14" s="1"/>
  <c r="R171" i="14"/>
  <c r="F170" i="14"/>
  <c r="E171" i="14"/>
  <c r="S171" i="14"/>
  <c r="S170" i="14"/>
  <c r="L171" i="14" l="1"/>
  <c r="B172" i="14"/>
  <c r="K172" i="14"/>
  <c r="C172" i="14" s="1"/>
  <c r="R172" i="14"/>
  <c r="E172" i="14"/>
  <c r="S172" i="14"/>
  <c r="F171" i="14"/>
  <c r="D172" i="14" l="1"/>
  <c r="L172" i="14"/>
  <c r="B173" i="14"/>
  <c r="K173" i="14"/>
  <c r="C173" i="14" s="1"/>
  <c r="D173" i="14" s="1"/>
  <c r="R173" i="14"/>
  <c r="F172" i="14"/>
  <c r="E173" i="14"/>
  <c r="L173" i="14" l="1"/>
  <c r="B174" i="14"/>
  <c r="K174" i="14"/>
  <c r="C174" i="14" s="1"/>
  <c r="R174" i="14"/>
  <c r="S173" i="14"/>
  <c r="E174" i="14"/>
  <c r="F173" i="14"/>
  <c r="S174" i="14"/>
  <c r="D174" i="14" l="1"/>
  <c r="L174" i="14"/>
  <c r="B175" i="14"/>
  <c r="K175" i="14"/>
  <c r="C175" i="14" s="1"/>
  <c r="D175" i="14" s="1"/>
  <c r="R175" i="14"/>
  <c r="F174" i="14"/>
  <c r="E175" i="14"/>
  <c r="L175" i="14" l="1"/>
  <c r="B176" i="14"/>
  <c r="K176" i="14"/>
  <c r="C176" i="14" s="1"/>
  <c r="D176" i="14" s="1"/>
  <c r="R176" i="14"/>
  <c r="F175" i="14"/>
  <c r="S175" i="14"/>
  <c r="E176" i="14"/>
  <c r="L176" i="14" l="1"/>
  <c r="B177" i="14"/>
  <c r="K177" i="14"/>
  <c r="C177" i="14" s="1"/>
  <c r="D177" i="14" s="1"/>
  <c r="R177" i="14"/>
  <c r="E177" i="14"/>
  <c r="F176" i="14"/>
  <c r="S176" i="14"/>
  <c r="L177" i="14" l="1"/>
  <c r="B178" i="14"/>
  <c r="K178" i="14"/>
  <c r="C178" i="14" s="1"/>
  <c r="D178" i="14" s="1"/>
  <c r="R178" i="14"/>
  <c r="S177" i="14"/>
  <c r="E178" i="14"/>
  <c r="F177" i="14"/>
  <c r="L178" i="14" l="1"/>
  <c r="B179" i="14"/>
  <c r="F178" i="14"/>
  <c r="S178" i="14"/>
  <c r="K179" i="14" l="1"/>
  <c r="C179" i="14" s="1"/>
  <c r="D179" i="14" s="1"/>
  <c r="R179" i="14"/>
  <c r="E179" i="14"/>
  <c r="L179" i="14" l="1"/>
  <c r="B180" i="14"/>
  <c r="K180" i="14"/>
  <c r="C180" i="14" s="1"/>
  <c r="R180" i="14"/>
  <c r="S179" i="14"/>
  <c r="E180" i="14"/>
  <c r="F179" i="14"/>
  <c r="D180" i="14" l="1"/>
  <c r="L180" i="14"/>
  <c r="B181" i="14"/>
  <c r="S180" i="14"/>
  <c r="F180" i="14"/>
  <c r="K181" i="14" l="1"/>
  <c r="C181" i="14" s="1"/>
  <c r="D181" i="14" s="1"/>
  <c r="R181" i="14"/>
  <c r="E181" i="14"/>
  <c r="L181" i="14" l="1"/>
  <c r="B182" i="14"/>
  <c r="K182" i="14"/>
  <c r="C182" i="14" s="1"/>
  <c r="R182" i="14"/>
  <c r="E182" i="14"/>
  <c r="F181" i="14"/>
  <c r="S181" i="14"/>
  <c r="D182" i="14" l="1"/>
  <c r="L182" i="14"/>
  <c r="B183" i="14"/>
  <c r="S182" i="14"/>
  <c r="F182" i="14"/>
  <c r="K183" i="14" l="1"/>
  <c r="C183" i="14" s="1"/>
  <c r="D183" i="14" s="1"/>
  <c r="R183" i="14"/>
  <c r="E183" i="14"/>
  <c r="L183" i="14" l="1"/>
  <c r="B184" i="14"/>
  <c r="K184" i="14"/>
  <c r="C184" i="14" s="1"/>
  <c r="R184" i="14"/>
  <c r="F183" i="14"/>
  <c r="E184" i="14"/>
  <c r="S183" i="14"/>
  <c r="D184" i="14" l="1"/>
  <c r="L184" i="14"/>
  <c r="B185" i="14"/>
  <c r="F184" i="14"/>
  <c r="S184" i="14"/>
  <c r="K185" i="14" l="1"/>
  <c r="C185" i="14" s="1"/>
  <c r="D185" i="14" s="1"/>
  <c r="R185" i="14"/>
  <c r="E185" i="14"/>
  <c r="L185" i="14" l="1"/>
  <c r="B186" i="14"/>
  <c r="K186" i="14"/>
  <c r="C186" i="14" s="1"/>
  <c r="D186" i="14" s="1"/>
  <c r="R186" i="14"/>
  <c r="S185" i="14"/>
  <c r="E186" i="14"/>
  <c r="F185" i="14"/>
  <c r="L186" i="14" l="1"/>
  <c r="B187" i="14"/>
  <c r="S186" i="14"/>
  <c r="F186" i="14"/>
  <c r="K187" i="14" l="1"/>
  <c r="C187" i="14" s="1"/>
  <c r="D187" i="14" s="1"/>
  <c r="R187" i="14"/>
  <c r="E187" i="14"/>
  <c r="L187" i="14" l="1"/>
  <c r="B188" i="14"/>
  <c r="K188" i="14"/>
  <c r="C188" i="14" s="1"/>
  <c r="R188" i="14"/>
  <c r="F187" i="14"/>
  <c r="E188" i="14"/>
  <c r="S187" i="14"/>
  <c r="D188" i="14" l="1"/>
  <c r="L188" i="14"/>
  <c r="B189" i="14"/>
  <c r="S188" i="14"/>
  <c r="F188" i="14"/>
  <c r="K189" i="14" l="1"/>
  <c r="C189" i="14" s="1"/>
  <c r="D189" i="14" s="1"/>
  <c r="R189" i="14"/>
  <c r="E189" i="14"/>
  <c r="L189" i="14" l="1"/>
  <c r="B190" i="14"/>
  <c r="K190" i="14"/>
  <c r="C190" i="14" s="1"/>
  <c r="R190" i="14"/>
  <c r="S189" i="14"/>
  <c r="E190" i="14"/>
  <c r="F189" i="14"/>
  <c r="D190" i="14" l="1"/>
  <c r="L190" i="14"/>
  <c r="B191" i="14"/>
  <c r="S190" i="14"/>
  <c r="F190" i="14"/>
  <c r="K191" i="14" l="1"/>
  <c r="C191" i="14" s="1"/>
  <c r="D191" i="14" s="1"/>
  <c r="R191" i="14"/>
  <c r="E191" i="14"/>
  <c r="L191" i="14" l="1"/>
  <c r="B192" i="14"/>
  <c r="K192" i="14"/>
  <c r="C192" i="14" s="1"/>
  <c r="D192" i="14" s="1"/>
  <c r="R192" i="14"/>
  <c r="E192" i="14"/>
  <c r="F191" i="14"/>
  <c r="S191" i="14"/>
  <c r="L192" i="14" l="1"/>
  <c r="B193" i="14"/>
  <c r="F192" i="14"/>
  <c r="S192" i="14"/>
  <c r="K193" i="14" l="1"/>
  <c r="C193" i="14" s="1"/>
  <c r="D193" i="14" s="1"/>
  <c r="R193" i="14"/>
  <c r="E193" i="14"/>
  <c r="L193" i="14" l="1"/>
  <c r="B194" i="14"/>
  <c r="K194" i="14"/>
  <c r="C194" i="14" s="1"/>
  <c r="D194" i="14" s="1"/>
  <c r="R194" i="14"/>
  <c r="E194" i="14"/>
  <c r="F193" i="14"/>
  <c r="S193" i="14"/>
  <c r="L194" i="14" l="1"/>
  <c r="B195" i="14"/>
  <c r="F194" i="14"/>
  <c r="S194" i="14"/>
  <c r="K195" i="14" l="1"/>
  <c r="C195" i="14" s="1"/>
  <c r="D195" i="14" s="1"/>
  <c r="R195" i="14"/>
  <c r="E195" i="14"/>
  <c r="L195" i="14" l="1"/>
  <c r="B196" i="14"/>
  <c r="S195" i="14"/>
  <c r="F195" i="14"/>
  <c r="K196" i="14" l="1"/>
  <c r="C196" i="14" s="1"/>
  <c r="D196" i="14" s="1"/>
  <c r="R196" i="14"/>
  <c r="E196" i="14"/>
  <c r="L196" i="14" l="1"/>
  <c r="B197" i="14"/>
  <c r="S196" i="14"/>
  <c r="F196" i="14"/>
  <c r="K197" i="14" l="1"/>
  <c r="C197" i="14" s="1"/>
  <c r="D197" i="14" s="1"/>
  <c r="R197" i="14"/>
  <c r="E197" i="14"/>
  <c r="L197" i="14" l="1"/>
  <c r="B198" i="14"/>
  <c r="S197" i="14"/>
  <c r="F197" i="14"/>
  <c r="K198" i="14" l="1"/>
  <c r="C198" i="14" s="1"/>
  <c r="D198" i="14" s="1"/>
  <c r="R198" i="14"/>
  <c r="E198" i="14"/>
  <c r="L198" i="14" l="1"/>
  <c r="B199" i="14"/>
  <c r="S198" i="14"/>
  <c r="F198" i="14"/>
  <c r="K199" i="14" l="1"/>
  <c r="C199" i="14" s="1"/>
  <c r="D199" i="14" s="1"/>
  <c r="R199" i="14"/>
  <c r="E199" i="14"/>
  <c r="L199" i="14" l="1"/>
  <c r="B200" i="14"/>
  <c r="S199" i="14"/>
  <c r="F199" i="14"/>
  <c r="K200" i="14" l="1"/>
  <c r="C200" i="14" s="1"/>
  <c r="D200" i="14" s="1"/>
  <c r="R200" i="14"/>
  <c r="E200" i="14"/>
  <c r="L200" i="14" l="1"/>
  <c r="B201" i="14"/>
  <c r="F200" i="14"/>
  <c r="S200" i="14"/>
  <c r="K201" i="14" l="1"/>
  <c r="C201" i="14" s="1"/>
  <c r="D201" i="14" s="1"/>
  <c r="R201" i="14"/>
  <c r="E201" i="14"/>
  <c r="L201" i="14" l="1"/>
  <c r="B202" i="14"/>
  <c r="S201" i="14"/>
  <c r="F201" i="14"/>
  <c r="K202" i="14" l="1"/>
  <c r="C202" i="14" s="1"/>
  <c r="D202" i="14" s="1"/>
  <c r="R202" i="14"/>
  <c r="E202" i="14"/>
  <c r="L202" i="14" l="1"/>
  <c r="B203" i="14"/>
  <c r="S202" i="14"/>
  <c r="F202" i="14"/>
  <c r="K203" i="14" l="1"/>
  <c r="C203" i="14" s="1"/>
  <c r="D203" i="14" s="1"/>
  <c r="R203" i="14"/>
  <c r="E203" i="14"/>
  <c r="L203" i="14" l="1"/>
  <c r="B204" i="14"/>
  <c r="S203" i="14"/>
  <c r="F203" i="14"/>
  <c r="K204" i="14" l="1"/>
  <c r="C204" i="14" s="1"/>
  <c r="D204" i="14" s="1"/>
  <c r="R204" i="14"/>
  <c r="E204" i="14"/>
  <c r="L204" i="14" l="1"/>
  <c r="B205" i="14"/>
  <c r="S204" i="14"/>
  <c r="F204" i="14"/>
  <c r="K205" i="14" l="1"/>
  <c r="C205" i="14" s="1"/>
  <c r="D205" i="14" s="1"/>
  <c r="R205" i="14"/>
  <c r="E205" i="14"/>
  <c r="L205" i="14" l="1"/>
  <c r="B206" i="14"/>
  <c r="S205" i="14"/>
  <c r="F205" i="14"/>
  <c r="K206" i="14" l="1"/>
  <c r="C206" i="14" s="1"/>
  <c r="D206" i="14" s="1"/>
  <c r="R206" i="14"/>
  <c r="E206" i="14"/>
  <c r="L206" i="14" l="1"/>
  <c r="B207" i="14"/>
  <c r="S206" i="14"/>
  <c r="F206" i="14"/>
  <c r="K207" i="14" l="1"/>
  <c r="C207" i="14" s="1"/>
  <c r="D207" i="14" s="1"/>
  <c r="R207" i="14"/>
  <c r="E207" i="14"/>
  <c r="L207" i="14" l="1"/>
  <c r="B208" i="14"/>
  <c r="S207" i="14"/>
  <c r="F207" i="14"/>
  <c r="K208" i="14" l="1"/>
  <c r="C208" i="14" s="1"/>
  <c r="D208" i="14" s="1"/>
  <c r="R208" i="14"/>
  <c r="E208" i="14"/>
  <c r="L208" i="14" l="1"/>
  <c r="B209" i="14"/>
  <c r="S208" i="14"/>
  <c r="F208" i="14"/>
  <c r="K209" i="14" l="1"/>
  <c r="C209" i="14" s="1"/>
  <c r="D209" i="14" s="1"/>
  <c r="R209" i="14"/>
  <c r="E209" i="14"/>
  <c r="L209" i="14" l="1"/>
  <c r="B210" i="14"/>
  <c r="S209" i="14"/>
  <c r="F209" i="14"/>
  <c r="K210" i="14" l="1"/>
  <c r="C210" i="14" s="1"/>
  <c r="D210" i="14" s="1"/>
  <c r="R210" i="14"/>
  <c r="E210" i="14"/>
  <c r="L210" i="14" l="1"/>
  <c r="B211" i="14"/>
  <c r="S210" i="14"/>
  <c r="F210" i="14"/>
  <c r="K211" i="14" l="1"/>
  <c r="C211" i="14" s="1"/>
  <c r="D211" i="14" s="1"/>
  <c r="R211" i="14"/>
  <c r="E211" i="14"/>
  <c r="L211" i="14" l="1"/>
  <c r="B212" i="14"/>
  <c r="S211" i="14"/>
  <c r="F211" i="14"/>
  <c r="K212" i="14" l="1"/>
  <c r="C212" i="14" s="1"/>
  <c r="D212" i="14" s="1"/>
  <c r="R212" i="14"/>
  <c r="E212" i="14"/>
  <c r="L212" i="14" l="1"/>
  <c r="B213" i="14"/>
  <c r="S212" i="14"/>
  <c r="F212" i="14"/>
  <c r="K213" i="14" l="1"/>
  <c r="C213" i="14" s="1"/>
  <c r="D213" i="14" s="1"/>
  <c r="R213" i="14"/>
  <c r="E213" i="14"/>
  <c r="L213" i="14" l="1"/>
  <c r="B214" i="14"/>
  <c r="S213" i="14"/>
  <c r="F213" i="14"/>
  <c r="K214" i="14" l="1"/>
  <c r="C214" i="14" s="1"/>
  <c r="D214" i="14" s="1"/>
  <c r="R214" i="14"/>
  <c r="E214" i="14"/>
  <c r="L214" i="14" l="1"/>
  <c r="B215" i="14"/>
  <c r="S214" i="14"/>
  <c r="F214" i="14"/>
  <c r="K215" i="14" l="1"/>
  <c r="C215" i="14" s="1"/>
  <c r="D215" i="14" s="1"/>
  <c r="R215" i="14"/>
  <c r="E215" i="14"/>
  <c r="L215" i="14" l="1"/>
  <c r="B216" i="14"/>
  <c r="S215" i="14"/>
  <c r="F215" i="14"/>
  <c r="K216" i="14" l="1"/>
  <c r="C216" i="14" s="1"/>
  <c r="D216" i="14" s="1"/>
  <c r="R216" i="14"/>
  <c r="E216" i="14"/>
  <c r="L216" i="14" l="1"/>
  <c r="B217" i="14"/>
  <c r="S216" i="14"/>
  <c r="F216" i="14"/>
  <c r="K217" i="14" l="1"/>
  <c r="C217" i="14" s="1"/>
  <c r="D217" i="14" s="1"/>
  <c r="R217" i="14"/>
  <c r="E217" i="14"/>
  <c r="L217" i="14" l="1"/>
  <c r="B218" i="14"/>
  <c r="F217" i="14"/>
  <c r="S217" i="14"/>
  <c r="K218" i="14" l="1"/>
  <c r="C218" i="14" s="1"/>
  <c r="D218" i="14" s="1"/>
  <c r="R218" i="14"/>
  <c r="E218" i="14"/>
  <c r="L218" i="14" l="1"/>
  <c r="B219" i="14"/>
  <c r="F218" i="14"/>
  <c r="S218" i="14"/>
  <c r="K219" i="14" l="1"/>
  <c r="C219" i="14" s="1"/>
  <c r="D219" i="14" s="1"/>
  <c r="R219" i="14"/>
  <c r="E219" i="14"/>
  <c r="L219" i="14" l="1"/>
  <c r="B220" i="14"/>
  <c r="S219" i="14"/>
  <c r="F219" i="14"/>
  <c r="K220" i="14" l="1"/>
  <c r="C220" i="14" s="1"/>
  <c r="D220" i="14" s="1"/>
  <c r="R220" i="14"/>
  <c r="E220" i="14"/>
  <c r="L220" i="14" l="1"/>
  <c r="B221" i="14"/>
  <c r="F220" i="14"/>
  <c r="S220" i="14"/>
  <c r="K221" i="14" l="1"/>
  <c r="C221" i="14" s="1"/>
  <c r="D221" i="14" s="1"/>
  <c r="R221" i="14"/>
  <c r="E221" i="14"/>
  <c r="L221" i="14" l="1"/>
  <c r="B222" i="14"/>
  <c r="S221" i="14"/>
  <c r="F221" i="14"/>
  <c r="K222" i="14" l="1"/>
  <c r="C222" i="14" s="1"/>
  <c r="D222" i="14" s="1"/>
  <c r="R222" i="14"/>
  <c r="E222" i="14"/>
  <c r="L222" i="14" l="1"/>
  <c r="B223" i="14"/>
  <c r="F222" i="14"/>
  <c r="S222" i="14"/>
  <c r="K223" i="14" l="1"/>
  <c r="C223" i="14" s="1"/>
  <c r="D223" i="14" s="1"/>
  <c r="R223" i="14"/>
  <c r="E223" i="14"/>
  <c r="L223" i="14" l="1"/>
  <c r="B224" i="14"/>
  <c r="S223" i="14"/>
  <c r="F223" i="14"/>
  <c r="K224" i="14" l="1"/>
  <c r="C224" i="14" s="1"/>
  <c r="D224" i="14" s="1"/>
  <c r="R224" i="14"/>
  <c r="E224" i="14"/>
  <c r="L224" i="14" l="1"/>
  <c r="B225" i="14"/>
  <c r="S224" i="14"/>
  <c r="F224" i="14"/>
  <c r="K225" i="14" l="1"/>
  <c r="C225" i="14" s="1"/>
  <c r="D225" i="14" s="1"/>
  <c r="R225" i="14"/>
  <c r="E225" i="14"/>
  <c r="L225" i="14" l="1"/>
  <c r="B226" i="14"/>
  <c r="F225" i="14"/>
  <c r="S225" i="14"/>
  <c r="K226" i="14" l="1"/>
  <c r="C226" i="14" s="1"/>
  <c r="D226" i="14" s="1"/>
  <c r="R226" i="14"/>
  <c r="E226" i="14"/>
  <c r="L226" i="14" l="1"/>
  <c r="B227" i="14"/>
  <c r="F226" i="14"/>
  <c r="S226" i="14"/>
  <c r="K227" i="14" l="1"/>
  <c r="C227" i="14" s="1"/>
  <c r="D227" i="14" s="1"/>
  <c r="R227" i="14"/>
  <c r="E227" i="14"/>
  <c r="L227" i="14" l="1"/>
  <c r="B228" i="14"/>
  <c r="K228" i="14"/>
  <c r="C228" i="14" s="1"/>
  <c r="R228" i="14"/>
  <c r="S227" i="14"/>
  <c r="F227" i="14"/>
  <c r="D228" i="14" l="1"/>
  <c r="L228" i="14"/>
  <c r="B229" i="14"/>
  <c r="E228" i="14"/>
  <c r="F228" i="14"/>
  <c r="K229" i="14" l="1"/>
  <c r="C229" i="14" s="1"/>
  <c r="D229" i="14" s="1"/>
  <c r="R229" i="14"/>
  <c r="E229" i="14"/>
  <c r="S228" i="14"/>
  <c r="L229" i="14" l="1"/>
  <c r="B230" i="14"/>
  <c r="K230" i="14"/>
  <c r="C230" i="14" s="1"/>
  <c r="R230" i="14"/>
  <c r="F229" i="14"/>
  <c r="S229" i="14"/>
  <c r="D230" i="14" l="1"/>
  <c r="L230" i="14"/>
  <c r="B231" i="14"/>
  <c r="E230" i="14"/>
  <c r="F230" i="14"/>
  <c r="K231" i="14" l="1"/>
  <c r="C231" i="14" s="1"/>
  <c r="D231" i="14" s="1"/>
  <c r="R231" i="14"/>
  <c r="E231" i="14"/>
  <c r="S230" i="14"/>
  <c r="L231" i="14" l="1"/>
  <c r="B232" i="14"/>
  <c r="S231" i="14"/>
  <c r="F231" i="14"/>
  <c r="K232" i="14" l="1"/>
  <c r="C232" i="14" s="1"/>
  <c r="D232" i="14" s="1"/>
  <c r="R232" i="14"/>
  <c r="E232" i="14"/>
  <c r="L232" i="14" l="1"/>
  <c r="B233" i="14"/>
  <c r="S232" i="14"/>
  <c r="F232" i="14"/>
  <c r="K233" i="14" l="1"/>
  <c r="C233" i="14" s="1"/>
  <c r="D233" i="14" s="1"/>
  <c r="R233" i="14"/>
  <c r="E233" i="14"/>
  <c r="L233" i="14" l="1"/>
  <c r="B234" i="14"/>
  <c r="S233" i="14"/>
  <c r="F233" i="14"/>
  <c r="K234" i="14" l="1"/>
  <c r="C234" i="14" s="1"/>
  <c r="D234" i="14" s="1"/>
  <c r="R234" i="14"/>
  <c r="E234" i="14"/>
  <c r="L234" i="14" l="1"/>
  <c r="B235" i="14"/>
  <c r="F234" i="14"/>
  <c r="S234" i="14"/>
  <c r="K235" i="14" l="1"/>
  <c r="C235" i="14" s="1"/>
  <c r="D235" i="14" s="1"/>
  <c r="R235" i="14"/>
  <c r="E235" i="14"/>
  <c r="L235" i="14" l="1"/>
  <c r="B236" i="14"/>
  <c r="S235" i="14"/>
  <c r="F235" i="14"/>
  <c r="K236" i="14" l="1"/>
  <c r="C236" i="14" s="1"/>
  <c r="D236" i="14" s="1"/>
  <c r="R236" i="14"/>
  <c r="E236" i="14"/>
  <c r="L236" i="14" l="1"/>
  <c r="B237" i="14"/>
  <c r="F236" i="14"/>
  <c r="S236" i="14"/>
  <c r="K237" i="14" l="1"/>
  <c r="C237" i="14" s="1"/>
  <c r="D237" i="14" s="1"/>
  <c r="R237" i="14"/>
  <c r="E237" i="14"/>
  <c r="L237" i="14" l="1"/>
  <c r="B238" i="14"/>
  <c r="S237" i="14"/>
  <c r="F237" i="14"/>
  <c r="K238" i="14" l="1"/>
  <c r="C238" i="14" s="1"/>
  <c r="D238" i="14" s="1"/>
  <c r="R238" i="14"/>
  <c r="E238" i="14"/>
  <c r="L238" i="14" l="1"/>
  <c r="B239" i="14"/>
  <c r="F238" i="14"/>
  <c r="S238" i="14"/>
  <c r="K239" i="14" l="1"/>
  <c r="C239" i="14" s="1"/>
  <c r="D239" i="14" s="1"/>
  <c r="R239" i="14"/>
  <c r="E239" i="14"/>
  <c r="L239" i="14" l="1"/>
  <c r="B240" i="14"/>
  <c r="F239" i="14"/>
  <c r="S239" i="14"/>
  <c r="K240" i="14" l="1"/>
  <c r="C240" i="14" s="1"/>
  <c r="D240" i="14" s="1"/>
  <c r="R240" i="14"/>
  <c r="E240" i="14"/>
  <c r="L240" i="14" l="1"/>
  <c r="B241" i="14"/>
  <c r="F240" i="14"/>
  <c r="S240" i="14"/>
  <c r="K241" i="14" l="1"/>
  <c r="C241" i="14" s="1"/>
  <c r="D241" i="14" s="1"/>
  <c r="R241" i="14"/>
  <c r="E241" i="14"/>
  <c r="L241" i="14" l="1"/>
  <c r="B242" i="14"/>
  <c r="F241" i="14"/>
  <c r="S241" i="14"/>
  <c r="K242" i="14" l="1"/>
  <c r="C242" i="14" s="1"/>
  <c r="D242" i="14" s="1"/>
  <c r="R242" i="14"/>
  <c r="E242" i="14"/>
  <c r="L242" i="14" l="1"/>
  <c r="B243" i="14"/>
  <c r="F242" i="14"/>
  <c r="S242" i="14"/>
  <c r="K243" i="14" l="1"/>
  <c r="C243" i="14" s="1"/>
  <c r="D243" i="14" s="1"/>
  <c r="R243" i="14"/>
  <c r="E243" i="14"/>
  <c r="L243" i="14" l="1"/>
  <c r="B244" i="14"/>
  <c r="F243" i="14"/>
  <c r="S243" i="14"/>
  <c r="K244" i="14" l="1"/>
  <c r="C244" i="14" s="1"/>
  <c r="D244" i="14" s="1"/>
  <c r="R244" i="14"/>
  <c r="E244" i="14"/>
  <c r="L244" i="14" l="1"/>
  <c r="B245" i="14"/>
  <c r="F244" i="14"/>
  <c r="S244" i="14"/>
  <c r="K245" i="14" l="1"/>
  <c r="C245" i="14" s="1"/>
  <c r="D245" i="14" s="1"/>
  <c r="R245" i="14"/>
  <c r="E245" i="14"/>
  <c r="L245" i="14" l="1"/>
  <c r="B246" i="14"/>
  <c r="F245" i="14"/>
  <c r="S245" i="14"/>
  <c r="K246" i="14" l="1"/>
  <c r="C246" i="14" s="1"/>
  <c r="D246" i="14" s="1"/>
  <c r="R246" i="14"/>
  <c r="E246" i="14"/>
  <c r="L246" i="14" l="1"/>
  <c r="B247" i="14"/>
  <c r="F246" i="14"/>
  <c r="S246" i="14"/>
  <c r="K247" i="14" l="1"/>
  <c r="C247" i="14" s="1"/>
  <c r="D247" i="14" s="1"/>
  <c r="R247" i="14"/>
  <c r="E247" i="14"/>
  <c r="L247" i="14" l="1"/>
  <c r="B248" i="14"/>
  <c r="F247" i="14"/>
  <c r="S247" i="14"/>
  <c r="K248" i="14" l="1"/>
  <c r="C248" i="14" s="1"/>
  <c r="D248" i="14" s="1"/>
  <c r="R248" i="14"/>
  <c r="E248" i="14"/>
  <c r="L248" i="14" l="1"/>
  <c r="B249" i="14"/>
  <c r="F248" i="14"/>
  <c r="S248" i="14"/>
  <c r="K249" i="14" l="1"/>
  <c r="C249" i="14" s="1"/>
  <c r="D249" i="14" s="1"/>
  <c r="R249" i="14"/>
  <c r="E249" i="14"/>
  <c r="L249" i="14" l="1"/>
  <c r="B250" i="14"/>
  <c r="F249" i="14"/>
  <c r="S249" i="14"/>
  <c r="K250" i="14" l="1"/>
  <c r="C250" i="14" s="1"/>
  <c r="D250" i="14" s="1"/>
  <c r="R250" i="14"/>
  <c r="E250" i="14"/>
  <c r="L250" i="14" l="1"/>
  <c r="B251" i="14"/>
  <c r="F250" i="14"/>
  <c r="S250" i="14"/>
  <c r="K251" i="14" l="1"/>
  <c r="C251" i="14" s="1"/>
  <c r="D251" i="14" s="1"/>
  <c r="R251" i="14"/>
  <c r="E251" i="14"/>
  <c r="L251" i="14" l="1"/>
  <c r="B252" i="14"/>
  <c r="F251" i="14"/>
  <c r="S251" i="14"/>
  <c r="K252" i="14" l="1"/>
  <c r="C252" i="14" s="1"/>
  <c r="D252" i="14" s="1"/>
  <c r="R252" i="14"/>
  <c r="E252" i="14"/>
  <c r="L252" i="14" l="1"/>
  <c r="B253" i="14"/>
  <c r="S252" i="14"/>
  <c r="F252" i="14"/>
  <c r="K253" i="14" l="1"/>
  <c r="C253" i="14" s="1"/>
  <c r="D253" i="14" s="1"/>
  <c r="R253" i="14"/>
  <c r="E253" i="14"/>
  <c r="L253" i="14" l="1"/>
  <c r="B254" i="14"/>
  <c r="F253" i="14"/>
  <c r="S253" i="14"/>
  <c r="K254" i="14" l="1"/>
  <c r="C254" i="14" s="1"/>
  <c r="D254" i="14" s="1"/>
  <c r="R254" i="14"/>
  <c r="E254" i="14"/>
  <c r="L254" i="14" l="1"/>
  <c r="B255" i="14"/>
  <c r="S254" i="14"/>
  <c r="F254" i="14"/>
  <c r="K255" i="14" l="1"/>
  <c r="C255" i="14" s="1"/>
  <c r="D255" i="14" s="1"/>
  <c r="R255" i="14"/>
  <c r="E255" i="14"/>
  <c r="L255" i="14" l="1"/>
  <c r="B256" i="14"/>
  <c r="F255" i="14"/>
  <c r="S255" i="14"/>
  <c r="K256" i="14" l="1"/>
  <c r="C256" i="14" s="1"/>
  <c r="D256" i="14" s="1"/>
  <c r="R256" i="14"/>
  <c r="E256" i="14"/>
  <c r="L256" i="14" l="1"/>
  <c r="B257" i="14"/>
  <c r="F256" i="14"/>
  <c r="S256" i="14"/>
  <c r="K257" i="14" l="1"/>
  <c r="C257" i="14" s="1"/>
  <c r="D257" i="14" s="1"/>
  <c r="R257" i="14"/>
  <c r="E257" i="14"/>
  <c r="L257" i="14" l="1"/>
  <c r="B258" i="14"/>
  <c r="F257" i="14"/>
  <c r="S257" i="14"/>
  <c r="K258" i="14" l="1"/>
  <c r="C258" i="14" s="1"/>
  <c r="D258" i="14" s="1"/>
  <c r="R258" i="14"/>
  <c r="E258" i="14"/>
  <c r="L258" i="14" l="1"/>
  <c r="B259" i="14"/>
  <c r="S258" i="14"/>
  <c r="F258" i="14"/>
  <c r="K259" i="14" l="1"/>
  <c r="C259" i="14" s="1"/>
  <c r="D259" i="14" s="1"/>
  <c r="R259" i="14"/>
  <c r="E259" i="14"/>
  <c r="L259" i="14" l="1"/>
  <c r="B260" i="14"/>
  <c r="F259" i="14"/>
  <c r="S259" i="14"/>
  <c r="K260" i="14" l="1"/>
  <c r="C260" i="14" s="1"/>
  <c r="D260" i="14" s="1"/>
  <c r="R260" i="14"/>
  <c r="E260" i="14"/>
  <c r="L260" i="14" l="1"/>
  <c r="B261" i="14"/>
  <c r="S260" i="14"/>
  <c r="F260" i="14"/>
  <c r="K261" i="14" l="1"/>
  <c r="C261" i="14" s="1"/>
  <c r="D261" i="14" s="1"/>
  <c r="R261" i="14"/>
  <c r="E261" i="14"/>
  <c r="L261" i="14" l="1"/>
  <c r="B262" i="14"/>
  <c r="S261" i="14"/>
  <c r="F261" i="14"/>
  <c r="K262" i="14" l="1"/>
  <c r="C262" i="14" s="1"/>
  <c r="D262" i="14" s="1"/>
  <c r="R262" i="14"/>
  <c r="E262" i="14"/>
  <c r="L262" i="14" l="1"/>
  <c r="B263" i="14"/>
  <c r="S262" i="14"/>
  <c r="F262" i="14"/>
  <c r="K263" i="14" l="1"/>
  <c r="C263" i="14" s="1"/>
  <c r="D263" i="14" s="1"/>
  <c r="R263" i="14"/>
  <c r="E263" i="14"/>
  <c r="L263" i="14" l="1"/>
  <c r="B264" i="14"/>
  <c r="F263" i="14"/>
  <c r="S263" i="14"/>
  <c r="K264" i="14" l="1"/>
  <c r="C264" i="14" s="1"/>
  <c r="D264" i="14" s="1"/>
  <c r="R264" i="14"/>
  <c r="E264" i="14"/>
  <c r="L264" i="14" l="1"/>
  <c r="B265" i="14"/>
  <c r="F264" i="14"/>
  <c r="S264" i="14"/>
  <c r="K265" i="14" l="1"/>
  <c r="C265" i="14" s="1"/>
  <c r="D265" i="14" s="1"/>
  <c r="R265" i="14"/>
  <c r="E265" i="14"/>
  <c r="L265" i="14" l="1"/>
  <c r="B266" i="14"/>
  <c r="S265" i="14"/>
  <c r="F265" i="14"/>
  <c r="K266" i="14" l="1"/>
  <c r="C266" i="14" s="1"/>
  <c r="D266" i="14" s="1"/>
  <c r="R266" i="14"/>
  <c r="E266" i="14"/>
  <c r="L266" i="14" l="1"/>
  <c r="B267" i="14"/>
  <c r="F266" i="14"/>
  <c r="S266" i="14"/>
  <c r="K267" i="14" l="1"/>
  <c r="C267" i="14" s="1"/>
  <c r="D267" i="14" s="1"/>
  <c r="R267" i="14"/>
  <c r="E267" i="14"/>
  <c r="L267" i="14" l="1"/>
  <c r="B268" i="14"/>
  <c r="F267" i="14"/>
  <c r="S267" i="14"/>
  <c r="K268" i="14" l="1"/>
  <c r="C268" i="14" s="1"/>
  <c r="D268" i="14" s="1"/>
  <c r="R268" i="14"/>
  <c r="E268" i="14"/>
  <c r="L268" i="14" l="1"/>
  <c r="B269" i="14"/>
  <c r="F268" i="14"/>
  <c r="S268" i="14"/>
  <c r="K269" i="14" l="1"/>
  <c r="C269" i="14" s="1"/>
  <c r="D269" i="14" s="1"/>
  <c r="R269" i="14"/>
  <c r="E269" i="14"/>
  <c r="L269" i="14" l="1"/>
  <c r="B270" i="14"/>
  <c r="S269" i="14"/>
  <c r="F269" i="14"/>
  <c r="K270" i="14" l="1"/>
  <c r="C270" i="14" s="1"/>
  <c r="D270" i="14" s="1"/>
  <c r="R270" i="14"/>
  <c r="E270" i="14"/>
  <c r="L270" i="14" l="1"/>
  <c r="B271" i="14"/>
  <c r="S270" i="14"/>
  <c r="F270" i="14"/>
  <c r="K271" i="14" l="1"/>
  <c r="C271" i="14" s="1"/>
  <c r="D271" i="14" s="1"/>
  <c r="R271" i="14"/>
  <c r="E271" i="14"/>
  <c r="L271" i="14" l="1"/>
  <c r="B272" i="14"/>
  <c r="K272" i="14"/>
  <c r="C272" i="14" s="1"/>
  <c r="R272" i="14"/>
  <c r="E272" i="14"/>
  <c r="F271" i="14"/>
  <c r="S271" i="14"/>
  <c r="D272" i="14" l="1"/>
  <c r="L272" i="14"/>
  <c r="B273" i="14"/>
  <c r="S272" i="14"/>
  <c r="F272" i="14"/>
  <c r="K273" i="14" l="1"/>
  <c r="C273" i="14" s="1"/>
  <c r="D273" i="14" s="1"/>
  <c r="R273" i="14"/>
  <c r="B274" i="14"/>
  <c r="K274" i="14"/>
  <c r="C274" i="14" s="1"/>
  <c r="R274" i="14"/>
  <c r="E273" i="14"/>
  <c r="D274" i="14" l="1"/>
  <c r="L273" i="14"/>
  <c r="L274" i="14"/>
  <c r="B275" i="14"/>
  <c r="E274" i="14"/>
  <c r="F273" i="14"/>
  <c r="S273" i="14"/>
  <c r="K275" i="14" l="1"/>
  <c r="C275" i="14" s="1"/>
  <c r="D275" i="14" s="1"/>
  <c r="R275" i="14"/>
  <c r="B276" i="14"/>
  <c r="K276" i="14"/>
  <c r="C276" i="14" s="1"/>
  <c r="R276" i="14"/>
  <c r="E275" i="14"/>
  <c r="S274" i="14"/>
  <c r="F274" i="14"/>
  <c r="D276" i="14" l="1"/>
  <c r="L275" i="14"/>
  <c r="L276" i="14"/>
  <c r="B277" i="14"/>
  <c r="S275" i="14"/>
  <c r="F275" i="14"/>
  <c r="E276" i="14"/>
  <c r="K277" i="14" l="1"/>
  <c r="C277" i="14" s="1"/>
  <c r="D277" i="14" s="1"/>
  <c r="R277" i="14"/>
  <c r="S276" i="14"/>
  <c r="F276" i="14"/>
  <c r="E277" i="14"/>
  <c r="L277" i="14" l="1"/>
  <c r="B278" i="14"/>
  <c r="K278" i="14"/>
  <c r="C278" i="14" s="1"/>
  <c r="R278" i="14"/>
  <c r="S277" i="14"/>
  <c r="E278" i="14"/>
  <c r="F277" i="14"/>
  <c r="D278" i="14" l="1"/>
  <c r="L278" i="14"/>
  <c r="B279" i="14"/>
  <c r="S278" i="14"/>
  <c r="F278" i="14"/>
  <c r="K279" i="14" l="1"/>
  <c r="C279" i="14" s="1"/>
  <c r="D279" i="14" s="1"/>
  <c r="R279" i="14"/>
  <c r="B280" i="14"/>
  <c r="K280" i="14"/>
  <c r="C280" i="14" s="1"/>
  <c r="R280" i="14"/>
  <c r="E279" i="14"/>
  <c r="E280" i="14"/>
  <c r="D280" i="14" l="1"/>
  <c r="L279" i="14"/>
  <c r="L280" i="14"/>
  <c r="B281" i="14"/>
  <c r="S279" i="14"/>
  <c r="F280" i="14"/>
  <c r="S280" i="14"/>
  <c r="F279" i="14"/>
  <c r="K281" i="14" l="1"/>
  <c r="C281" i="14" s="1"/>
  <c r="D281" i="14" s="1"/>
  <c r="R281" i="14"/>
  <c r="B282" i="14"/>
  <c r="K282" i="14"/>
  <c r="C282" i="14" s="1"/>
  <c r="D282" i="14" s="1"/>
  <c r="R282" i="14"/>
  <c r="E281" i="14"/>
  <c r="E282" i="14"/>
  <c r="L281" i="14" l="1"/>
  <c r="L282" i="14"/>
  <c r="B283" i="14"/>
  <c r="S282" i="14"/>
  <c r="F282" i="14"/>
  <c r="S281" i="14"/>
  <c r="F281" i="14"/>
  <c r="K283" i="14" l="1"/>
  <c r="C283" i="14" s="1"/>
  <c r="D283" i="14" s="1"/>
  <c r="R283" i="14"/>
  <c r="B284" i="14"/>
  <c r="K284" i="14"/>
  <c r="C284" i="14" s="1"/>
  <c r="R284" i="14"/>
  <c r="E284" i="14"/>
  <c r="E283" i="14"/>
  <c r="D284" i="14" l="1"/>
  <c r="L283" i="14"/>
  <c r="L284" i="14"/>
  <c r="B285" i="14"/>
  <c r="S283" i="14"/>
  <c r="F283" i="14"/>
  <c r="S284" i="14"/>
  <c r="F284" i="14"/>
  <c r="K285" i="14" l="1"/>
  <c r="C285" i="14" s="1"/>
  <c r="D285" i="14" s="1"/>
  <c r="R285" i="14"/>
  <c r="B286" i="14"/>
  <c r="K286" i="14"/>
  <c r="C286" i="14" s="1"/>
  <c r="R286" i="14"/>
  <c r="E285" i="14"/>
  <c r="E286" i="14"/>
  <c r="D286" i="14" l="1"/>
  <c r="L285" i="14"/>
  <c r="L286" i="14"/>
  <c r="B287" i="14"/>
  <c r="S285" i="14"/>
  <c r="S286" i="14"/>
  <c r="F286" i="14"/>
  <c r="F285" i="14"/>
  <c r="K287" i="14" l="1"/>
  <c r="C287" i="14" s="1"/>
  <c r="D287" i="14" s="1"/>
  <c r="R287" i="14"/>
  <c r="E287" i="14"/>
  <c r="L287" i="14" l="1"/>
  <c r="B288" i="14"/>
  <c r="F287" i="14"/>
  <c r="S287" i="14"/>
  <c r="K288" i="14" l="1"/>
  <c r="C288" i="14" s="1"/>
  <c r="D288" i="14" s="1"/>
  <c r="R288" i="14"/>
  <c r="E288" i="14"/>
  <c r="L288" i="14" l="1"/>
  <c r="B289" i="14"/>
  <c r="F288" i="14"/>
  <c r="S288" i="14"/>
  <c r="K289" i="14" l="1"/>
  <c r="C289" i="14" s="1"/>
  <c r="D289" i="14" s="1"/>
  <c r="R289" i="14"/>
  <c r="E289" i="14"/>
  <c r="L289" i="14" l="1"/>
  <c r="B290" i="14"/>
  <c r="S289" i="14"/>
  <c r="F289" i="14"/>
  <c r="K290" i="14" l="1"/>
  <c r="C290" i="14" s="1"/>
  <c r="D290" i="14" s="1"/>
  <c r="R290" i="14"/>
  <c r="E290" i="14"/>
  <c r="L290" i="14" l="1"/>
  <c r="B291" i="14"/>
  <c r="F290" i="14"/>
  <c r="S290" i="14"/>
  <c r="K291" i="14" l="1"/>
  <c r="C291" i="14" s="1"/>
  <c r="D291" i="14" s="1"/>
  <c r="R291" i="14"/>
  <c r="E291" i="14"/>
  <c r="L291" i="14" l="1"/>
  <c r="B292" i="14"/>
  <c r="F291" i="14"/>
  <c r="S291" i="14"/>
  <c r="K292" i="14" l="1"/>
  <c r="C292" i="14" s="1"/>
  <c r="D292" i="14" s="1"/>
  <c r="R292" i="14"/>
  <c r="E292" i="14"/>
  <c r="L292" i="14" l="1"/>
  <c r="B293" i="14"/>
  <c r="F292" i="14"/>
  <c r="S292" i="14"/>
  <c r="K293" i="14" l="1"/>
  <c r="C293" i="14" s="1"/>
  <c r="D293" i="14" s="1"/>
  <c r="R293" i="14"/>
  <c r="B294" i="14"/>
  <c r="K294" i="14"/>
  <c r="C294" i="14" s="1"/>
  <c r="D294" i="14" s="1"/>
  <c r="R294" i="14"/>
  <c r="E293" i="14"/>
  <c r="E294" i="14"/>
  <c r="S293" i="14"/>
  <c r="L293" i="14" l="1"/>
  <c r="L294" i="14"/>
  <c r="B295" i="14"/>
  <c r="F293" i="14"/>
  <c r="F294" i="14"/>
  <c r="S294" i="14"/>
  <c r="K295" i="14" l="1"/>
  <c r="C295" i="14" s="1"/>
  <c r="D295" i="14" s="1"/>
  <c r="R295" i="14"/>
  <c r="B296" i="14"/>
  <c r="K296" i="14"/>
  <c r="C296" i="14" s="1"/>
  <c r="R296" i="14"/>
  <c r="E295" i="14"/>
  <c r="D296" i="14" l="1"/>
  <c r="L295" i="14"/>
  <c r="L296" i="14"/>
  <c r="B297" i="14"/>
  <c r="F295" i="14"/>
  <c r="S295" i="14"/>
  <c r="E296" i="14"/>
  <c r="K297" i="14" l="1"/>
  <c r="C297" i="14" s="1"/>
  <c r="D297" i="14" s="1"/>
  <c r="R297" i="14"/>
  <c r="B298" i="14"/>
  <c r="K298" i="14"/>
  <c r="C298" i="14" s="1"/>
  <c r="R298" i="14"/>
  <c r="S296" i="14"/>
  <c r="E297" i="14"/>
  <c r="F296" i="14"/>
  <c r="D298" i="14" l="1"/>
  <c r="L297" i="14"/>
  <c r="L298" i="14"/>
  <c r="B299" i="14"/>
  <c r="S297" i="14"/>
  <c r="E298" i="14"/>
  <c r="F297" i="14"/>
  <c r="K299" i="14" l="1"/>
  <c r="C299" i="14" s="1"/>
  <c r="D299" i="14" s="1"/>
  <c r="R299" i="14"/>
  <c r="F298" i="14"/>
  <c r="E299" i="14"/>
  <c r="S298" i="14"/>
  <c r="L299" i="14" l="1"/>
  <c r="B300" i="14"/>
  <c r="S299" i="14"/>
  <c r="F299" i="14"/>
  <c r="K300" i="14" l="1"/>
  <c r="C300" i="14" s="1"/>
  <c r="D300" i="14" s="1"/>
  <c r="R300" i="14"/>
  <c r="E300" i="14"/>
  <c r="L300" i="14" l="1"/>
  <c r="B301" i="14"/>
  <c r="F300" i="14"/>
  <c r="S300" i="14"/>
  <c r="K301" i="14" l="1"/>
  <c r="C301" i="14" s="1"/>
  <c r="D301" i="14" s="1"/>
  <c r="R301" i="14"/>
  <c r="B302" i="14"/>
  <c r="K302" i="14"/>
  <c r="C302" i="14" s="1"/>
  <c r="R302" i="14"/>
  <c r="E301" i="14"/>
  <c r="D302" i="14" l="1"/>
  <c r="L301" i="14"/>
  <c r="L302" i="14"/>
  <c r="B303" i="14"/>
  <c r="E302" i="14"/>
  <c r="F301" i="14"/>
  <c r="S301" i="14"/>
  <c r="K303" i="14" l="1"/>
  <c r="C303" i="14" s="1"/>
  <c r="D303" i="14" s="1"/>
  <c r="R303" i="14"/>
  <c r="B304" i="14"/>
  <c r="K304" i="14"/>
  <c r="C304" i="14" s="1"/>
  <c r="R304" i="14"/>
  <c r="E303" i="14"/>
  <c r="S302" i="14"/>
  <c r="F302" i="14"/>
  <c r="D304" i="14" l="1"/>
  <c r="L303" i="14"/>
  <c r="L304" i="14"/>
  <c r="B305" i="14"/>
  <c r="E304" i="14"/>
  <c r="F303" i="14"/>
  <c r="S303" i="14"/>
  <c r="K305" i="14" l="1"/>
  <c r="C305" i="14" s="1"/>
  <c r="D305" i="14" s="1"/>
  <c r="R305" i="14"/>
  <c r="F304" i="14"/>
  <c r="E305" i="14"/>
  <c r="S304" i="14"/>
  <c r="L305" i="14" l="1"/>
  <c r="B306" i="14"/>
  <c r="F305" i="14"/>
  <c r="S305" i="14"/>
  <c r="K306" i="14" l="1"/>
  <c r="C306" i="14" s="1"/>
  <c r="D306" i="14" s="1"/>
  <c r="R306" i="14"/>
  <c r="B307" i="14"/>
  <c r="K307" i="14"/>
  <c r="C307" i="14" s="1"/>
  <c r="R307" i="14"/>
  <c r="E306" i="14"/>
  <c r="D307" i="14" l="1"/>
  <c r="L306" i="14"/>
  <c r="L307" i="14"/>
  <c r="B308" i="14"/>
  <c r="F306" i="14"/>
  <c r="S306" i="14"/>
  <c r="E307" i="14"/>
  <c r="K308" i="14" l="1"/>
  <c r="C308" i="14" s="1"/>
  <c r="D308" i="14" s="1"/>
  <c r="R308" i="14"/>
  <c r="B309" i="14"/>
  <c r="K309" i="14"/>
  <c r="C309" i="14" s="1"/>
  <c r="R309" i="14"/>
  <c r="E309" i="14"/>
  <c r="F307" i="14"/>
  <c r="E308" i="14"/>
  <c r="S307" i="14"/>
  <c r="D309" i="14" l="1"/>
  <c r="L308" i="14"/>
  <c r="L309" i="14"/>
  <c r="B310" i="14"/>
  <c r="F308" i="14"/>
  <c r="F309" i="14"/>
  <c r="S309" i="14"/>
  <c r="S308" i="14"/>
  <c r="K310" i="14" l="1"/>
  <c r="C310" i="14" s="1"/>
  <c r="D310" i="14" s="1"/>
  <c r="R310" i="14"/>
  <c r="B311" i="14"/>
  <c r="K311" i="14"/>
  <c r="C311" i="14" s="1"/>
  <c r="R311" i="14"/>
  <c r="E310" i="14"/>
  <c r="E311" i="14"/>
  <c r="D311" i="14" l="1"/>
  <c r="L310" i="14"/>
  <c r="L311" i="14"/>
  <c r="B312" i="14"/>
  <c r="S310" i="14"/>
  <c r="F311" i="14"/>
  <c r="S311" i="14"/>
  <c r="F310" i="14"/>
  <c r="K312" i="14" l="1"/>
  <c r="C312" i="14" s="1"/>
  <c r="D312" i="14" s="1"/>
  <c r="R312" i="14"/>
  <c r="B313" i="14"/>
  <c r="K313" i="14"/>
  <c r="C313" i="14" s="1"/>
  <c r="R313" i="14"/>
  <c r="E313" i="14"/>
  <c r="E312" i="14"/>
  <c r="D313" i="14" l="1"/>
  <c r="L312" i="14"/>
  <c r="L313" i="14"/>
  <c r="B314" i="14"/>
  <c r="F312" i="14"/>
  <c r="F313" i="14"/>
  <c r="S313" i="14"/>
  <c r="S312" i="14"/>
  <c r="K314" i="14" l="1"/>
  <c r="C314" i="14" s="1"/>
  <c r="D314" i="14" s="1"/>
  <c r="R314" i="14"/>
  <c r="E314" i="14"/>
  <c r="L314" i="14" l="1"/>
  <c r="B315" i="14"/>
  <c r="S314" i="14"/>
  <c r="F314" i="14"/>
  <c r="K315" i="14" l="1"/>
  <c r="C315" i="14" s="1"/>
  <c r="D315" i="14" s="1"/>
  <c r="R315" i="14"/>
  <c r="B316" i="14"/>
  <c r="K316" i="14"/>
  <c r="C316" i="14" s="1"/>
  <c r="R316" i="14"/>
  <c r="E316" i="14"/>
  <c r="E315" i="14"/>
  <c r="D316" i="14" l="1"/>
  <c r="L315" i="14"/>
  <c r="L316" i="14"/>
  <c r="B317" i="14"/>
  <c r="S316" i="14"/>
  <c r="F316" i="14"/>
  <c r="F315" i="14"/>
  <c r="S315" i="14"/>
  <c r="K317" i="14" l="1"/>
  <c r="C317" i="14" s="1"/>
  <c r="D317" i="14" s="1"/>
  <c r="R317" i="14"/>
  <c r="E317" i="14"/>
  <c r="L317" i="14" l="1"/>
  <c r="B318" i="14"/>
  <c r="F317" i="14"/>
  <c r="S317" i="14"/>
  <c r="K318" i="14" l="1"/>
  <c r="C318" i="14" s="1"/>
  <c r="D318" i="14" s="1"/>
  <c r="R318" i="14"/>
  <c r="B319" i="14"/>
  <c r="K319" i="14"/>
  <c r="C319" i="14" s="1"/>
  <c r="R319" i="14"/>
  <c r="E319" i="14"/>
  <c r="E318" i="14"/>
  <c r="D319" i="14" l="1"/>
  <c r="L318" i="14"/>
  <c r="L319" i="14"/>
  <c r="B320" i="14"/>
  <c r="S318" i="14"/>
  <c r="S319" i="14"/>
  <c r="F319" i="14"/>
  <c r="F318" i="14"/>
  <c r="K320" i="14" l="1"/>
  <c r="C320" i="14" s="1"/>
  <c r="D320" i="14" s="1"/>
  <c r="R320" i="14"/>
  <c r="B321" i="14"/>
  <c r="K321" i="14"/>
  <c r="C321" i="14" s="1"/>
  <c r="R321" i="14"/>
  <c r="E321" i="14"/>
  <c r="E320" i="14"/>
  <c r="D321" i="14" l="1"/>
  <c r="L320" i="14"/>
  <c r="L321" i="14"/>
  <c r="B322" i="14"/>
  <c r="S320" i="14"/>
  <c r="S321" i="14"/>
  <c r="F321" i="14"/>
  <c r="F320" i="14"/>
  <c r="K322" i="14" l="1"/>
  <c r="C322" i="14" s="1"/>
  <c r="D322" i="14" s="1"/>
  <c r="R322" i="14"/>
  <c r="E322" i="14"/>
  <c r="L322" i="14" l="1"/>
  <c r="B323" i="14"/>
  <c r="S322" i="14"/>
  <c r="F322" i="14"/>
  <c r="K323" i="14" l="1"/>
  <c r="C323" i="14" s="1"/>
  <c r="D323" i="14" s="1"/>
  <c r="R323" i="14"/>
  <c r="B324" i="14"/>
  <c r="K324" i="14"/>
  <c r="C324" i="14" s="1"/>
  <c r="R324" i="14"/>
  <c r="E323" i="14"/>
  <c r="E324" i="14"/>
  <c r="D324" i="14" l="1"/>
  <c r="L323" i="14"/>
  <c r="L324" i="14"/>
  <c r="B325" i="14"/>
  <c r="F323" i="14"/>
  <c r="F324" i="14"/>
  <c r="S323" i="14"/>
  <c r="S324" i="14"/>
  <c r="K325" i="14" l="1"/>
  <c r="C325" i="14" s="1"/>
  <c r="D325" i="14" s="1"/>
  <c r="R325" i="14"/>
  <c r="B326" i="14"/>
  <c r="K326" i="14"/>
  <c r="C326" i="14" s="1"/>
  <c r="R326" i="14"/>
  <c r="E325" i="14"/>
  <c r="D326" i="14" l="1"/>
  <c r="L325" i="14"/>
  <c r="L326" i="14"/>
  <c r="B327" i="14"/>
  <c r="S325" i="14"/>
  <c r="E326" i="14"/>
  <c r="F325" i="14"/>
  <c r="K327" i="14" l="1"/>
  <c r="C327" i="14" s="1"/>
  <c r="D327" i="14" s="1"/>
  <c r="R327" i="14"/>
  <c r="B328" i="14"/>
  <c r="K328" i="14"/>
  <c r="C328" i="14" s="1"/>
  <c r="R328" i="14"/>
  <c r="E327" i="14"/>
  <c r="F326" i="14"/>
  <c r="S326" i="14"/>
  <c r="D328" i="14" l="1"/>
  <c r="L327" i="14"/>
  <c r="L328" i="14"/>
  <c r="M5" i="14" s="1" a="1"/>
  <c r="O2" i="13"/>
  <c r="S327" i="14"/>
  <c r="F327" i="14"/>
  <c r="O4" i="13"/>
  <c r="E328" i="14"/>
  <c r="M5" i="14" l="1"/>
  <c r="M6" i="14"/>
  <c r="M7" i="14"/>
  <c r="M8" i="14"/>
  <c r="M9" i="14"/>
  <c r="M10" i="14"/>
  <c r="M11" i="14"/>
  <c r="M12" i="14"/>
  <c r="M13" i="14"/>
  <c r="M14" i="14"/>
  <c r="M15" i="14"/>
  <c r="M16" i="14"/>
  <c r="M17" i="14"/>
  <c r="M18" i="14"/>
  <c r="M19" i="14"/>
  <c r="M20" i="14"/>
  <c r="M21" i="14"/>
  <c r="M22" i="14"/>
  <c r="M23" i="14"/>
  <c r="M24" i="14"/>
  <c r="M25" i="14"/>
  <c r="M26" i="14"/>
  <c r="M27" i="14"/>
  <c r="M28" i="14"/>
  <c r="M29" i="14"/>
  <c r="M30" i="14"/>
  <c r="M31" i="14"/>
  <c r="M32" i="14"/>
  <c r="M33" i="14"/>
  <c r="M34" i="14"/>
  <c r="M35" i="14"/>
  <c r="M36" i="14"/>
  <c r="M37" i="14"/>
  <c r="M38" i="14"/>
  <c r="M39" i="14"/>
  <c r="M40" i="14"/>
  <c r="M41" i="14"/>
  <c r="M42" i="14"/>
  <c r="M43" i="14"/>
  <c r="M44" i="14"/>
  <c r="M45" i="14"/>
  <c r="M46" i="14"/>
  <c r="M47" i="14"/>
  <c r="M48" i="14"/>
  <c r="M49" i="14"/>
  <c r="M50" i="14"/>
  <c r="M51" i="14"/>
  <c r="M52" i="14"/>
  <c r="M53" i="14"/>
  <c r="M54" i="14"/>
  <c r="M55" i="14"/>
  <c r="M56" i="14"/>
  <c r="M57" i="14"/>
  <c r="M58" i="14"/>
  <c r="M59" i="14"/>
  <c r="M60" i="14"/>
  <c r="M61" i="14"/>
  <c r="M62" i="14"/>
  <c r="M63" i="14"/>
  <c r="M64" i="14"/>
  <c r="M65" i="14"/>
  <c r="M66" i="14"/>
  <c r="M67" i="14"/>
  <c r="M68" i="14"/>
  <c r="M69" i="14"/>
  <c r="M70" i="14"/>
  <c r="M71" i="14"/>
  <c r="M72" i="14"/>
  <c r="M73" i="14"/>
  <c r="M74" i="14"/>
  <c r="M75" i="14"/>
  <c r="M76" i="14"/>
  <c r="M77" i="14"/>
  <c r="M78" i="14"/>
  <c r="M79" i="14"/>
  <c r="M80" i="14"/>
  <c r="M81" i="14"/>
  <c r="M82" i="14"/>
  <c r="M83" i="14"/>
  <c r="M84" i="14"/>
  <c r="M85" i="14"/>
  <c r="M86" i="14"/>
  <c r="M87" i="14"/>
  <c r="M88" i="14"/>
  <c r="M89" i="14"/>
  <c r="M90" i="14"/>
  <c r="M91" i="14"/>
  <c r="M92" i="14"/>
  <c r="M93" i="14"/>
  <c r="M94" i="14"/>
  <c r="M95" i="14"/>
  <c r="M96" i="14"/>
  <c r="M97" i="14"/>
  <c r="M98" i="14"/>
  <c r="M99" i="14"/>
  <c r="M100" i="14"/>
  <c r="M101" i="14"/>
  <c r="M102" i="14"/>
  <c r="M103" i="14"/>
  <c r="M104" i="14"/>
  <c r="M105" i="14"/>
  <c r="M106" i="14"/>
  <c r="M107" i="14"/>
  <c r="M108" i="14"/>
  <c r="M109" i="14"/>
  <c r="M110" i="14"/>
  <c r="M111" i="14"/>
  <c r="M112" i="14"/>
  <c r="M113" i="14"/>
  <c r="M114" i="14"/>
  <c r="M115" i="14"/>
  <c r="M116" i="14"/>
  <c r="M117" i="14"/>
  <c r="M118" i="14"/>
  <c r="M119" i="14"/>
  <c r="M120" i="14"/>
  <c r="M121" i="14"/>
  <c r="M122" i="14"/>
  <c r="M123" i="14"/>
  <c r="M124" i="14"/>
  <c r="M125" i="14"/>
  <c r="M126" i="14"/>
  <c r="M127" i="14"/>
  <c r="M128" i="14"/>
  <c r="M129" i="14"/>
  <c r="M130" i="14"/>
  <c r="M131" i="14"/>
  <c r="M132" i="14"/>
  <c r="M133" i="14"/>
  <c r="M134" i="14"/>
  <c r="M135" i="14"/>
  <c r="M136" i="14"/>
  <c r="M137" i="14"/>
  <c r="M138" i="14"/>
  <c r="M139" i="14"/>
  <c r="M140" i="14"/>
  <c r="M141" i="14"/>
  <c r="M142" i="14"/>
  <c r="M143" i="14"/>
  <c r="M144" i="14"/>
  <c r="M145" i="14"/>
  <c r="M146" i="14"/>
  <c r="M147" i="14"/>
  <c r="M148" i="14"/>
  <c r="M149" i="14"/>
  <c r="M150" i="14"/>
  <c r="M151" i="14"/>
  <c r="M152" i="14"/>
  <c r="M153" i="14"/>
  <c r="M154" i="14"/>
  <c r="M155" i="14"/>
  <c r="M156" i="14"/>
  <c r="M157" i="14"/>
  <c r="M158" i="14"/>
  <c r="M159" i="14"/>
  <c r="M160" i="14"/>
  <c r="M161" i="14"/>
  <c r="M162" i="14"/>
  <c r="M163" i="14"/>
  <c r="M164" i="14"/>
  <c r="M165" i="14"/>
  <c r="M166" i="14"/>
  <c r="M167" i="14"/>
  <c r="M168" i="14"/>
  <c r="M169" i="14"/>
  <c r="M170" i="14"/>
  <c r="M171" i="14"/>
  <c r="M172" i="14"/>
  <c r="M173" i="14"/>
  <c r="M174" i="14"/>
  <c r="M175" i="14"/>
  <c r="M176" i="14"/>
  <c r="M177" i="14"/>
  <c r="M178" i="14"/>
  <c r="M179" i="14"/>
  <c r="M180" i="14"/>
  <c r="M181" i="14"/>
  <c r="M182" i="14"/>
  <c r="M183" i="14"/>
  <c r="M184" i="14"/>
  <c r="M185" i="14"/>
  <c r="M186" i="14"/>
  <c r="M187" i="14"/>
  <c r="M188" i="14"/>
  <c r="M189" i="14"/>
  <c r="M190" i="14"/>
  <c r="M191" i="14"/>
  <c r="M192" i="14"/>
  <c r="M193" i="14"/>
  <c r="M194" i="14"/>
  <c r="M195" i="14"/>
  <c r="M196" i="14"/>
  <c r="M197" i="14"/>
  <c r="M198" i="14"/>
  <c r="M199" i="14"/>
  <c r="M200" i="14"/>
  <c r="M201" i="14"/>
  <c r="M202" i="14"/>
  <c r="M203" i="14"/>
  <c r="M204" i="14"/>
  <c r="M205" i="14"/>
  <c r="M206" i="14"/>
  <c r="M207" i="14"/>
  <c r="M208" i="14"/>
  <c r="M209" i="14"/>
  <c r="M210" i="14"/>
  <c r="M211" i="14"/>
  <c r="M212" i="14"/>
  <c r="M213" i="14"/>
  <c r="M214" i="14"/>
  <c r="M215" i="14"/>
  <c r="M216" i="14"/>
  <c r="M217" i="14"/>
  <c r="M218" i="14"/>
  <c r="M219" i="14"/>
  <c r="M220" i="14"/>
  <c r="M221" i="14"/>
  <c r="M222" i="14"/>
  <c r="M223" i="14"/>
  <c r="M224" i="14"/>
  <c r="M225" i="14"/>
  <c r="M226" i="14"/>
  <c r="M227" i="14"/>
  <c r="M228" i="14"/>
  <c r="M229" i="14"/>
  <c r="M230" i="14"/>
  <c r="M231" i="14"/>
  <c r="M232" i="14"/>
  <c r="M233" i="14"/>
  <c r="M234" i="14"/>
  <c r="M235" i="14"/>
  <c r="M236" i="14"/>
  <c r="M237" i="14"/>
  <c r="M238" i="14"/>
  <c r="M239" i="14"/>
  <c r="M240" i="14"/>
  <c r="M241" i="14"/>
  <c r="M242" i="14"/>
  <c r="M243" i="14"/>
  <c r="M244" i="14"/>
  <c r="M245" i="14"/>
  <c r="M246" i="14"/>
  <c r="M247" i="14"/>
  <c r="M248" i="14"/>
  <c r="M249" i="14"/>
  <c r="M250" i="14"/>
  <c r="M251" i="14"/>
  <c r="M252" i="14"/>
  <c r="M253" i="14"/>
  <c r="M254" i="14"/>
  <c r="M255" i="14"/>
  <c r="M256" i="14"/>
  <c r="M257" i="14"/>
  <c r="M258" i="14"/>
  <c r="M259" i="14"/>
  <c r="M260" i="14"/>
  <c r="M261" i="14"/>
  <c r="M262" i="14"/>
  <c r="M263" i="14"/>
  <c r="M264" i="14"/>
  <c r="M265" i="14"/>
  <c r="M266" i="14"/>
  <c r="M267" i="14"/>
  <c r="M268" i="14"/>
  <c r="M269" i="14"/>
  <c r="M270" i="14"/>
  <c r="M271" i="14"/>
  <c r="M272" i="14"/>
  <c r="M273" i="14"/>
  <c r="M274" i="14"/>
  <c r="M275" i="14"/>
  <c r="M276" i="14"/>
  <c r="M277" i="14"/>
  <c r="M278" i="14"/>
  <c r="M279" i="14"/>
  <c r="M280" i="14"/>
  <c r="M281" i="14"/>
  <c r="M282" i="14"/>
  <c r="M283" i="14"/>
  <c r="M284" i="14"/>
  <c r="M285" i="14"/>
  <c r="M286" i="14"/>
  <c r="M287" i="14"/>
  <c r="M288" i="14"/>
  <c r="M289" i="14"/>
  <c r="M290" i="14"/>
  <c r="M291" i="14"/>
  <c r="M292" i="14"/>
  <c r="M293" i="14"/>
  <c r="M294" i="14"/>
  <c r="M295" i="14"/>
  <c r="M296" i="14"/>
  <c r="M297" i="14"/>
  <c r="M298" i="14"/>
  <c r="M299" i="14"/>
  <c r="M300" i="14"/>
  <c r="M301" i="14"/>
  <c r="M302" i="14"/>
  <c r="M303" i="14"/>
  <c r="M304" i="14"/>
  <c r="M305" i="14"/>
  <c r="M306" i="14"/>
  <c r="M307" i="14"/>
  <c r="M308" i="14"/>
  <c r="M309" i="14"/>
  <c r="M310" i="14"/>
  <c r="M311" i="14"/>
  <c r="M312" i="14"/>
  <c r="M313" i="14"/>
  <c r="M314" i="14"/>
  <c r="M315" i="14"/>
  <c r="M316" i="14"/>
  <c r="M317" i="14"/>
  <c r="M318" i="14"/>
  <c r="M319" i="14"/>
  <c r="M320" i="14"/>
  <c r="M321" i="14"/>
  <c r="M322" i="14"/>
  <c r="M323" i="14"/>
  <c r="M324" i="14"/>
  <c r="M325" i="14"/>
  <c r="M326" i="14"/>
  <c r="M327" i="14"/>
  <c r="M328" i="14"/>
  <c r="E5" i="13"/>
  <c r="N5" i="13"/>
  <c r="R5" i="13"/>
  <c r="S5" i="13" s="1"/>
  <c r="W5" i="13" a="1"/>
  <c r="W5" i="13" s="1"/>
  <c r="F328" i="14"/>
  <c r="S328" i="14"/>
  <c r="F5" i="13"/>
  <c r="E6" i="13" l="1"/>
  <c r="N6" i="13"/>
  <c r="R6" i="13"/>
  <c r="S6" i="13" s="1"/>
  <c r="W6" i="13"/>
  <c r="F6" i="13"/>
  <c r="G5" i="13"/>
  <c r="X5" i="13"/>
  <c r="E7" i="13" l="1"/>
  <c r="N7" i="13"/>
  <c r="R7" i="13"/>
  <c r="S7" i="13" s="1"/>
  <c r="W7" i="13"/>
  <c r="F7" i="13"/>
  <c r="G6" i="13"/>
  <c r="X6" i="13"/>
  <c r="E8" i="13" l="1"/>
  <c r="N8" i="13"/>
  <c r="R8" i="13"/>
  <c r="S8" i="13" s="1"/>
  <c r="W8" i="13"/>
  <c r="G7" i="13"/>
  <c r="F8" i="13"/>
  <c r="X7" i="13"/>
  <c r="E9" i="13" l="1"/>
  <c r="N9" i="13"/>
  <c r="R9" i="13"/>
  <c r="S9" i="13" s="1"/>
  <c r="W9" i="13"/>
  <c r="G8" i="13"/>
  <c r="F9" i="13"/>
  <c r="X8" i="13"/>
  <c r="E10" i="13" l="1"/>
  <c r="N10" i="13"/>
  <c r="R10" i="13"/>
  <c r="S10" i="13" s="1"/>
  <c r="W10" i="13"/>
  <c r="G9" i="13"/>
  <c r="X9" i="13"/>
  <c r="F10" i="13"/>
  <c r="E11" i="13" l="1"/>
  <c r="N11" i="13"/>
  <c r="O5" i="13" s="1" a="1"/>
  <c r="O11" i="13" s="1"/>
  <c r="R11" i="13"/>
  <c r="S11" i="13" s="1"/>
  <c r="W11" i="13"/>
  <c r="F11" i="13"/>
  <c r="G10" i="13"/>
  <c r="X10" i="13"/>
  <c r="O5" i="13" l="1"/>
  <c r="O6" i="13"/>
  <c r="O7" i="13"/>
  <c r="O8" i="13"/>
  <c r="O9" i="13"/>
  <c r="O10" i="13"/>
  <c r="O2" i="12"/>
  <c r="O5" i="12" a="1"/>
  <c r="O5" i="12" s="1"/>
  <c r="V5" i="12"/>
  <c r="Z5" i="12" a="1"/>
  <c r="Z5" i="12" s="1"/>
  <c r="V6" i="12"/>
  <c r="V7" i="12"/>
  <c r="V8" i="12"/>
  <c r="E3" i="11"/>
  <c r="G3" i="11"/>
  <c r="H3" i="11"/>
  <c r="E4" i="11"/>
  <c r="G4" i="11"/>
  <c r="H4" i="11"/>
  <c r="E5" i="11"/>
  <c r="G5" i="11"/>
  <c r="H5" i="11"/>
  <c r="E6" i="11"/>
  <c r="G6" i="11"/>
  <c r="H6" i="11"/>
  <c r="E7" i="11"/>
  <c r="G7" i="11"/>
  <c r="H7" i="11"/>
  <c r="E8" i="11"/>
  <c r="G8" i="11"/>
  <c r="H8" i="11"/>
  <c r="E9" i="11"/>
  <c r="G9" i="11"/>
  <c r="H9" i="11"/>
  <c r="E10" i="11"/>
  <c r="G10" i="11"/>
  <c r="H10" i="11"/>
  <c r="E11" i="11"/>
  <c r="G11" i="11"/>
  <c r="H11" i="11"/>
  <c r="E12" i="11"/>
  <c r="G12" i="11"/>
  <c r="H12" i="11"/>
  <c r="E13" i="11"/>
  <c r="G13" i="11"/>
  <c r="H13" i="11"/>
  <c r="E14" i="11"/>
  <c r="G14" i="11"/>
  <c r="H14" i="11"/>
  <c r="E15" i="11"/>
  <c r="G15" i="11"/>
  <c r="H15" i="11"/>
  <c r="E16" i="11"/>
  <c r="G16" i="11"/>
  <c r="H16" i="11"/>
  <c r="E17" i="11"/>
  <c r="G17" i="11"/>
  <c r="H17" i="11"/>
  <c r="E18" i="11"/>
  <c r="G18" i="11"/>
  <c r="H18" i="11"/>
  <c r="E19" i="11"/>
  <c r="G19" i="11"/>
  <c r="H19" i="11"/>
  <c r="E20" i="11"/>
  <c r="G20" i="11"/>
  <c r="H20" i="11"/>
  <c r="E21" i="11"/>
  <c r="G21" i="11"/>
  <c r="H21" i="11"/>
  <c r="E22" i="11"/>
  <c r="G22" i="11"/>
  <c r="H22" i="11"/>
  <c r="E23" i="11"/>
  <c r="G23" i="11"/>
  <c r="H23" i="11"/>
  <c r="E24" i="11"/>
  <c r="G24" i="11"/>
  <c r="H24" i="11"/>
  <c r="E25" i="11"/>
  <c r="G25" i="11"/>
  <c r="H25" i="11"/>
  <c r="E26" i="11"/>
  <c r="G26" i="11"/>
  <c r="H26" i="11"/>
  <c r="E27" i="11"/>
  <c r="G27" i="11"/>
  <c r="H27" i="11"/>
  <c r="E28" i="11"/>
  <c r="G28" i="11"/>
  <c r="H28" i="11"/>
  <c r="E29" i="11"/>
  <c r="G29" i="11"/>
  <c r="H29" i="11"/>
  <c r="E30" i="11"/>
  <c r="G30" i="11"/>
  <c r="H30" i="11"/>
  <c r="E31" i="11"/>
  <c r="G31" i="11"/>
  <c r="H31" i="11"/>
  <c r="E32" i="11"/>
  <c r="G32" i="11"/>
  <c r="H32" i="11"/>
  <c r="E33" i="11"/>
  <c r="G33" i="11"/>
  <c r="H33" i="11"/>
  <c r="E34" i="11"/>
  <c r="G34" i="11"/>
  <c r="H34" i="11"/>
  <c r="E35" i="11"/>
  <c r="G35" i="11"/>
  <c r="H35" i="11"/>
  <c r="E36" i="11"/>
  <c r="G36" i="11"/>
  <c r="H36" i="11"/>
  <c r="E37" i="11"/>
  <c r="G37" i="11"/>
  <c r="H37" i="11"/>
  <c r="E38" i="11"/>
  <c r="G38" i="11"/>
  <c r="H38" i="11"/>
  <c r="E39" i="11"/>
  <c r="G39" i="11"/>
  <c r="H39" i="11"/>
  <c r="E3" i="10"/>
  <c r="G3" i="10"/>
  <c r="H3" i="10"/>
  <c r="E4" i="10"/>
  <c r="G4" i="10"/>
  <c r="H4" i="10"/>
  <c r="E5" i="10"/>
  <c r="G5" i="10"/>
  <c r="H5" i="10"/>
  <c r="E6" i="10"/>
  <c r="G6" i="10"/>
  <c r="H6" i="10"/>
  <c r="E7" i="10"/>
  <c r="G7" i="10"/>
  <c r="H7" i="10"/>
  <c r="E8" i="10"/>
  <c r="G8" i="10"/>
  <c r="H8" i="10"/>
  <c r="E9" i="10"/>
  <c r="G9" i="10"/>
  <c r="H9" i="10"/>
  <c r="E10" i="10"/>
  <c r="G10" i="10"/>
  <c r="H10" i="10"/>
  <c r="E11" i="10"/>
  <c r="G11" i="10"/>
  <c r="H11" i="10"/>
  <c r="E12" i="10"/>
  <c r="G12" i="10"/>
  <c r="H12" i="10"/>
  <c r="E13" i="10"/>
  <c r="G13" i="10"/>
  <c r="H13" i="10"/>
  <c r="E14" i="10"/>
  <c r="G14" i="10"/>
  <c r="H14" i="10"/>
  <c r="E15" i="10"/>
  <c r="G15" i="10"/>
  <c r="H15" i="10"/>
  <c r="E16" i="10"/>
  <c r="G16" i="10"/>
  <c r="H16" i="10"/>
  <c r="E17" i="10"/>
  <c r="G17" i="10"/>
  <c r="H17" i="10"/>
  <c r="E18" i="10"/>
  <c r="G18" i="10"/>
  <c r="H18" i="10"/>
  <c r="E19" i="10"/>
  <c r="G19" i="10"/>
  <c r="H19" i="10"/>
  <c r="E20" i="10"/>
  <c r="G20" i="10"/>
  <c r="H20" i="10"/>
  <c r="E21" i="10"/>
  <c r="G21" i="10"/>
  <c r="H21" i="10"/>
  <c r="E22" i="10"/>
  <c r="G22" i="10"/>
  <c r="H22" i="10"/>
  <c r="E23" i="10"/>
  <c r="G23" i="10"/>
  <c r="H23" i="10"/>
  <c r="E24" i="10"/>
  <c r="G24" i="10"/>
  <c r="H24" i="10"/>
  <c r="E25" i="10"/>
  <c r="G25" i="10"/>
  <c r="H25" i="10"/>
  <c r="E26" i="10"/>
  <c r="G26" i="10"/>
  <c r="H26" i="10"/>
  <c r="E27" i="10"/>
  <c r="G27" i="10"/>
  <c r="H27" i="10"/>
  <c r="E28" i="10"/>
  <c r="G28" i="10"/>
  <c r="H28" i="10"/>
  <c r="E29" i="10"/>
  <c r="G29" i="10"/>
  <c r="H29" i="10"/>
  <c r="E30" i="10"/>
  <c r="G30" i="10"/>
  <c r="H30" i="10"/>
  <c r="E31" i="10"/>
  <c r="G31" i="10"/>
  <c r="H31" i="10"/>
  <c r="E32" i="10"/>
  <c r="G32" i="10"/>
  <c r="H32" i="10"/>
  <c r="E33" i="10"/>
  <c r="G33" i="10"/>
  <c r="H33" i="10"/>
  <c r="E34" i="10"/>
  <c r="G34" i="10"/>
  <c r="H34" i="10"/>
  <c r="E35" i="10"/>
  <c r="G35" i="10"/>
  <c r="H35" i="10"/>
  <c r="E36" i="10"/>
  <c r="G36" i="10"/>
  <c r="H36" i="10"/>
  <c r="E37" i="10"/>
  <c r="G37" i="10"/>
  <c r="H37" i="10"/>
  <c r="E38" i="10"/>
  <c r="G38" i="10"/>
  <c r="H38" i="10"/>
  <c r="E39" i="10"/>
  <c r="G39" i="10"/>
  <c r="H39" i="10"/>
  <c r="E3" i="9"/>
  <c r="G3" i="9"/>
  <c r="H3" i="9"/>
  <c r="E4" i="9"/>
  <c r="G4" i="9"/>
  <c r="H4" i="9"/>
  <c r="E5" i="9"/>
  <c r="G5" i="9"/>
  <c r="H5" i="9"/>
  <c r="E6" i="9"/>
  <c r="G6" i="9"/>
  <c r="H6" i="9"/>
  <c r="E7" i="9"/>
  <c r="G7" i="9"/>
  <c r="H7" i="9"/>
  <c r="E8" i="9"/>
  <c r="G8" i="9"/>
  <c r="H8" i="9"/>
  <c r="E9" i="9"/>
  <c r="G9" i="9"/>
  <c r="H9" i="9"/>
  <c r="E10" i="9"/>
  <c r="G10" i="9"/>
  <c r="H10" i="9"/>
  <c r="E11" i="9"/>
  <c r="G11" i="9"/>
  <c r="H11" i="9"/>
  <c r="E12" i="9"/>
  <c r="G12" i="9"/>
  <c r="H12" i="9"/>
  <c r="E13" i="9"/>
  <c r="G13" i="9"/>
  <c r="H13" i="9"/>
  <c r="E14" i="9"/>
  <c r="G14" i="9"/>
  <c r="H14" i="9"/>
  <c r="E15" i="9"/>
  <c r="G15" i="9"/>
  <c r="H15" i="9"/>
  <c r="E16" i="9"/>
  <c r="G16" i="9"/>
  <c r="H16" i="9"/>
  <c r="E17" i="9"/>
  <c r="G17" i="9"/>
  <c r="H17" i="9"/>
  <c r="E18" i="9"/>
  <c r="G18" i="9"/>
  <c r="H18" i="9"/>
  <c r="E19" i="9"/>
  <c r="G19" i="9"/>
  <c r="H19" i="9"/>
  <c r="E20" i="9"/>
  <c r="G20" i="9"/>
  <c r="H20" i="9"/>
  <c r="E21" i="9"/>
  <c r="G21" i="9"/>
  <c r="H21" i="9"/>
  <c r="E22" i="9"/>
  <c r="G22" i="9"/>
  <c r="H22" i="9"/>
  <c r="E23" i="9"/>
  <c r="G23" i="9"/>
  <c r="H23" i="9"/>
  <c r="E24" i="9"/>
  <c r="G24" i="9"/>
  <c r="H24" i="9"/>
  <c r="E25" i="9"/>
  <c r="G25" i="9"/>
  <c r="H25" i="9"/>
  <c r="E26" i="9"/>
  <c r="G26" i="9"/>
  <c r="H26" i="9"/>
  <c r="E27" i="9"/>
  <c r="G27" i="9"/>
  <c r="H27" i="9"/>
  <c r="E28" i="9"/>
  <c r="G28" i="9"/>
  <c r="H28" i="9"/>
  <c r="E29" i="9"/>
  <c r="G29" i="9"/>
  <c r="H29" i="9"/>
  <c r="E30" i="9"/>
  <c r="G30" i="9"/>
  <c r="H30" i="9"/>
  <c r="E31" i="9"/>
  <c r="G31" i="9"/>
  <c r="H31" i="9"/>
  <c r="E32" i="9"/>
  <c r="G32" i="9"/>
  <c r="H32" i="9"/>
  <c r="E33" i="9"/>
  <c r="G33" i="9"/>
  <c r="H33" i="9"/>
  <c r="E34" i="9"/>
  <c r="G34" i="9"/>
  <c r="H34" i="9"/>
  <c r="E35" i="9"/>
  <c r="G35" i="9"/>
  <c r="H35" i="9"/>
  <c r="E36" i="9"/>
  <c r="G36" i="9"/>
  <c r="H36" i="9"/>
  <c r="E37" i="9"/>
  <c r="G37" i="9"/>
  <c r="H37" i="9"/>
  <c r="E38" i="9"/>
  <c r="G38" i="9"/>
  <c r="H38" i="9"/>
  <c r="E39" i="9"/>
  <c r="G39" i="9"/>
  <c r="H39" i="9"/>
  <c r="E3" i="8"/>
  <c r="G3" i="8"/>
  <c r="H3" i="8"/>
  <c r="E4" i="8"/>
  <c r="G4" i="8"/>
  <c r="H4" i="8"/>
  <c r="E5" i="8"/>
  <c r="G5" i="8"/>
  <c r="H5" i="8"/>
  <c r="E6" i="8"/>
  <c r="G6" i="8"/>
  <c r="H6" i="8"/>
  <c r="E7" i="8"/>
  <c r="G7" i="8"/>
  <c r="H7" i="8"/>
  <c r="E8" i="8"/>
  <c r="G8" i="8"/>
  <c r="H8" i="8"/>
  <c r="E9" i="8"/>
  <c r="G9" i="8"/>
  <c r="H9" i="8"/>
  <c r="E10" i="8"/>
  <c r="G10" i="8"/>
  <c r="H10" i="8"/>
  <c r="E11" i="8"/>
  <c r="G11" i="8"/>
  <c r="H11" i="8"/>
  <c r="E12" i="8"/>
  <c r="G12" i="8"/>
  <c r="H12" i="8"/>
  <c r="E13" i="8"/>
  <c r="G13" i="8"/>
  <c r="H13" i="8"/>
  <c r="E14" i="8"/>
  <c r="G14" i="8"/>
  <c r="H14" i="8"/>
  <c r="E15" i="8"/>
  <c r="G15" i="8"/>
  <c r="H15" i="8"/>
  <c r="E16" i="8"/>
  <c r="G16" i="8"/>
  <c r="H16" i="8"/>
  <c r="E17" i="8"/>
  <c r="G17" i="8"/>
  <c r="H17" i="8"/>
  <c r="E18" i="8"/>
  <c r="G18" i="8"/>
  <c r="H18" i="8"/>
  <c r="E19" i="8"/>
  <c r="G19" i="8"/>
  <c r="H19" i="8"/>
  <c r="E20" i="8"/>
  <c r="G20" i="8"/>
  <c r="H20" i="8"/>
  <c r="E21" i="8"/>
  <c r="G21" i="8"/>
  <c r="H21" i="8"/>
  <c r="E22" i="8"/>
  <c r="G22" i="8"/>
  <c r="H22" i="8"/>
  <c r="E23" i="8"/>
  <c r="G23" i="8"/>
  <c r="H23" i="8"/>
  <c r="E24" i="8"/>
  <c r="G24" i="8"/>
  <c r="H24" i="8"/>
  <c r="E25" i="8"/>
  <c r="G25" i="8"/>
  <c r="H25" i="8"/>
  <c r="E26" i="8"/>
  <c r="G26" i="8"/>
  <c r="H26" i="8"/>
  <c r="E27" i="8"/>
  <c r="G27" i="8"/>
  <c r="H27" i="8"/>
  <c r="E28" i="8"/>
  <c r="G28" i="8"/>
  <c r="H28" i="8"/>
  <c r="E29" i="8"/>
  <c r="G29" i="8"/>
  <c r="H29" i="8"/>
  <c r="E30" i="8"/>
  <c r="G30" i="8"/>
  <c r="H30" i="8"/>
  <c r="E31" i="8"/>
  <c r="G31" i="8"/>
  <c r="H31" i="8"/>
  <c r="E32" i="8"/>
  <c r="G32" i="8"/>
  <c r="H32" i="8"/>
  <c r="E33" i="8"/>
  <c r="G33" i="8"/>
  <c r="H33" i="8"/>
  <c r="E34" i="8"/>
  <c r="G34" i="8"/>
  <c r="H34" i="8"/>
  <c r="E35" i="8"/>
  <c r="G35" i="8"/>
  <c r="H35" i="8"/>
  <c r="E36" i="8"/>
  <c r="G36" i="8"/>
  <c r="H36" i="8"/>
  <c r="E37" i="8"/>
  <c r="G37" i="8"/>
  <c r="H37" i="8"/>
  <c r="E38" i="8"/>
  <c r="G38" i="8"/>
  <c r="H38" i="8"/>
  <c r="E39" i="8"/>
  <c r="G39" i="8"/>
  <c r="H39" i="8"/>
  <c r="E3" i="7"/>
  <c r="G3" i="7"/>
  <c r="H3" i="7"/>
  <c r="E4" i="7"/>
  <c r="G4" i="7"/>
  <c r="H4" i="7"/>
  <c r="E5" i="7"/>
  <c r="G5" i="7"/>
  <c r="H5" i="7"/>
  <c r="E6" i="7"/>
  <c r="G6" i="7"/>
  <c r="H6" i="7"/>
  <c r="E7" i="7"/>
  <c r="G7" i="7"/>
  <c r="H7" i="7"/>
  <c r="E8" i="7"/>
  <c r="G8" i="7"/>
  <c r="H8" i="7"/>
  <c r="E9" i="7"/>
  <c r="G9" i="7"/>
  <c r="H9" i="7"/>
  <c r="E10" i="7"/>
  <c r="G10" i="7"/>
  <c r="H10" i="7"/>
  <c r="E11" i="7"/>
  <c r="G11" i="7"/>
  <c r="H11" i="7"/>
  <c r="E12" i="7"/>
  <c r="G12" i="7"/>
  <c r="H12" i="7"/>
  <c r="E13" i="7"/>
  <c r="G13" i="7"/>
  <c r="H13" i="7"/>
  <c r="E14" i="7"/>
  <c r="G14" i="7"/>
  <c r="H14" i="7"/>
  <c r="E15" i="7"/>
  <c r="G15" i="7"/>
  <c r="H15" i="7"/>
  <c r="E16" i="7"/>
  <c r="G16" i="7"/>
  <c r="H16" i="7"/>
  <c r="E17" i="7"/>
  <c r="G17" i="7"/>
  <c r="H17" i="7"/>
  <c r="E18" i="7"/>
  <c r="G18" i="7"/>
  <c r="H18" i="7"/>
  <c r="E19" i="7"/>
  <c r="G19" i="7"/>
  <c r="H19" i="7"/>
  <c r="E20" i="7"/>
  <c r="G20" i="7"/>
  <c r="H20" i="7"/>
  <c r="E21" i="7"/>
  <c r="G21" i="7"/>
  <c r="H21" i="7"/>
  <c r="E22" i="7"/>
  <c r="G22" i="7"/>
  <c r="H22" i="7"/>
  <c r="E23" i="7"/>
  <c r="G23" i="7"/>
  <c r="H23" i="7"/>
  <c r="E24" i="7"/>
  <c r="G24" i="7"/>
  <c r="H24" i="7"/>
  <c r="E25" i="7"/>
  <c r="G25" i="7"/>
  <c r="H25" i="7"/>
  <c r="E26" i="7"/>
  <c r="G26" i="7"/>
  <c r="H26" i="7"/>
  <c r="E27" i="7"/>
  <c r="G27" i="7"/>
  <c r="H27" i="7"/>
  <c r="E28" i="7"/>
  <c r="G28" i="7"/>
  <c r="H28" i="7"/>
  <c r="E29" i="7"/>
  <c r="G29" i="7"/>
  <c r="H29" i="7"/>
  <c r="E30" i="7"/>
  <c r="G30" i="7"/>
  <c r="H30" i="7"/>
  <c r="E31" i="7"/>
  <c r="G31" i="7"/>
  <c r="H31" i="7"/>
  <c r="E32" i="7"/>
  <c r="G32" i="7"/>
  <c r="H32" i="7"/>
  <c r="E33" i="7"/>
  <c r="G33" i="7"/>
  <c r="H33" i="7"/>
  <c r="E34" i="7"/>
  <c r="G34" i="7"/>
  <c r="H34" i="7"/>
  <c r="E35" i="7"/>
  <c r="G35" i="7"/>
  <c r="H35" i="7"/>
  <c r="E36" i="7"/>
  <c r="G36" i="7"/>
  <c r="H36" i="7"/>
  <c r="E37" i="7"/>
  <c r="G37" i="7"/>
  <c r="H37" i="7"/>
  <c r="E38" i="7"/>
  <c r="G38" i="7"/>
  <c r="H38" i="7"/>
  <c r="E39" i="7"/>
  <c r="G39" i="7"/>
  <c r="H39" i="7"/>
  <c r="I3" i="7"/>
  <c r="G11" i="13"/>
  <c r="X11" i="13"/>
  <c r="Z7" i="12" l="1"/>
  <c r="Z8" i="12"/>
  <c r="O8" i="12"/>
  <c r="Z6" i="12"/>
  <c r="O7" i="12"/>
  <c r="O6" i="12"/>
  <c r="C123" i="56" l="1"/>
  <c r="C4" i="58" l="1" a="1"/>
  <c r="C4" i="56" l="1" a="1"/>
  <c r="C123" i="58"/>
  <c r="F18" i="4" l="1"/>
  <c r="A12" i="35"/>
  <c r="I21" i="11"/>
  <c r="B35" i="34"/>
  <c r="I19" i="9"/>
  <c r="Q73" i="33"/>
  <c r="F145" i="4"/>
  <c r="I27" i="11"/>
  <c r="Q102" i="33"/>
  <c r="F13" i="4"/>
  <c r="D71" i="34"/>
  <c r="F47" i="4"/>
  <c r="Q174" i="33"/>
  <c r="F6" i="4"/>
  <c r="G16" i="34"/>
  <c r="J5" i="10"/>
  <c r="I23" i="9"/>
  <c r="J22" i="11"/>
  <c r="I29" i="8"/>
  <c r="I10" i="7"/>
  <c r="X2" i="18"/>
  <c r="J26" i="9"/>
  <c r="I23" i="8"/>
  <c r="F186" i="4"/>
  <c r="Q93" i="33"/>
  <c r="I33" i="9"/>
  <c r="C13" i="34"/>
  <c r="I3" i="8"/>
  <c r="Q488" i="33"/>
  <c r="F9" i="4"/>
  <c r="C63" i="34"/>
  <c r="D8" i="32"/>
  <c r="I35" i="9"/>
  <c r="I36" i="9"/>
  <c r="J32" i="11"/>
  <c r="F169" i="4"/>
  <c r="J12" i="7"/>
  <c r="O4" i="12"/>
  <c r="J21" i="9"/>
  <c r="I16" i="9"/>
  <c r="Q289" i="33"/>
  <c r="F240" i="4"/>
  <c r="Q367" i="33"/>
  <c r="F6" i="12"/>
  <c r="Q361" i="33"/>
  <c r="F46" i="24"/>
  <c r="I15" i="9"/>
  <c r="G9" i="24"/>
  <c r="I3" i="10"/>
  <c r="G39" i="24"/>
  <c r="F180" i="4"/>
  <c r="I20" i="24"/>
  <c r="F255" i="4"/>
  <c r="AD44" i="24"/>
  <c r="I46" i="24"/>
  <c r="Q15" i="33"/>
  <c r="AD9" i="24"/>
  <c r="C15" i="34"/>
  <c r="N2" i="35"/>
  <c r="F82" i="4"/>
  <c r="Q358" i="33"/>
  <c r="F273" i="4"/>
  <c r="I27" i="8"/>
  <c r="I29" i="9"/>
  <c r="I17" i="9"/>
  <c r="F36" i="24"/>
  <c r="G38" i="24"/>
  <c r="D115" i="34"/>
  <c r="Q507" i="33"/>
  <c r="Q45" i="33"/>
  <c r="H6" i="37"/>
  <c r="B86" i="34"/>
  <c r="Q409" i="33"/>
  <c r="Q43" i="33"/>
  <c r="Q143" i="33"/>
  <c r="I45" i="24"/>
  <c r="AM3" i="42"/>
  <c r="J27" i="10"/>
  <c r="J7" i="9"/>
  <c r="AD33" i="24"/>
  <c r="I36" i="24"/>
  <c r="Q8" i="33"/>
  <c r="Q375" i="33"/>
  <c r="Q70" i="33"/>
  <c r="Q418" i="33"/>
  <c r="Q354" i="33"/>
  <c r="G107" i="34"/>
  <c r="Q262" i="33"/>
  <c r="R60" i="38"/>
  <c r="J12" i="35"/>
  <c r="R36" i="39"/>
  <c r="D83" i="34"/>
  <c r="CE5" i="34"/>
  <c r="Q415" i="33"/>
  <c r="D63" i="34"/>
  <c r="B63" i="34"/>
  <c r="J27" i="24"/>
  <c r="I35" i="7"/>
  <c r="J24" i="8"/>
  <c r="F200" i="4"/>
  <c r="F100" i="4"/>
  <c r="AF202" i="42"/>
  <c r="I37" i="10"/>
  <c r="S117" i="38"/>
  <c r="F46" i="4"/>
  <c r="AF50" i="43"/>
  <c r="J7" i="10"/>
  <c r="Q135" i="33"/>
  <c r="W3" i="14"/>
  <c r="F162" i="4"/>
  <c r="I11" i="10"/>
  <c r="F220" i="4"/>
  <c r="AB3" i="22"/>
  <c r="N3" i="12"/>
  <c r="J10" i="8"/>
  <c r="F5" i="12"/>
  <c r="J37" i="8"/>
  <c r="D93" i="34"/>
  <c r="I27" i="9"/>
  <c r="F245" i="4"/>
  <c r="I21" i="10"/>
  <c r="F142" i="4"/>
  <c r="I19" i="10"/>
  <c r="F44" i="4"/>
  <c r="I39" i="9"/>
  <c r="F256" i="4"/>
  <c r="G129" i="34"/>
  <c r="F34" i="4"/>
  <c r="Q179" i="33"/>
  <c r="I28" i="10"/>
  <c r="B42" i="34"/>
  <c r="F211" i="4"/>
  <c r="Q254" i="33"/>
  <c r="I23" i="10"/>
  <c r="F278" i="4"/>
  <c r="I12" i="8"/>
  <c r="J17" i="7"/>
  <c r="J18" i="9"/>
  <c r="J16" i="7"/>
  <c r="F137" i="4"/>
  <c r="AA5" i="12"/>
  <c r="I38" i="7"/>
  <c r="J32" i="24"/>
  <c r="J6" i="8"/>
  <c r="Q125" i="33"/>
  <c r="J29" i="9"/>
  <c r="J21" i="24"/>
  <c r="AD36" i="24"/>
  <c r="Q397" i="33"/>
  <c r="I34" i="8"/>
  <c r="AD12" i="24"/>
  <c r="F72" i="4"/>
  <c r="I15" i="24"/>
  <c r="F259" i="4"/>
  <c r="G8" i="24"/>
  <c r="F277" i="4"/>
  <c r="AD30" i="24"/>
  <c r="F227" i="4"/>
  <c r="G112" i="34"/>
  <c r="G6" i="12"/>
  <c r="J46" i="24"/>
  <c r="I34" i="24"/>
  <c r="F20" i="35"/>
  <c r="Q278" i="33"/>
  <c r="F252" i="4"/>
  <c r="AD24" i="24"/>
  <c r="F68" i="4"/>
  <c r="F24" i="24"/>
  <c r="J18" i="7"/>
  <c r="F32" i="35"/>
  <c r="U6" i="12"/>
  <c r="F2" i="35"/>
  <c r="F37" i="24"/>
  <c r="Q25" i="33"/>
  <c r="J15" i="35"/>
  <c r="J35" i="8"/>
  <c r="Q461" i="33"/>
  <c r="J16" i="8"/>
  <c r="C127" i="34"/>
  <c r="F132" i="4"/>
  <c r="F41" i="4"/>
  <c r="F191" i="4"/>
  <c r="F91" i="4"/>
  <c r="J38" i="24"/>
  <c r="Q333" i="33"/>
  <c r="A11" i="35"/>
  <c r="Q302" i="33"/>
  <c r="Q453" i="33"/>
  <c r="J14" i="35"/>
  <c r="J15" i="24"/>
  <c r="G12" i="34"/>
  <c r="J30" i="35"/>
  <c r="R167" i="37"/>
  <c r="Q396" i="33"/>
  <c r="D28" i="34"/>
  <c r="F17" i="24"/>
  <c r="I26" i="24"/>
  <c r="I8" i="24"/>
  <c r="AD21" i="24"/>
  <c r="Q454" i="33"/>
  <c r="Q280" i="33"/>
  <c r="F271" i="4"/>
  <c r="G115" i="34"/>
  <c r="Q252" i="33"/>
  <c r="R174" i="38"/>
  <c r="Q276" i="33"/>
  <c r="I33" i="7"/>
  <c r="D69" i="34"/>
  <c r="Q350" i="33"/>
  <c r="C121" i="34"/>
  <c r="J31" i="8"/>
  <c r="I32" i="7"/>
  <c r="J3" i="9"/>
  <c r="I21" i="9"/>
  <c r="F223" i="4"/>
  <c r="J11" i="9"/>
  <c r="I12" i="7"/>
  <c r="J23" i="10"/>
  <c r="J10" i="11"/>
  <c r="G98" i="34"/>
  <c r="J21" i="11"/>
  <c r="Q293" i="33"/>
  <c r="Y3" i="23"/>
  <c r="G39" i="34"/>
  <c r="F201" i="4"/>
  <c r="Q49" i="33"/>
  <c r="J13" i="9"/>
  <c r="F80" i="4"/>
  <c r="J5" i="7"/>
  <c r="F112" i="4"/>
  <c r="J11" i="7"/>
  <c r="N4" i="10"/>
  <c r="I16" i="24"/>
  <c r="B109" i="34"/>
  <c r="G22" i="24"/>
  <c r="R216" i="37"/>
  <c r="I43" i="24"/>
  <c r="J7" i="8"/>
  <c r="F95" i="4"/>
  <c r="J13" i="10"/>
  <c r="J20" i="9"/>
  <c r="F154" i="4"/>
  <c r="F90" i="4"/>
  <c r="J38" i="10"/>
  <c r="F244" i="4"/>
  <c r="F156" i="4"/>
  <c r="J16" i="35"/>
  <c r="AB3" i="21"/>
  <c r="D112" i="34"/>
  <c r="N4" i="11"/>
  <c r="Q253" i="33"/>
  <c r="J8" i="7"/>
  <c r="G90" i="34"/>
  <c r="J38" i="7"/>
  <c r="J6" i="7"/>
  <c r="I14" i="9"/>
  <c r="G5" i="24"/>
  <c r="I33" i="10"/>
  <c r="I28" i="24"/>
  <c r="F102" i="4"/>
  <c r="G13" i="24"/>
  <c r="F79" i="4"/>
  <c r="Q96" i="33"/>
  <c r="I34" i="11"/>
  <c r="D11" i="34"/>
  <c r="F14" i="24"/>
  <c r="Q240" i="33"/>
  <c r="Q498" i="33"/>
  <c r="D44" i="34"/>
  <c r="I36" i="7"/>
  <c r="I37" i="24"/>
  <c r="I31" i="7"/>
  <c r="F7" i="24"/>
  <c r="J28" i="10"/>
  <c r="F43" i="24"/>
  <c r="F45" i="4"/>
  <c r="G35" i="24"/>
  <c r="J27" i="7"/>
  <c r="Q162" i="33"/>
  <c r="AD19" i="24"/>
  <c r="Q112" i="33"/>
  <c r="Q20" i="33"/>
  <c r="F251" i="4"/>
  <c r="Q427" i="33"/>
  <c r="I4" i="9"/>
  <c r="Q86" i="33"/>
  <c r="M6" i="32"/>
  <c r="D7" i="34"/>
  <c r="I10" i="11"/>
  <c r="Q469" i="33"/>
  <c r="F188" i="4"/>
  <c r="B127" i="34"/>
  <c r="C66" i="34"/>
  <c r="F111" i="4"/>
  <c r="Q140" i="33"/>
  <c r="J30" i="10"/>
  <c r="D77" i="34"/>
  <c r="F94" i="4"/>
  <c r="Q412" i="33"/>
  <c r="I26" i="10"/>
  <c r="I39" i="10"/>
  <c r="I36" i="8"/>
  <c r="F128" i="4"/>
  <c r="Q337" i="33"/>
  <c r="Q463" i="33"/>
  <c r="Q346" i="33"/>
  <c r="Q474" i="33"/>
  <c r="G82" i="34"/>
  <c r="R197" i="39"/>
  <c r="M6" i="33"/>
  <c r="Q378" i="33"/>
  <c r="D17" i="34"/>
  <c r="Q80" i="33"/>
  <c r="Q476" i="33"/>
  <c r="AF89" i="43"/>
  <c r="Q173" i="33"/>
  <c r="Q213" i="33"/>
  <c r="C78" i="34"/>
  <c r="Q327" i="33"/>
  <c r="I18" i="7"/>
  <c r="I12" i="9"/>
  <c r="J13" i="8"/>
  <c r="X2" i="27"/>
  <c r="R143" i="37"/>
  <c r="F26" i="4"/>
  <c r="AG234" i="42"/>
  <c r="J14" i="8"/>
  <c r="E4" i="38"/>
  <c r="I32" i="10"/>
  <c r="G61" i="34"/>
  <c r="F28" i="4"/>
  <c r="F229" i="4"/>
  <c r="J25" i="7"/>
  <c r="B2" i="6"/>
  <c r="F77" i="4"/>
  <c r="I28" i="9"/>
  <c r="I33" i="24"/>
  <c r="I9" i="24"/>
  <c r="I42" i="24"/>
  <c r="AF17" i="43"/>
  <c r="G45" i="24"/>
  <c r="R29" i="38"/>
  <c r="F10" i="24"/>
  <c r="AF130" i="43"/>
  <c r="F113" i="4"/>
  <c r="G55" i="34"/>
  <c r="F247" i="4"/>
  <c r="N5" i="12" a="1"/>
  <c r="D3" i="4"/>
  <c r="F164" i="4"/>
  <c r="F230" i="4"/>
  <c r="Q377" i="33"/>
  <c r="I31" i="10"/>
  <c r="Q150" i="33"/>
  <c r="F226" i="4"/>
  <c r="Q429" i="33"/>
  <c r="AA2" i="25"/>
  <c r="D88" i="34"/>
  <c r="Q364" i="33"/>
  <c r="I13" i="7"/>
  <c r="Q386" i="33"/>
  <c r="F260" i="4"/>
  <c r="C37" i="34"/>
  <c r="J14" i="11"/>
  <c r="G22" i="34"/>
  <c r="F234" i="4"/>
  <c r="F261" i="4"/>
  <c r="J4" i="10"/>
  <c r="J13" i="7"/>
  <c r="F107" i="4"/>
  <c r="I28" i="11"/>
  <c r="I25" i="10"/>
  <c r="F243" i="4"/>
  <c r="F185" i="4"/>
  <c r="C92" i="34"/>
  <c r="F125" i="4"/>
  <c r="Q110" i="33"/>
  <c r="F73" i="4"/>
  <c r="C85" i="34"/>
  <c r="I17" i="11"/>
  <c r="Q316" i="33"/>
  <c r="J20" i="7"/>
  <c r="D2" i="5"/>
  <c r="F87" i="4"/>
  <c r="F12" i="4"/>
  <c r="F238" i="4"/>
  <c r="J12" i="10"/>
  <c r="F268" i="4"/>
  <c r="J32" i="8"/>
  <c r="I10" i="10"/>
  <c r="Q335" i="33"/>
  <c r="F192" i="4"/>
  <c r="C44" i="34"/>
  <c r="F150" i="4"/>
  <c r="Q352" i="33"/>
  <c r="F210" i="4"/>
  <c r="I30" i="11"/>
  <c r="AD7" i="24"/>
  <c r="I6" i="11"/>
  <c r="G31" i="24"/>
  <c r="J25" i="9"/>
  <c r="I27" i="24"/>
  <c r="I16" i="11"/>
  <c r="G16" i="24"/>
  <c r="J36" i="8"/>
  <c r="Q119" i="33"/>
  <c r="J35" i="7"/>
  <c r="Q297" i="33"/>
  <c r="F21" i="24"/>
  <c r="Q407" i="33"/>
  <c r="D12" i="34"/>
  <c r="I37" i="9"/>
  <c r="I37" i="8"/>
  <c r="F165" i="4"/>
  <c r="F183" i="4"/>
  <c r="F182" i="4"/>
  <c r="J27" i="8"/>
  <c r="I30" i="24"/>
  <c r="AD13" i="24"/>
  <c r="J7" i="7"/>
  <c r="S2" i="34"/>
  <c r="H5" i="38"/>
  <c r="G29" i="24"/>
  <c r="R93" i="38"/>
  <c r="F178" i="4"/>
  <c r="C5" i="34"/>
  <c r="Z2" i="26"/>
  <c r="F195" i="4"/>
  <c r="F129" i="4"/>
  <c r="I13" i="9"/>
  <c r="Q266" i="33"/>
  <c r="Q320" i="33"/>
  <c r="Q195" i="33"/>
  <c r="Q323" i="33"/>
  <c r="I7" i="25"/>
  <c r="Q210" i="33"/>
  <c r="Q387" i="33"/>
  <c r="Q502" i="33"/>
  <c r="AA2" i="12"/>
  <c r="C57" i="34"/>
  <c r="D18" i="34"/>
  <c r="R37" i="38"/>
  <c r="I29" i="24"/>
  <c r="G40" i="24"/>
  <c r="F35" i="24"/>
  <c r="AD28" i="24"/>
  <c r="J24" i="35"/>
  <c r="B65" i="34"/>
  <c r="F88" i="4"/>
  <c r="Q274" i="33"/>
  <c r="D22" i="34"/>
  <c r="I30" i="7"/>
  <c r="Q36" i="33"/>
  <c r="F215" i="4"/>
  <c r="D116" i="34"/>
  <c r="D36" i="34"/>
  <c r="B112" i="34"/>
  <c r="AF27" i="42"/>
  <c r="C39" i="34"/>
  <c r="F225" i="4"/>
  <c r="J35" i="11"/>
  <c r="I31" i="11"/>
  <c r="J22" i="10"/>
  <c r="J20" i="8"/>
  <c r="F62" i="4"/>
  <c r="I15" i="10"/>
  <c r="R136" i="37"/>
  <c r="F152" i="4"/>
  <c r="AF243" i="42"/>
  <c r="I9" i="11"/>
  <c r="Q490" i="33"/>
  <c r="I30" i="8"/>
  <c r="R148" i="38"/>
  <c r="J3" i="8"/>
  <c r="U7" i="12"/>
  <c r="F30" i="4"/>
  <c r="J33" i="8"/>
  <c r="I25" i="8"/>
  <c r="J23" i="11"/>
  <c r="I14" i="11"/>
  <c r="J38" i="11"/>
  <c r="I19" i="7"/>
  <c r="J12" i="8"/>
  <c r="G28" i="24"/>
  <c r="I9" i="9"/>
  <c r="F135" i="4"/>
  <c r="I13" i="8"/>
  <c r="J37" i="10"/>
  <c r="AA8" i="12"/>
  <c r="G11" i="24"/>
  <c r="A10" i="35"/>
  <c r="J26" i="35"/>
  <c r="F213" i="4"/>
  <c r="F233" i="4"/>
  <c r="J6" i="9"/>
  <c r="F96" i="4"/>
  <c r="AD27" i="24"/>
  <c r="D31" i="34"/>
  <c r="Q268" i="33"/>
  <c r="B89" i="34"/>
  <c r="G106" i="34"/>
  <c r="I21" i="7"/>
  <c r="F64" i="4"/>
  <c r="I5" i="9"/>
  <c r="I13" i="10"/>
  <c r="I20" i="10"/>
  <c r="I3" i="6"/>
  <c r="F83" i="4"/>
  <c r="J29" i="8"/>
  <c r="Q67" i="33"/>
  <c r="Q139" i="33"/>
  <c r="J36" i="35"/>
  <c r="Q482" i="33"/>
  <c r="C51" i="34"/>
  <c r="Q479" i="33"/>
  <c r="F84" i="4"/>
  <c r="F171" i="4"/>
  <c r="J27" i="11"/>
  <c r="J14" i="10"/>
  <c r="Q431" i="33"/>
  <c r="Q493" i="33"/>
  <c r="B39" i="34"/>
  <c r="R45" i="39"/>
  <c r="J21" i="7"/>
  <c r="I15" i="8"/>
  <c r="G18" i="24"/>
  <c r="D92" i="34"/>
  <c r="Q355" i="33"/>
  <c r="D20" i="34"/>
  <c r="B55" i="34"/>
  <c r="S250" i="37"/>
  <c r="J37" i="7"/>
  <c r="I27" i="10"/>
  <c r="Q480" i="33"/>
  <c r="D51" i="34"/>
  <c r="Q294" i="33"/>
  <c r="AF41" i="43"/>
  <c r="C111" i="34"/>
  <c r="Q27" i="33"/>
  <c r="J21" i="35"/>
  <c r="C24" i="34"/>
  <c r="Q113" i="33"/>
  <c r="I19" i="11"/>
  <c r="AD32" i="24"/>
  <c r="I3" i="11"/>
  <c r="F123" i="4"/>
  <c r="I35" i="8"/>
  <c r="F158" i="4"/>
  <c r="F199" i="4"/>
  <c r="Q128" i="33"/>
  <c r="G12" i="37"/>
  <c r="X2" i="28"/>
  <c r="Q129" i="33"/>
  <c r="F239" i="4"/>
  <c r="Q182" i="33"/>
  <c r="I35" i="10"/>
  <c r="Q496" i="33"/>
  <c r="F67" i="4"/>
  <c r="F166" i="4"/>
  <c r="I32" i="24"/>
  <c r="D10" i="34"/>
  <c r="D29" i="34"/>
  <c r="Q372" i="33"/>
  <c r="D110" i="34"/>
  <c r="C62" i="34"/>
  <c r="J31" i="10"/>
  <c r="Q40" i="33"/>
  <c r="F167" i="4"/>
  <c r="G9" i="38"/>
  <c r="AB3" i="15"/>
  <c r="R44" i="39"/>
  <c r="J38" i="8"/>
  <c r="R172" i="39"/>
  <c r="J14" i="7"/>
  <c r="J23" i="9"/>
  <c r="F38" i="4"/>
  <c r="F257" i="4"/>
  <c r="J14" i="9"/>
  <c r="J18" i="11"/>
  <c r="F44" i="24"/>
  <c r="F155" i="4"/>
  <c r="C61" i="34"/>
  <c r="R85" i="39"/>
  <c r="F216" i="4"/>
  <c r="D90" i="34"/>
  <c r="X2" i="13"/>
  <c r="C128" i="34"/>
  <c r="J25" i="11"/>
  <c r="C26" i="34"/>
  <c r="F131" i="4"/>
  <c r="B47" i="34"/>
  <c r="I11" i="7"/>
  <c r="F69" i="4"/>
  <c r="J9" i="9"/>
  <c r="I24" i="10"/>
  <c r="AB3" i="27"/>
  <c r="F106" i="4"/>
  <c r="R169" i="37"/>
  <c r="Q416" i="33"/>
  <c r="B92" i="34"/>
  <c r="AF114" i="42"/>
  <c r="H14" i="39"/>
  <c r="R112" i="37"/>
  <c r="F17" i="4"/>
  <c r="J9" i="7"/>
  <c r="F74" i="4"/>
  <c r="I9" i="10"/>
  <c r="I37" i="7"/>
  <c r="F21" i="4"/>
  <c r="AD25" i="24"/>
  <c r="Q57" i="33"/>
  <c r="I24" i="7"/>
  <c r="X2" i="15"/>
  <c r="F75" i="4"/>
  <c r="F266" i="4"/>
  <c r="G25" i="24"/>
  <c r="AH3" i="24"/>
  <c r="Q230" i="33"/>
  <c r="C129" i="34"/>
  <c r="F196" i="4"/>
  <c r="F241" i="4"/>
  <c r="F31" i="4"/>
  <c r="I29" i="7"/>
  <c r="D114" i="34"/>
  <c r="Q166" i="33"/>
  <c r="B26" i="34"/>
  <c r="F267" i="4"/>
  <c r="J21" i="8"/>
  <c r="F23" i="4"/>
  <c r="J25" i="10"/>
  <c r="N4" i="9"/>
  <c r="F219" i="4"/>
  <c r="J30" i="7"/>
  <c r="J8" i="10"/>
  <c r="G21" i="24"/>
  <c r="G37" i="24"/>
  <c r="J4" i="35"/>
  <c r="F10" i="4"/>
  <c r="Q442" i="33"/>
  <c r="D26" i="34"/>
  <c r="B83" i="34"/>
  <c r="Q149" i="33"/>
  <c r="J10" i="7"/>
  <c r="F32" i="4"/>
  <c r="J39" i="10"/>
  <c r="F5" i="24"/>
  <c r="R223" i="37"/>
  <c r="AF81" i="43"/>
  <c r="J14" i="38"/>
  <c r="B58" i="34"/>
  <c r="F58" i="4"/>
  <c r="F279" i="4"/>
  <c r="Q432" i="33"/>
  <c r="D78" i="34"/>
  <c r="AS2" i="34"/>
  <c r="R103" i="37"/>
  <c r="AF16" i="44"/>
  <c r="C70" i="34"/>
  <c r="F33" i="4"/>
  <c r="F66" i="4"/>
  <c r="B22" i="34"/>
  <c r="D14" i="34"/>
  <c r="Q284" i="33"/>
  <c r="J8" i="9"/>
  <c r="AF66" i="43"/>
  <c r="Q152" i="33"/>
  <c r="AF203" i="42"/>
  <c r="K12" i="33"/>
  <c r="B52" i="34"/>
  <c r="G10" i="24"/>
  <c r="AD10" i="24"/>
  <c r="Q450" i="33"/>
  <c r="Q514" i="33"/>
  <c r="Q422" i="33"/>
  <c r="D103" i="34"/>
  <c r="I9" i="36"/>
  <c r="I19" i="8"/>
  <c r="B10" i="34"/>
  <c r="I5" i="10"/>
  <c r="R68" i="38"/>
  <c r="F16" i="4"/>
  <c r="E10" i="37"/>
  <c r="I7" i="7"/>
  <c r="AF58" i="42"/>
  <c r="F140" i="4"/>
  <c r="J20" i="10"/>
  <c r="Q311" i="33"/>
  <c r="C98" i="34"/>
  <c r="Q373" i="33"/>
  <c r="B11" i="34"/>
  <c r="Q105" i="33"/>
  <c r="Q410" i="33"/>
  <c r="G30" i="24"/>
  <c r="AF34" i="43"/>
  <c r="D6" i="35"/>
  <c r="D40" i="34"/>
  <c r="B33" i="34"/>
  <c r="B125" i="34"/>
  <c r="B62" i="34"/>
  <c r="B38" i="34"/>
  <c r="F198" i="4"/>
  <c r="I20" i="8"/>
  <c r="J5" i="35"/>
  <c r="Q513" i="33"/>
  <c r="F25" i="35"/>
  <c r="D4" i="35"/>
  <c r="J17" i="24"/>
  <c r="F26" i="35"/>
  <c r="J30" i="11"/>
  <c r="C95" i="34"/>
  <c r="J39" i="11"/>
  <c r="AF113" i="43"/>
  <c r="AD42" i="24"/>
  <c r="R125" i="38"/>
  <c r="I13" i="24"/>
  <c r="R253" i="38"/>
  <c r="F197" i="4"/>
  <c r="I8" i="10"/>
  <c r="I20" i="7"/>
  <c r="F15" i="24"/>
  <c r="AD23" i="24"/>
  <c r="AD40" i="24"/>
  <c r="G32" i="24"/>
  <c r="F97" i="4"/>
  <c r="F161" i="4"/>
  <c r="K7" i="33"/>
  <c r="B2" i="5"/>
  <c r="I17" i="7"/>
  <c r="I36" i="10"/>
  <c r="F190" i="4"/>
  <c r="AB3" i="20"/>
  <c r="N4" i="7"/>
  <c r="I39" i="24"/>
  <c r="U3" i="33"/>
  <c r="Q66" i="33"/>
  <c r="I33" i="11"/>
  <c r="I15" i="11"/>
  <c r="U8" i="12"/>
  <c r="F48" i="4"/>
  <c r="D72" i="34"/>
  <c r="Q235" i="33"/>
  <c r="C104" i="34"/>
  <c r="Q371" i="33"/>
  <c r="I31" i="8"/>
  <c r="I9" i="8"/>
  <c r="F218" i="4"/>
  <c r="I24" i="9"/>
  <c r="Q205" i="33"/>
  <c r="G75" i="34"/>
  <c r="Q349" i="33"/>
  <c r="J3" i="11"/>
  <c r="F115" i="4"/>
  <c r="J12" i="11"/>
  <c r="F248" i="4"/>
  <c r="W3" i="29"/>
  <c r="J19" i="9"/>
  <c r="I6" i="7"/>
  <c r="J19" i="7"/>
  <c r="J22" i="35"/>
  <c r="D95" i="34"/>
  <c r="J23" i="8"/>
  <c r="J35" i="10"/>
  <c r="AY2" i="34"/>
  <c r="R207" i="37"/>
  <c r="R13" i="38"/>
  <c r="C20" i="34"/>
  <c r="F134" i="4"/>
  <c r="I5" i="8"/>
  <c r="AD22" i="24"/>
  <c r="J18" i="35"/>
  <c r="Q241" i="33"/>
  <c r="CE4" i="34"/>
  <c r="C23" i="34"/>
  <c r="R125" i="39"/>
  <c r="F232" i="4"/>
  <c r="J6" i="11"/>
  <c r="Q53" i="33"/>
  <c r="Q497" i="33"/>
  <c r="Q334" i="33"/>
  <c r="D86" i="34"/>
  <c r="B50" i="34"/>
  <c r="H4" i="38"/>
  <c r="G23" i="24"/>
  <c r="F29" i="24"/>
  <c r="Q359" i="33"/>
  <c r="J15" i="7"/>
  <c r="D43" i="34"/>
  <c r="F39" i="4"/>
  <c r="D99" i="34"/>
  <c r="Q292" i="33"/>
  <c r="B117" i="34"/>
  <c r="Q425" i="33"/>
  <c r="S81" i="37"/>
  <c r="I24" i="11"/>
  <c r="Q46" i="33"/>
  <c r="Q60" i="33"/>
  <c r="Q188" i="33"/>
  <c r="D82" i="34"/>
  <c r="D7" i="35"/>
  <c r="C40" i="34"/>
  <c r="F22" i="24"/>
  <c r="R248" i="37"/>
  <c r="F19" i="35"/>
  <c r="AF28" i="42"/>
  <c r="Q48" i="33"/>
  <c r="M3" i="33"/>
  <c r="G79" i="34"/>
  <c r="D27" i="34"/>
  <c r="AD15" i="24"/>
  <c r="Q283" i="33"/>
  <c r="Q421" i="33"/>
  <c r="F265" i="4"/>
  <c r="G7" i="34"/>
  <c r="B102" i="34"/>
  <c r="R20" i="38"/>
  <c r="Q19" i="33"/>
  <c r="Q64" i="33"/>
  <c r="G5" i="45"/>
  <c r="D128" i="34"/>
  <c r="R25" i="38"/>
  <c r="J40" i="24"/>
  <c r="H15" i="38"/>
  <c r="Q169" i="33"/>
  <c r="S249" i="37"/>
  <c r="AB3" i="17"/>
  <c r="F217" i="4"/>
  <c r="Q440" i="33"/>
  <c r="C84" i="34"/>
  <c r="C65" i="34"/>
  <c r="G54" i="34"/>
  <c r="M7" i="32"/>
  <c r="Q190" i="33"/>
  <c r="Q91" i="33"/>
  <c r="M7" i="41"/>
  <c r="Q228" i="33"/>
  <c r="D25" i="34"/>
  <c r="Q209" i="33"/>
  <c r="D30" i="34"/>
  <c r="Q202" i="33"/>
  <c r="B74" i="34"/>
  <c r="J10" i="9"/>
  <c r="J31" i="11"/>
  <c r="Q171" i="33"/>
  <c r="Q243" i="33"/>
  <c r="Q307" i="33"/>
  <c r="C21" i="34"/>
  <c r="B16" i="34"/>
  <c r="B46" i="34"/>
  <c r="J6" i="10"/>
  <c r="R4" i="38"/>
  <c r="F40" i="24"/>
  <c r="J7" i="38"/>
  <c r="I17" i="24"/>
  <c r="I12" i="24"/>
  <c r="AD5" i="24"/>
  <c r="AD20" i="24"/>
  <c r="AD41" i="24"/>
  <c r="K9" i="33"/>
  <c r="J4" i="7"/>
  <c r="F55" i="4"/>
  <c r="I26" i="9"/>
  <c r="Q471" i="33"/>
  <c r="B73" i="34"/>
  <c r="J35" i="35"/>
  <c r="F208" i="4"/>
  <c r="F263" i="4"/>
  <c r="I32" i="11"/>
  <c r="F159" i="4"/>
  <c r="F258" i="4"/>
  <c r="J29" i="11"/>
  <c r="J24" i="9"/>
  <c r="F114" i="4"/>
  <c r="I7" i="8"/>
  <c r="B3" i="5"/>
  <c r="I14" i="8"/>
  <c r="I38" i="10"/>
  <c r="I35" i="11"/>
  <c r="J17" i="9"/>
  <c r="J15" i="10"/>
  <c r="G5" i="12"/>
  <c r="Q218" i="33"/>
  <c r="Q224" i="33"/>
  <c r="Q290" i="33"/>
  <c r="I10" i="8"/>
  <c r="J17" i="10"/>
  <c r="X2" i="17"/>
  <c r="F204" i="4"/>
  <c r="F193" i="4"/>
  <c r="I22" i="11"/>
  <c r="J33" i="9"/>
  <c r="I33" i="8"/>
  <c r="AB3" i="16"/>
  <c r="J20" i="11"/>
  <c r="Q329" i="33"/>
  <c r="Q465" i="33"/>
  <c r="J14" i="24"/>
  <c r="Q74" i="33"/>
  <c r="I6" i="25"/>
  <c r="D76" i="34"/>
  <c r="AA7" i="12"/>
  <c r="AD39" i="24"/>
  <c r="Q510" i="33"/>
  <c r="D9" i="35"/>
  <c r="Q134" i="33"/>
  <c r="Q508" i="33"/>
  <c r="B96" i="34"/>
  <c r="G53" i="34"/>
  <c r="F8" i="24"/>
  <c r="Q434" i="33"/>
  <c r="Q248" i="33"/>
  <c r="Q448" i="33"/>
  <c r="D58" i="34"/>
  <c r="Q87" i="33"/>
  <c r="Q168" i="33"/>
  <c r="F86" i="4"/>
  <c r="R17" i="37"/>
  <c r="Q144" i="33"/>
  <c r="Q389" i="33"/>
  <c r="I32" i="9"/>
  <c r="J30" i="8"/>
  <c r="J19" i="8"/>
  <c r="Q398" i="33"/>
  <c r="J15" i="11"/>
  <c r="F130" i="4"/>
  <c r="Q183" i="33"/>
  <c r="AF50" i="42"/>
  <c r="R231" i="37"/>
  <c r="S260" i="37"/>
  <c r="B41" i="34"/>
  <c r="G117" i="34"/>
  <c r="G80" i="34"/>
  <c r="C52" i="34"/>
  <c r="B85" i="34"/>
  <c r="J31" i="7"/>
  <c r="J26" i="10"/>
  <c r="F78" i="4"/>
  <c r="I25" i="7"/>
  <c r="F104" i="4"/>
  <c r="J3" i="10"/>
  <c r="J9" i="11"/>
  <c r="F35" i="4"/>
  <c r="B75" i="34"/>
  <c r="R181" i="38"/>
  <c r="F119" i="4"/>
  <c r="Q18" i="33"/>
  <c r="J15" i="8"/>
  <c r="Q464" i="33"/>
  <c r="F235" i="4"/>
  <c r="B80" i="34"/>
  <c r="I6" i="8"/>
  <c r="Q370" i="33"/>
  <c r="Q485" i="33"/>
  <c r="J18" i="10"/>
  <c r="M5" i="33"/>
  <c r="F187" i="4"/>
  <c r="J5" i="11"/>
  <c r="D6" i="34"/>
  <c r="R245" i="38"/>
  <c r="AF10" i="43"/>
  <c r="Q82" i="33"/>
  <c r="Q68" i="33"/>
  <c r="AF258" i="42"/>
  <c r="BE2" i="34"/>
  <c r="AF235" i="42"/>
  <c r="R188" i="38"/>
  <c r="R181" i="39"/>
  <c r="AD16" i="24"/>
  <c r="I31" i="24"/>
  <c r="B82" i="34"/>
  <c r="Q198" i="33"/>
  <c r="R247" i="37"/>
  <c r="AF105" i="43"/>
  <c r="I20" i="38"/>
  <c r="D124" i="34"/>
  <c r="Q477" i="33"/>
  <c r="S46" i="38"/>
  <c r="H20" i="38"/>
  <c r="R65" i="33"/>
  <c r="F81" i="4"/>
  <c r="F157" i="4"/>
  <c r="F26" i="24"/>
  <c r="Q299" i="33"/>
  <c r="F179" i="4"/>
  <c r="F127" i="4"/>
  <c r="Q16" i="33"/>
  <c r="Q156" i="33"/>
  <c r="F53" i="4"/>
  <c r="F110" i="4"/>
  <c r="G103" i="34"/>
  <c r="F22" i="35"/>
  <c r="I23" i="11"/>
  <c r="F14" i="4"/>
  <c r="J35" i="9"/>
  <c r="I18" i="24"/>
  <c r="F274" i="4"/>
  <c r="F108" i="4"/>
  <c r="D70" i="34"/>
  <c r="E11" i="37"/>
  <c r="F136" i="4"/>
  <c r="D38" i="34"/>
  <c r="U2" i="34"/>
  <c r="Q481" i="33"/>
  <c r="I22" i="24"/>
  <c r="Q267" i="33"/>
  <c r="J8" i="38"/>
  <c r="B72" i="34"/>
  <c r="Q411" i="33"/>
  <c r="G71" i="34"/>
  <c r="Q63" i="33"/>
  <c r="C19" i="34"/>
  <c r="Q467" i="33"/>
  <c r="F168" i="4"/>
  <c r="F264" i="4"/>
  <c r="M10" i="33"/>
  <c r="J20" i="24"/>
  <c r="R52" i="38"/>
  <c r="AF51" i="43"/>
  <c r="R89" i="38"/>
  <c r="R217" i="38"/>
  <c r="I3" i="5"/>
  <c r="J5" i="9"/>
  <c r="Q261" i="33"/>
  <c r="D50" i="34"/>
  <c r="R10" i="37"/>
  <c r="Q22" i="33"/>
  <c r="B15" i="34"/>
  <c r="B94" i="34"/>
  <c r="Q214" i="33"/>
  <c r="F202" i="4"/>
  <c r="G32" i="34"/>
  <c r="C38" i="34"/>
  <c r="R117" i="39"/>
  <c r="E16" i="38"/>
  <c r="AF118" i="43"/>
  <c r="R113" i="39"/>
  <c r="I38" i="24"/>
  <c r="Q141" i="33"/>
  <c r="D41" i="34"/>
  <c r="D35" i="34"/>
  <c r="G10" i="37"/>
  <c r="G127" i="34"/>
  <c r="R173" i="39"/>
  <c r="AG246" i="42"/>
  <c r="J29" i="42"/>
  <c r="J17" i="8"/>
  <c r="F143" i="4"/>
  <c r="F40" i="4"/>
  <c r="I24" i="24"/>
  <c r="G29" i="34"/>
  <c r="F109" i="4"/>
  <c r="F59" i="4"/>
  <c r="F29" i="4"/>
  <c r="AF11" i="43"/>
  <c r="R44" i="37"/>
  <c r="F203" i="4"/>
  <c r="R191" i="38"/>
  <c r="I41" i="24"/>
  <c r="D5" i="42"/>
  <c r="Q313" i="33"/>
  <c r="Q443" i="33"/>
  <c r="F212" i="4"/>
  <c r="J24" i="10"/>
  <c r="I23" i="24"/>
  <c r="Q159" i="33"/>
  <c r="X2" i="16"/>
  <c r="J26" i="8"/>
  <c r="I39" i="7"/>
  <c r="J34" i="11"/>
  <c r="D4" i="41"/>
  <c r="AF143" i="42"/>
  <c r="F103" i="4"/>
  <c r="R71" i="39"/>
  <c r="D13" i="34"/>
  <c r="Q413" i="33"/>
  <c r="Q258" i="33"/>
  <c r="D13" i="35" a="1"/>
  <c r="J13" i="11"/>
  <c r="F16" i="24"/>
  <c r="R152" i="33"/>
  <c r="J6" i="35"/>
  <c r="G26" i="34"/>
  <c r="Q339" i="33"/>
  <c r="K15" i="33"/>
  <c r="M11" i="33"/>
  <c r="R72" i="37"/>
  <c r="AF21" i="44"/>
  <c r="R31" i="37"/>
  <c r="S245" i="37"/>
  <c r="Q56" i="33"/>
  <c r="R6" i="33"/>
  <c r="C25" i="34"/>
  <c r="H7" i="44"/>
  <c r="F237" i="4"/>
  <c r="Q393" i="33"/>
  <c r="C56" i="34"/>
  <c r="AM2" i="34"/>
  <c r="Q288" i="33"/>
  <c r="J21" i="10"/>
  <c r="J16" i="10"/>
  <c r="G38" i="34"/>
  <c r="Q39" i="33"/>
  <c r="AD8" i="24"/>
  <c r="G12" i="24"/>
  <c r="Q233" i="33"/>
  <c r="F20" i="4"/>
  <c r="I25" i="24"/>
  <c r="J25" i="35"/>
  <c r="G72" i="34"/>
  <c r="I20" i="11"/>
  <c r="J8" i="8"/>
  <c r="I34" i="10"/>
  <c r="B32" i="34"/>
  <c r="J16" i="24"/>
  <c r="AD43" i="24"/>
  <c r="D7" i="32"/>
  <c r="B99" i="34"/>
  <c r="I38" i="8"/>
  <c r="I29" i="10"/>
  <c r="J34" i="8"/>
  <c r="F147" i="4"/>
  <c r="F236" i="4"/>
  <c r="G24" i="24"/>
  <c r="AE3" i="12"/>
  <c r="Q191" i="33"/>
  <c r="J4" i="9"/>
  <c r="F38" i="24"/>
  <c r="C41" i="34"/>
  <c r="D94" i="34"/>
  <c r="Q103" i="33"/>
  <c r="N3" i="36"/>
  <c r="F39" i="24"/>
  <c r="I25" i="9"/>
  <c r="G63" i="34"/>
  <c r="Q163" i="33"/>
  <c r="AF45" i="44"/>
  <c r="S69" i="37"/>
  <c r="Q466" i="33"/>
  <c r="Q142" i="33"/>
  <c r="F254" i="4"/>
  <c r="J5" i="24"/>
  <c r="Q455" i="33"/>
  <c r="Q338" i="33"/>
  <c r="J15" i="38"/>
  <c r="R126" i="39"/>
  <c r="R36" i="37"/>
  <c r="R164" i="37"/>
  <c r="F51" i="4"/>
  <c r="G20" i="24"/>
  <c r="C46" i="34"/>
  <c r="D42" i="34"/>
  <c r="R151" i="39"/>
  <c r="Q180" i="33"/>
  <c r="G67" i="34"/>
  <c r="B70" i="34"/>
  <c r="J12" i="24"/>
  <c r="F173" i="4"/>
  <c r="R200" i="37"/>
  <c r="G62" i="34"/>
  <c r="AF252" i="42"/>
  <c r="R220" i="38"/>
  <c r="R253" i="39"/>
  <c r="D36" i="41"/>
  <c r="R224" i="37"/>
  <c r="AB3" i="13"/>
  <c r="G13" i="34"/>
  <c r="C67" i="34"/>
  <c r="Q326" i="33"/>
  <c r="Q344" i="33"/>
  <c r="Q145" i="33"/>
  <c r="Q430" i="33"/>
  <c r="M4" i="33"/>
  <c r="Q38" i="33"/>
  <c r="J2" i="35"/>
  <c r="Q97" i="33"/>
  <c r="D7" i="41"/>
  <c r="B57" i="34"/>
  <c r="AF91" i="43"/>
  <c r="G64" i="34"/>
  <c r="Z3" i="40"/>
  <c r="I44" i="24"/>
  <c r="B64" i="34"/>
  <c r="D55" i="34"/>
  <c r="Q123" i="33"/>
  <c r="Q319" i="33"/>
  <c r="Q148" i="33"/>
  <c r="Q229" i="33"/>
  <c r="J6" i="24"/>
  <c r="G92" i="34"/>
  <c r="C89" i="34"/>
  <c r="M8" i="33"/>
  <c r="R229" i="39"/>
  <c r="Q222" i="33"/>
  <c r="R65" i="38"/>
  <c r="Q472" i="33"/>
  <c r="R124" i="37"/>
  <c r="G17" i="24"/>
  <c r="Q10" i="33"/>
  <c r="R240" i="37"/>
  <c r="R41" i="37"/>
  <c r="Q360" i="33"/>
  <c r="R5" i="39"/>
  <c r="J10" i="35"/>
  <c r="Q475" i="33"/>
  <c r="AF34" i="42"/>
  <c r="S115" i="37"/>
  <c r="C10" i="34"/>
  <c r="Q164" i="33"/>
  <c r="Q83" i="33"/>
  <c r="R5" i="38"/>
  <c r="F23" i="35"/>
  <c r="AF123" i="42"/>
  <c r="Q219" i="33"/>
  <c r="F228" i="4"/>
  <c r="I26" i="8"/>
  <c r="F24" i="4"/>
  <c r="Q59" i="33"/>
  <c r="AK2" i="34"/>
  <c r="AF178" i="42"/>
  <c r="R100" i="39"/>
  <c r="G18" i="34"/>
  <c r="I4" i="36"/>
  <c r="S51" i="37"/>
  <c r="R12" i="38"/>
  <c r="J15" i="9"/>
  <c r="I40" i="24"/>
  <c r="Q239" i="33"/>
  <c r="Q383" i="33"/>
  <c r="AD34" i="24"/>
  <c r="AD6" i="24"/>
  <c r="Q491" i="33"/>
  <c r="J22" i="9"/>
  <c r="Q155" i="33"/>
  <c r="Q511" i="33"/>
  <c r="F172" i="4"/>
  <c r="F50" i="4"/>
  <c r="I16" i="8"/>
  <c r="I22" i="7"/>
  <c r="Q221" i="33"/>
  <c r="D66" i="34"/>
  <c r="G34" i="24"/>
  <c r="C75" i="34"/>
  <c r="J37" i="9"/>
  <c r="F76" i="4"/>
  <c r="F85" i="4"/>
  <c r="J28" i="9"/>
  <c r="F27" i="24"/>
  <c r="F60" i="4"/>
  <c r="Q322" i="33"/>
  <c r="I5" i="36"/>
  <c r="D10" i="35"/>
  <c r="F207" i="4"/>
  <c r="Q304" i="33"/>
  <c r="D46" i="34"/>
  <c r="G81" i="34"/>
  <c r="Q505" i="33"/>
  <c r="R228" i="38"/>
  <c r="F120" i="4"/>
  <c r="Q116" i="33"/>
  <c r="Q85" i="33"/>
  <c r="R145" i="37"/>
  <c r="G69" i="34"/>
  <c r="I7" i="37"/>
  <c r="R190" i="39"/>
  <c r="G7" i="45"/>
  <c r="F70" i="4"/>
  <c r="C109" i="34"/>
  <c r="G37" i="34"/>
  <c r="Q227" i="33"/>
  <c r="S103" i="37"/>
  <c r="R160" i="38"/>
  <c r="R184" i="39"/>
  <c r="D21" i="41"/>
  <c r="F262" i="4"/>
  <c r="Q81" i="33"/>
  <c r="B24" i="34"/>
  <c r="Q462" i="33"/>
  <c r="R168" i="37"/>
  <c r="R233" i="38"/>
  <c r="AF71" i="42"/>
  <c r="AF199" i="42"/>
  <c r="F276" i="4"/>
  <c r="AD11" i="24"/>
  <c r="E20" i="38"/>
  <c r="B8" i="34"/>
  <c r="AF52" i="44"/>
  <c r="M17" i="41"/>
  <c r="R165" i="38"/>
  <c r="AF148" i="42"/>
  <c r="J10" i="37"/>
  <c r="AE3" i="25"/>
  <c r="F57" i="4"/>
  <c r="B81" i="34"/>
  <c r="R12" i="39"/>
  <c r="Q445" i="33"/>
  <c r="AF10" i="42"/>
  <c r="R8" i="37"/>
  <c r="H12" i="38"/>
  <c r="Q69" i="33"/>
  <c r="R188" i="37"/>
  <c r="Q189" i="33"/>
  <c r="R90" i="37"/>
  <c r="AF131" i="42"/>
  <c r="D7" i="44"/>
  <c r="R86" i="38"/>
  <c r="R203" i="37"/>
  <c r="J34" i="10"/>
  <c r="I6" i="24"/>
  <c r="AF259" i="42"/>
  <c r="AF60" i="42"/>
  <c r="C118" i="34"/>
  <c r="R109" i="39"/>
  <c r="J20" i="35"/>
  <c r="Q348" i="33"/>
  <c r="BA2" i="34"/>
  <c r="AF223" i="42"/>
  <c r="C106" i="34"/>
  <c r="R231" i="39"/>
  <c r="F28" i="35"/>
  <c r="AF118" i="42"/>
  <c r="A6" i="35"/>
  <c r="AF44" i="44"/>
  <c r="I5" i="11"/>
  <c r="J18" i="24"/>
  <c r="K8" i="33"/>
  <c r="I5" i="24"/>
  <c r="Q271" i="33"/>
  <c r="B27" i="34"/>
  <c r="C122" i="34"/>
  <c r="Q328" i="33"/>
  <c r="G84" i="34"/>
  <c r="R102" i="38"/>
  <c r="R236" i="39"/>
  <c r="R196" i="37"/>
  <c r="Q147" i="33"/>
  <c r="R106" i="37"/>
  <c r="D23" i="34"/>
  <c r="H3" i="45"/>
  <c r="J32" i="9"/>
  <c r="D109" i="34"/>
  <c r="Q165" i="33"/>
  <c r="Q363" i="33"/>
  <c r="G25" i="34"/>
  <c r="R61" i="38"/>
  <c r="F21" i="38"/>
  <c r="AF35" i="42"/>
  <c r="R196" i="38"/>
  <c r="E11" i="39"/>
  <c r="AG159" i="42"/>
  <c r="AF29" i="44"/>
  <c r="AF97" i="43"/>
  <c r="F25" i="24"/>
  <c r="G46" i="24"/>
  <c r="Q17" i="33"/>
  <c r="J9" i="8"/>
  <c r="Q108" i="33"/>
  <c r="Q52" i="33"/>
  <c r="F149" i="4"/>
  <c r="F8" i="4"/>
  <c r="Q13" i="33"/>
  <c r="I37" i="11"/>
  <c r="I8" i="9"/>
  <c r="I11" i="8"/>
  <c r="F56" i="4"/>
  <c r="Q192" i="33"/>
  <c r="Q117" i="33"/>
  <c r="Q400" i="33"/>
  <c r="F176" i="4"/>
  <c r="J30" i="9"/>
  <c r="J39" i="7"/>
  <c r="J3" i="7"/>
  <c r="J36" i="24"/>
  <c r="Q137" i="33"/>
  <c r="G7" i="24"/>
  <c r="F37" i="4"/>
  <c r="Q126" i="33"/>
  <c r="Q444" i="33"/>
  <c r="D117" i="34"/>
  <c r="AD35" i="24"/>
  <c r="D60" i="34"/>
  <c r="AF98" i="42"/>
  <c r="I26" i="11"/>
  <c r="F7" i="12"/>
  <c r="F22" i="4"/>
  <c r="D19" i="34"/>
  <c r="D15" i="34"/>
  <c r="B60" i="34"/>
  <c r="R157" i="38"/>
  <c r="J29" i="35"/>
  <c r="G121" i="34"/>
  <c r="C100" i="34"/>
  <c r="Q441" i="33"/>
  <c r="J19" i="10"/>
  <c r="F144" i="4"/>
  <c r="D127" i="34"/>
  <c r="D3" i="41"/>
  <c r="C76" i="34"/>
  <c r="D39" i="34"/>
  <c r="D129" i="34"/>
  <c r="J16" i="9"/>
  <c r="Q131" i="33"/>
  <c r="B111" i="34"/>
  <c r="H19" i="36"/>
  <c r="R81" i="37"/>
  <c r="C16" i="34"/>
  <c r="C77" i="34"/>
  <c r="U3" i="34"/>
  <c r="AB3" i="28"/>
  <c r="Q277" i="33"/>
  <c r="R39" i="37"/>
  <c r="R160" i="37"/>
  <c r="C53" i="34"/>
  <c r="R24" i="37"/>
  <c r="G93" i="34"/>
  <c r="AF234" i="42"/>
  <c r="I9" i="25"/>
  <c r="R180" i="39"/>
  <c r="J29" i="10"/>
  <c r="D105" i="34"/>
  <c r="G122" i="34"/>
  <c r="Q24" i="33"/>
  <c r="AG13" i="42"/>
  <c r="S121" i="37"/>
  <c r="K15" i="44"/>
  <c r="AF222" i="42"/>
  <c r="R67" i="37"/>
  <c r="S142" i="37"/>
  <c r="Q157" i="33"/>
  <c r="D39" i="41"/>
  <c r="R121" i="37"/>
  <c r="AF47" i="44"/>
  <c r="AF75" i="43"/>
  <c r="S101" i="37"/>
  <c r="G27" i="24"/>
  <c r="Q489" i="33"/>
  <c r="F6" i="38"/>
  <c r="C114" i="34"/>
  <c r="R32" i="38"/>
  <c r="S242" i="38"/>
  <c r="Q315" i="33"/>
  <c r="S37" i="37"/>
  <c r="Q13" i="45" a="1"/>
  <c r="S113" i="38"/>
  <c r="C27" i="34"/>
  <c r="S241" i="37"/>
  <c r="R134" i="39"/>
  <c r="E25" i="42"/>
  <c r="R241" i="38"/>
  <c r="F41" i="24"/>
  <c r="C33" i="34"/>
  <c r="C50" i="34"/>
  <c r="Q109" i="33"/>
  <c r="Q408" i="33"/>
  <c r="C123" i="34"/>
  <c r="F27" i="35"/>
  <c r="F18" i="35"/>
  <c r="Q494" i="33"/>
  <c r="U4" i="33"/>
  <c r="M12" i="33"/>
  <c r="R33" i="37"/>
  <c r="C108" i="34"/>
  <c r="F10" i="38"/>
  <c r="Q456" i="33"/>
  <c r="AF159" i="42"/>
  <c r="J41" i="24"/>
  <c r="Q177" i="33"/>
  <c r="B115" i="34"/>
  <c r="AF65" i="43"/>
  <c r="Q154" i="33"/>
  <c r="Q331" i="33"/>
  <c r="D84" i="34"/>
  <c r="Q244" i="33"/>
  <c r="Q111" i="33"/>
  <c r="R53" i="39"/>
  <c r="Q54" i="33"/>
  <c r="D10" i="46"/>
  <c r="AF51" i="42"/>
  <c r="M39" i="41"/>
  <c r="K13" i="33"/>
  <c r="R95" i="38"/>
  <c r="I38" i="11"/>
  <c r="Q31" i="33"/>
  <c r="Q312" i="33"/>
  <c r="R132" i="38"/>
  <c r="C107" i="34"/>
  <c r="AF99" i="42"/>
  <c r="AD38" i="24"/>
  <c r="J26" i="24"/>
  <c r="Q306" i="33"/>
  <c r="J17" i="11"/>
  <c r="D33" i="34"/>
  <c r="J24" i="7"/>
  <c r="F65" i="4"/>
  <c r="J44" i="24"/>
  <c r="B44" i="34"/>
  <c r="I8" i="7"/>
  <c r="AD37" i="24"/>
  <c r="Q486" i="33"/>
  <c r="Q115" i="33"/>
  <c r="G119" i="34"/>
  <c r="B29" i="34"/>
  <c r="B51" i="34"/>
  <c r="J37" i="24"/>
  <c r="D34" i="34"/>
  <c r="AF74" i="43"/>
  <c r="Q3" i="40"/>
  <c r="F3" i="38"/>
  <c r="Q343" i="33"/>
  <c r="R164" i="39"/>
  <c r="B9" i="34"/>
  <c r="AF48" i="44"/>
  <c r="G87" i="34"/>
  <c r="J8" i="35"/>
  <c r="R56" i="39"/>
  <c r="AG5" i="44"/>
  <c r="D3" i="35"/>
  <c r="D123" i="34"/>
  <c r="B105" i="34"/>
  <c r="J4" i="8"/>
  <c r="F163" i="4"/>
  <c r="Q484" i="33"/>
  <c r="Q170" i="33"/>
  <c r="F10" i="37"/>
  <c r="M5" i="12" a="1"/>
  <c r="Q281" i="33"/>
  <c r="S22" i="38"/>
  <c r="AF219" i="42"/>
  <c r="F13" i="24"/>
  <c r="D11" i="41"/>
  <c r="Q6" i="33"/>
  <c r="R69" i="39"/>
  <c r="G6" i="34"/>
  <c r="C60" i="34"/>
  <c r="R46" i="38"/>
  <c r="J28" i="24"/>
  <c r="F42" i="24"/>
  <c r="G36" i="34"/>
  <c r="B37" i="34"/>
  <c r="R185" i="37"/>
  <c r="F7" i="38"/>
  <c r="AF55" i="42"/>
  <c r="Q89" i="33"/>
  <c r="Q175" i="33"/>
  <c r="Q236" i="33"/>
  <c r="M3" i="34"/>
  <c r="R230" i="38"/>
  <c r="F23" i="24"/>
  <c r="G6" i="45"/>
  <c r="R103" i="39"/>
  <c r="R70" i="39"/>
  <c r="C102" i="34"/>
  <c r="AF9" i="43"/>
  <c r="Q193" i="33"/>
  <c r="F15" i="4"/>
  <c r="R150" i="38"/>
  <c r="Q423" i="33"/>
  <c r="F275" i="4"/>
  <c r="R223" i="38"/>
  <c r="AF231" i="42"/>
  <c r="R247" i="39"/>
  <c r="S13" i="37"/>
  <c r="R234" i="37"/>
  <c r="AF132" i="43"/>
  <c r="R33" i="39"/>
  <c r="L15" i="44"/>
  <c r="AF5" i="42"/>
  <c r="S255" i="38"/>
  <c r="R4" i="37"/>
  <c r="N17" i="38"/>
  <c r="AF78" i="42"/>
  <c r="S240" i="38"/>
  <c r="R8" i="39"/>
  <c r="Q9" i="40"/>
  <c r="S161" i="37"/>
  <c r="R109" i="33"/>
  <c r="AF56" i="43"/>
  <c r="S13" i="40" a="1"/>
  <c r="S148" i="37"/>
  <c r="M25" i="41"/>
  <c r="AG25" i="43"/>
  <c r="S5" i="38"/>
  <c r="F8" i="39"/>
  <c r="S246" i="37"/>
  <c r="K7" i="42"/>
  <c r="I6" i="10"/>
  <c r="R96" i="37"/>
  <c r="R62" i="39"/>
  <c r="AF197" i="42"/>
  <c r="R100" i="37"/>
  <c r="S225" i="37"/>
  <c r="Q303" i="33"/>
  <c r="D61" i="34"/>
  <c r="R35" i="37"/>
  <c r="R200" i="38"/>
  <c r="R155" i="37"/>
  <c r="AM4" i="44"/>
  <c r="J19" i="39"/>
  <c r="AG177" i="42"/>
  <c r="R170" i="37"/>
  <c r="R26" i="39"/>
  <c r="D89" i="34"/>
  <c r="AC25" i="45"/>
  <c r="S59" i="38"/>
  <c r="AG39" i="42"/>
  <c r="G11" i="34"/>
  <c r="S19" i="38"/>
  <c r="AF33" i="42"/>
  <c r="AG108" i="43"/>
  <c r="N12" i="37"/>
  <c r="S218" i="37"/>
  <c r="AG152" i="42"/>
  <c r="R268" i="33"/>
  <c r="R123" i="39"/>
  <c r="R106" i="39"/>
  <c r="AG86" i="42"/>
  <c r="S224" i="39"/>
  <c r="Q401" i="33"/>
  <c r="M8" i="32"/>
  <c r="R209" i="37"/>
  <c r="Q286" i="33"/>
  <c r="R96" i="39"/>
  <c r="S95" i="38"/>
  <c r="Q428" i="33"/>
  <c r="Q247" i="33"/>
  <c r="Q487" i="33"/>
  <c r="S167" i="37"/>
  <c r="AF126" i="42"/>
  <c r="AF86" i="43"/>
  <c r="Q384" i="33"/>
  <c r="R251" i="37"/>
  <c r="S226" i="37"/>
  <c r="R129" i="37"/>
  <c r="R242" i="38"/>
  <c r="G3" i="44"/>
  <c r="S243" i="38"/>
  <c r="S104" i="37"/>
  <c r="AF93" i="43"/>
  <c r="R211" i="39"/>
  <c r="R512" i="33"/>
  <c r="I21" i="39"/>
  <c r="S86" i="37"/>
  <c r="AG255" i="42"/>
  <c r="G18" i="38"/>
  <c r="AG114" i="42"/>
  <c r="J21" i="42"/>
  <c r="S98" i="38"/>
  <c r="AF87" i="43"/>
  <c r="AG224" i="42"/>
  <c r="D57" i="34"/>
  <c r="Q499" i="33"/>
  <c r="R73" i="37"/>
  <c r="R110" i="39"/>
  <c r="H4" i="37"/>
  <c r="E20" i="39"/>
  <c r="G47" i="34"/>
  <c r="D108" i="34"/>
  <c r="R82" i="38"/>
  <c r="R259" i="33"/>
  <c r="S200" i="37"/>
  <c r="G11" i="38"/>
  <c r="J31" i="24"/>
  <c r="S108" i="37"/>
  <c r="R120" i="39"/>
  <c r="S133" i="38"/>
  <c r="R200" i="39"/>
  <c r="G4" i="42"/>
  <c r="S71" i="37"/>
  <c r="AG76" i="42"/>
  <c r="AF65" i="42"/>
  <c r="AF123" i="43"/>
  <c r="AG140" i="42"/>
  <c r="G14" i="24"/>
  <c r="R42" i="33"/>
  <c r="AF201" i="42"/>
  <c r="AG171" i="42"/>
  <c r="J9" i="35"/>
  <c r="AG62" i="44"/>
  <c r="R424" i="33"/>
  <c r="R450" i="33"/>
  <c r="Q32" i="33"/>
  <c r="Q238" i="33"/>
  <c r="I3" i="4"/>
  <c r="S180" i="37"/>
  <c r="S236" i="37"/>
  <c r="S195" i="37"/>
  <c r="AF49" i="42"/>
  <c r="R50" i="39"/>
  <c r="D5" i="41"/>
  <c r="E24" i="42"/>
  <c r="AG4" i="42"/>
  <c r="G40" i="34"/>
  <c r="I30" i="9"/>
  <c r="AG87" i="42"/>
  <c r="AD17" i="24"/>
  <c r="R11" i="39"/>
  <c r="J19" i="11"/>
  <c r="R115" i="37"/>
  <c r="R60" i="33"/>
  <c r="AB295" i="49"/>
  <c r="R51" i="37"/>
  <c r="AF169" i="42"/>
  <c r="S42" i="39"/>
  <c r="AG53" i="44"/>
  <c r="F3" i="37"/>
  <c r="S22" i="39"/>
  <c r="S128" i="38"/>
  <c r="Q187" i="33"/>
  <c r="J9" i="38"/>
  <c r="S85" i="39"/>
  <c r="T337" i="49"/>
  <c r="J9" i="24"/>
  <c r="M20" i="41"/>
  <c r="R256" i="38"/>
  <c r="R201" i="37"/>
  <c r="R334" i="33"/>
  <c r="R152" i="39"/>
  <c r="U3" i="40"/>
  <c r="R85" i="37"/>
  <c r="AG258" i="42"/>
  <c r="R115" i="39"/>
  <c r="R218" i="33"/>
  <c r="AG63" i="42"/>
  <c r="R344" i="33"/>
  <c r="R342" i="33"/>
  <c r="R101" i="39"/>
  <c r="AG106" i="42"/>
  <c r="J17" i="39"/>
  <c r="R330" i="33"/>
  <c r="AG203" i="42"/>
  <c r="F209" i="4"/>
  <c r="Q114" i="33"/>
  <c r="J38" i="9"/>
  <c r="C6" i="34"/>
  <c r="J31" i="9"/>
  <c r="Q28" i="33"/>
  <c r="F118" i="4"/>
  <c r="J33" i="7"/>
  <c r="F124" i="4"/>
  <c r="B124" i="34"/>
  <c r="G120" i="34"/>
  <c r="AF226" i="42"/>
  <c r="Q495" i="33"/>
  <c r="R117" i="38"/>
  <c r="Q353" i="33"/>
  <c r="R349" i="33"/>
  <c r="I17" i="10"/>
  <c r="G31" i="34"/>
  <c r="K10" i="33"/>
  <c r="C49" i="34"/>
  <c r="J28" i="11"/>
  <c r="Q296" i="33"/>
  <c r="B91" i="34"/>
  <c r="G45" i="34"/>
  <c r="I10" i="24"/>
  <c r="D122" i="34"/>
  <c r="G48" i="34"/>
  <c r="Q395" i="33"/>
  <c r="AA6" i="12"/>
  <c r="Q269" i="33"/>
  <c r="Q107" i="33"/>
  <c r="R129" i="39"/>
  <c r="AD45" i="24"/>
  <c r="F89" i="4"/>
  <c r="J36" i="7"/>
  <c r="R238" i="38"/>
  <c r="D53" i="34"/>
  <c r="Q473" i="33"/>
  <c r="G70" i="34"/>
  <c r="AF163" i="42"/>
  <c r="AF25" i="44"/>
  <c r="J9" i="10"/>
  <c r="G26" i="24"/>
  <c r="Q419" i="33"/>
  <c r="C31" i="34"/>
  <c r="Q84" i="33"/>
  <c r="R63" i="37"/>
  <c r="R54" i="38"/>
  <c r="F20" i="38"/>
  <c r="F174" i="4"/>
  <c r="R214" i="38"/>
  <c r="F34" i="35"/>
  <c r="R449" i="33"/>
  <c r="C80" i="34"/>
  <c r="R228" i="37"/>
  <c r="S155" i="37"/>
  <c r="AF198" i="42"/>
  <c r="J27" i="9"/>
  <c r="Q452" i="33"/>
  <c r="R13" i="40" a="1"/>
  <c r="R88" i="37"/>
  <c r="C81" i="34"/>
  <c r="R219" i="37"/>
  <c r="Q300" i="33"/>
  <c r="R7" i="37"/>
  <c r="S185" i="38"/>
  <c r="S262" i="38"/>
  <c r="J28" i="8"/>
  <c r="D18" i="41"/>
  <c r="I4" i="11"/>
  <c r="G51" i="34"/>
  <c r="AF172" i="42"/>
  <c r="S207" i="37"/>
  <c r="R128" i="39"/>
  <c r="S15" i="37"/>
  <c r="AG43" i="42"/>
  <c r="H11" i="39"/>
  <c r="M23" i="41"/>
  <c r="AF176" i="42"/>
  <c r="AG166" i="42"/>
  <c r="H13" i="39"/>
  <c r="R41" i="39"/>
  <c r="AF8" i="43"/>
  <c r="S234" i="37"/>
  <c r="C55" i="34"/>
  <c r="H3" i="42"/>
  <c r="J32" i="10"/>
  <c r="AG67" i="43"/>
  <c r="S75" i="37"/>
  <c r="AG32" i="43"/>
  <c r="R204" i="39"/>
  <c r="AF59" i="44"/>
  <c r="S81" i="38"/>
  <c r="AG33" i="44"/>
  <c r="R172" i="38"/>
  <c r="R216" i="39"/>
  <c r="AF24" i="43"/>
  <c r="S3" i="44" a="1"/>
  <c r="M1" i="33"/>
  <c r="J34" i="24"/>
  <c r="F19" i="24"/>
  <c r="Q287" i="33"/>
  <c r="S62" i="37"/>
  <c r="B108" i="34"/>
  <c r="R149" i="38"/>
  <c r="AF18" i="43"/>
  <c r="R239" i="37"/>
  <c r="K30" i="42"/>
  <c r="G34" i="34"/>
  <c r="R11" i="37"/>
  <c r="AF130" i="42"/>
  <c r="S54" i="37"/>
  <c r="K6" i="33"/>
  <c r="S72" i="37"/>
  <c r="M4" i="40"/>
  <c r="R121" i="38"/>
  <c r="J12" i="39"/>
  <c r="R226" i="33"/>
  <c r="Q264" i="33"/>
  <c r="R91" i="39"/>
  <c r="AG185" i="42"/>
  <c r="S128" i="39"/>
  <c r="S126" i="37"/>
  <c r="R139" i="38"/>
  <c r="S187" i="38"/>
  <c r="J13" i="38"/>
  <c r="Q232" i="33"/>
  <c r="AF225" i="42"/>
  <c r="Y13" i="43" a="1"/>
  <c r="F5" i="39"/>
  <c r="D75" i="34"/>
  <c r="Q458" i="33"/>
  <c r="R284" i="33"/>
  <c r="R177" i="37"/>
  <c r="AF167" i="42"/>
  <c r="R119" i="39"/>
  <c r="AF6" i="42"/>
  <c r="R248" i="39"/>
  <c r="AF134" i="42"/>
  <c r="R149" i="37"/>
  <c r="J22" i="39"/>
  <c r="AF94" i="42"/>
  <c r="AF125" i="43"/>
  <c r="R163" i="39"/>
  <c r="AF133" i="42"/>
  <c r="S140" i="38"/>
  <c r="R94" i="37"/>
  <c r="I7" i="39"/>
  <c r="R411" i="33"/>
  <c r="S104" i="38"/>
  <c r="S176" i="37"/>
  <c r="AG198" i="42"/>
  <c r="I11" i="39"/>
  <c r="AG26" i="44"/>
  <c r="I3" i="39"/>
  <c r="R45" i="37"/>
  <c r="R139" i="33"/>
  <c r="I18" i="9"/>
  <c r="AC20" i="45"/>
  <c r="S125" i="37"/>
  <c r="AG175" i="42"/>
  <c r="R134" i="38"/>
  <c r="D87" i="34"/>
  <c r="R252" i="38"/>
  <c r="G60" i="34"/>
  <c r="Q92" i="33"/>
  <c r="AF46" i="44"/>
  <c r="J39" i="9"/>
  <c r="AD3" i="26"/>
  <c r="AF112" i="43"/>
  <c r="S184" i="37"/>
  <c r="L23" i="42"/>
  <c r="AF233" i="42"/>
  <c r="L15" i="42"/>
  <c r="S131" i="38"/>
  <c r="AG148" i="42"/>
  <c r="N25" i="41"/>
  <c r="E13" i="39"/>
  <c r="R504" i="33"/>
  <c r="AF60" i="44"/>
  <c r="S82" i="38"/>
  <c r="AF138" i="42"/>
  <c r="F15" i="45"/>
  <c r="S134" i="37"/>
  <c r="R506" i="33"/>
  <c r="R56" i="37"/>
  <c r="R126" i="37"/>
  <c r="AF71" i="43"/>
  <c r="Y3" i="44" a="1"/>
  <c r="G35" i="34"/>
  <c r="S45" i="37"/>
  <c r="J16" i="38"/>
  <c r="N4" i="39"/>
  <c r="I26" i="7"/>
  <c r="G33" i="24"/>
  <c r="I5" i="25"/>
  <c r="Q34" i="33"/>
  <c r="C86" i="34"/>
  <c r="J13" i="35"/>
  <c r="G85" i="34"/>
  <c r="D12" i="35"/>
  <c r="B66" i="34"/>
  <c r="S158" i="37"/>
  <c r="R49" i="39"/>
  <c r="N21" i="38"/>
  <c r="R73" i="39"/>
  <c r="AG39" i="44"/>
  <c r="R153" i="33"/>
  <c r="R267" i="33"/>
  <c r="H17" i="38"/>
  <c r="L4" i="42"/>
  <c r="N41" i="49"/>
  <c r="T267" i="49"/>
  <c r="R81" i="38"/>
  <c r="R202" i="33"/>
  <c r="AA20" i="49"/>
  <c r="O37" i="47"/>
  <c r="R190" i="33"/>
  <c r="AG6" i="43"/>
  <c r="N70" i="47"/>
  <c r="AF109" i="43"/>
  <c r="R435" i="33"/>
  <c r="N4" i="49"/>
  <c r="N95" i="49"/>
  <c r="K4" i="33"/>
  <c r="Q291" i="33"/>
  <c r="R252" i="37"/>
  <c r="AF108" i="43"/>
  <c r="S143" i="37"/>
  <c r="R170" i="39"/>
  <c r="E6" i="45"/>
  <c r="R253" i="37"/>
  <c r="S101" i="38"/>
  <c r="S216" i="39"/>
  <c r="R186" i="38"/>
  <c r="R259" i="38"/>
  <c r="R159" i="33"/>
  <c r="I24" i="39"/>
  <c r="H7" i="39"/>
  <c r="AF205" i="42"/>
  <c r="L24" i="43"/>
  <c r="F6" i="44"/>
  <c r="T35" i="47"/>
  <c r="R58" i="38"/>
  <c r="F175" i="4"/>
  <c r="D5" i="35"/>
  <c r="F20" i="24"/>
  <c r="Q255" i="33"/>
  <c r="G15" i="24"/>
  <c r="I21" i="8"/>
  <c r="F221" i="4"/>
  <c r="D24" i="34"/>
  <c r="B118" i="34"/>
  <c r="S258" i="38"/>
  <c r="F189" i="4"/>
  <c r="J11" i="10"/>
  <c r="Q457" i="33"/>
  <c r="J30" i="24"/>
  <c r="Q226" i="33"/>
  <c r="G99" i="34"/>
  <c r="F52" i="4"/>
  <c r="G49" i="34"/>
  <c r="Q9" i="33"/>
  <c r="C7" i="34"/>
  <c r="I3" i="9"/>
  <c r="B18" i="34"/>
  <c r="AF114" i="43"/>
  <c r="AG2" i="34"/>
  <c r="I9" i="7"/>
  <c r="C87" i="34"/>
  <c r="J35" i="24"/>
  <c r="AF74" i="42"/>
  <c r="Q272" i="33"/>
  <c r="E7" i="45"/>
  <c r="F30" i="35"/>
  <c r="J36" i="10"/>
  <c r="Q55" i="33"/>
  <c r="J18" i="8"/>
  <c r="Q41" i="33"/>
  <c r="R182" i="38"/>
  <c r="R135" i="37"/>
  <c r="Q26" i="33"/>
  <c r="AF63" i="44"/>
  <c r="R15" i="38"/>
  <c r="R23" i="39"/>
  <c r="F6" i="24"/>
  <c r="G15" i="34"/>
  <c r="Q478" i="33"/>
  <c r="AF41" i="44"/>
  <c r="F21" i="35"/>
  <c r="R174" i="39"/>
  <c r="S33" i="37"/>
  <c r="AF46" i="42"/>
  <c r="G6" i="24"/>
  <c r="AF90" i="43"/>
  <c r="AF61" i="43"/>
  <c r="D126" i="34"/>
  <c r="R138" i="33"/>
  <c r="R109" i="38"/>
  <c r="R236" i="37"/>
  <c r="AF79" i="42"/>
  <c r="F33" i="35"/>
  <c r="I12" i="10"/>
  <c r="Q340" i="33"/>
  <c r="AM4" i="43"/>
  <c r="J33" i="11"/>
  <c r="R145" i="38"/>
  <c r="R119" i="33"/>
  <c r="R409" i="33"/>
  <c r="F146" i="4"/>
  <c r="R68" i="39"/>
  <c r="F224" i="4"/>
  <c r="Q201" i="33"/>
  <c r="Q436" i="33"/>
  <c r="R260" i="38"/>
  <c r="R375" i="33"/>
  <c r="B77" i="34"/>
  <c r="Q51" i="33"/>
  <c r="Q77" i="33"/>
  <c r="R25" i="37"/>
  <c r="I35" i="24"/>
  <c r="AF73" i="43"/>
  <c r="G9" i="34"/>
  <c r="AF108" i="42"/>
  <c r="I11" i="9"/>
  <c r="Q71" i="33"/>
  <c r="Q98" i="33"/>
  <c r="Q122" i="33"/>
  <c r="R194" i="37"/>
  <c r="R131" i="33"/>
  <c r="G76" i="34"/>
  <c r="S137" i="37"/>
  <c r="H9" i="37"/>
  <c r="S196" i="39"/>
  <c r="AF6" i="43"/>
  <c r="D29" i="41"/>
  <c r="Q9" i="45" a="1"/>
  <c r="S62" i="47"/>
  <c r="R25" i="33"/>
  <c r="T6" i="40"/>
  <c r="K15" i="42"/>
  <c r="T55" i="47"/>
  <c r="M5" i="32"/>
  <c r="J19" i="24"/>
  <c r="R189" i="39"/>
  <c r="AF124" i="42"/>
  <c r="S168" i="37"/>
  <c r="S21" i="38"/>
  <c r="R66" i="38"/>
  <c r="Q35" i="33"/>
  <c r="R195" i="37"/>
  <c r="S55" i="38"/>
  <c r="S65" i="37"/>
  <c r="AF58" i="43"/>
  <c r="R160" i="39"/>
  <c r="S206" i="37"/>
  <c r="R75" i="37"/>
  <c r="Q376" i="33"/>
  <c r="S115" i="38"/>
  <c r="I5" i="39"/>
  <c r="R81" i="33"/>
  <c r="G17" i="45"/>
  <c r="R79" i="38"/>
  <c r="E14" i="39"/>
  <c r="S90" i="39"/>
  <c r="R19" i="39"/>
  <c r="R57" i="38"/>
  <c r="J18" i="42"/>
  <c r="R19" i="37"/>
  <c r="R28" i="33"/>
  <c r="R228" i="33"/>
  <c r="AG22" i="43"/>
  <c r="AF192" i="42"/>
  <c r="C19" i="36"/>
  <c r="Q33" i="33"/>
  <c r="R44" i="38"/>
  <c r="AF69" i="42"/>
  <c r="R55" i="39"/>
  <c r="E15" i="39"/>
  <c r="H16" i="38"/>
  <c r="R40" i="38"/>
  <c r="E6" i="42"/>
  <c r="AF62" i="42"/>
  <c r="R316" i="33"/>
  <c r="AF248" i="42"/>
  <c r="E32" i="41"/>
  <c r="S105" i="37"/>
  <c r="AG16" i="44"/>
  <c r="M34" i="41"/>
  <c r="AG54" i="43"/>
  <c r="S139" i="37"/>
  <c r="R207" i="38"/>
  <c r="AG10" i="43"/>
  <c r="Q273" i="33"/>
  <c r="AG119" i="42"/>
  <c r="S123" i="37"/>
  <c r="R233" i="33"/>
  <c r="R55" i="37"/>
  <c r="AF21" i="43"/>
  <c r="E19" i="39"/>
  <c r="R160" i="33"/>
  <c r="G43" i="34"/>
  <c r="G6" i="39"/>
  <c r="R19" i="33"/>
  <c r="S47" i="39"/>
  <c r="I11" i="24"/>
  <c r="B101" i="34"/>
  <c r="J23" i="24"/>
  <c r="J7" i="35"/>
  <c r="B100" i="34"/>
  <c r="D98" i="34"/>
  <c r="R15" i="37"/>
  <c r="R252" i="39"/>
  <c r="C101" i="34"/>
  <c r="AF102" i="42"/>
  <c r="K5" i="33"/>
  <c r="S227" i="38"/>
  <c r="Q392" i="33"/>
  <c r="R136" i="39"/>
  <c r="F35" i="35"/>
  <c r="H5" i="37"/>
  <c r="G73" i="34"/>
  <c r="AF116" i="43"/>
  <c r="R170" i="33"/>
  <c r="R41" i="33"/>
  <c r="D8" i="35"/>
  <c r="F11" i="39"/>
  <c r="I10" i="39"/>
  <c r="T108" i="49"/>
  <c r="AG180" i="42"/>
  <c r="R97" i="33"/>
  <c r="S155" i="38"/>
  <c r="Q414" i="33"/>
  <c r="Q72" i="33"/>
  <c r="S215" i="37"/>
  <c r="AG58" i="42"/>
  <c r="R255" i="38"/>
  <c r="F160" i="4"/>
  <c r="I14" i="36"/>
  <c r="AB21" i="45"/>
  <c r="AF119" i="42"/>
  <c r="R143" i="38"/>
  <c r="R153" i="38"/>
  <c r="AF165" i="42"/>
  <c r="AF171" i="42"/>
  <c r="S191" i="37"/>
  <c r="AG129" i="42"/>
  <c r="F15" i="39"/>
  <c r="R37" i="39"/>
  <c r="R247" i="38"/>
  <c r="S110" i="37"/>
  <c r="R140" i="38"/>
  <c r="AF193" i="42"/>
  <c r="G19" i="45"/>
  <c r="L16" i="44"/>
  <c r="K6" i="43"/>
  <c r="Z229" i="49"/>
  <c r="AG118" i="43"/>
  <c r="R187" i="39"/>
  <c r="O73" i="49"/>
  <c r="Q2" i="34"/>
  <c r="S100" i="38"/>
  <c r="S78" i="39"/>
  <c r="Y317" i="49"/>
  <c r="R138" i="39"/>
  <c r="R418" i="33"/>
  <c r="AG59" i="43"/>
  <c r="D37" i="34"/>
  <c r="G4" i="37"/>
  <c r="AB19" i="45"/>
  <c r="F16" i="45"/>
  <c r="R104" i="33"/>
  <c r="S205" i="37"/>
  <c r="R219" i="38"/>
  <c r="S222" i="37"/>
  <c r="R457" i="33"/>
  <c r="AC9" i="45"/>
  <c r="R486" i="33"/>
  <c r="AF149" i="42"/>
  <c r="J17" i="35"/>
  <c r="S219" i="37"/>
  <c r="Q460" i="33"/>
  <c r="AF221" i="42"/>
  <c r="Q225" i="33"/>
  <c r="AF22" i="44"/>
  <c r="S200" i="39"/>
  <c r="T357" i="49"/>
  <c r="R7" i="39"/>
  <c r="S45" i="38"/>
  <c r="F9" i="24"/>
  <c r="C35" i="34"/>
  <c r="Q121" i="33"/>
  <c r="I7" i="10"/>
  <c r="G44" i="34"/>
  <c r="F153" i="4"/>
  <c r="J13" i="24"/>
  <c r="AD26" i="24"/>
  <c r="M3" i="41"/>
  <c r="I5" i="7"/>
  <c r="G19" i="24"/>
  <c r="AB3" i="19"/>
  <c r="Q435" i="33"/>
  <c r="I29" i="11"/>
  <c r="Q512" i="33"/>
  <c r="J5" i="8"/>
  <c r="F33" i="24"/>
  <c r="Q295" i="33"/>
  <c r="B79" i="34"/>
  <c r="Q504" i="33"/>
  <c r="Q282" i="33"/>
  <c r="C69" i="34"/>
  <c r="G14" i="34"/>
  <c r="B68" i="34"/>
  <c r="J10" i="24"/>
  <c r="Q136" i="33"/>
  <c r="M2" i="34"/>
  <c r="R76" i="39"/>
  <c r="I7" i="11"/>
  <c r="S161" i="38"/>
  <c r="R205" i="38"/>
  <c r="E6" i="38"/>
  <c r="AF37" i="42"/>
  <c r="AD14" i="24"/>
  <c r="J4" i="34" a="1"/>
  <c r="B103" i="34"/>
  <c r="AI2" i="34"/>
  <c r="S147" i="37"/>
  <c r="R254" i="38"/>
  <c r="S194" i="38"/>
  <c r="R139" i="37"/>
  <c r="B45" i="34"/>
  <c r="AF26" i="42"/>
  <c r="AF66" i="42"/>
  <c r="AF122" i="43"/>
  <c r="D64" i="34"/>
  <c r="R52" i="37"/>
  <c r="AF29" i="43"/>
  <c r="F98" i="4"/>
  <c r="G44" i="24"/>
  <c r="P5" i="24" a="1"/>
  <c r="I18" i="10"/>
  <c r="D5" i="12" a="1"/>
  <c r="F8" i="12"/>
  <c r="J28" i="35"/>
  <c r="Q279" i="33"/>
  <c r="F25" i="4"/>
  <c r="C47" i="34"/>
  <c r="I7" i="9"/>
  <c r="AF59" i="42"/>
  <c r="S205" i="38"/>
  <c r="AF76" i="43"/>
  <c r="R183" i="39"/>
  <c r="R84" i="39"/>
  <c r="S256" i="37"/>
  <c r="R261" i="38"/>
  <c r="R250" i="39"/>
  <c r="Q242" i="33"/>
  <c r="F14" i="38"/>
  <c r="AF44" i="42"/>
  <c r="R63" i="38"/>
  <c r="S80" i="37"/>
  <c r="J15" i="44"/>
  <c r="AG61" i="42"/>
  <c r="S74" i="38"/>
  <c r="R133" i="38"/>
  <c r="R80" i="38"/>
  <c r="D38" i="35"/>
  <c r="S151" i="37"/>
  <c r="K17" i="44"/>
  <c r="S3" i="37"/>
  <c r="R227" i="38"/>
  <c r="L1" i="40"/>
  <c r="AF157" i="42"/>
  <c r="L4" i="44"/>
  <c r="AF191" i="42"/>
  <c r="J21" i="38"/>
  <c r="R220" i="33"/>
  <c r="R26" i="33"/>
  <c r="AF38" i="44"/>
  <c r="G17" i="38"/>
  <c r="S37" i="38"/>
  <c r="E17" i="39"/>
  <c r="R7" i="33"/>
  <c r="R140" i="37"/>
  <c r="K16" i="44"/>
  <c r="AF5" i="43"/>
  <c r="F116" i="4"/>
  <c r="G30" i="34"/>
  <c r="R255" i="37"/>
  <c r="R106" i="33"/>
  <c r="R108" i="39"/>
  <c r="Q362" i="33"/>
  <c r="R30" i="38"/>
  <c r="AF188" i="42"/>
  <c r="R132" i="39"/>
  <c r="E8" i="38"/>
  <c r="D80" i="34"/>
  <c r="AF132" i="42"/>
  <c r="R307" i="33"/>
  <c r="AF127" i="42"/>
  <c r="V3" i="39"/>
  <c r="AF187" i="42"/>
  <c r="R25" i="39"/>
  <c r="S67" i="38"/>
  <c r="AG241" i="42"/>
  <c r="H4" i="44"/>
  <c r="E15" i="37"/>
  <c r="S16" i="38"/>
  <c r="S24" i="38"/>
  <c r="S61" i="37"/>
  <c r="R18" i="38"/>
  <c r="AG102" i="42"/>
  <c r="S256" i="38"/>
  <c r="AG73" i="43"/>
  <c r="J12" i="37"/>
  <c r="AG143" i="42"/>
  <c r="S230" i="37"/>
  <c r="R244" i="33"/>
  <c r="Q515" i="33"/>
  <c r="Q90" i="33"/>
  <c r="Q406" i="33"/>
  <c r="Q265" i="33"/>
  <c r="R163" i="37"/>
  <c r="Q196" i="33"/>
  <c r="R143" i="33"/>
  <c r="R94" i="38"/>
  <c r="M15" i="41"/>
  <c r="E6" i="44"/>
  <c r="H8" i="37"/>
  <c r="R58" i="33"/>
  <c r="S113" i="37"/>
  <c r="T3" i="40"/>
  <c r="C28" i="34"/>
  <c r="H12" i="37"/>
  <c r="R34" i="38"/>
  <c r="F6" i="39"/>
  <c r="V26" i="40"/>
  <c r="R216" i="33"/>
  <c r="R17" i="38"/>
  <c r="E17" i="45"/>
  <c r="S125" i="38"/>
  <c r="D32" i="34"/>
  <c r="C110" i="34"/>
  <c r="E20" i="44"/>
  <c r="R464" i="33"/>
  <c r="S93" i="37"/>
  <c r="AF59" i="43"/>
  <c r="J13" i="37"/>
  <c r="R470" i="33"/>
  <c r="AB7" i="45"/>
  <c r="B21" i="34"/>
  <c r="AF84" i="42"/>
  <c r="Q403" i="33"/>
  <c r="Q216" i="33"/>
  <c r="K21" i="42"/>
  <c r="B19" i="34"/>
  <c r="R237" i="39"/>
  <c r="R6" i="38"/>
  <c r="R173" i="38"/>
  <c r="AF184" i="42"/>
  <c r="D81" i="34"/>
  <c r="G7" i="43"/>
  <c r="R256" i="37"/>
  <c r="E5" i="45"/>
  <c r="A4" i="35"/>
  <c r="AF182" i="42"/>
  <c r="C30" i="34"/>
  <c r="R318" i="33"/>
  <c r="S88" i="38"/>
  <c r="F6" i="37"/>
  <c r="AB22" i="45"/>
  <c r="R302" i="33"/>
  <c r="R452" i="33"/>
  <c r="J9" i="39"/>
  <c r="S239" i="37"/>
  <c r="AG221" i="42"/>
  <c r="D25" i="41"/>
  <c r="AG10" i="42"/>
  <c r="R88" i="38"/>
  <c r="AG244" i="42"/>
  <c r="R16" i="33"/>
  <c r="K4" i="43"/>
  <c r="Q451" i="33"/>
  <c r="B1" i="36"/>
  <c r="R156" i="38"/>
  <c r="AF164" i="42"/>
  <c r="R98" i="38"/>
  <c r="AF58" i="44"/>
  <c r="R125" i="37"/>
  <c r="S190" i="37"/>
  <c r="S131" i="37"/>
  <c r="R52" i="33"/>
  <c r="AF36" i="43"/>
  <c r="L7" i="40"/>
  <c r="R164" i="33"/>
  <c r="U9" i="40"/>
  <c r="I18" i="39"/>
  <c r="AF96" i="43"/>
  <c r="E24" i="41"/>
  <c r="AG37" i="42"/>
  <c r="S134" i="39"/>
  <c r="AG206" i="42"/>
  <c r="K23" i="43"/>
  <c r="AG18" i="44"/>
  <c r="AA174" i="49"/>
  <c r="S218" i="38"/>
  <c r="R166" i="37"/>
  <c r="Z322" i="49"/>
  <c r="S292" i="49"/>
  <c r="N4" i="38"/>
  <c r="AG44" i="42"/>
  <c r="S49" i="47"/>
  <c r="AF179" i="42"/>
  <c r="Q345" i="33"/>
  <c r="G10" i="34"/>
  <c r="B71" i="34"/>
  <c r="T5" i="40"/>
  <c r="AF45" i="43"/>
  <c r="D6" i="42"/>
  <c r="R296" i="33"/>
  <c r="R74" i="39"/>
  <c r="S248" i="39"/>
  <c r="R80" i="39"/>
  <c r="S258" i="39"/>
  <c r="AF72" i="43"/>
  <c r="R185" i="39"/>
  <c r="F23" i="39"/>
  <c r="R177" i="33"/>
  <c r="J19" i="44"/>
  <c r="E18" i="39"/>
  <c r="AB96" i="49"/>
  <c r="Q158" i="33"/>
  <c r="R213" i="37"/>
  <c r="S102" i="39"/>
  <c r="T389" i="49"/>
  <c r="E22" i="39"/>
  <c r="L20" i="43"/>
  <c r="S288" i="49"/>
  <c r="R282" i="33"/>
  <c r="E16" i="42"/>
  <c r="R146" i="39"/>
  <c r="O41" i="49"/>
  <c r="J3" i="35"/>
  <c r="Q492" i="33"/>
  <c r="F28" i="24"/>
  <c r="G42" i="24"/>
  <c r="Q301" i="33"/>
  <c r="X2" i="22"/>
  <c r="Q151" i="33"/>
  <c r="I21" i="24"/>
  <c r="Q394" i="33"/>
  <c r="I28" i="7"/>
  <c r="F45" i="24"/>
  <c r="R77" i="38"/>
  <c r="F121" i="4"/>
  <c r="R61" i="39"/>
  <c r="J25" i="8"/>
  <c r="J11" i="35"/>
  <c r="J29" i="7"/>
  <c r="C120" i="34"/>
  <c r="A8" i="35"/>
  <c r="R36" i="38"/>
  <c r="B104" i="34"/>
  <c r="R165" i="39"/>
  <c r="J5" i="38"/>
  <c r="D24" i="41"/>
  <c r="AF43" i="42"/>
  <c r="AM3" i="43"/>
  <c r="R175" i="33"/>
  <c r="Q88" i="33"/>
  <c r="F177" i="4"/>
  <c r="S150" i="37"/>
  <c r="Q424" i="33"/>
  <c r="Q138" i="33"/>
  <c r="R193" i="39"/>
  <c r="AB24" i="45"/>
  <c r="S149" i="38"/>
  <c r="S127" i="37"/>
  <c r="Q118" i="33"/>
  <c r="AF204" i="42"/>
  <c r="D65" i="34"/>
  <c r="G110" i="34"/>
  <c r="H7" i="45"/>
  <c r="C124" i="34"/>
  <c r="G23" i="34"/>
  <c r="AF183" i="42"/>
  <c r="C24" i="39"/>
  <c r="R9" i="39"/>
  <c r="K7" i="43"/>
  <c r="F7" i="43"/>
  <c r="R273" i="33"/>
  <c r="AF19" i="44"/>
  <c r="AG7" i="44"/>
  <c r="Q309" i="33"/>
  <c r="AF98" i="43"/>
  <c r="R132" i="37"/>
  <c r="N8" i="38"/>
  <c r="S235" i="38"/>
  <c r="F19" i="38"/>
  <c r="S250" i="38"/>
  <c r="R161" i="39"/>
  <c r="S56" i="38"/>
  <c r="R487" i="33"/>
  <c r="S144" i="37"/>
  <c r="M24" i="41"/>
  <c r="N3" i="38"/>
  <c r="E7" i="42"/>
  <c r="E5" i="44"/>
  <c r="S122" i="38"/>
  <c r="D8" i="34"/>
  <c r="D16" i="34"/>
  <c r="G126" i="34"/>
  <c r="Q357" i="33"/>
  <c r="S175" i="37"/>
  <c r="R244" i="37"/>
  <c r="R74" i="37"/>
  <c r="AF19" i="43"/>
  <c r="AF110" i="43"/>
  <c r="S34" i="38"/>
  <c r="R24" i="33"/>
  <c r="S141" i="39"/>
  <c r="S172" i="38"/>
  <c r="O196" i="49"/>
  <c r="R22" i="37"/>
  <c r="N313" i="49"/>
  <c r="AF26" i="43"/>
  <c r="Q245" i="33"/>
  <c r="R228" i="39"/>
  <c r="B69" i="34"/>
  <c r="M7" i="40"/>
  <c r="D35" i="41"/>
  <c r="E21" i="42"/>
  <c r="S102" i="38"/>
  <c r="S259" i="37"/>
  <c r="T134" i="49"/>
  <c r="E27" i="41"/>
  <c r="I13" i="37"/>
  <c r="R148" i="33"/>
  <c r="S117" i="37"/>
  <c r="AG30" i="43"/>
  <c r="E17" i="41"/>
  <c r="Q37" i="33"/>
  <c r="R137" i="37"/>
  <c r="E30" i="42"/>
  <c r="AF33" i="43"/>
  <c r="R314" i="33"/>
  <c r="AG120" i="42"/>
  <c r="R371" i="33"/>
  <c r="M15" i="33"/>
  <c r="R206" i="37"/>
  <c r="H7" i="42"/>
  <c r="AG31" i="43"/>
  <c r="R94" i="39"/>
  <c r="Z88" i="49"/>
  <c r="G17" i="34"/>
  <c r="N4" i="47"/>
  <c r="C117" i="34"/>
  <c r="D21" i="34"/>
  <c r="Q260" i="33"/>
  <c r="B31" i="34"/>
  <c r="J5" i="39"/>
  <c r="R377" i="33"/>
  <c r="AG55" i="43"/>
  <c r="J16" i="43"/>
  <c r="AG49" i="42"/>
  <c r="S99" i="39"/>
  <c r="L18" i="43"/>
  <c r="AG15" i="43"/>
  <c r="AG15" i="44"/>
  <c r="Q246" i="33"/>
  <c r="N8" i="39"/>
  <c r="N364" i="49"/>
  <c r="R157" i="37"/>
  <c r="S209" i="39"/>
  <c r="F99" i="4"/>
  <c r="R212" i="37"/>
  <c r="AF228" i="42"/>
  <c r="K26" i="42"/>
  <c r="L8" i="40"/>
  <c r="AB25" i="45"/>
  <c r="R20" i="33"/>
  <c r="AF95" i="42"/>
  <c r="G77" i="34"/>
  <c r="AG40" i="44"/>
  <c r="R15" i="39"/>
  <c r="R317" i="33"/>
  <c r="S186" i="37"/>
  <c r="AG232" i="42"/>
  <c r="S35" i="37"/>
  <c r="R37" i="37"/>
  <c r="H6" i="38"/>
  <c r="AF103" i="43"/>
  <c r="N137" i="49"/>
  <c r="AG36" i="42"/>
  <c r="R158" i="37"/>
  <c r="S104" i="39"/>
  <c r="AG233" i="42"/>
  <c r="R38" i="39"/>
  <c r="AF101" i="43"/>
  <c r="R133" i="37"/>
  <c r="Y39" i="49"/>
  <c r="J8" i="37"/>
  <c r="G24" i="39"/>
  <c r="T43" i="47"/>
  <c r="R376" i="33"/>
  <c r="Q330" i="33"/>
  <c r="Q506" i="33"/>
  <c r="J12" i="38"/>
  <c r="B54" i="34"/>
  <c r="B40" i="34"/>
  <c r="D54" i="34"/>
  <c r="G108" i="34"/>
  <c r="AB15" i="45"/>
  <c r="AG170" i="42"/>
  <c r="R305" i="33"/>
  <c r="M12" i="41"/>
  <c r="AF65" i="44"/>
  <c r="AF51" i="44"/>
  <c r="S41" i="37"/>
  <c r="AG124" i="43"/>
  <c r="AG103" i="43"/>
  <c r="AG45" i="42"/>
  <c r="R72" i="33"/>
  <c r="N259" i="49"/>
  <c r="S124" i="39"/>
  <c r="S240" i="37"/>
  <c r="M21" i="41"/>
  <c r="R112" i="33"/>
  <c r="Q220" i="33"/>
  <c r="E17" i="44"/>
  <c r="AF6" i="44"/>
  <c r="X333" i="49"/>
  <c r="S4" i="38"/>
  <c r="R425" i="33"/>
  <c r="Z333" i="49"/>
  <c r="S30" i="39"/>
  <c r="R372" i="33"/>
  <c r="D121" i="34"/>
  <c r="M5" i="41"/>
  <c r="AF153" i="42"/>
  <c r="Q285" i="33"/>
  <c r="U5" i="40"/>
  <c r="R75" i="38"/>
  <c r="R498" i="33"/>
  <c r="E37" i="41"/>
  <c r="AG69" i="42"/>
  <c r="N171" i="49"/>
  <c r="AG247" i="42"/>
  <c r="AF20" i="44"/>
  <c r="R333" i="33"/>
  <c r="AB313" i="49"/>
  <c r="R80" i="33"/>
  <c r="AB78" i="49"/>
  <c r="R154" i="33"/>
  <c r="S18" i="47"/>
  <c r="Y350" i="49"/>
  <c r="S385" i="49"/>
  <c r="AG150" i="42"/>
  <c r="R106" i="38"/>
  <c r="Z271" i="49"/>
  <c r="AH13" i="49"/>
  <c r="AG10" i="44"/>
  <c r="F18" i="38"/>
  <c r="AA272" i="49"/>
  <c r="X62" i="49"/>
  <c r="S260" i="39"/>
  <c r="AA128" i="49"/>
  <c r="Y24" i="49"/>
  <c r="Y187" i="49"/>
  <c r="R48" i="37"/>
  <c r="AF35" i="43"/>
  <c r="R80" i="37"/>
  <c r="Q12" i="33"/>
  <c r="R477" i="33"/>
  <c r="S201" i="37"/>
  <c r="Q6" i="40"/>
  <c r="K17" i="43"/>
  <c r="AG26" i="42"/>
  <c r="D31" i="46"/>
  <c r="M4" i="41"/>
  <c r="R233" i="39"/>
  <c r="R91" i="33"/>
  <c r="N10" i="38"/>
  <c r="S34" i="49"/>
  <c r="AO2" i="34"/>
  <c r="R386" i="33"/>
  <c r="AF15" i="49"/>
  <c r="S38" i="47"/>
  <c r="R226" i="37"/>
  <c r="N19" i="47"/>
  <c r="O71" i="49"/>
  <c r="AF18" i="49"/>
  <c r="R289" i="33"/>
  <c r="F34" i="24"/>
  <c r="D56" i="34"/>
  <c r="I8" i="8"/>
  <c r="I36" i="11"/>
  <c r="X2" i="21"/>
  <c r="Q215" i="33"/>
  <c r="Q259" i="33"/>
  <c r="D52" i="34"/>
  <c r="I17" i="8"/>
  <c r="R65" i="39"/>
  <c r="Q342" i="33"/>
  <c r="G8" i="37"/>
  <c r="J36" i="9"/>
  <c r="F7" i="37"/>
  <c r="F42" i="4"/>
  <c r="G7" i="38"/>
  <c r="C48" i="34"/>
  <c r="R124" i="38"/>
  <c r="AF25" i="43"/>
  <c r="R170" i="38"/>
  <c r="C105" i="34"/>
  <c r="S148" i="38"/>
  <c r="A7" i="35"/>
  <c r="Q374" i="33"/>
  <c r="AF57" i="43"/>
  <c r="Q76" i="33"/>
  <c r="E4" i="37"/>
  <c r="U4" i="40"/>
  <c r="M4" i="32"/>
  <c r="B36" i="34"/>
  <c r="R70" i="38"/>
  <c r="Q308" i="33"/>
  <c r="R71" i="37"/>
  <c r="AF100" i="42"/>
  <c r="G43" i="24"/>
  <c r="J22" i="7"/>
  <c r="D113" i="34"/>
  <c r="Q30" i="33"/>
  <c r="R93" i="39"/>
  <c r="Q437" i="33"/>
  <c r="AF186" i="42"/>
  <c r="R249" i="37"/>
  <c r="S3" i="38"/>
  <c r="D20" i="41"/>
  <c r="AG38" i="42"/>
  <c r="AF229" i="42"/>
  <c r="R438" i="33"/>
  <c r="R178" i="38"/>
  <c r="S162" i="37"/>
  <c r="D118" i="34"/>
  <c r="S153" i="38"/>
  <c r="AF53" i="44"/>
  <c r="R126" i="33"/>
  <c r="AF120" i="42"/>
  <c r="S227" i="37"/>
  <c r="AF127" i="43"/>
  <c r="R176" i="38"/>
  <c r="R155" i="38"/>
  <c r="G5" i="42"/>
  <c r="R280" i="33"/>
  <c r="AG146" i="42"/>
  <c r="AF214" i="42"/>
  <c r="R365" i="33"/>
  <c r="S242" i="37"/>
  <c r="R193" i="33"/>
  <c r="R32" i="37"/>
  <c r="Q23" i="33"/>
  <c r="C32" i="34"/>
  <c r="J19" i="35"/>
  <c r="R62" i="37"/>
  <c r="R136" i="38"/>
  <c r="G10" i="38"/>
  <c r="S16" i="37"/>
  <c r="AF110" i="42"/>
  <c r="S47" i="49"/>
  <c r="I14" i="38"/>
  <c r="G19" i="38"/>
  <c r="J28" i="42"/>
  <c r="AF119" i="43"/>
  <c r="AG55" i="42"/>
  <c r="S156" i="37"/>
  <c r="J32" i="35"/>
  <c r="AF115" i="43"/>
  <c r="S217" i="38"/>
  <c r="B87" i="34"/>
  <c r="AF77" i="43"/>
  <c r="R232" i="38"/>
  <c r="AF28" i="44"/>
  <c r="AF44" i="43"/>
  <c r="J20" i="42"/>
  <c r="S99" i="38"/>
  <c r="AC7" i="45"/>
  <c r="R415" i="33"/>
  <c r="S164" i="38"/>
  <c r="AG107" i="43"/>
  <c r="Q426" i="33"/>
  <c r="AG80" i="43"/>
  <c r="R246" i="38"/>
  <c r="S201" i="38"/>
  <c r="G3" i="45"/>
  <c r="AG236" i="42"/>
  <c r="AB14" i="45"/>
  <c r="J19" i="42"/>
  <c r="AG63" i="43"/>
  <c r="AG34" i="43"/>
  <c r="R370" i="33"/>
  <c r="S171" i="39"/>
  <c r="AG41" i="44"/>
  <c r="Q160" i="33"/>
  <c r="AG4" i="43"/>
  <c r="AG19" i="44"/>
  <c r="T75" i="49"/>
  <c r="AF50" i="44"/>
  <c r="S52" i="38"/>
  <c r="Q275" i="33"/>
  <c r="AF28" i="43"/>
  <c r="AG259" i="42"/>
  <c r="R90" i="39"/>
  <c r="R195" i="39"/>
  <c r="E8" i="39"/>
  <c r="AG47" i="43"/>
  <c r="R28" i="37"/>
  <c r="AG41" i="43"/>
  <c r="J61" i="47"/>
  <c r="N123" i="49"/>
  <c r="S31" i="37"/>
  <c r="R145" i="39"/>
  <c r="G18" i="39"/>
  <c r="S107" i="38"/>
  <c r="S48" i="38"/>
  <c r="F206" i="4"/>
  <c r="A5" i="34" a="1"/>
  <c r="R320" i="33"/>
  <c r="R220" i="37"/>
  <c r="I4" i="37"/>
  <c r="R104" i="37"/>
  <c r="AF255" i="42"/>
  <c r="A3" i="35"/>
  <c r="S36" i="37"/>
  <c r="D7" i="45"/>
  <c r="I15" i="39"/>
  <c r="AG214" i="42"/>
  <c r="C45" i="34"/>
  <c r="S261" i="38"/>
  <c r="AF196" i="42"/>
  <c r="AG192" i="42"/>
  <c r="S183" i="37"/>
  <c r="K38" i="35"/>
  <c r="N147" i="49"/>
  <c r="Z282" i="49"/>
  <c r="R212" i="33"/>
  <c r="AG223" i="42"/>
  <c r="T37" i="47"/>
  <c r="R120" i="38"/>
  <c r="R103" i="33"/>
  <c r="AG47" i="44"/>
  <c r="K5" i="42"/>
  <c r="AF32" i="43"/>
  <c r="S20" i="39"/>
  <c r="AB147" i="49"/>
  <c r="AA377" i="49"/>
  <c r="M7" i="33"/>
  <c r="S229" i="37"/>
  <c r="J19" i="38"/>
  <c r="R174" i="37"/>
  <c r="AF105" i="42"/>
  <c r="S58" i="37"/>
  <c r="R107" i="39"/>
  <c r="R122" i="39"/>
  <c r="R413" i="33"/>
  <c r="AG85" i="42"/>
  <c r="D45" i="34"/>
  <c r="R293" i="33"/>
  <c r="J22" i="43"/>
  <c r="S153" i="39"/>
  <c r="F15" i="38"/>
  <c r="S240" i="39"/>
  <c r="S202" i="37"/>
  <c r="S4" i="47"/>
  <c r="S330" i="49"/>
  <c r="T345" i="49"/>
  <c r="AF215" i="42"/>
  <c r="R8" i="33"/>
  <c r="AA95" i="49"/>
  <c r="G15" i="37"/>
  <c r="R395" i="33"/>
  <c r="S162" i="39"/>
  <c r="R483" i="33"/>
  <c r="S112" i="38"/>
  <c r="T24" i="47"/>
  <c r="N141" i="49"/>
  <c r="N168" i="49"/>
  <c r="R146" i="38"/>
  <c r="Q4" i="33"/>
  <c r="R95" i="37"/>
  <c r="C79" i="34"/>
  <c r="Q385" i="33"/>
  <c r="S169" i="37"/>
  <c r="J16" i="42"/>
  <c r="AG65" i="44"/>
  <c r="S84" i="38"/>
  <c r="S151" i="38"/>
  <c r="J10" i="49"/>
  <c r="N14" i="39"/>
  <c r="S41" i="47"/>
  <c r="AG44" i="43"/>
  <c r="R243" i="37"/>
  <c r="J6" i="39"/>
  <c r="S106" i="37"/>
  <c r="S236" i="39"/>
  <c r="R238" i="33"/>
  <c r="D6" i="41"/>
  <c r="AF246" i="42"/>
  <c r="J16" i="49"/>
  <c r="R497" i="33"/>
  <c r="S189" i="38"/>
  <c r="S202" i="38"/>
  <c r="Q78" i="33"/>
  <c r="S221" i="39"/>
  <c r="S245" i="39"/>
  <c r="R110" i="38"/>
  <c r="S83" i="39"/>
  <c r="L21" i="44"/>
  <c r="S118" i="37"/>
  <c r="Y64" i="49"/>
  <c r="S213" i="38"/>
  <c r="AA2" i="34"/>
  <c r="E6" i="43"/>
  <c r="AB12" i="45"/>
  <c r="N35" i="49"/>
  <c r="AG126" i="43"/>
  <c r="E19" i="41"/>
  <c r="N13" i="37"/>
  <c r="G16" i="39"/>
  <c r="C12" i="34"/>
  <c r="N65" i="47"/>
  <c r="H5" i="42"/>
  <c r="Z346" i="49"/>
  <c r="S229" i="38"/>
  <c r="R178" i="39"/>
  <c r="AF151" i="42"/>
  <c r="O142" i="49"/>
  <c r="O19" i="47"/>
  <c r="AA210" i="49"/>
  <c r="R191" i="33"/>
  <c r="N45" i="47"/>
  <c r="S216" i="49"/>
  <c r="Y139" i="49"/>
  <c r="S31" i="38"/>
  <c r="AF141" i="42"/>
  <c r="AB122" i="49"/>
  <c r="S306" i="49"/>
  <c r="H13" i="37"/>
  <c r="I4" i="8"/>
  <c r="F133" i="4"/>
  <c r="J37" i="11"/>
  <c r="J12" i="9"/>
  <c r="Q270" i="33"/>
  <c r="B76" i="34"/>
  <c r="N3" i="35"/>
  <c r="Q368" i="33"/>
  <c r="Q127" i="33"/>
  <c r="G24" i="34"/>
  <c r="F270" i="4"/>
  <c r="G100" i="34"/>
  <c r="D102" i="34"/>
  <c r="J8" i="24"/>
  <c r="Q7" i="33"/>
  <c r="Q366" i="33"/>
  <c r="R157" i="39"/>
  <c r="F242" i="4"/>
  <c r="B61" i="34"/>
  <c r="AF236" i="42"/>
  <c r="R225" i="39"/>
  <c r="AD31" i="24"/>
  <c r="B120" i="34"/>
  <c r="AF34" i="44"/>
  <c r="S14" i="37"/>
  <c r="R140" i="39"/>
  <c r="R158" i="38"/>
  <c r="R208" i="33"/>
  <c r="S163" i="37"/>
  <c r="D74" i="34"/>
  <c r="AD46" i="24"/>
  <c r="J33" i="24"/>
  <c r="R299" i="33"/>
  <c r="H19" i="45"/>
  <c r="R221" i="38"/>
  <c r="Q94" i="33"/>
  <c r="AB20" i="45"/>
  <c r="AG31" i="42"/>
  <c r="R47" i="38"/>
  <c r="J7" i="37"/>
  <c r="R41" i="38"/>
  <c r="L15" i="43"/>
  <c r="AF170" i="42"/>
  <c r="R119" i="38"/>
  <c r="AF177" i="42"/>
  <c r="R93" i="37"/>
  <c r="AG127" i="43"/>
  <c r="S200" i="38"/>
  <c r="AG131" i="43"/>
  <c r="D62" i="34"/>
  <c r="Q470" i="33"/>
  <c r="D47" i="34"/>
  <c r="Q446" i="33"/>
  <c r="R76" i="37"/>
  <c r="I4" i="38"/>
  <c r="J6" i="37"/>
  <c r="R144" i="37"/>
  <c r="AF106" i="43"/>
  <c r="AG3" i="44"/>
  <c r="R131" i="38"/>
  <c r="S163" i="39"/>
  <c r="S87" i="37"/>
  <c r="N71" i="47"/>
  <c r="S128" i="37"/>
  <c r="O110" i="49"/>
  <c r="G88" i="34"/>
  <c r="R49" i="37"/>
  <c r="C90" i="34"/>
  <c r="R148" i="37"/>
  <c r="R31" i="38"/>
  <c r="I12" i="37"/>
  <c r="I14" i="37"/>
  <c r="R78" i="39"/>
  <c r="G3" i="42"/>
  <c r="S228" i="37"/>
  <c r="AG45" i="43"/>
  <c r="J7" i="39"/>
  <c r="AG213" i="42"/>
  <c r="R132" i="33"/>
  <c r="AG20" i="43"/>
  <c r="AG86" i="43"/>
  <c r="M37" i="41"/>
  <c r="Q104" i="33"/>
  <c r="R166" i="38"/>
  <c r="R201" i="39"/>
  <c r="AF251" i="42"/>
  <c r="B28" i="34"/>
  <c r="S96" i="37"/>
  <c r="Q500" i="33"/>
  <c r="AG42" i="44"/>
  <c r="R229" i="33"/>
  <c r="R204" i="37"/>
  <c r="U3" i="42" a="1"/>
  <c r="E5" i="43"/>
  <c r="S65" i="39"/>
  <c r="R39" i="38"/>
  <c r="R111" i="37"/>
  <c r="K3" i="33"/>
  <c r="D119" i="34"/>
  <c r="M3" i="46"/>
  <c r="AF111" i="42"/>
  <c r="R292" i="33"/>
  <c r="T3" i="43" a="1"/>
  <c r="N226" i="49"/>
  <c r="B123" i="34"/>
  <c r="AF217" i="42"/>
  <c r="D106" i="34"/>
  <c r="R279" i="33"/>
  <c r="AF16" i="43"/>
  <c r="T76" i="47"/>
  <c r="S68" i="38"/>
  <c r="J9" i="49"/>
  <c r="C54" i="34"/>
  <c r="R218" i="37"/>
  <c r="F13" i="37"/>
  <c r="R214" i="39"/>
  <c r="R130" i="33"/>
  <c r="R391" i="33"/>
  <c r="I9" i="38"/>
  <c r="AG253" i="42"/>
  <c r="N10" i="37"/>
  <c r="S225" i="38"/>
  <c r="AG11" i="44"/>
  <c r="J46" i="49"/>
  <c r="AF12" i="42"/>
  <c r="C103" i="34"/>
  <c r="R199" i="33"/>
  <c r="S366" i="49"/>
  <c r="AG189" i="42"/>
  <c r="S231" i="39"/>
  <c r="I12" i="11"/>
  <c r="S232" i="37"/>
  <c r="R212" i="38"/>
  <c r="D9" i="36"/>
  <c r="E6" i="37"/>
  <c r="N7" i="37"/>
  <c r="S59" i="37"/>
  <c r="AF12" i="44"/>
  <c r="S8" i="38"/>
  <c r="S119" i="39"/>
  <c r="R227" i="39"/>
  <c r="T59" i="47"/>
  <c r="F21" i="39"/>
  <c r="S92" i="37"/>
  <c r="AG52" i="42"/>
  <c r="E10" i="38"/>
  <c r="AG35" i="44"/>
  <c r="R66" i="39"/>
  <c r="N70" i="49"/>
  <c r="C34" i="34"/>
  <c r="E16" i="41"/>
  <c r="S250" i="39"/>
  <c r="N340" i="49"/>
  <c r="R130" i="39"/>
  <c r="R96" i="33"/>
  <c r="Y51" i="49"/>
  <c r="Q13" i="40" a="1"/>
  <c r="R40" i="33"/>
  <c r="Q7" i="40"/>
  <c r="Q47" i="33"/>
  <c r="N266" i="49"/>
  <c r="AF75" i="42"/>
  <c r="Q336" i="33"/>
  <c r="R20" i="39"/>
  <c r="R183" i="37"/>
  <c r="R251" i="39"/>
  <c r="R190" i="37"/>
  <c r="R510" i="33"/>
  <c r="M18" i="41"/>
  <c r="AF113" i="42"/>
  <c r="O33" i="47"/>
  <c r="S41" i="38"/>
  <c r="A4" i="44"/>
  <c r="AG88" i="42"/>
  <c r="S21" i="37"/>
  <c r="R76" i="33"/>
  <c r="G23" i="39"/>
  <c r="AG178" i="42"/>
  <c r="S174" i="38"/>
  <c r="R5" i="40"/>
  <c r="R62" i="38"/>
  <c r="K20" i="43"/>
  <c r="S55" i="39"/>
  <c r="N117" i="49"/>
  <c r="S208" i="38"/>
  <c r="R99" i="33"/>
  <c r="O212" i="49"/>
  <c r="O21" i="47"/>
  <c r="R51" i="33"/>
  <c r="R442" i="33"/>
  <c r="R183" i="38"/>
  <c r="T162" i="49"/>
  <c r="AG101" i="43"/>
  <c r="Q351" i="33"/>
  <c r="R12" i="33"/>
  <c r="E29" i="42"/>
  <c r="S5" i="37"/>
  <c r="R288" i="33"/>
  <c r="R352" i="33"/>
  <c r="R147" i="37"/>
  <c r="R55" i="38"/>
  <c r="N15" i="41"/>
  <c r="R182" i="33"/>
  <c r="R142" i="38"/>
  <c r="S100" i="37"/>
  <c r="AF37" i="43"/>
  <c r="C19" i="39"/>
  <c r="T143" i="49"/>
  <c r="Q356" i="33"/>
  <c r="AG27" i="43"/>
  <c r="S199" i="39"/>
  <c r="S349" i="49"/>
  <c r="G83" i="34"/>
  <c r="S63" i="47"/>
  <c r="O12" i="47"/>
  <c r="N80" i="49"/>
  <c r="AF109" i="42"/>
  <c r="J12" i="47"/>
  <c r="S173" i="49"/>
  <c r="N84" i="49"/>
  <c r="S196" i="38"/>
  <c r="R250" i="33"/>
  <c r="N66" i="47"/>
  <c r="S301" i="49"/>
  <c r="AG57" i="43"/>
  <c r="AB13" i="45"/>
  <c r="R222" i="39"/>
  <c r="R58" i="39"/>
  <c r="AF238" i="42"/>
  <c r="R134" i="37"/>
  <c r="R105" i="33"/>
  <c r="AG70" i="43"/>
  <c r="R287" i="33"/>
  <c r="T9" i="44" a="1"/>
  <c r="R83" i="38"/>
  <c r="R394" i="33"/>
  <c r="B7" i="34"/>
  <c r="Q4" i="40"/>
  <c r="AF95" i="43"/>
  <c r="N25" i="49"/>
  <c r="E31" i="41"/>
  <c r="S145" i="38"/>
  <c r="N99" i="49"/>
  <c r="O356" i="49"/>
  <c r="AG161" i="42"/>
  <c r="N6" i="47"/>
  <c r="Z182" i="49"/>
  <c r="Z169" i="49"/>
  <c r="R107" i="37"/>
  <c r="Y249" i="49"/>
  <c r="AA54" i="49"/>
  <c r="N35" i="48"/>
  <c r="AM3" i="44"/>
  <c r="R206" i="33"/>
  <c r="T336" i="49"/>
  <c r="Q204" i="33"/>
  <c r="S2" i="14"/>
  <c r="J26" i="11"/>
  <c r="G8" i="12"/>
  <c r="F43" i="4"/>
  <c r="F71" i="4"/>
  <c r="F148" i="4"/>
  <c r="D97" i="34"/>
  <c r="C68" i="34"/>
  <c r="C11" i="34"/>
  <c r="G97" i="34"/>
  <c r="R164" i="38"/>
  <c r="G16" i="38"/>
  <c r="AF129" i="43"/>
  <c r="J39" i="24"/>
  <c r="R213" i="38"/>
  <c r="G56" i="34"/>
  <c r="D107" i="34"/>
  <c r="R111" i="38"/>
  <c r="R478" i="33"/>
  <c r="G19" i="34"/>
  <c r="R45" i="38"/>
  <c r="AF124" i="43"/>
  <c r="R86" i="33"/>
  <c r="Q405" i="33"/>
  <c r="D120" i="34"/>
  <c r="R205" i="37"/>
  <c r="I22" i="8"/>
  <c r="G65" i="34"/>
  <c r="AF7" i="42"/>
  <c r="B97" i="34"/>
  <c r="Q79" i="33"/>
  <c r="AF82" i="43"/>
  <c r="A9" i="35"/>
  <c r="Q199" i="33"/>
  <c r="AF53" i="43"/>
  <c r="AW2" i="34"/>
  <c r="R16" i="38"/>
  <c r="G4" i="45"/>
  <c r="R235" i="37"/>
  <c r="D22" i="41"/>
  <c r="R28" i="38"/>
  <c r="R184" i="33"/>
  <c r="F18" i="39"/>
  <c r="S189" i="39"/>
  <c r="R118" i="37"/>
  <c r="I10" i="37"/>
  <c r="AF128" i="42"/>
  <c r="I22" i="9"/>
  <c r="C116" i="34"/>
  <c r="AQ2" i="34"/>
  <c r="Q449" i="33"/>
  <c r="R148" i="39"/>
  <c r="C97" i="34"/>
  <c r="G15" i="38"/>
  <c r="R22" i="38"/>
  <c r="G8" i="34"/>
  <c r="AG66" i="42"/>
  <c r="R50" i="33"/>
  <c r="R456" i="33"/>
  <c r="S230" i="38"/>
  <c r="AG74" i="43"/>
  <c r="C113" i="34"/>
  <c r="R256" i="33"/>
  <c r="F280" i="4"/>
  <c r="R169" i="38"/>
  <c r="R257" i="39"/>
  <c r="G59" i="34"/>
  <c r="G50" i="34"/>
  <c r="S29" i="37"/>
  <c r="R23" i="37"/>
  <c r="AF70" i="42"/>
  <c r="R26" i="37"/>
  <c r="F12" i="37"/>
  <c r="R230" i="39"/>
  <c r="R466" i="33"/>
  <c r="AF128" i="43"/>
  <c r="AG197" i="42"/>
  <c r="R146" i="37"/>
  <c r="R328" i="33"/>
  <c r="G20" i="34"/>
  <c r="I8" i="25"/>
  <c r="R244" i="39"/>
  <c r="AF94" i="43"/>
  <c r="E7" i="37"/>
  <c r="R86" i="39"/>
  <c r="AF31" i="42"/>
  <c r="N4" i="36"/>
  <c r="AF121" i="42"/>
  <c r="S20" i="38"/>
  <c r="S43" i="37"/>
  <c r="S60" i="38"/>
  <c r="R154" i="37"/>
  <c r="U9" i="42" a="1"/>
  <c r="E26" i="42"/>
  <c r="R121" i="39"/>
  <c r="J24" i="24"/>
  <c r="AF194" i="42"/>
  <c r="S80" i="38"/>
  <c r="S19" i="37"/>
  <c r="R325" i="33"/>
  <c r="AG42" i="43"/>
  <c r="F6" i="42"/>
  <c r="S173" i="38"/>
  <c r="AF37" i="44"/>
  <c r="I16" i="39"/>
  <c r="R462" i="33"/>
  <c r="T354" i="49"/>
  <c r="S156" i="39"/>
  <c r="X112" i="49"/>
  <c r="R383" i="33"/>
  <c r="L4" i="30"/>
  <c r="S231" i="38"/>
  <c r="S107" i="37"/>
  <c r="AF83" i="42"/>
  <c r="R404" i="33"/>
  <c r="AF160" i="42"/>
  <c r="AG109" i="43"/>
  <c r="B116" i="34"/>
  <c r="S28" i="38"/>
  <c r="S127" i="49"/>
  <c r="R64" i="39"/>
  <c r="N376" i="49"/>
  <c r="E22" i="43"/>
  <c r="G6" i="38"/>
  <c r="S191" i="38"/>
  <c r="N353" i="49"/>
  <c r="R114" i="38"/>
  <c r="S125" i="39"/>
  <c r="Q3" i="45" a="1"/>
  <c r="Q503" i="33"/>
  <c r="S89" i="38"/>
  <c r="AF67" i="43"/>
  <c r="AF131" i="43"/>
  <c r="R4" i="39"/>
  <c r="S50" i="37"/>
  <c r="Q61" i="33"/>
  <c r="J11" i="38"/>
  <c r="R474" i="33"/>
  <c r="S57" i="38"/>
  <c r="M22" i="41"/>
  <c r="K22" i="43"/>
  <c r="K18" i="44"/>
  <c r="S170" i="37"/>
  <c r="N14" i="37"/>
  <c r="Q211" i="33"/>
  <c r="R485" i="33"/>
  <c r="AG81" i="42"/>
  <c r="S185" i="37"/>
  <c r="AG96" i="42"/>
  <c r="S138" i="37"/>
  <c r="N267" i="49"/>
  <c r="R262" i="38"/>
  <c r="R426" i="33"/>
  <c r="O76" i="47"/>
  <c r="O132" i="49"/>
  <c r="R134" i="33"/>
  <c r="AG194" i="42"/>
  <c r="AG56" i="43"/>
  <c r="R50" i="37"/>
  <c r="F214" i="4"/>
  <c r="G7" i="37"/>
  <c r="AF60" i="43"/>
  <c r="R16" i="37"/>
  <c r="R217" i="37"/>
  <c r="W2" i="34"/>
  <c r="F8" i="37"/>
  <c r="J43" i="24"/>
  <c r="S9" i="37"/>
  <c r="R75" i="39"/>
  <c r="R215" i="39"/>
  <c r="AG93" i="42"/>
  <c r="R18" i="37"/>
  <c r="S71" i="38"/>
  <c r="J3" i="37"/>
  <c r="AG37" i="43"/>
  <c r="N5" i="37"/>
  <c r="S175" i="38"/>
  <c r="R133" i="33"/>
  <c r="J17" i="44"/>
  <c r="AG50" i="42"/>
  <c r="R98" i="33"/>
  <c r="R147" i="38"/>
  <c r="G9" i="37"/>
  <c r="S103" i="38"/>
  <c r="N55" i="47"/>
  <c r="S337" i="49"/>
  <c r="D5" i="43"/>
  <c r="AG84" i="43"/>
  <c r="R430" i="33"/>
  <c r="J21" i="39"/>
  <c r="S143" i="38"/>
  <c r="Q146" i="33"/>
  <c r="S39" i="38"/>
  <c r="J17" i="38"/>
  <c r="AF136" i="42"/>
  <c r="M16" i="41"/>
  <c r="R114" i="39"/>
  <c r="AG179" i="42"/>
  <c r="G8" i="39"/>
  <c r="AG230" i="42"/>
  <c r="R97" i="38"/>
  <c r="F9" i="38"/>
  <c r="O79" i="47"/>
  <c r="R303" i="33"/>
  <c r="S173" i="39"/>
  <c r="E16" i="43"/>
  <c r="T309" i="49"/>
  <c r="R100" i="33"/>
  <c r="AA113" i="49"/>
  <c r="S24" i="47"/>
  <c r="S270" i="49"/>
  <c r="AF93" i="42"/>
  <c r="T250" i="49"/>
  <c r="N107" i="49"/>
  <c r="T262" i="49"/>
  <c r="S63" i="38"/>
  <c r="AB236" i="49"/>
  <c r="Y386" i="49"/>
  <c r="Z317" i="49"/>
  <c r="F38" i="35"/>
  <c r="J28" i="49"/>
  <c r="AB375" i="49"/>
  <c r="X227" i="49"/>
  <c r="G41" i="34"/>
  <c r="C99" i="34"/>
  <c r="C119" i="34"/>
  <c r="AF155" i="42"/>
  <c r="AG155" i="42"/>
  <c r="R189" i="33"/>
  <c r="AG228" i="42"/>
  <c r="R166" i="39"/>
  <c r="R75" i="33"/>
  <c r="O190" i="49"/>
  <c r="O74" i="47"/>
  <c r="Q318" i="33"/>
  <c r="R361" i="33"/>
  <c r="S251" i="38"/>
  <c r="F4" i="37"/>
  <c r="AG190" i="42"/>
  <c r="O39" i="47"/>
  <c r="AG162" i="42"/>
  <c r="R198" i="33"/>
  <c r="T4" i="40"/>
  <c r="J69" i="47"/>
  <c r="S226" i="39"/>
  <c r="S37" i="39"/>
  <c r="R8" i="40"/>
  <c r="R71" i="38"/>
  <c r="S126" i="39"/>
  <c r="S3" i="49"/>
  <c r="S120" i="37"/>
  <c r="T9" i="43" a="1"/>
  <c r="AG17" i="44"/>
  <c r="N16" i="38"/>
  <c r="X320" i="49"/>
  <c r="R213" i="39"/>
  <c r="R9" i="38"/>
  <c r="R257" i="37"/>
  <c r="F9" i="37"/>
  <c r="S242" i="39"/>
  <c r="D6" i="44"/>
  <c r="L19" i="44"/>
  <c r="S124" i="38"/>
  <c r="AG145" i="42"/>
  <c r="S36" i="39"/>
  <c r="AF48" i="42"/>
  <c r="S193" i="37"/>
  <c r="S144" i="38"/>
  <c r="R337" i="33"/>
  <c r="N36" i="49"/>
  <c r="J10" i="10"/>
  <c r="Q50" i="33"/>
  <c r="B114" i="34"/>
  <c r="M13" i="33"/>
  <c r="J11" i="8"/>
  <c r="Q100" i="33"/>
  <c r="F61" i="4"/>
  <c r="J36" i="11"/>
  <c r="I5" i="38"/>
  <c r="AF18" i="42"/>
  <c r="S20" i="37"/>
  <c r="R137" i="33"/>
  <c r="AG38" i="43"/>
  <c r="R9" i="40"/>
  <c r="F181" i="4"/>
  <c r="H7" i="37"/>
  <c r="R57" i="37"/>
  <c r="I14" i="7"/>
  <c r="C58" i="34"/>
  <c r="Q321" i="33"/>
  <c r="E15" i="43"/>
  <c r="G10" i="39"/>
  <c r="R369" i="33"/>
  <c r="AG87" i="43"/>
  <c r="R389" i="33"/>
  <c r="E13" i="38"/>
  <c r="Q223" i="33"/>
  <c r="S39" i="37"/>
  <c r="AF15" i="43"/>
  <c r="T28" i="47"/>
  <c r="Z202" i="49"/>
  <c r="AF117" i="43"/>
  <c r="S40" i="37"/>
  <c r="G14" i="39"/>
  <c r="I21" i="38"/>
  <c r="AF254" i="42"/>
  <c r="S122" i="37"/>
  <c r="AG58" i="43"/>
  <c r="R313" i="33"/>
  <c r="R163" i="33"/>
  <c r="S187" i="39"/>
  <c r="M14" i="33"/>
  <c r="M3" i="40"/>
  <c r="R258" i="38"/>
  <c r="R184" i="38"/>
  <c r="R271" i="33"/>
  <c r="R99" i="37"/>
  <c r="R229" i="37"/>
  <c r="R83" i="33"/>
  <c r="H18" i="45"/>
  <c r="AF46" i="43"/>
  <c r="G4" i="43"/>
  <c r="AG243" i="42"/>
  <c r="I16" i="36"/>
  <c r="F3" i="44"/>
  <c r="AF13" i="43"/>
  <c r="R138" i="37"/>
  <c r="R210" i="38"/>
  <c r="M6" i="40"/>
  <c r="R225" i="33"/>
  <c r="R495" i="33"/>
  <c r="R94" i="33"/>
  <c r="R96" i="38"/>
  <c r="N43" i="47"/>
  <c r="AG98" i="42"/>
  <c r="F36" i="4"/>
  <c r="B67" i="34"/>
  <c r="AF36" i="44"/>
  <c r="AC16" i="45"/>
  <c r="R205" i="33"/>
  <c r="AC10" i="45"/>
  <c r="R40" i="37"/>
  <c r="R17" i="39"/>
  <c r="R163" i="38"/>
  <c r="AC4" i="45"/>
  <c r="AG62" i="43"/>
  <c r="AB51" i="49"/>
  <c r="O73" i="47"/>
  <c r="O55" i="49"/>
  <c r="U13" i="43" a="1"/>
  <c r="R79" i="39"/>
  <c r="U7" i="40"/>
  <c r="R32" i="33"/>
  <c r="Q379" i="33"/>
  <c r="S213" i="37"/>
  <c r="AG72" i="43"/>
  <c r="R492" i="33"/>
  <c r="S198" i="39"/>
  <c r="U3" i="44" a="1"/>
  <c r="AF79" i="43"/>
  <c r="AI3" i="45"/>
  <c r="S214" i="38"/>
  <c r="R493" i="33"/>
  <c r="S184" i="49"/>
  <c r="S32" i="37"/>
  <c r="S215" i="38"/>
  <c r="AG55" i="44"/>
  <c r="AF8" i="44"/>
  <c r="S248" i="37"/>
  <c r="T166" i="49"/>
  <c r="R210" i="37"/>
  <c r="E21" i="38"/>
  <c r="S254" i="38"/>
  <c r="R380" i="33"/>
  <c r="AF14" i="42"/>
  <c r="N305" i="49"/>
  <c r="R240" i="33"/>
  <c r="Y332" i="49"/>
  <c r="R121" i="33"/>
  <c r="N351" i="49"/>
  <c r="R130" i="38"/>
  <c r="N27" i="49"/>
  <c r="I10" i="9"/>
  <c r="D73" i="34"/>
  <c r="AF78" i="43"/>
  <c r="L17" i="44"/>
  <c r="R335" i="33"/>
  <c r="S187" i="37"/>
  <c r="R87" i="38"/>
  <c r="AF174" i="42"/>
  <c r="R260" i="33"/>
  <c r="S130" i="38"/>
  <c r="R312" i="33"/>
  <c r="R84" i="33"/>
  <c r="C83" i="34"/>
  <c r="D2" i="6"/>
  <c r="Q234" i="33"/>
  <c r="B121" i="34"/>
  <c r="Q237" i="33"/>
  <c r="G96" i="34"/>
  <c r="B107" i="34"/>
  <c r="S198" i="38"/>
  <c r="J33" i="10"/>
  <c r="I5" i="46"/>
  <c r="F92" i="4"/>
  <c r="B23" i="34"/>
  <c r="F249" i="4"/>
  <c r="S89" i="37"/>
  <c r="Q347" i="33"/>
  <c r="Q231" i="33"/>
  <c r="Q184" i="33"/>
  <c r="C74" i="34"/>
  <c r="R236" i="38"/>
  <c r="AF8" i="42"/>
  <c r="R209" i="33"/>
  <c r="S91" i="39"/>
  <c r="N133" i="49"/>
  <c r="R103" i="38"/>
  <c r="AB4" i="45"/>
  <c r="AF55" i="44"/>
  <c r="R91" i="37"/>
  <c r="R143" i="39"/>
  <c r="R66" i="37"/>
  <c r="L28" i="42"/>
  <c r="AG132" i="43"/>
  <c r="R158" i="33"/>
  <c r="I11" i="11"/>
  <c r="AD29" i="24"/>
  <c r="Q468" i="33"/>
  <c r="C9" i="34"/>
  <c r="R159" i="37"/>
  <c r="G128" i="34"/>
  <c r="S136" i="37"/>
  <c r="R137" i="39"/>
  <c r="G41" i="24"/>
  <c r="R133" i="39"/>
  <c r="Q251" i="33"/>
  <c r="Q29" i="33"/>
  <c r="R192" i="37"/>
  <c r="R89" i="39"/>
  <c r="J14" i="37"/>
  <c r="AF64" i="44"/>
  <c r="D104" i="34"/>
  <c r="R22" i="39"/>
  <c r="S112" i="37"/>
  <c r="AF156" i="42"/>
  <c r="H17" i="45"/>
  <c r="I14" i="39"/>
  <c r="AG65" i="43"/>
  <c r="AF13" i="42"/>
  <c r="J22" i="24"/>
  <c r="Q217" i="33"/>
  <c r="AF135" i="42"/>
  <c r="AF76" i="42"/>
  <c r="N281" i="49"/>
  <c r="R101" i="37"/>
  <c r="M13" i="41"/>
  <c r="K20" i="44"/>
  <c r="AG29" i="42"/>
  <c r="J7" i="24"/>
  <c r="AF30" i="43"/>
  <c r="T7" i="40"/>
  <c r="R99" i="38"/>
  <c r="AF64" i="43"/>
  <c r="R102" i="37"/>
  <c r="E21" i="41"/>
  <c r="N13" i="38"/>
  <c r="R308" i="33"/>
  <c r="J18" i="49"/>
  <c r="S85" i="38"/>
  <c r="R30" i="37"/>
  <c r="AG188" i="42"/>
  <c r="T93" i="49"/>
  <c r="R455" i="33"/>
  <c r="R34" i="33"/>
  <c r="G125" i="34"/>
  <c r="B106" i="34"/>
  <c r="R48" i="38"/>
  <c r="S96" i="38"/>
  <c r="E5" i="39"/>
  <c r="S181" i="38"/>
  <c r="G5" i="44"/>
  <c r="J16" i="44"/>
  <c r="S248" i="38"/>
  <c r="S220" i="37"/>
  <c r="R111" i="33"/>
  <c r="AG220" i="42"/>
  <c r="R258" i="39"/>
  <c r="F17" i="45"/>
  <c r="AB62" i="49"/>
  <c r="AG113" i="43"/>
  <c r="F11" i="38"/>
  <c r="R180" i="33"/>
  <c r="R256" i="39"/>
  <c r="E4" i="41"/>
  <c r="R249" i="39"/>
  <c r="AG182" i="42"/>
  <c r="H15" i="37"/>
  <c r="T9" i="40"/>
  <c r="Z231" i="49"/>
  <c r="F7" i="39"/>
  <c r="N280" i="49"/>
  <c r="L16" i="43"/>
  <c r="AA62" i="49"/>
  <c r="AF30" i="44"/>
  <c r="T167" i="49"/>
  <c r="J28" i="7"/>
  <c r="R153" i="37"/>
  <c r="R89" i="37"/>
  <c r="AG101" i="42"/>
  <c r="N18" i="38"/>
  <c r="G15" i="45"/>
  <c r="I20" i="39"/>
  <c r="AG52" i="44"/>
  <c r="R219" i="33"/>
  <c r="AA221" i="49"/>
  <c r="C23" i="39"/>
  <c r="X359" i="49"/>
  <c r="F31" i="35"/>
  <c r="J11" i="11"/>
  <c r="I28" i="8"/>
  <c r="F32" i="24"/>
  <c r="D67" i="34"/>
  <c r="I4" i="7"/>
  <c r="C43" i="34"/>
  <c r="AF162" i="42"/>
  <c r="Q62" i="33"/>
  <c r="M38" i="41"/>
  <c r="Q75" i="33"/>
  <c r="E16" i="39"/>
  <c r="C82" i="34"/>
  <c r="S98" i="37"/>
  <c r="F141" i="4"/>
  <c r="R46" i="39"/>
  <c r="AF11" i="42"/>
  <c r="AB5" i="45"/>
  <c r="BC2" i="34"/>
  <c r="R21" i="38"/>
  <c r="Q501" i="33"/>
  <c r="S4" i="37"/>
  <c r="S166" i="37"/>
  <c r="AG39" i="43"/>
  <c r="AG245" i="42"/>
  <c r="R175" i="38"/>
  <c r="R77" i="37"/>
  <c r="G9" i="39"/>
  <c r="G21" i="39"/>
  <c r="F30" i="24"/>
  <c r="R108" i="38"/>
  <c r="R119" i="37"/>
  <c r="F11" i="4"/>
  <c r="R152" i="37"/>
  <c r="B122" i="34"/>
  <c r="C126" i="34"/>
  <c r="F17" i="38"/>
  <c r="BK2" i="34"/>
  <c r="C112" i="34"/>
  <c r="K15" i="43"/>
  <c r="G36" i="24"/>
  <c r="D33" i="41"/>
  <c r="J45" i="24"/>
  <c r="F29" i="35"/>
  <c r="B88" i="34"/>
  <c r="Q197" i="33"/>
  <c r="B119" i="34"/>
  <c r="R161" i="38"/>
  <c r="C96" i="34"/>
  <c r="E7" i="43"/>
  <c r="AF180" i="42"/>
  <c r="AG210" i="42"/>
  <c r="R142" i="39"/>
  <c r="R326" i="33"/>
  <c r="R14" i="33"/>
  <c r="AG176" i="42"/>
  <c r="F5" i="37"/>
  <c r="AF24" i="44"/>
  <c r="G21" i="38"/>
  <c r="S23" i="37"/>
  <c r="AG208" i="42"/>
  <c r="R367" i="33"/>
  <c r="S232" i="38"/>
  <c r="S49" i="38"/>
  <c r="AG154" i="42"/>
  <c r="Q314" i="33"/>
  <c r="G78" i="34"/>
  <c r="S178" i="37"/>
  <c r="R230" i="37"/>
  <c r="R401" i="33"/>
  <c r="M26" i="41"/>
  <c r="AF77" i="42"/>
  <c r="R56" i="38"/>
  <c r="S129" i="37"/>
  <c r="N249" i="49"/>
  <c r="AF208" i="42"/>
  <c r="S216" i="38"/>
  <c r="S55" i="37"/>
  <c r="R113" i="37"/>
  <c r="S62" i="39"/>
  <c r="AF245" i="42"/>
  <c r="S141" i="37"/>
  <c r="R51" i="38"/>
  <c r="AG36" i="44"/>
  <c r="AG9" i="42"/>
  <c r="Q459" i="33"/>
  <c r="C64" i="34"/>
  <c r="R120" i="37"/>
  <c r="G124" i="34"/>
  <c r="N6" i="39"/>
  <c r="I11" i="37"/>
  <c r="N388" i="49"/>
  <c r="R38" i="37"/>
  <c r="S225" i="39"/>
  <c r="H3" i="43"/>
  <c r="N243" i="49"/>
  <c r="I20" i="9"/>
  <c r="AF195" i="42"/>
  <c r="G113" i="34"/>
  <c r="R153" i="39"/>
  <c r="S221" i="38"/>
  <c r="S251" i="37"/>
  <c r="S57" i="37"/>
  <c r="AF126" i="43"/>
  <c r="J18" i="44"/>
  <c r="M6" i="41"/>
  <c r="R345" i="33"/>
  <c r="R43" i="33"/>
  <c r="R155" i="33"/>
  <c r="S138" i="39"/>
  <c r="AF23" i="43"/>
  <c r="R215" i="38"/>
  <c r="B3" i="6"/>
  <c r="E14" i="38"/>
  <c r="I7" i="38"/>
  <c r="AG165" i="42"/>
  <c r="AG80" i="42"/>
  <c r="E4" i="42"/>
  <c r="P3" i="45" a="1"/>
  <c r="AG119" i="43"/>
  <c r="S223" i="38"/>
  <c r="O252" i="49"/>
  <c r="R465" i="33"/>
  <c r="Z167" i="49"/>
  <c r="I14" i="24"/>
  <c r="Q447" i="33"/>
  <c r="F117" i="4"/>
  <c r="B53" i="34"/>
  <c r="B90" i="34"/>
  <c r="C125" i="34"/>
  <c r="G114" i="34"/>
  <c r="D68" i="34"/>
  <c r="Q381" i="33"/>
  <c r="R192" i="39"/>
  <c r="Q203" i="33"/>
  <c r="I17" i="38"/>
  <c r="C8" i="34"/>
  <c r="F138" i="4"/>
  <c r="R149" i="39"/>
  <c r="R439" i="33"/>
  <c r="D28" i="41"/>
  <c r="AF211" i="42"/>
  <c r="B5" i="34"/>
  <c r="C73" i="34"/>
  <c r="AF12" i="43"/>
  <c r="R135" i="38"/>
  <c r="R237" i="37"/>
  <c r="R249" i="33"/>
  <c r="R212" i="39"/>
  <c r="G42" i="34"/>
  <c r="P5" i="40"/>
  <c r="AF158" i="42"/>
  <c r="R159" i="39"/>
  <c r="L25" i="42"/>
  <c r="E10" i="39"/>
  <c r="I9" i="39"/>
  <c r="AF139" i="42"/>
  <c r="S212" i="38"/>
  <c r="Q433" i="33"/>
  <c r="J38" i="35"/>
  <c r="R33" i="33"/>
  <c r="S146" i="38"/>
  <c r="AF232" i="42"/>
  <c r="R140" i="33"/>
  <c r="B59" i="34"/>
  <c r="AF27" i="43"/>
  <c r="R42" i="39"/>
  <c r="S77" i="37"/>
  <c r="R189" i="37"/>
  <c r="R216" i="38"/>
  <c r="P8" i="40"/>
  <c r="S236" i="38"/>
  <c r="AF92" i="42"/>
  <c r="R122" i="37"/>
  <c r="C22" i="39"/>
  <c r="AG98" i="43"/>
  <c r="R331" i="33"/>
  <c r="O87" i="49"/>
  <c r="N325" i="49"/>
  <c r="AG95" i="42"/>
  <c r="E5" i="38"/>
  <c r="R10" i="33"/>
  <c r="AG23" i="43"/>
  <c r="R124" i="33"/>
  <c r="I4" i="52"/>
  <c r="S46" i="39"/>
  <c r="AG40" i="43"/>
  <c r="AA310" i="49"/>
  <c r="Y153" i="49"/>
  <c r="F36" i="35"/>
  <c r="R105" i="38"/>
  <c r="G4" i="39"/>
  <c r="N8" i="37"/>
  <c r="S60" i="37"/>
  <c r="AG32" i="44"/>
  <c r="S142" i="38"/>
  <c r="R151" i="33"/>
  <c r="S137" i="39"/>
  <c r="R30" i="39"/>
  <c r="Z382" i="49"/>
  <c r="R152" i="38"/>
  <c r="T282" i="49"/>
  <c r="S237" i="37"/>
  <c r="AG17" i="43"/>
  <c r="J42" i="24"/>
  <c r="S252" i="37"/>
  <c r="G46" i="34"/>
  <c r="BG2" i="34"/>
  <c r="R405" i="33"/>
  <c r="AF210" i="42"/>
  <c r="E18" i="45"/>
  <c r="M27" i="41"/>
  <c r="R176" i="39"/>
  <c r="R232" i="33"/>
  <c r="D12" i="41"/>
  <c r="Y127" i="49"/>
  <c r="X130" i="49"/>
  <c r="N26" i="47"/>
  <c r="R385" i="33"/>
  <c r="N15" i="38"/>
  <c r="G89" i="34"/>
  <c r="AF4" i="44"/>
  <c r="N11" i="39"/>
  <c r="R35" i="38"/>
  <c r="R49" i="33"/>
  <c r="N15" i="39"/>
  <c r="S35" i="47"/>
  <c r="R460" i="33"/>
  <c r="Y334" i="49"/>
  <c r="T173" i="49"/>
  <c r="S257" i="49"/>
  <c r="X146" i="49"/>
  <c r="Q3" i="34"/>
  <c r="AA111" i="49"/>
  <c r="O355" i="49"/>
  <c r="T32" i="49"/>
  <c r="B126" i="34"/>
  <c r="Q132" i="33"/>
  <c r="R402" i="33"/>
  <c r="S160" i="37"/>
  <c r="R223" i="39"/>
  <c r="X237" i="49"/>
  <c r="AA147" i="49"/>
  <c r="X35" i="49"/>
  <c r="N52" i="49"/>
  <c r="X177" i="49"/>
  <c r="S231" i="49"/>
  <c r="M32" i="41"/>
  <c r="AA109" i="49"/>
  <c r="X38" i="49"/>
  <c r="H8" i="39"/>
  <c r="B30" i="34"/>
  <c r="F272" i="4"/>
  <c r="J23" i="35"/>
  <c r="E11" i="38"/>
  <c r="F246" i="4"/>
  <c r="F12" i="24"/>
  <c r="G105" i="34"/>
  <c r="Q14" i="33"/>
  <c r="G95" i="34"/>
  <c r="S132" i="37"/>
  <c r="R50" i="38"/>
  <c r="AG126" i="42"/>
  <c r="D5" i="24" a="1"/>
  <c r="Q207" i="33"/>
  <c r="R79" i="37"/>
  <c r="R239" i="33"/>
  <c r="F27" i="4"/>
  <c r="H4" i="45"/>
  <c r="C20" i="39"/>
  <c r="F8" i="38"/>
  <c r="F31" i="24"/>
  <c r="H8" i="38"/>
  <c r="R179" i="38"/>
  <c r="R204" i="38"/>
  <c r="C91" i="34"/>
  <c r="R64" i="38"/>
  <c r="E28" i="41"/>
  <c r="S10" i="37"/>
  <c r="R198" i="38"/>
  <c r="R109" i="37"/>
  <c r="S244" i="39"/>
  <c r="AG174" i="42"/>
  <c r="S244" i="37"/>
  <c r="B34" i="34"/>
  <c r="C72" i="34"/>
  <c r="L17" i="42"/>
  <c r="AG41" i="42"/>
  <c r="N290" i="49"/>
  <c r="AB237" i="49"/>
  <c r="AG240" i="42"/>
  <c r="F205" i="4"/>
  <c r="AF32" i="44"/>
  <c r="S64" i="37"/>
  <c r="AG114" i="43"/>
  <c r="AF68" i="42"/>
  <c r="R117" i="33"/>
  <c r="R19" i="38"/>
  <c r="AG24" i="43"/>
  <c r="I4" i="10"/>
  <c r="R246" i="39"/>
  <c r="E15" i="45"/>
  <c r="R98" i="37"/>
  <c r="S190" i="38"/>
  <c r="R162" i="37"/>
  <c r="H15" i="39"/>
  <c r="AC11" i="45"/>
  <c r="I27" i="7"/>
  <c r="D14" i="41"/>
  <c r="G4" i="44"/>
  <c r="R496" i="33"/>
  <c r="S69" i="39"/>
  <c r="T9" i="42" a="1"/>
  <c r="R142" i="37"/>
  <c r="AA156" i="49"/>
  <c r="X387" i="49"/>
  <c r="AF7" i="44"/>
  <c r="Z255" i="49"/>
  <c r="R262" i="33"/>
  <c r="I19" i="38"/>
  <c r="R191" i="37"/>
  <c r="R201" i="38"/>
  <c r="AG54" i="42"/>
  <c r="H6" i="44"/>
  <c r="R193" i="37"/>
  <c r="R183" i="33"/>
  <c r="AC5" i="45"/>
  <c r="R243" i="39"/>
  <c r="S192" i="39"/>
  <c r="R329" i="33"/>
  <c r="G66" i="34"/>
  <c r="AB16" i="45"/>
  <c r="R97" i="37"/>
  <c r="S235" i="39"/>
  <c r="X86" i="49"/>
  <c r="N378" i="49"/>
  <c r="I23" i="39"/>
  <c r="AB270" i="49"/>
  <c r="Y15" i="49"/>
  <c r="N274" i="49"/>
  <c r="R245" i="33"/>
  <c r="N134" i="49"/>
  <c r="J30" i="47"/>
  <c r="O112" i="49"/>
  <c r="S158" i="38"/>
  <c r="R363" i="33"/>
  <c r="N100" i="49"/>
  <c r="O209" i="49"/>
  <c r="S127" i="39"/>
  <c r="R141" i="38"/>
  <c r="E19" i="38"/>
  <c r="S188" i="37"/>
  <c r="S233" i="37"/>
  <c r="AG104" i="42"/>
  <c r="R69" i="37"/>
  <c r="AG4" i="44"/>
  <c r="S137" i="38"/>
  <c r="J20" i="44"/>
  <c r="S70" i="47"/>
  <c r="S259" i="38"/>
  <c r="R263" i="33"/>
  <c r="S102" i="37"/>
  <c r="R213" i="33"/>
  <c r="S18" i="39"/>
  <c r="N149" i="49"/>
  <c r="AG12" i="43"/>
  <c r="I11" i="38"/>
  <c r="Y204" i="49"/>
  <c r="Q65" i="33"/>
  <c r="S117" i="39"/>
  <c r="AG217" i="42"/>
  <c r="S63" i="37"/>
  <c r="R241" i="37"/>
  <c r="N19" i="39"/>
  <c r="R285" i="33"/>
  <c r="J23" i="39"/>
  <c r="Y233" i="49"/>
  <c r="R355" i="33"/>
  <c r="H5" i="45"/>
  <c r="X140" i="49"/>
  <c r="S40" i="47"/>
  <c r="E29" i="41"/>
  <c r="T289" i="49"/>
  <c r="AA60" i="49"/>
  <c r="Q305" i="33"/>
  <c r="D85" i="34"/>
  <c r="AF42" i="44"/>
  <c r="S50" i="38"/>
  <c r="S66" i="38"/>
  <c r="O23" i="47"/>
  <c r="S388" i="49"/>
  <c r="H4" i="43"/>
  <c r="J45" i="49"/>
  <c r="Z62" i="49"/>
  <c r="S169" i="38"/>
  <c r="S28" i="48"/>
  <c r="S234" i="38"/>
  <c r="X49" i="49"/>
  <c r="AB281" i="49"/>
  <c r="T180" i="49"/>
  <c r="N50" i="49"/>
  <c r="S88" i="37"/>
  <c r="N261" i="49"/>
  <c r="Q382" i="33"/>
  <c r="J24" i="42"/>
  <c r="Z71" i="49"/>
  <c r="Y121" i="49"/>
  <c r="AB6" i="49"/>
  <c r="S194" i="37"/>
  <c r="O316" i="49"/>
  <c r="N196" i="49"/>
  <c r="Z57" i="49"/>
  <c r="N76" i="49"/>
  <c r="AB128" i="49"/>
  <c r="T3" i="44" a="1"/>
  <c r="AA244" i="49"/>
  <c r="R196" i="39"/>
  <c r="AB9" i="45"/>
  <c r="R226" i="38"/>
  <c r="R481" i="33"/>
  <c r="R453" i="33"/>
  <c r="R144" i="39"/>
  <c r="Z349" i="49"/>
  <c r="AB126" i="49"/>
  <c r="O7" i="47"/>
  <c r="S177" i="37"/>
  <c r="E4" i="39"/>
  <c r="S168" i="38"/>
  <c r="R145" i="33"/>
  <c r="S257" i="39"/>
  <c r="Y326" i="49"/>
  <c r="S133" i="37"/>
  <c r="M40" i="41"/>
  <c r="AB302" i="49"/>
  <c r="AA271" i="49"/>
  <c r="S253" i="38"/>
  <c r="Y26" i="49"/>
  <c r="J16" i="39"/>
  <c r="O322" i="49"/>
  <c r="F4" i="44"/>
  <c r="N293" i="49"/>
  <c r="R278" i="33"/>
  <c r="AB72" i="49"/>
  <c r="P7" i="40"/>
  <c r="S118" i="39"/>
  <c r="S374" i="49"/>
  <c r="Y99" i="49"/>
  <c r="AA76" i="48"/>
  <c r="R108" i="37"/>
  <c r="S85" i="37"/>
  <c r="AC12" i="45"/>
  <c r="AF101" i="42"/>
  <c r="F7" i="44"/>
  <c r="AF120" i="43"/>
  <c r="O173" i="49"/>
  <c r="S49" i="39"/>
  <c r="E9" i="37"/>
  <c r="O49" i="49"/>
  <c r="K5" i="44"/>
  <c r="O346" i="49"/>
  <c r="S194" i="39"/>
  <c r="Z162" i="49"/>
  <c r="R440" i="33"/>
  <c r="T352" i="49"/>
  <c r="R468" i="33"/>
  <c r="N5" i="39"/>
  <c r="Y310" i="49"/>
  <c r="AF107" i="42"/>
  <c r="S257" i="38"/>
  <c r="X240" i="49"/>
  <c r="S300" i="49"/>
  <c r="D101" i="34"/>
  <c r="AG256" i="42"/>
  <c r="Z204" i="49"/>
  <c r="X271" i="49"/>
  <c r="Z132" i="49"/>
  <c r="Y96" i="49"/>
  <c r="Y372" i="49"/>
  <c r="S185" i="39"/>
  <c r="X42" i="49"/>
  <c r="T307" i="49"/>
  <c r="R206" i="38"/>
  <c r="R151" i="38"/>
  <c r="N12" i="38"/>
  <c r="S159" i="37"/>
  <c r="X104" i="49"/>
  <c r="AG137" i="42"/>
  <c r="Q208" i="33"/>
  <c r="AA40" i="49"/>
  <c r="E22" i="41"/>
  <c r="C17" i="34"/>
  <c r="E20" i="43"/>
  <c r="Q44" i="33"/>
  <c r="AG105" i="43"/>
  <c r="N60" i="49"/>
  <c r="AF53" i="42"/>
  <c r="T188" i="49"/>
  <c r="O3" i="45" a="1"/>
  <c r="S3" i="39"/>
  <c r="F14" i="39"/>
  <c r="F24" i="39"/>
  <c r="N36" i="47"/>
  <c r="S206" i="38"/>
  <c r="K4" i="44"/>
  <c r="AG59" i="44"/>
  <c r="R421" i="33"/>
  <c r="F122" i="4"/>
  <c r="F63" i="4"/>
  <c r="Q388" i="33"/>
  <c r="AF154" i="42"/>
  <c r="S197" i="37"/>
  <c r="Q153" i="33"/>
  <c r="F7" i="4"/>
  <c r="I19" i="24"/>
  <c r="I34" i="9"/>
  <c r="P4" i="40"/>
  <c r="H7" i="43"/>
  <c r="AG219" i="42"/>
  <c r="Q21" i="33"/>
  <c r="R211" i="37"/>
  <c r="E18" i="44"/>
  <c r="J14" i="39"/>
  <c r="I16" i="10"/>
  <c r="D111" i="34"/>
  <c r="AG199" i="42"/>
  <c r="G3" i="39"/>
  <c r="D49" i="34"/>
  <c r="R176" i="37"/>
  <c r="K21" i="43"/>
  <c r="R37" i="33"/>
  <c r="Q310" i="33"/>
  <c r="R346" i="33"/>
  <c r="S56" i="39"/>
  <c r="S7" i="39"/>
  <c r="AF115" i="42"/>
  <c r="C71" i="34"/>
  <c r="J34" i="35"/>
  <c r="S61" i="39"/>
  <c r="R242" i="33"/>
  <c r="S84" i="37"/>
  <c r="D10" i="41"/>
  <c r="R231" i="38"/>
  <c r="S132" i="38"/>
  <c r="D9" i="34"/>
  <c r="L3" i="42"/>
  <c r="AG40" i="42"/>
  <c r="Q124" i="33"/>
  <c r="S66" i="37"/>
  <c r="R95" i="33"/>
  <c r="R341" i="33"/>
  <c r="I16" i="38"/>
  <c r="AG107" i="42"/>
  <c r="I15" i="36"/>
  <c r="R178" i="33"/>
  <c r="C18" i="34"/>
  <c r="T26" i="40"/>
  <c r="AG5" i="42"/>
  <c r="R458" i="33"/>
  <c r="R484" i="33"/>
  <c r="S20" i="47"/>
  <c r="S92" i="49"/>
  <c r="R214" i="33"/>
  <c r="Q120" i="33"/>
  <c r="R222" i="37"/>
  <c r="X315" i="49"/>
  <c r="AA72" i="49"/>
  <c r="AF209" i="42"/>
  <c r="AG43" i="44"/>
  <c r="R166" i="33"/>
  <c r="S217" i="39"/>
  <c r="R240" i="38"/>
  <c r="T273" i="49"/>
  <c r="Y120" i="49"/>
  <c r="J6" i="38"/>
  <c r="AF242" i="42"/>
  <c r="R73" i="38"/>
  <c r="D125" i="34"/>
  <c r="AF54" i="44"/>
  <c r="L4" i="43"/>
  <c r="E17" i="43"/>
  <c r="S17" i="38"/>
  <c r="R150" i="33"/>
  <c r="G6" i="37"/>
  <c r="N338" i="49"/>
  <c r="R201" i="33"/>
  <c r="R205" i="39"/>
  <c r="G16" i="45"/>
  <c r="AB26" i="45"/>
  <c r="T213" i="49"/>
  <c r="N94" i="49"/>
  <c r="X134" i="49"/>
  <c r="R4" i="33"/>
  <c r="P3" i="40"/>
  <c r="AB136" i="49"/>
  <c r="S387" i="49"/>
  <c r="R224" i="33"/>
  <c r="AG141" i="42"/>
  <c r="S132" i="49"/>
  <c r="S348" i="49"/>
  <c r="R68" i="33"/>
  <c r="Y164" i="49"/>
  <c r="S140" i="49"/>
  <c r="X378" i="49"/>
  <c r="K11" i="33"/>
  <c r="AF247" i="42"/>
  <c r="G4" i="38"/>
  <c r="R254" i="39"/>
  <c r="R85" i="38"/>
  <c r="AG248" i="42"/>
  <c r="R175" i="39"/>
  <c r="E38" i="41"/>
  <c r="AG78" i="42"/>
  <c r="AG100" i="43"/>
  <c r="R72" i="38"/>
  <c r="S147" i="38"/>
  <c r="B20" i="34"/>
  <c r="N72" i="47"/>
  <c r="R187" i="37"/>
  <c r="S226" i="38"/>
  <c r="AG237" i="42"/>
  <c r="S88" i="39"/>
  <c r="S9" i="39"/>
  <c r="S202" i="39"/>
  <c r="R10" i="39"/>
  <c r="D7" i="42"/>
  <c r="N75" i="47"/>
  <c r="Z391" i="49"/>
  <c r="R38" i="38"/>
  <c r="K5" i="43"/>
  <c r="S33" i="47"/>
  <c r="N178" i="49"/>
  <c r="R87" i="37"/>
  <c r="AA149" i="49"/>
  <c r="R476" i="33"/>
  <c r="R275" i="33"/>
  <c r="R156" i="39"/>
  <c r="Z172" i="49"/>
  <c r="AG77" i="42"/>
  <c r="AB320" i="49"/>
  <c r="AF17" i="44"/>
  <c r="R221" i="39"/>
  <c r="G57" i="34"/>
  <c r="R167" i="39"/>
  <c r="G15" i="39"/>
  <c r="AB231" i="49"/>
  <c r="S269" i="49"/>
  <c r="AA173" i="49"/>
  <c r="O347" i="49"/>
  <c r="T55" i="48"/>
  <c r="AB291" i="49"/>
  <c r="K28" i="42"/>
  <c r="R215" i="37"/>
  <c r="AG216" i="42"/>
  <c r="AB189" i="49"/>
  <c r="Z21" i="48"/>
  <c r="O202" i="49"/>
  <c r="Y289" i="49"/>
  <c r="O200" i="49"/>
  <c r="AG27" i="42"/>
  <c r="N254" i="49"/>
  <c r="R127" i="33"/>
  <c r="AB182" i="49"/>
  <c r="AF168" i="42"/>
  <c r="X87" i="49"/>
  <c r="S83" i="37"/>
  <c r="S298" i="49"/>
  <c r="Q250" i="33"/>
  <c r="R441" i="33"/>
  <c r="Y101" i="49"/>
  <c r="O249" i="49"/>
  <c r="T130" i="49"/>
  <c r="R172" i="37"/>
  <c r="R33" i="38"/>
  <c r="C16" i="39"/>
  <c r="R191" i="39"/>
  <c r="R301" i="33"/>
  <c r="N166" i="49"/>
  <c r="N109" i="49"/>
  <c r="Z369" i="49"/>
  <c r="AF20" i="49"/>
  <c r="S76" i="47"/>
  <c r="N101" i="49"/>
  <c r="T164" i="49"/>
  <c r="AI12" i="49"/>
  <c r="Z72" i="49"/>
  <c r="O255" i="49"/>
  <c r="AA364" i="49"/>
  <c r="AF83" i="43"/>
  <c r="N3" i="37"/>
  <c r="N52" i="48"/>
  <c r="F20" i="39"/>
  <c r="AF17" i="42"/>
  <c r="T182" i="49"/>
  <c r="Z44" i="49"/>
  <c r="AF49" i="44"/>
  <c r="X385" i="49"/>
  <c r="AB337" i="49"/>
  <c r="T96" i="50"/>
  <c r="AG64" i="42"/>
  <c r="X171" i="49"/>
  <c r="J22" i="47"/>
  <c r="X128" i="49"/>
  <c r="O126" i="49"/>
  <c r="R56" i="33"/>
  <c r="S93" i="38"/>
  <c r="S18" i="38"/>
  <c r="M1" i="40"/>
  <c r="S72" i="39"/>
  <c r="S54" i="38"/>
  <c r="AH15" i="49"/>
  <c r="AA361" i="49"/>
  <c r="AB93" i="49"/>
  <c r="AG12" i="42"/>
  <c r="AF97" i="42"/>
  <c r="Q2" i="41"/>
  <c r="S182" i="38"/>
  <c r="S93" i="39"/>
  <c r="Z235" i="49"/>
  <c r="AF32" i="42"/>
  <c r="AG43" i="43"/>
  <c r="O339" i="49"/>
  <c r="T40" i="47"/>
  <c r="E7" i="44"/>
  <c r="N206" i="49"/>
  <c r="D25" i="46"/>
  <c r="AB46" i="48"/>
  <c r="AF106" i="42"/>
  <c r="T231" i="49"/>
  <c r="AG68" i="42"/>
  <c r="Y254" i="49"/>
  <c r="R195" i="38"/>
  <c r="O18" i="47"/>
  <c r="Z348" i="49"/>
  <c r="AA303" i="49"/>
  <c r="X301" i="49"/>
  <c r="S200" i="49"/>
  <c r="R260" i="37"/>
  <c r="S237" i="38"/>
  <c r="R181" i="37"/>
  <c r="AG131" i="42"/>
  <c r="T3" i="47"/>
  <c r="R67" i="38"/>
  <c r="AU2" i="34"/>
  <c r="AF85" i="42"/>
  <c r="S74" i="47"/>
  <c r="S27" i="38"/>
  <c r="N77" i="47"/>
  <c r="S126" i="38"/>
  <c r="O378" i="49"/>
  <c r="I3" i="37"/>
  <c r="AA283" i="49"/>
  <c r="S143" i="39"/>
  <c r="N108" i="49"/>
  <c r="N362" i="49"/>
  <c r="Z242" i="49"/>
  <c r="AG3" i="42"/>
  <c r="N38" i="48"/>
  <c r="AA110" i="49"/>
  <c r="T258" i="49"/>
  <c r="R234" i="39"/>
  <c r="AB381" i="49"/>
  <c r="F194" i="4"/>
  <c r="I34" i="7"/>
  <c r="R27" i="37"/>
  <c r="S198" i="37"/>
  <c r="C93" i="34"/>
  <c r="R101" i="38"/>
  <c r="R261" i="39"/>
  <c r="AF90" i="42"/>
  <c r="AD18" i="24"/>
  <c r="I12" i="38"/>
  <c r="R34" i="39"/>
  <c r="S9" i="38"/>
  <c r="B128" i="34"/>
  <c r="F13" i="39"/>
  <c r="AF4" i="42"/>
  <c r="AF224" i="42"/>
  <c r="B78" i="34"/>
  <c r="R229" i="38"/>
  <c r="G7" i="39"/>
  <c r="R437" i="33"/>
  <c r="G91" i="34"/>
  <c r="E13" i="37"/>
  <c r="AG249" i="42"/>
  <c r="AG32" i="42"/>
  <c r="N9" i="37"/>
  <c r="AG48" i="42"/>
  <c r="Z190" i="49"/>
  <c r="R27" i="39"/>
  <c r="R175" i="37"/>
  <c r="D8" i="41"/>
  <c r="S99" i="37"/>
  <c r="AG110" i="42"/>
  <c r="G6" i="47"/>
  <c r="R209" i="39"/>
  <c r="R226" i="39"/>
  <c r="Q332" i="33"/>
  <c r="Q95" i="33"/>
  <c r="AF57" i="42"/>
  <c r="L9" i="40"/>
  <c r="I22" i="39"/>
  <c r="I6" i="38"/>
  <c r="K24" i="43"/>
  <c r="R40" i="39"/>
  <c r="R51" i="39"/>
  <c r="S245" i="38"/>
  <c r="R400" i="33"/>
  <c r="H21" i="38"/>
  <c r="S75" i="47"/>
  <c r="Q106" i="33"/>
  <c r="R13" i="39"/>
  <c r="AF33" i="44"/>
  <c r="T366" i="49"/>
  <c r="AA130" i="49"/>
  <c r="J20" i="49"/>
  <c r="S41" i="49"/>
  <c r="S201" i="49"/>
  <c r="Q402" i="33"/>
  <c r="L19" i="43"/>
  <c r="R392" i="33"/>
  <c r="N334" i="49"/>
  <c r="T274" i="49"/>
  <c r="AA365" i="49"/>
  <c r="AG65" i="42"/>
  <c r="N382" i="49"/>
  <c r="R297" i="33"/>
  <c r="J47" i="49"/>
  <c r="S82" i="49"/>
  <c r="I16" i="7"/>
  <c r="D100" i="34"/>
  <c r="Q101" i="33"/>
  <c r="R217" i="33"/>
  <c r="R340" i="33"/>
  <c r="R179" i="37"/>
  <c r="S11" i="38"/>
  <c r="I38" i="35"/>
  <c r="O380" i="49"/>
  <c r="S51" i="38"/>
  <c r="AM4" i="42"/>
  <c r="S255" i="39"/>
  <c r="R393" i="33"/>
  <c r="S167" i="49"/>
  <c r="S109" i="38"/>
  <c r="S169" i="39"/>
  <c r="Y7" i="49"/>
  <c r="X153" i="49"/>
  <c r="R388" i="33"/>
  <c r="Y210" i="49"/>
  <c r="X343" i="49"/>
  <c r="O17" i="49"/>
  <c r="AG122" i="42"/>
  <c r="N237" i="49"/>
  <c r="S212" i="49"/>
  <c r="Y55" i="49"/>
  <c r="D7" i="43"/>
  <c r="R236" i="33"/>
  <c r="AB293" i="49"/>
  <c r="N380" i="49"/>
  <c r="S214" i="37"/>
  <c r="U6" i="40"/>
  <c r="S124" i="37"/>
  <c r="AF87" i="42"/>
  <c r="R141" i="39"/>
  <c r="G6" i="43"/>
  <c r="R298" i="33"/>
  <c r="R207" i="33"/>
  <c r="R381" i="33"/>
  <c r="S82" i="39"/>
  <c r="S17" i="47"/>
  <c r="R322" i="33"/>
  <c r="R211" i="38"/>
  <c r="R116" i="33"/>
  <c r="AF125" i="42"/>
  <c r="N246" i="49"/>
  <c r="R158" i="39"/>
  <c r="N13" i="47"/>
  <c r="O15" i="49"/>
  <c r="N138" i="49"/>
  <c r="R39" i="39"/>
  <c r="S205" i="49"/>
  <c r="T275" i="49"/>
  <c r="X63" i="49"/>
  <c r="R59" i="39"/>
  <c r="AA136" i="49"/>
  <c r="AB346" i="49"/>
  <c r="N374" i="49"/>
  <c r="S221" i="37"/>
  <c r="T210" i="49"/>
  <c r="N150" i="49"/>
  <c r="Y333" i="49"/>
  <c r="N310" i="49"/>
  <c r="AB97" i="49"/>
  <c r="AA227" i="49"/>
  <c r="Y189" i="49"/>
  <c r="C29" i="34"/>
  <c r="R208" i="37"/>
  <c r="E23" i="43"/>
  <c r="V4" i="38"/>
  <c r="S6" i="38"/>
  <c r="Y345" i="49"/>
  <c r="N49" i="49"/>
  <c r="N56" i="49"/>
  <c r="O304" i="49"/>
  <c r="N343" i="49"/>
  <c r="Y227" i="49"/>
  <c r="O301" i="49"/>
  <c r="N121" i="49"/>
  <c r="AA44" i="49"/>
  <c r="O122" i="49"/>
  <c r="N127" i="49"/>
  <c r="N190" i="49"/>
  <c r="AF39" i="43"/>
  <c r="S104" i="50"/>
  <c r="R34" i="37"/>
  <c r="N180" i="49"/>
  <c r="W3" i="49" a="1"/>
  <c r="Z75" i="48"/>
  <c r="I13" i="39"/>
  <c r="O46" i="49"/>
  <c r="J79" i="47"/>
  <c r="Y86" i="48"/>
  <c r="F3" i="39"/>
  <c r="X109" i="49"/>
  <c r="S261" i="39"/>
  <c r="S9" i="50"/>
  <c r="Y37" i="49"/>
  <c r="R58" i="37"/>
  <c r="AF212" i="42"/>
  <c r="AG163" i="42"/>
  <c r="S90" i="38"/>
  <c r="J13" i="39"/>
  <c r="G3" i="37"/>
  <c r="R52" i="39"/>
  <c r="R78" i="33"/>
  <c r="U13" i="44" a="1"/>
  <c r="R245" i="39"/>
  <c r="N16" i="47"/>
  <c r="J26" i="42"/>
  <c r="S81" i="49"/>
  <c r="R24" i="38"/>
  <c r="S122" i="39"/>
  <c r="AF68" i="43"/>
  <c r="N16" i="49"/>
  <c r="O335" i="49"/>
  <c r="N308" i="49"/>
  <c r="U9" i="43" a="1"/>
  <c r="N63" i="49"/>
  <c r="S10" i="39"/>
  <c r="T377" i="49"/>
  <c r="K18" i="42"/>
  <c r="N285" i="49"/>
  <c r="AG75" i="43"/>
  <c r="N345" i="49"/>
  <c r="F15" i="37"/>
  <c r="N60" i="47"/>
  <c r="S172" i="37"/>
  <c r="R446" i="33"/>
  <c r="AA196" i="49"/>
  <c r="AF207" i="42"/>
  <c r="AG191" i="42"/>
  <c r="R353" i="33"/>
  <c r="AF206" i="42"/>
  <c r="S33" i="39"/>
  <c r="Y244" i="49"/>
  <c r="AA86" i="49"/>
  <c r="S187" i="49"/>
  <c r="AA280" i="49"/>
  <c r="Z59" i="49"/>
  <c r="N130" i="49"/>
  <c r="X354" i="49"/>
  <c r="G101" i="34"/>
  <c r="Z41" i="49"/>
  <c r="N173" i="49"/>
  <c r="N189" i="49"/>
  <c r="S38" i="37"/>
  <c r="AG128" i="43"/>
  <c r="Y217" i="49"/>
  <c r="AG21" i="44"/>
  <c r="R85" i="33"/>
  <c r="N181" i="49"/>
  <c r="O201" i="49"/>
  <c r="R239" i="39"/>
  <c r="R126" i="38"/>
  <c r="N187" i="49"/>
  <c r="T37" i="48"/>
  <c r="R162" i="38"/>
  <c r="S267" i="49"/>
  <c r="Y73" i="49"/>
  <c r="O220" i="49"/>
  <c r="S119" i="37"/>
  <c r="O277" i="49"/>
  <c r="AF103" i="42"/>
  <c r="R110" i="37"/>
  <c r="AG104" i="43"/>
  <c r="S75" i="38"/>
  <c r="K3" i="43"/>
  <c r="R114" i="33"/>
  <c r="R111" i="39"/>
  <c r="AG96" i="43"/>
  <c r="N85" i="49"/>
  <c r="R171" i="39"/>
  <c r="S75" i="39"/>
  <c r="R35" i="39"/>
  <c r="D16" i="41"/>
  <c r="R142" i="33"/>
  <c r="T147" i="49"/>
  <c r="AF253" i="42"/>
  <c r="D10" i="36"/>
  <c r="S183" i="49"/>
  <c r="S17" i="49"/>
  <c r="S38" i="38"/>
  <c r="S283" i="49"/>
  <c r="AA93" i="49"/>
  <c r="T104" i="50"/>
  <c r="S189" i="49"/>
  <c r="AG17" i="42"/>
  <c r="N381" i="49"/>
  <c r="AA101" i="49"/>
  <c r="AG24" i="44"/>
  <c r="Y44" i="49"/>
  <c r="I38" i="9"/>
  <c r="R21" i="39"/>
  <c r="R84" i="38"/>
  <c r="R29" i="39"/>
  <c r="AF38" i="43"/>
  <c r="M9" i="41"/>
  <c r="G22" i="39"/>
  <c r="F151" i="4"/>
  <c r="R436" i="33"/>
  <c r="S25" i="37"/>
  <c r="AG20" i="42"/>
  <c r="D23" i="41"/>
  <c r="Q161" i="33"/>
  <c r="Q249" i="33"/>
  <c r="H14" i="38"/>
  <c r="E21" i="43"/>
  <c r="R238" i="39"/>
  <c r="D59" i="34"/>
  <c r="R69" i="33"/>
  <c r="S110" i="38"/>
  <c r="AF14" i="43"/>
  <c r="R199" i="37"/>
  <c r="R53" i="33"/>
  <c r="AG46" i="44"/>
  <c r="R432" i="33"/>
  <c r="R43" i="38"/>
  <c r="S10" i="47"/>
  <c r="J39" i="8"/>
  <c r="R7" i="38"/>
  <c r="R202" i="37"/>
  <c r="S53" i="47"/>
  <c r="S26" i="37"/>
  <c r="J33" i="35"/>
  <c r="Q200" i="33"/>
  <c r="P6" i="40"/>
  <c r="R217" i="39"/>
  <c r="AA238" i="49"/>
  <c r="N240" i="49"/>
  <c r="X263" i="49"/>
  <c r="O219" i="49"/>
  <c r="G33" i="34"/>
  <c r="I8" i="37"/>
  <c r="S244" i="38"/>
  <c r="Y3" i="43" a="1"/>
  <c r="AA223" i="49"/>
  <c r="I13" i="11"/>
  <c r="S127" i="38"/>
  <c r="AB6" i="45"/>
  <c r="R208" i="38"/>
  <c r="AF25" i="42"/>
  <c r="R254" i="33"/>
  <c r="M36" i="41"/>
  <c r="M13" i="40" a="1"/>
  <c r="S197" i="39"/>
  <c r="N118" i="49"/>
  <c r="AG133" i="42"/>
  <c r="R115" i="38"/>
  <c r="R151" i="37"/>
  <c r="L18" i="44"/>
  <c r="O115" i="49"/>
  <c r="Z217" i="49"/>
  <c r="Y176" i="49"/>
  <c r="R165" i="37"/>
  <c r="O19" i="49"/>
  <c r="N3" i="49"/>
  <c r="N322" i="49"/>
  <c r="Y22" i="49"/>
  <c r="R233" i="37"/>
  <c r="R68" i="37"/>
  <c r="AF122" i="42"/>
  <c r="R390" i="33"/>
  <c r="E3" i="41"/>
  <c r="G52" i="34"/>
  <c r="L29" i="42"/>
  <c r="S120" i="38"/>
  <c r="J3" i="38"/>
  <c r="M3" i="52"/>
  <c r="H4" i="42"/>
  <c r="J81" i="47"/>
  <c r="R422" i="33"/>
  <c r="R144" i="33"/>
  <c r="N24" i="49"/>
  <c r="R384" i="33"/>
  <c r="AG62" i="42"/>
  <c r="R88" i="39"/>
  <c r="D40" i="41"/>
  <c r="S233" i="39"/>
  <c r="T58" i="47"/>
  <c r="L5" i="40"/>
  <c r="AC17" i="45"/>
  <c r="T36" i="47"/>
  <c r="N321" i="49"/>
  <c r="AF10" i="44"/>
  <c r="J26" i="47"/>
  <c r="R407" i="33"/>
  <c r="S25" i="38"/>
  <c r="T294" i="49"/>
  <c r="Q438" i="33"/>
  <c r="R92" i="38"/>
  <c r="AF24" i="42"/>
  <c r="AF31" i="43"/>
  <c r="AC6" i="45"/>
  <c r="AG16" i="42"/>
  <c r="AF63" i="42"/>
  <c r="R144" i="38"/>
  <c r="R199" i="38"/>
  <c r="S219" i="38"/>
  <c r="Q298" i="33"/>
  <c r="N176" i="49"/>
  <c r="T263" i="49"/>
  <c r="AA337" i="49"/>
  <c r="AF22" i="42"/>
  <c r="T269" i="49"/>
  <c r="Z337" i="49"/>
  <c r="Y314" i="49"/>
  <c r="AB92" i="49"/>
  <c r="O245" i="49"/>
  <c r="E7" i="41"/>
  <c r="O187" i="49"/>
  <c r="AA281" i="49"/>
  <c r="AA27" i="49"/>
  <c r="N10" i="39"/>
  <c r="O337" i="49"/>
  <c r="X154" i="49"/>
  <c r="N368" i="49"/>
  <c r="S204" i="38"/>
  <c r="N179" i="49"/>
  <c r="Z121" i="49"/>
  <c r="T271" i="49"/>
  <c r="S106" i="38"/>
  <c r="O367" i="49"/>
  <c r="X369" i="49"/>
  <c r="G109" i="34"/>
  <c r="S257" i="37"/>
  <c r="AG46" i="42"/>
  <c r="AF230" i="42"/>
  <c r="R147" i="39"/>
  <c r="S212" i="37"/>
  <c r="S132" i="39"/>
  <c r="E4" i="43"/>
  <c r="N360" i="49"/>
  <c r="S220" i="38"/>
  <c r="R187" i="38"/>
  <c r="S149" i="39"/>
  <c r="AG102" i="43"/>
  <c r="AA248" i="49"/>
  <c r="T196" i="49"/>
  <c r="K16" i="43"/>
  <c r="S256" i="39"/>
  <c r="Y5" i="49"/>
  <c r="Y209" i="49"/>
  <c r="S94" i="49"/>
  <c r="S222" i="39"/>
  <c r="O20" i="47"/>
  <c r="AF18" i="50"/>
  <c r="S281" i="49"/>
  <c r="AG231" i="42"/>
  <c r="T194" i="49"/>
  <c r="T5" i="49"/>
  <c r="AA141" i="49"/>
  <c r="S33" i="49"/>
  <c r="S71" i="50"/>
  <c r="N279" i="49"/>
  <c r="AF80" i="43"/>
  <c r="R128" i="33"/>
  <c r="M30" i="41"/>
  <c r="AG222" i="42"/>
  <c r="C59" i="34"/>
  <c r="R95" i="39"/>
  <c r="F4" i="39"/>
  <c r="Z201" i="49"/>
  <c r="R125" i="33"/>
  <c r="S183" i="38"/>
  <c r="T160" i="49"/>
  <c r="AG144" i="42"/>
  <c r="AB134" i="49"/>
  <c r="R215" i="33"/>
  <c r="T285" i="49"/>
  <c r="S111" i="37"/>
  <c r="Z31" i="49"/>
  <c r="S163" i="38"/>
  <c r="R283" i="33"/>
  <c r="AB57" i="49"/>
  <c r="AF116" i="42"/>
  <c r="AG14" i="43"/>
  <c r="S368" i="49"/>
  <c r="AA158" i="49"/>
  <c r="AB137" i="49"/>
  <c r="R6" i="37"/>
  <c r="AA35" i="49"/>
  <c r="X33" i="49"/>
  <c r="AB38" i="49"/>
  <c r="N69" i="49"/>
  <c r="O161" i="49"/>
  <c r="N349" i="49"/>
  <c r="Y80" i="49"/>
  <c r="AF82" i="42"/>
  <c r="AG69" i="43"/>
  <c r="F22" i="39"/>
  <c r="S77" i="38"/>
  <c r="R172" i="33"/>
  <c r="R294" i="33"/>
  <c r="N183" i="49"/>
  <c r="S52" i="39"/>
  <c r="AF7" i="43"/>
  <c r="O14" i="47"/>
  <c r="S166" i="38"/>
  <c r="N86" i="49"/>
  <c r="S13" i="39"/>
  <c r="AB349" i="49"/>
  <c r="AF104" i="43"/>
  <c r="S81" i="39"/>
  <c r="G94" i="34"/>
  <c r="AA148" i="49"/>
  <c r="T18" i="49"/>
  <c r="S46" i="47"/>
  <c r="O377" i="49"/>
  <c r="S317" i="49"/>
  <c r="AG77" i="43"/>
  <c r="AA320" i="49"/>
  <c r="S36" i="47"/>
  <c r="S342" i="49"/>
  <c r="AH13" i="50"/>
  <c r="S101" i="39"/>
  <c r="AF54" i="42"/>
  <c r="AC18" i="45"/>
  <c r="AB257" i="49"/>
  <c r="S107" i="39"/>
  <c r="AB377" i="49"/>
  <c r="Y2" i="34"/>
  <c r="R97" i="39"/>
  <c r="L22" i="43"/>
  <c r="AF161" i="42"/>
  <c r="N314" i="49"/>
  <c r="S177" i="39"/>
  <c r="S189" i="37"/>
  <c r="R17" i="33"/>
  <c r="E23" i="42"/>
  <c r="J59" i="47"/>
  <c r="O69" i="47"/>
  <c r="Z36" i="49"/>
  <c r="O139" i="49"/>
  <c r="N37" i="49"/>
  <c r="R459" i="33"/>
  <c r="O77" i="47"/>
  <c r="O16" i="47"/>
  <c r="O293" i="49"/>
  <c r="X11" i="48"/>
  <c r="C88" i="34"/>
  <c r="N29" i="49"/>
  <c r="J43" i="49"/>
  <c r="AA143" i="49"/>
  <c r="G13" i="39"/>
  <c r="AB52" i="49"/>
  <c r="S249" i="39"/>
  <c r="O30" i="48"/>
  <c r="S26" i="38"/>
  <c r="N54" i="49"/>
  <c r="J20" i="43"/>
  <c r="AA48" i="49"/>
  <c r="O289" i="49"/>
  <c r="J34" i="7"/>
  <c r="R54" i="39"/>
  <c r="O2" i="34"/>
  <c r="AG7" i="42"/>
  <c r="S176" i="38"/>
  <c r="G123" i="34"/>
  <c r="AF52" i="43"/>
  <c r="G12" i="39"/>
  <c r="R471" i="33"/>
  <c r="G118" i="34"/>
  <c r="Q420" i="33"/>
  <c r="G58" i="34"/>
  <c r="I13" i="38"/>
  <c r="Q178" i="33"/>
  <c r="AG112" i="43"/>
  <c r="F231" i="4"/>
  <c r="S157" i="37"/>
  <c r="AF49" i="43"/>
  <c r="R200" i="33"/>
  <c r="S34" i="37"/>
  <c r="AF20" i="43"/>
  <c r="K14" i="33"/>
  <c r="O56" i="47"/>
  <c r="S140" i="37"/>
  <c r="E27" i="42"/>
  <c r="T171" i="49"/>
  <c r="AF40" i="44"/>
  <c r="AF99" i="43"/>
  <c r="R169" i="39"/>
  <c r="I9" i="37"/>
  <c r="K19" i="43"/>
  <c r="S184" i="38"/>
  <c r="S118" i="38"/>
  <c r="AF26" i="44"/>
  <c r="S100" i="49"/>
  <c r="S171" i="38"/>
  <c r="S199" i="38"/>
  <c r="R260" i="39"/>
  <c r="S144" i="39"/>
  <c r="O5" i="47"/>
  <c r="R382" i="33"/>
  <c r="S237" i="39"/>
  <c r="Z360" i="49"/>
  <c r="Q341" i="33"/>
  <c r="Q365" i="33"/>
  <c r="F16" i="39"/>
  <c r="AG116" i="43"/>
  <c r="R480" i="33"/>
  <c r="T31" i="47"/>
  <c r="N341" i="49"/>
  <c r="O321" i="49"/>
  <c r="N15" i="48"/>
  <c r="S87" i="49"/>
  <c r="G5" i="39"/>
  <c r="AA10" i="49"/>
  <c r="E19" i="44"/>
  <c r="Y362" i="49"/>
  <c r="O276" i="49"/>
  <c r="R397" i="33"/>
  <c r="S79" i="37"/>
  <c r="N14" i="38"/>
  <c r="AG68" i="43"/>
  <c r="V3" i="37"/>
  <c r="D6" i="45"/>
  <c r="X345" i="49"/>
  <c r="S247" i="38"/>
  <c r="AA112" i="49"/>
  <c r="Z100" i="49"/>
  <c r="AG52" i="43"/>
  <c r="X29" i="49"/>
  <c r="AG60" i="43"/>
  <c r="AB90" i="49"/>
  <c r="N287" i="49"/>
  <c r="Z228" i="49"/>
  <c r="N58" i="47"/>
  <c r="O261" i="49"/>
  <c r="D48" i="34"/>
  <c r="S209" i="37"/>
  <c r="Q317" i="33"/>
  <c r="AG49" i="44"/>
  <c r="AF147" i="42"/>
  <c r="S171" i="37"/>
  <c r="R129" i="38"/>
  <c r="O20" i="49"/>
  <c r="N284" i="49"/>
  <c r="R431" i="33"/>
  <c r="R509" i="33"/>
  <c r="AF56" i="42"/>
  <c r="R332" i="33"/>
  <c r="AG63" i="44"/>
  <c r="S202" i="49"/>
  <c r="X114" i="49"/>
  <c r="R244" i="38"/>
  <c r="S157" i="39"/>
  <c r="AF88" i="43"/>
  <c r="AF23" i="42"/>
  <c r="S47" i="38"/>
  <c r="S123" i="38"/>
  <c r="S114" i="38"/>
  <c r="L20" i="44"/>
  <c r="S159" i="39"/>
  <c r="S147" i="39"/>
  <c r="O181" i="49"/>
  <c r="R113" i="33"/>
  <c r="Y226" i="49"/>
  <c r="R101" i="33"/>
  <c r="J52" i="49"/>
  <c r="AA34" i="49"/>
  <c r="AF15" i="42"/>
  <c r="R507" i="33"/>
  <c r="AF117" i="42"/>
  <c r="S170" i="39"/>
  <c r="R154" i="39"/>
  <c r="R259" i="37"/>
  <c r="R4" i="40"/>
  <c r="Q5" i="40"/>
  <c r="N30" i="47"/>
  <c r="R72" i="39"/>
  <c r="T6" i="47"/>
  <c r="S180" i="38"/>
  <c r="R366" i="33"/>
  <c r="S108" i="38"/>
  <c r="R11" i="38"/>
  <c r="X254" i="49"/>
  <c r="AF102" i="43"/>
  <c r="R179" i="39"/>
  <c r="J20" i="39"/>
  <c r="S64" i="38"/>
  <c r="O318" i="49"/>
  <c r="T207" i="49"/>
  <c r="AB314" i="49"/>
  <c r="AB156" i="49"/>
  <c r="X260" i="49"/>
  <c r="Z298" i="49"/>
  <c r="N250" i="49"/>
  <c r="T79" i="48"/>
  <c r="N234" i="49"/>
  <c r="R482" i="33"/>
  <c r="K20" i="42"/>
  <c r="AA300" i="49"/>
  <c r="T94" i="49"/>
  <c r="J40" i="49"/>
  <c r="S80" i="49"/>
  <c r="AF61" i="44"/>
  <c r="S135" i="39"/>
  <c r="AF40" i="42"/>
  <c r="N175" i="49"/>
  <c r="AA345" i="49"/>
  <c r="T46" i="47"/>
  <c r="R146" i="33"/>
  <c r="N23" i="49"/>
  <c r="G5" i="38"/>
  <c r="S138" i="49"/>
  <c r="N19" i="49"/>
  <c r="AA187" i="49"/>
  <c r="R129" i="33"/>
  <c r="S296" i="49"/>
  <c r="R60" i="37"/>
  <c r="R13" i="33"/>
  <c r="N13" i="39"/>
  <c r="AA46" i="49"/>
  <c r="Y7" i="48"/>
  <c r="Z5" i="48"/>
  <c r="Y33" i="50"/>
  <c r="Y19" i="50"/>
  <c r="R89" i="33"/>
  <c r="X206" i="49"/>
  <c r="T169" i="49"/>
  <c r="N51" i="50"/>
  <c r="O74" i="50"/>
  <c r="AA317" i="49"/>
  <c r="Y186" i="49"/>
  <c r="O127" i="49"/>
  <c r="O374" i="49"/>
  <c r="T351" i="49"/>
  <c r="Z354" i="49"/>
  <c r="Z43" i="50"/>
  <c r="X29" i="50"/>
  <c r="J29" i="50"/>
  <c r="AB38" i="50"/>
  <c r="AH19" i="49"/>
  <c r="O92" i="48"/>
  <c r="AA42" i="48"/>
  <c r="N204" i="49"/>
  <c r="AA139" i="49"/>
  <c r="S93" i="50"/>
  <c r="X215" i="49"/>
  <c r="M26" i="51"/>
  <c r="N68" i="48"/>
  <c r="R5" i="51"/>
  <c r="O167" i="49"/>
  <c r="Y76" i="48"/>
  <c r="AA75" i="49"/>
  <c r="O29" i="53"/>
  <c r="N27" i="47"/>
  <c r="J28" i="53"/>
  <c r="Z25" i="48"/>
  <c r="O55" i="50"/>
  <c r="T21" i="48"/>
  <c r="T6" i="50"/>
  <c r="V6" i="51"/>
  <c r="AA7" i="47"/>
  <c r="Y15" i="53"/>
  <c r="J76" i="53"/>
  <c r="AF52" i="42"/>
  <c r="AG74" i="42"/>
  <c r="S66" i="47"/>
  <c r="S238" i="39"/>
  <c r="X314" i="49"/>
  <c r="AA251" i="49"/>
  <c r="N233" i="49"/>
  <c r="O59" i="49"/>
  <c r="N122" i="49"/>
  <c r="F4" i="38"/>
  <c r="T372" i="49"/>
  <c r="Y221" i="49"/>
  <c r="N350" i="49"/>
  <c r="S206" i="49"/>
  <c r="S161" i="39"/>
  <c r="AB14" i="48"/>
  <c r="K18" i="43"/>
  <c r="O150" i="49"/>
  <c r="Z256" i="49"/>
  <c r="X202" i="49"/>
  <c r="Y93" i="50"/>
  <c r="X82" i="50"/>
  <c r="Z81" i="50"/>
  <c r="AB106" i="50"/>
  <c r="AG66" i="43"/>
  <c r="S114" i="39"/>
  <c r="T384" i="49"/>
  <c r="AA48" i="48"/>
  <c r="T109" i="50"/>
  <c r="S14" i="49"/>
  <c r="AB27" i="48"/>
  <c r="AB279" i="49"/>
  <c r="O228" i="49"/>
  <c r="AH21" i="50"/>
  <c r="O296" i="49"/>
  <c r="X57" i="50"/>
  <c r="Z102" i="50"/>
  <c r="N14" i="51"/>
  <c r="R11" i="33"/>
  <c r="S242" i="49"/>
  <c r="AA31" i="49"/>
  <c r="Z9" i="48"/>
  <c r="X178" i="49"/>
  <c r="Y100" i="49"/>
  <c r="AB351" i="49"/>
  <c r="O328" i="49"/>
  <c r="AF200" i="42"/>
  <c r="X32" i="49"/>
  <c r="AB77" i="48"/>
  <c r="N46" i="48"/>
  <c r="AB75" i="50"/>
  <c r="T85" i="49"/>
  <c r="O307" i="49"/>
  <c r="Z50" i="47"/>
  <c r="S139" i="38"/>
  <c r="AG201" i="42"/>
  <c r="T348" i="49"/>
  <c r="X38" i="51"/>
  <c r="O15" i="50"/>
  <c r="X50" i="51"/>
  <c r="I30" i="10"/>
  <c r="R100" i="38"/>
  <c r="R92" i="39"/>
  <c r="R76" i="38"/>
  <c r="F19" i="4"/>
  <c r="J17" i="43"/>
  <c r="I6" i="9"/>
  <c r="R189" i="38"/>
  <c r="G11" i="37"/>
  <c r="S73" i="37"/>
  <c r="Q206" i="33"/>
  <c r="S95" i="37"/>
  <c r="S235" i="37"/>
  <c r="J15" i="37"/>
  <c r="E22" i="42"/>
  <c r="AG84" i="42"/>
  <c r="R60" i="39"/>
  <c r="E26" i="41"/>
  <c r="AG123" i="43"/>
  <c r="R194" i="33"/>
  <c r="F13" i="38"/>
  <c r="G14" i="38"/>
  <c r="R202" i="39"/>
  <c r="O203" i="49"/>
  <c r="R138" i="38"/>
  <c r="R114" i="37"/>
  <c r="S164" i="49"/>
  <c r="Z48" i="49"/>
  <c r="R16" i="39"/>
  <c r="S7" i="38"/>
  <c r="Z5" i="49"/>
  <c r="T303" i="49"/>
  <c r="S253" i="37"/>
  <c r="Y13" i="49"/>
  <c r="R77" i="39"/>
  <c r="E19" i="45"/>
  <c r="S74" i="37"/>
  <c r="G7" i="42"/>
  <c r="Z366" i="49"/>
  <c r="Y9" i="43" a="1"/>
  <c r="I17" i="39"/>
  <c r="L7" i="44"/>
  <c r="N12" i="39"/>
  <c r="S151" i="39"/>
  <c r="N256" i="49"/>
  <c r="S59" i="49"/>
  <c r="AA132" i="49"/>
  <c r="L20" i="42"/>
  <c r="S35" i="39"/>
  <c r="R128" i="38"/>
  <c r="H3" i="44"/>
  <c r="AG169" i="42"/>
  <c r="D30" i="41"/>
  <c r="N23" i="39"/>
  <c r="N348" i="49"/>
  <c r="R266" i="33"/>
  <c r="Z279" i="49"/>
  <c r="T50" i="47"/>
  <c r="AA94" i="49"/>
  <c r="N332" i="49"/>
  <c r="Z246" i="49"/>
  <c r="Y348" i="49"/>
  <c r="Z126" i="49"/>
  <c r="T73" i="47"/>
  <c r="AB192" i="49"/>
  <c r="S382" i="49"/>
  <c r="AA53" i="49"/>
  <c r="Q257" i="33"/>
  <c r="R21" i="33"/>
  <c r="R434" i="33"/>
  <c r="R43" i="39"/>
  <c r="S35" i="38"/>
  <c r="L3" i="40"/>
  <c r="AG196" i="42"/>
  <c r="Q194" i="33"/>
  <c r="AG89" i="43"/>
  <c r="R102" i="33"/>
  <c r="N197" i="49"/>
  <c r="E18" i="42"/>
  <c r="T246" i="49"/>
  <c r="S196" i="37"/>
  <c r="J56" i="47"/>
  <c r="I15" i="7"/>
  <c r="I19" i="39"/>
  <c r="R122" i="38"/>
  <c r="AG111" i="42"/>
  <c r="R211" i="33"/>
  <c r="AG11" i="43"/>
  <c r="R362" i="33"/>
  <c r="R180" i="37"/>
  <c r="R210" i="39"/>
  <c r="J17" i="49"/>
  <c r="T146" i="49"/>
  <c r="AB247" i="49"/>
  <c r="N14" i="49"/>
  <c r="AA311" i="49"/>
  <c r="K25" i="42"/>
  <c r="N269" i="49"/>
  <c r="AF47" i="43"/>
  <c r="R78" i="38"/>
  <c r="S130" i="37"/>
  <c r="E33" i="41"/>
  <c r="R112" i="39"/>
  <c r="AF23" i="44"/>
  <c r="S170" i="38"/>
  <c r="R29" i="33"/>
  <c r="R65" i="37"/>
  <c r="J25" i="47"/>
  <c r="T24" i="49"/>
  <c r="N10" i="49"/>
  <c r="R77" i="33"/>
  <c r="N383" i="49"/>
  <c r="I19" i="36"/>
  <c r="O157" i="49"/>
  <c r="O152" i="49"/>
  <c r="F17" i="39"/>
  <c r="AF18" i="44"/>
  <c r="AF43" i="44"/>
  <c r="R508" i="33"/>
  <c r="AB10" i="49"/>
  <c r="Y203" i="49"/>
  <c r="R178" i="37"/>
  <c r="AA375" i="49"/>
  <c r="O31" i="47"/>
  <c r="D19" i="41"/>
  <c r="R79" i="33"/>
  <c r="R300" i="33"/>
  <c r="AA34" i="48"/>
  <c r="T155" i="49"/>
  <c r="AF40" i="43"/>
  <c r="AA115" i="49"/>
  <c r="S9" i="48"/>
  <c r="X53" i="49"/>
  <c r="H19" i="38"/>
  <c r="AF249" i="42"/>
  <c r="AG48" i="43"/>
  <c r="R13" i="37"/>
  <c r="Y198" i="49"/>
  <c r="S3" i="42" a="1"/>
  <c r="R74" i="38"/>
  <c r="AG207" i="42"/>
  <c r="N64" i="48"/>
  <c r="O6" i="47"/>
  <c r="S211" i="39"/>
  <c r="O120" i="49"/>
  <c r="D37" i="41"/>
  <c r="R272" i="33"/>
  <c r="Z99" i="49"/>
  <c r="J15" i="43"/>
  <c r="X380" i="49"/>
  <c r="T222" i="49"/>
  <c r="AA19" i="48"/>
  <c r="Y18" i="48"/>
  <c r="AA88" i="48"/>
  <c r="O82" i="48"/>
  <c r="AA116" i="50"/>
  <c r="O99" i="50"/>
  <c r="S23" i="38"/>
  <c r="T121" i="50"/>
  <c r="T140" i="49"/>
  <c r="O148" i="49"/>
  <c r="T33" i="48"/>
  <c r="S323" i="49"/>
  <c r="N275" i="49"/>
  <c r="S191" i="39"/>
  <c r="T16" i="48"/>
  <c r="AB23" i="48"/>
  <c r="Z69" i="50"/>
  <c r="Z49" i="50"/>
  <c r="X17" i="50"/>
  <c r="U8" i="40"/>
  <c r="Z95" i="49"/>
  <c r="AA265" i="49"/>
  <c r="O331" i="49"/>
  <c r="S13" i="48"/>
  <c r="N8" i="48"/>
  <c r="N114" i="50"/>
  <c r="Y224" i="49"/>
  <c r="S192" i="37"/>
  <c r="AA30" i="48"/>
  <c r="AA20" i="48"/>
  <c r="T239" i="49"/>
  <c r="AA107" i="50"/>
  <c r="O72" i="50"/>
  <c r="S26" i="50"/>
  <c r="AA81" i="50"/>
  <c r="R203" i="33"/>
  <c r="Y305" i="49"/>
  <c r="Y142" i="49"/>
  <c r="Y80" i="50"/>
  <c r="T65" i="50"/>
  <c r="S73" i="50"/>
  <c r="AB52" i="48"/>
  <c r="J67" i="53"/>
  <c r="H16" i="45"/>
  <c r="I24" i="8"/>
  <c r="D5" i="45"/>
  <c r="X203" i="49"/>
  <c r="R92" i="33"/>
  <c r="S219" i="39"/>
  <c r="Z173" i="49"/>
  <c r="N65" i="49"/>
  <c r="R222" i="33"/>
  <c r="AB285" i="49"/>
  <c r="S123" i="49"/>
  <c r="S163" i="49"/>
  <c r="T73" i="49"/>
  <c r="N195" i="49"/>
  <c r="X25" i="48"/>
  <c r="AB252" i="49"/>
  <c r="Z111" i="49"/>
  <c r="T49" i="47"/>
  <c r="R451" i="33"/>
  <c r="AA50" i="48"/>
  <c r="T100" i="49"/>
  <c r="Y84" i="50"/>
  <c r="Y103" i="50"/>
  <c r="L30" i="51"/>
  <c r="R169" i="33"/>
  <c r="Z130" i="49"/>
  <c r="O68" i="48"/>
  <c r="AB47" i="48"/>
  <c r="O64" i="48"/>
  <c r="AF19" i="48"/>
  <c r="T287" i="49"/>
  <c r="Y157" i="49"/>
  <c r="N33" i="49"/>
  <c r="O160" i="49"/>
  <c r="X5" i="48"/>
  <c r="X87" i="50"/>
  <c r="X56" i="51"/>
  <c r="Y48" i="51"/>
  <c r="Y243" i="49"/>
  <c r="AF89" i="42"/>
  <c r="R32" i="39"/>
  <c r="O168" i="49"/>
  <c r="Y275" i="49"/>
  <c r="Z270" i="49"/>
  <c r="X57" i="49"/>
  <c r="S52" i="50"/>
  <c r="Y3" i="51"/>
  <c r="N48" i="49"/>
  <c r="AB359" i="49"/>
  <c r="T90" i="50"/>
  <c r="O88" i="50"/>
  <c r="O111" i="49"/>
  <c r="X71" i="50"/>
  <c r="X8" i="47"/>
  <c r="O78" i="53"/>
  <c r="R98" i="39"/>
  <c r="N277" i="49"/>
  <c r="Q417" i="33"/>
  <c r="G21" i="34"/>
  <c r="D26" i="41"/>
  <c r="C42" i="34"/>
  <c r="F18" i="24"/>
  <c r="S223" i="37"/>
  <c r="R239" i="38"/>
  <c r="R73" i="33"/>
  <c r="Q212" i="33"/>
  <c r="H7" i="38"/>
  <c r="B129" i="34"/>
  <c r="AG20" i="44"/>
  <c r="R150" i="39"/>
  <c r="S154" i="38"/>
  <c r="D79" i="34"/>
  <c r="AG93" i="43"/>
  <c r="R417" i="33"/>
  <c r="S11" i="39"/>
  <c r="AG91" i="43"/>
  <c r="AF48" i="43"/>
  <c r="H6" i="43"/>
  <c r="H4" i="39"/>
  <c r="AA52" i="49"/>
  <c r="N384" i="49"/>
  <c r="R202" i="38"/>
  <c r="R5" i="33"/>
  <c r="AB100" i="49"/>
  <c r="S18" i="49"/>
  <c r="H18" i="38"/>
  <c r="R39" i="33"/>
  <c r="R48" i="33"/>
  <c r="S98" i="39"/>
  <c r="S72" i="38"/>
  <c r="R286" i="33"/>
  <c r="R127" i="37"/>
  <c r="L30" i="42"/>
  <c r="R6" i="40"/>
  <c r="G20" i="38"/>
  <c r="N59" i="47"/>
  <c r="S51" i="47"/>
  <c r="O146" i="49"/>
  <c r="Z42" i="49"/>
  <c r="Y156" i="49"/>
  <c r="N77" i="49"/>
  <c r="T338" i="49"/>
  <c r="Y202" i="49"/>
  <c r="N39" i="49"/>
  <c r="AB198" i="49"/>
  <c r="AI15" i="49"/>
  <c r="J30" i="42"/>
  <c r="R42" i="37"/>
  <c r="R46" i="37"/>
  <c r="R221" i="37"/>
  <c r="E30" i="41"/>
  <c r="AF13" i="44"/>
  <c r="Y270" i="49"/>
  <c r="X236" i="49"/>
  <c r="O43" i="47"/>
  <c r="AF181" i="42"/>
  <c r="T343" i="49"/>
  <c r="R270" i="33"/>
  <c r="AF237" i="42"/>
  <c r="AG204" i="42"/>
  <c r="O123" i="49"/>
  <c r="O65" i="50"/>
  <c r="T42" i="47"/>
  <c r="F170" i="4"/>
  <c r="Q263" i="33"/>
  <c r="AF22" i="43"/>
  <c r="AF55" i="43"/>
  <c r="H6" i="45"/>
  <c r="E6" i="39"/>
  <c r="R70" i="33"/>
  <c r="AG29" i="44"/>
  <c r="S174" i="37"/>
  <c r="T71" i="49"/>
  <c r="AB227" i="49"/>
  <c r="Z223" i="49"/>
  <c r="S183" i="39"/>
  <c r="Z133" i="49"/>
  <c r="Y28" i="49"/>
  <c r="T15" i="49"/>
  <c r="X2" i="20"/>
  <c r="F7" i="42"/>
  <c r="R242" i="39"/>
  <c r="R123" i="37"/>
  <c r="S7" i="37"/>
  <c r="N9" i="39"/>
  <c r="S91" i="37"/>
  <c r="H9" i="39"/>
  <c r="K4" i="42"/>
  <c r="T10" i="48"/>
  <c r="S161" i="49"/>
  <c r="S222" i="49"/>
  <c r="N157" i="49"/>
  <c r="AA22" i="49"/>
  <c r="AG212" i="42"/>
  <c r="Z122" i="49"/>
  <c r="J4" i="11"/>
  <c r="Q5" i="33"/>
  <c r="R116" i="37"/>
  <c r="R347" i="33"/>
  <c r="R360" i="33"/>
  <c r="AC15" i="45"/>
  <c r="R116" i="39"/>
  <c r="R168" i="38"/>
  <c r="AG142" i="42"/>
  <c r="S16" i="47"/>
  <c r="Z78" i="49"/>
  <c r="T107" i="49"/>
  <c r="Z110" i="49"/>
  <c r="Y133" i="49"/>
  <c r="AG120" i="43"/>
  <c r="N31" i="49"/>
  <c r="R197" i="38"/>
  <c r="R137" i="38"/>
  <c r="T3" i="42" a="1"/>
  <c r="F10" i="39"/>
  <c r="AA236" i="49"/>
  <c r="S344" i="49"/>
  <c r="T186" i="49"/>
  <c r="AB123" i="49"/>
  <c r="T370" i="49"/>
  <c r="T49" i="49"/>
  <c r="AB342" i="49"/>
  <c r="Z73" i="49"/>
  <c r="O63" i="49"/>
  <c r="N242" i="49"/>
  <c r="T12" i="49"/>
  <c r="O49" i="47"/>
  <c r="N57" i="47"/>
  <c r="S295" i="49"/>
  <c r="T64" i="47"/>
  <c r="R6" i="39"/>
  <c r="AG115" i="42"/>
  <c r="B98" i="34"/>
  <c r="S168" i="39"/>
  <c r="AG121" i="43"/>
  <c r="AC2" i="34"/>
  <c r="R252" i="33"/>
  <c r="R31" i="33"/>
  <c r="S109" i="49"/>
  <c r="O119" i="49"/>
  <c r="N10" i="48"/>
  <c r="S29" i="39"/>
  <c r="T3" i="49"/>
  <c r="J68" i="49"/>
  <c r="O382" i="49"/>
  <c r="Y171" i="49"/>
  <c r="S14" i="50"/>
  <c r="O303" i="49"/>
  <c r="J12" i="49"/>
  <c r="AA83" i="50"/>
  <c r="Z18" i="50"/>
  <c r="N39" i="50"/>
  <c r="R232" i="39"/>
  <c r="AB85" i="49"/>
  <c r="N159" i="49"/>
  <c r="T13" i="48"/>
  <c r="S105" i="50"/>
  <c r="O17" i="50"/>
  <c r="X126" i="49"/>
  <c r="AA103" i="49"/>
  <c r="X93" i="49"/>
  <c r="O102" i="50"/>
  <c r="T332" i="49"/>
  <c r="AA38" i="50"/>
  <c r="AA121" i="50"/>
  <c r="AA67" i="50"/>
  <c r="AB30" i="49"/>
  <c r="R149" i="33"/>
  <c r="X366" i="49"/>
  <c r="AA56" i="49"/>
  <c r="N119" i="49"/>
  <c r="S11" i="49"/>
  <c r="T189" i="49"/>
  <c r="AA117" i="50"/>
  <c r="AA89" i="50"/>
  <c r="AG225" i="42"/>
  <c r="T236" i="49"/>
  <c r="AB40" i="48"/>
  <c r="X109" i="50"/>
  <c r="O6" i="49"/>
  <c r="AB29" i="50"/>
  <c r="AA36" i="47"/>
  <c r="X108" i="49"/>
  <c r="S332" i="49"/>
  <c r="S10" i="48"/>
  <c r="O16" i="50"/>
  <c r="Y28" i="50"/>
  <c r="AB31" i="50"/>
  <c r="R31" i="51"/>
  <c r="T22" i="53"/>
  <c r="AA68" i="47"/>
  <c r="N333" i="49"/>
  <c r="F126" i="4"/>
  <c r="U9" i="44" a="1"/>
  <c r="AA334" i="49"/>
  <c r="S33" i="38"/>
  <c r="X51" i="49"/>
  <c r="AB216" i="49"/>
  <c r="S128" i="49"/>
  <c r="N202" i="49"/>
  <c r="N331" i="49"/>
  <c r="O155" i="49"/>
  <c r="Y119" i="49"/>
  <c r="X72" i="49"/>
  <c r="X256" i="49"/>
  <c r="AB8" i="49"/>
  <c r="T190" i="49"/>
  <c r="N93" i="49"/>
  <c r="Y146" i="49"/>
  <c r="T74" i="50"/>
  <c r="O264" i="49"/>
  <c r="Z74" i="49"/>
  <c r="X37" i="50"/>
  <c r="Y79" i="50"/>
  <c r="AI14" i="50"/>
  <c r="U3" i="43" a="1"/>
  <c r="R251" i="38"/>
  <c r="E9" i="38"/>
  <c r="X17" i="49"/>
  <c r="AB352" i="49"/>
  <c r="AB69" i="49"/>
  <c r="B16" i="51"/>
  <c r="M27" i="51"/>
  <c r="AB271" i="49"/>
  <c r="Z291" i="49"/>
  <c r="N208" i="49"/>
  <c r="T30" i="50"/>
  <c r="AB104" i="49"/>
  <c r="R150" i="37"/>
  <c r="S180" i="39"/>
  <c r="AF29" i="42"/>
  <c r="N34" i="49"/>
  <c r="Z140" i="49"/>
  <c r="S37" i="48"/>
  <c r="X37" i="48"/>
  <c r="AA65" i="48"/>
  <c r="N26" i="50"/>
  <c r="Y37" i="50"/>
  <c r="N212" i="49"/>
  <c r="Z184" i="49"/>
  <c r="X85" i="50"/>
  <c r="T226" i="49"/>
  <c r="V15" i="51"/>
  <c r="Y36" i="51"/>
  <c r="N12" i="53"/>
  <c r="AA44" i="47"/>
  <c r="AB251" i="49"/>
  <c r="N247" i="49"/>
  <c r="AB69" i="50"/>
  <c r="AF17" i="48"/>
  <c r="AA211" i="49"/>
  <c r="Z46" i="49"/>
  <c r="Z51" i="49"/>
  <c r="X67" i="47"/>
  <c r="R277" i="33"/>
  <c r="T62" i="49"/>
  <c r="Q439" i="33"/>
  <c r="R82" i="37"/>
  <c r="R454" i="33"/>
  <c r="H5" i="43"/>
  <c r="N218" i="49"/>
  <c r="O229" i="49"/>
  <c r="AB140" i="49"/>
  <c r="B13" i="34"/>
  <c r="G104" i="34"/>
  <c r="R180" i="38"/>
  <c r="AF86" i="42"/>
  <c r="AF43" i="43"/>
  <c r="AG50" i="44"/>
  <c r="E5" i="41"/>
  <c r="S12" i="37"/>
  <c r="C14" i="34"/>
  <c r="F5" i="42"/>
  <c r="R84" i="37"/>
  <c r="R82" i="39"/>
  <c r="R502" i="33"/>
  <c r="I39" i="11"/>
  <c r="S164" i="37"/>
  <c r="V3" i="38"/>
  <c r="S255" i="37"/>
  <c r="R188" i="39"/>
  <c r="T369" i="49"/>
  <c r="Z367" i="49"/>
  <c r="E15" i="42"/>
  <c r="R157" i="33"/>
  <c r="S25" i="39"/>
  <c r="R206" i="39"/>
  <c r="E16" i="45"/>
  <c r="S221" i="49"/>
  <c r="O122" i="50"/>
  <c r="Y46" i="49"/>
  <c r="S210" i="38"/>
  <c r="J32" i="47"/>
  <c r="N199" i="49"/>
  <c r="S61" i="49"/>
  <c r="N160" i="49"/>
  <c r="B14" i="34"/>
  <c r="AG112" i="42"/>
  <c r="R118" i="39"/>
  <c r="R12" i="37"/>
  <c r="H10" i="38"/>
  <c r="AF85" i="43"/>
  <c r="AG27" i="44"/>
  <c r="S68" i="37"/>
  <c r="S250" i="49"/>
  <c r="R171" i="33"/>
  <c r="S43" i="49"/>
  <c r="R419" i="33"/>
  <c r="B48" i="34"/>
  <c r="R262" i="37"/>
  <c r="O23" i="49"/>
  <c r="J7" i="11"/>
  <c r="AC21" i="45"/>
  <c r="R88" i="33"/>
  <c r="R161" i="37"/>
  <c r="S153" i="37"/>
  <c r="S167" i="38"/>
  <c r="R186" i="33"/>
  <c r="N34" i="47"/>
  <c r="AG195" i="42"/>
  <c r="Y122" i="49"/>
  <c r="R54" i="33"/>
  <c r="N335" i="49"/>
  <c r="N16" i="39"/>
  <c r="S42" i="49"/>
  <c r="S90" i="37"/>
  <c r="N253" i="49"/>
  <c r="R248" i="33"/>
  <c r="X26" i="49"/>
  <c r="AF121" i="43"/>
  <c r="AG227" i="42"/>
  <c r="AG111" i="43"/>
  <c r="R192" i="33"/>
  <c r="O42" i="49"/>
  <c r="O189" i="49"/>
  <c r="AB65" i="49"/>
  <c r="Z241" i="49"/>
  <c r="R368" i="33"/>
  <c r="AB341" i="49"/>
  <c r="Z207" i="49"/>
  <c r="O28" i="49"/>
  <c r="Z274" i="49"/>
  <c r="T35" i="48"/>
  <c r="AB274" i="49"/>
  <c r="AA225" i="49"/>
  <c r="J18" i="38"/>
  <c r="AG97" i="42"/>
  <c r="R35" i="33"/>
  <c r="R357" i="33"/>
  <c r="S146" i="39"/>
  <c r="G11" i="49"/>
  <c r="T101" i="49"/>
  <c r="N7" i="39"/>
  <c r="AB290" i="49"/>
  <c r="Y280" i="49"/>
  <c r="O141" i="49"/>
  <c r="N186" i="49"/>
  <c r="AA64" i="49"/>
  <c r="AA96" i="49"/>
  <c r="E8" i="37"/>
  <c r="S94" i="38"/>
  <c r="AF62" i="43"/>
  <c r="R63" i="39"/>
  <c r="AF64" i="42"/>
  <c r="AF81" i="42"/>
  <c r="O13" i="49"/>
  <c r="AA336" i="49"/>
  <c r="N373" i="49"/>
  <c r="T353" i="49"/>
  <c r="S111" i="39"/>
  <c r="Y75" i="48"/>
  <c r="Z67" i="48"/>
  <c r="T21" i="50"/>
  <c r="X347" i="49"/>
  <c r="T75" i="48"/>
  <c r="Y342" i="49"/>
  <c r="Z72" i="48"/>
  <c r="Q58" i="33"/>
  <c r="R261" i="37"/>
  <c r="R221" i="33"/>
  <c r="AG51" i="43"/>
  <c r="T65" i="47"/>
  <c r="N46" i="49"/>
  <c r="O236" i="49"/>
  <c r="S140" i="39"/>
  <c r="S74" i="49"/>
  <c r="AA304" i="49"/>
  <c r="O26" i="47"/>
  <c r="O329" i="49"/>
  <c r="R494" i="33"/>
  <c r="T69" i="48"/>
  <c r="X247" i="49"/>
  <c r="N61" i="49"/>
  <c r="Z32" i="49"/>
  <c r="T323" i="49"/>
  <c r="AG25" i="44"/>
  <c r="AG100" i="42"/>
  <c r="R127" i="38"/>
  <c r="S272" i="49"/>
  <c r="O72" i="47"/>
  <c r="J69" i="49"/>
  <c r="N278" i="49"/>
  <c r="AC22" i="45"/>
  <c r="O151" i="49"/>
  <c r="AG173" i="42"/>
  <c r="N74" i="47"/>
  <c r="T13" i="47"/>
  <c r="S23" i="39"/>
  <c r="AG6" i="44"/>
  <c r="J27" i="42"/>
  <c r="T177" i="49"/>
  <c r="R235" i="33"/>
  <c r="J42" i="49"/>
  <c r="AB250" i="49"/>
  <c r="O58" i="48"/>
  <c r="O43" i="48"/>
  <c r="N22" i="48"/>
  <c r="Y12" i="48"/>
  <c r="P9" i="45" a="1"/>
  <c r="AG157" i="42"/>
  <c r="AG47" i="42"/>
  <c r="Y77" i="50"/>
  <c r="N15" i="47"/>
  <c r="X326" i="49"/>
  <c r="AA214" i="49"/>
  <c r="S181" i="37"/>
  <c r="J83" i="47"/>
  <c r="Y95" i="49"/>
  <c r="Z3" i="49"/>
  <c r="N207" i="49"/>
  <c r="X332" i="49"/>
  <c r="X31" i="50"/>
  <c r="R41" i="51"/>
  <c r="AG71" i="43"/>
  <c r="AA184" i="49"/>
  <c r="Z107" i="49"/>
  <c r="M44" i="51"/>
  <c r="S377" i="49"/>
  <c r="N44" i="49"/>
  <c r="AA372" i="49"/>
  <c r="Z55" i="50"/>
  <c r="Z163" i="49"/>
  <c r="AA59" i="50"/>
  <c r="X47" i="50"/>
  <c r="Z232" i="49"/>
  <c r="W8" i="51"/>
  <c r="Z48" i="50"/>
  <c r="S9" i="47"/>
  <c r="AA7" i="53"/>
  <c r="X118" i="49"/>
  <c r="X13" i="49"/>
  <c r="R23" i="51"/>
  <c r="W3" i="48" a="1"/>
  <c r="O25" i="50"/>
  <c r="AA194" i="49"/>
  <c r="AA52" i="47"/>
  <c r="O71" i="47"/>
  <c r="J16" i="11"/>
  <c r="K19" i="44"/>
  <c r="AF62" i="44"/>
  <c r="S32" i="38"/>
  <c r="S207" i="39"/>
  <c r="S259" i="39"/>
  <c r="S115" i="49"/>
  <c r="E16" i="44"/>
  <c r="R195" i="33"/>
  <c r="Y111" i="49"/>
  <c r="R469" i="33"/>
  <c r="Y211" i="49"/>
  <c r="R173" i="37"/>
  <c r="N32" i="49"/>
  <c r="S153" i="49"/>
  <c r="T7" i="49"/>
  <c r="E14" i="37"/>
  <c r="J82" i="47"/>
  <c r="S57" i="47"/>
  <c r="O254" i="49"/>
  <c r="T19" i="50"/>
  <c r="T95" i="50"/>
  <c r="Y73" i="50"/>
  <c r="AF23" i="51"/>
  <c r="AB21" i="49"/>
  <c r="O54" i="50"/>
  <c r="Y140" i="49"/>
  <c r="Y48" i="50"/>
  <c r="S188" i="49"/>
  <c r="AB335" i="49"/>
  <c r="S303" i="49"/>
  <c r="L3" i="44"/>
  <c r="AB363" i="49"/>
  <c r="AB307" i="49"/>
  <c r="N91" i="50"/>
  <c r="R57" i="51"/>
  <c r="M24" i="51"/>
  <c r="X92" i="50"/>
  <c r="Z42" i="51"/>
  <c r="R511" i="33"/>
  <c r="L7" i="42"/>
  <c r="T184" i="49"/>
  <c r="AI18" i="49"/>
  <c r="AA63" i="48"/>
  <c r="X105" i="49"/>
  <c r="AF21" i="48"/>
  <c r="Z17" i="51"/>
  <c r="N6" i="50"/>
  <c r="Y59" i="50"/>
  <c r="N48" i="48"/>
  <c r="S72" i="49"/>
  <c r="W37" i="51"/>
  <c r="Y89" i="53"/>
  <c r="AB54" i="47"/>
  <c r="S5" i="53"/>
  <c r="S114" i="49"/>
  <c r="F19" i="39"/>
  <c r="N37" i="48"/>
  <c r="AA51" i="48"/>
  <c r="J84" i="50"/>
  <c r="T59" i="53"/>
  <c r="X73" i="50"/>
  <c r="R113" i="38"/>
  <c r="X200" i="49"/>
  <c r="R198" i="39"/>
  <c r="AG135" i="42"/>
  <c r="Z321" i="49"/>
  <c r="S193" i="39"/>
  <c r="T272" i="49"/>
  <c r="N40" i="49"/>
  <c r="S259" i="49"/>
  <c r="T306" i="49"/>
  <c r="N227" i="49"/>
  <c r="M9" i="33"/>
  <c r="Q324" i="33"/>
  <c r="AF67" i="42"/>
  <c r="R167" i="33"/>
  <c r="B6" i="34"/>
  <c r="B93" i="34"/>
  <c r="D6" i="43"/>
  <c r="AF9" i="44"/>
  <c r="E4" i="44"/>
  <c r="S139" i="39"/>
  <c r="I15" i="38"/>
  <c r="S147" i="49"/>
  <c r="I6" i="39"/>
  <c r="S210" i="49"/>
  <c r="AF61" i="42"/>
  <c r="Z26" i="49"/>
  <c r="O225" i="49"/>
  <c r="AF250" i="42"/>
  <c r="R406" i="33"/>
  <c r="S181" i="39"/>
  <c r="X248" i="49"/>
  <c r="X257" i="49"/>
  <c r="Q130" i="33"/>
  <c r="X373" i="49"/>
  <c r="X102" i="49"/>
  <c r="R26" i="38"/>
  <c r="R250" i="37"/>
  <c r="T122" i="49"/>
  <c r="AG58" i="44"/>
  <c r="S335" i="49"/>
  <c r="S218" i="49"/>
  <c r="O269" i="49"/>
  <c r="N21" i="47"/>
  <c r="F253" i="4"/>
  <c r="Q399" i="33"/>
  <c r="N91" i="49"/>
  <c r="R311" i="33"/>
  <c r="E36" i="41"/>
  <c r="AA135" i="49"/>
  <c r="S100" i="39"/>
  <c r="N288" i="49"/>
  <c r="G102" i="34"/>
  <c r="AG202" i="42"/>
  <c r="AF185" i="42"/>
  <c r="R15" i="33"/>
  <c r="S5" i="47"/>
  <c r="S195" i="49"/>
  <c r="S206" i="39"/>
  <c r="Z237" i="49"/>
  <c r="I18" i="11"/>
  <c r="R86" i="37"/>
  <c r="S52" i="37"/>
  <c r="R245" i="37"/>
  <c r="S26" i="40"/>
  <c r="Z252" i="49"/>
  <c r="Z189" i="49"/>
  <c r="R147" i="33"/>
  <c r="H18" i="36"/>
  <c r="AG60" i="44"/>
  <c r="N145" i="49"/>
  <c r="AA218" i="49"/>
  <c r="X166" i="49"/>
  <c r="L26" i="42"/>
  <c r="R257" i="38"/>
  <c r="AA102" i="49"/>
  <c r="O80" i="49"/>
  <c r="X341" i="49"/>
  <c r="S182" i="37"/>
  <c r="H9" i="38"/>
  <c r="S3" i="47"/>
  <c r="Y128" i="49"/>
  <c r="Y335" i="49"/>
  <c r="AA175" i="49"/>
  <c r="O24" i="49"/>
  <c r="T18" i="47"/>
  <c r="X328" i="49"/>
  <c r="AB103" i="50"/>
  <c r="X295" i="49"/>
  <c r="O42" i="47"/>
  <c r="X283" i="49"/>
  <c r="S32" i="48"/>
  <c r="L52" i="51"/>
  <c r="AB238" i="49"/>
  <c r="J35" i="50"/>
  <c r="N42" i="49"/>
  <c r="T342" i="49"/>
  <c r="Y354" i="49"/>
  <c r="S121" i="49"/>
  <c r="C47" i="50"/>
  <c r="O118" i="49"/>
  <c r="AB5" i="50"/>
  <c r="W22" i="51"/>
  <c r="T230" i="49"/>
  <c r="S211" i="38"/>
  <c r="AB111" i="50"/>
  <c r="N88" i="48"/>
  <c r="AI15" i="48"/>
  <c r="T221" i="49"/>
  <c r="AF57" i="44"/>
  <c r="T82" i="49"/>
  <c r="N238" i="49"/>
  <c r="T137" i="49"/>
  <c r="T257" i="49"/>
  <c r="AB57" i="48"/>
  <c r="X284" i="49"/>
  <c r="Z81" i="48"/>
  <c r="Z222" i="49"/>
  <c r="Z54" i="51"/>
  <c r="AB287" i="49"/>
  <c r="R156" i="33"/>
  <c r="AA129" i="49"/>
  <c r="Z376" i="49"/>
  <c r="X42" i="50"/>
  <c r="AA178" i="49"/>
  <c r="X298" i="49"/>
  <c r="S30" i="49"/>
  <c r="O239" i="49"/>
  <c r="Z45" i="49"/>
  <c r="O45" i="50"/>
  <c r="Z6" i="50"/>
  <c r="S260" i="49"/>
  <c r="O96" i="49"/>
  <c r="Y175" i="49"/>
  <c r="S14" i="53"/>
  <c r="X78" i="53"/>
  <c r="AB261" i="49"/>
  <c r="X67" i="50"/>
  <c r="AG15" i="51"/>
  <c r="S31" i="47"/>
  <c r="S25" i="47"/>
  <c r="AA297" i="49"/>
  <c r="F222" i="4"/>
  <c r="S243" i="39"/>
  <c r="AF69" i="43"/>
  <c r="S44" i="47"/>
  <c r="Z123" i="49"/>
  <c r="K24" i="42"/>
  <c r="AG211" i="42"/>
  <c r="AG167" i="42"/>
  <c r="AF175" i="42"/>
  <c r="S44" i="49"/>
  <c r="G11" i="47"/>
  <c r="S76" i="49"/>
  <c r="T217" i="49"/>
  <c r="G68" i="34"/>
  <c r="R176" i="33"/>
  <c r="X217" i="49"/>
  <c r="X78" i="49"/>
  <c r="AB88" i="48"/>
  <c r="Q17" i="51"/>
  <c r="O26" i="50"/>
  <c r="AB49" i="50"/>
  <c r="Q53" i="51"/>
  <c r="T88" i="49"/>
  <c r="T178" i="49"/>
  <c r="Y94" i="49"/>
  <c r="Y9" i="44" a="1"/>
  <c r="S230" i="39"/>
  <c r="T51" i="48"/>
  <c r="X40" i="49"/>
  <c r="S76" i="37"/>
  <c r="T333" i="49"/>
  <c r="O3" i="50"/>
  <c r="Z54" i="48"/>
  <c r="H51" i="51"/>
  <c r="R19" i="51"/>
  <c r="Y141" i="49"/>
  <c r="AG83" i="43"/>
  <c r="R155" i="39"/>
  <c r="Y73" i="48"/>
  <c r="S6" i="50"/>
  <c r="S59" i="50"/>
  <c r="O96" i="50"/>
  <c r="J12" i="48"/>
  <c r="T116" i="50"/>
  <c r="S238" i="37"/>
  <c r="Y57" i="48"/>
  <c r="O21" i="49"/>
  <c r="O85" i="50"/>
  <c r="X10" i="50"/>
  <c r="S96" i="50"/>
  <c r="X74" i="53"/>
  <c r="N62" i="47"/>
  <c r="O51" i="47"/>
  <c r="S121" i="39"/>
  <c r="AI15" i="50"/>
  <c r="J62" i="50"/>
  <c r="Y89" i="50"/>
  <c r="L29" i="51"/>
  <c r="Z61" i="53"/>
  <c r="O357" i="49"/>
  <c r="R257" i="33"/>
  <c r="S46" i="49"/>
  <c r="AF5" i="44"/>
  <c r="G14" i="37"/>
  <c r="N17" i="39"/>
  <c r="S389" i="49"/>
  <c r="O88" i="49"/>
  <c r="T53" i="47"/>
  <c r="S44" i="37"/>
  <c r="Z375" i="49"/>
  <c r="L17" i="43"/>
  <c r="T43" i="49"/>
  <c r="S167" i="39"/>
  <c r="R448" i="33"/>
  <c r="AG218" i="42"/>
  <c r="Z316" i="49"/>
  <c r="AB164" i="49"/>
  <c r="N5" i="48"/>
  <c r="S268" i="49"/>
  <c r="X14" i="49"/>
  <c r="AB13" i="49"/>
  <c r="AA45" i="48"/>
  <c r="W43" i="51"/>
  <c r="Z35" i="51"/>
  <c r="AA76" i="49"/>
  <c r="S238" i="38"/>
  <c r="S152" i="39"/>
  <c r="T181" i="49"/>
  <c r="O324" i="49"/>
  <c r="Y132" i="49"/>
  <c r="Y269" i="49"/>
  <c r="S39" i="49"/>
  <c r="T115" i="49"/>
  <c r="R475" i="33"/>
  <c r="AF189" i="42"/>
  <c r="R27" i="33"/>
  <c r="O28" i="50"/>
  <c r="Z29" i="51"/>
  <c r="Z86" i="50"/>
  <c r="AB87" i="48"/>
  <c r="S179" i="39"/>
  <c r="S131" i="39"/>
  <c r="N112" i="49"/>
  <c r="AA339" i="49"/>
  <c r="S121" i="50"/>
  <c r="T82" i="50"/>
  <c r="N122" i="50"/>
  <c r="X124" i="50"/>
  <c r="M33" i="41"/>
  <c r="O11" i="50"/>
  <c r="M30" i="51"/>
  <c r="S29" i="40"/>
  <c r="H16" i="51"/>
  <c r="Z108" i="49"/>
  <c r="AA279" i="49"/>
  <c r="X62" i="53"/>
  <c r="J22" i="8"/>
  <c r="G111" i="34"/>
  <c r="AB11" i="45"/>
  <c r="Q176" i="33"/>
  <c r="R128" i="37"/>
  <c r="H11" i="38"/>
  <c r="R167" i="38"/>
  <c r="R168" i="39"/>
  <c r="B49" i="34"/>
  <c r="D17" i="41"/>
  <c r="Q483" i="33"/>
  <c r="O34" i="47"/>
  <c r="B110" i="34"/>
  <c r="AG57" i="42"/>
  <c r="E19" i="43"/>
  <c r="S78" i="37"/>
  <c r="T252" i="49"/>
  <c r="R203" i="39"/>
  <c r="G28" i="34"/>
  <c r="C36" i="34"/>
  <c r="R14" i="37"/>
  <c r="S165" i="38"/>
  <c r="R235" i="38"/>
  <c r="G6" i="44"/>
  <c r="AG73" i="42"/>
  <c r="H5" i="39"/>
  <c r="R276" i="33"/>
  <c r="S79" i="38"/>
  <c r="S105" i="38"/>
  <c r="I10" i="38"/>
  <c r="S67" i="37"/>
  <c r="K17" i="42"/>
  <c r="R14" i="38"/>
  <c r="S47" i="37"/>
  <c r="Y151" i="49"/>
  <c r="Y13" i="42" a="1"/>
  <c r="O388" i="49"/>
  <c r="Y59" i="49"/>
  <c r="N11" i="47"/>
  <c r="J23" i="47"/>
  <c r="R461" i="33"/>
  <c r="AF213" i="42"/>
  <c r="S6" i="37"/>
  <c r="AA28" i="49"/>
  <c r="AB322" i="49"/>
  <c r="O32" i="49"/>
  <c r="R433" i="33"/>
  <c r="S369" i="49"/>
  <c r="T360" i="49"/>
  <c r="R199" i="39"/>
  <c r="R323" i="33"/>
  <c r="S176" i="39"/>
  <c r="Z326" i="49"/>
  <c r="O327" i="49"/>
  <c r="X90" i="49"/>
  <c r="S371" i="49"/>
  <c r="Z120" i="49"/>
  <c r="F101" i="4"/>
  <c r="F5" i="43"/>
  <c r="G6" i="42"/>
  <c r="R327" i="33"/>
  <c r="AF145" i="42"/>
  <c r="S129" i="38"/>
  <c r="Z303" i="49"/>
  <c r="O35" i="47"/>
  <c r="S99" i="49"/>
  <c r="AB90" i="48"/>
  <c r="R18" i="33"/>
  <c r="J24" i="11"/>
  <c r="L6" i="42"/>
  <c r="Z260" i="49"/>
  <c r="AB83" i="49"/>
  <c r="O78" i="49"/>
  <c r="O137" i="49"/>
  <c r="S28" i="47"/>
  <c r="N103" i="49"/>
  <c r="X282" i="49"/>
  <c r="C43" i="50"/>
  <c r="O240" i="49"/>
  <c r="Y78" i="48"/>
  <c r="O295" i="49"/>
  <c r="AA7" i="50"/>
  <c r="Z43" i="49"/>
  <c r="N12" i="51"/>
  <c r="Y49" i="49"/>
  <c r="Y104" i="49"/>
  <c r="AF18" i="48"/>
  <c r="M3" i="51"/>
  <c r="X27" i="50"/>
  <c r="S327" i="49"/>
  <c r="Y26" i="48"/>
  <c r="T58" i="49"/>
  <c r="AB18" i="53"/>
  <c r="AB272" i="49"/>
  <c r="Z179" i="49"/>
  <c r="W48" i="51"/>
  <c r="W50" i="51"/>
  <c r="X371" i="49"/>
  <c r="N3" i="39"/>
  <c r="Y288" i="49"/>
  <c r="N115" i="49"/>
  <c r="X304" i="49"/>
  <c r="S261" i="49"/>
  <c r="AA16" i="49"/>
  <c r="Y352" i="49"/>
  <c r="N358" i="49"/>
  <c r="N317" i="49"/>
  <c r="R44" i="51"/>
  <c r="X86" i="48"/>
  <c r="R222" i="38"/>
  <c r="S63" i="48"/>
  <c r="O29" i="50"/>
  <c r="X4" i="51"/>
  <c r="Y257" i="49"/>
  <c r="O65" i="47"/>
  <c r="Z191" i="49"/>
  <c r="AF15" i="48"/>
  <c r="Y85" i="49"/>
  <c r="Y25" i="50"/>
  <c r="J85" i="50"/>
  <c r="N16" i="50"/>
  <c r="AA80" i="49"/>
  <c r="S50" i="48"/>
  <c r="Z352" i="49"/>
  <c r="N49" i="53"/>
  <c r="AA350" i="49"/>
  <c r="AB266" i="49"/>
  <c r="AB116" i="49"/>
  <c r="T45" i="49"/>
  <c r="T277" i="49"/>
  <c r="T359" i="49"/>
  <c r="J26" i="7"/>
  <c r="AG257" i="42"/>
  <c r="R139" i="39"/>
  <c r="M4" i="46"/>
  <c r="Y173" i="49"/>
  <c r="R173" i="33"/>
  <c r="N61" i="47"/>
  <c r="S185" i="49"/>
  <c r="S68" i="49"/>
  <c r="Z44" i="48"/>
  <c r="Y216" i="49"/>
  <c r="AB99" i="49"/>
  <c r="J29" i="49"/>
  <c r="AA118" i="49"/>
  <c r="X74" i="49"/>
  <c r="N192" i="49"/>
  <c r="AH17" i="50"/>
  <c r="AI12" i="48"/>
  <c r="N84" i="50"/>
  <c r="Z122" i="50"/>
  <c r="Y83" i="50"/>
  <c r="AF42" i="42"/>
  <c r="R387" i="33"/>
  <c r="S117" i="50"/>
  <c r="S21" i="48"/>
  <c r="X22" i="48"/>
  <c r="X60" i="48"/>
  <c r="Y81" i="48"/>
  <c r="X34" i="48"/>
  <c r="S120" i="49"/>
  <c r="N64" i="50"/>
  <c r="N113" i="50"/>
  <c r="Q24" i="51"/>
  <c r="W32" i="51"/>
  <c r="M20" i="51"/>
  <c r="X16" i="48"/>
  <c r="R204" i="33"/>
  <c r="E7" i="39"/>
  <c r="AG97" i="43"/>
  <c r="AA243" i="49"/>
  <c r="S145" i="49"/>
  <c r="O159" i="49"/>
  <c r="V35" i="51"/>
  <c r="Y23" i="50"/>
  <c r="AG91" i="42"/>
  <c r="Y193" i="49"/>
  <c r="B12" i="51"/>
  <c r="Z15" i="50"/>
  <c r="S45" i="48"/>
  <c r="AA40" i="50"/>
  <c r="AB86" i="53"/>
  <c r="O43" i="49"/>
  <c r="N113" i="49"/>
  <c r="N57" i="48"/>
  <c r="X28" i="51"/>
  <c r="AB82" i="50"/>
  <c r="Z77" i="49"/>
  <c r="Z154" i="49"/>
  <c r="N31" i="53"/>
  <c r="X61" i="53"/>
  <c r="N236" i="49"/>
  <c r="N77" i="50"/>
  <c r="J25" i="42"/>
  <c r="R310" i="33"/>
  <c r="R57" i="39"/>
  <c r="F9" i="39"/>
  <c r="N8" i="47"/>
  <c r="X152" i="49"/>
  <c r="X344" i="49"/>
  <c r="N216" i="49"/>
  <c r="AC19" i="45"/>
  <c r="Z10" i="49"/>
  <c r="S210" i="39"/>
  <c r="N36" i="48"/>
  <c r="N15" i="37"/>
  <c r="Y58" i="49"/>
  <c r="O183" i="49"/>
  <c r="Z80" i="49"/>
  <c r="O171" i="49"/>
  <c r="S119" i="50"/>
  <c r="R91" i="38"/>
  <c r="Q22" i="51"/>
  <c r="V55" i="51"/>
  <c r="Z25" i="51"/>
  <c r="N115" i="50"/>
  <c r="S28" i="37"/>
  <c r="J26" i="49"/>
  <c r="N6" i="49"/>
  <c r="Y76" i="49"/>
  <c r="S8" i="50"/>
  <c r="O10" i="47"/>
  <c r="Y112" i="50"/>
  <c r="Q31" i="51"/>
  <c r="S38" i="39"/>
  <c r="S355" i="49"/>
  <c r="J74" i="47"/>
  <c r="X26" i="50"/>
  <c r="T72" i="50"/>
  <c r="AB24" i="49"/>
  <c r="Y92" i="49"/>
  <c r="N319" i="49"/>
  <c r="Y276" i="49"/>
  <c r="Z380" i="49"/>
  <c r="N103" i="50"/>
  <c r="N7" i="50"/>
  <c r="N32" i="50"/>
  <c r="R3" i="51"/>
  <c r="N37" i="50"/>
  <c r="S13" i="47"/>
  <c r="O375" i="49"/>
  <c r="W14" i="51"/>
  <c r="X267" i="49"/>
  <c r="O71" i="48"/>
  <c r="AL3" i="51"/>
  <c r="A5" i="35"/>
  <c r="AF42" i="43"/>
  <c r="AF152" i="42"/>
  <c r="C94" i="34"/>
  <c r="R20" i="37"/>
  <c r="H11" i="37"/>
  <c r="M29" i="41"/>
  <c r="R42" i="38"/>
  <c r="J29" i="24"/>
  <c r="S203" i="39"/>
  <c r="AF91" i="42"/>
  <c r="S338" i="49"/>
  <c r="S141" i="38"/>
  <c r="S35" i="49"/>
  <c r="AG125" i="42"/>
  <c r="AB184" i="49"/>
  <c r="Y144" i="49"/>
  <c r="B113" i="34"/>
  <c r="H15" i="45"/>
  <c r="R156" i="37"/>
  <c r="J22" i="42"/>
  <c r="R82" i="33"/>
  <c r="AG147" i="42"/>
  <c r="R57" i="33"/>
  <c r="AF36" i="42"/>
  <c r="S149" i="37"/>
  <c r="Q42" i="33"/>
  <c r="S204" i="37"/>
  <c r="R135" i="39"/>
  <c r="R53" i="37"/>
  <c r="R54" i="37"/>
  <c r="AG83" i="42"/>
  <c r="R46" i="33"/>
  <c r="R184" i="37"/>
  <c r="R232" i="37"/>
  <c r="AA201" i="49"/>
  <c r="T298" i="49"/>
  <c r="Z18" i="49"/>
  <c r="R159" i="38"/>
  <c r="X291" i="49"/>
  <c r="X162" i="49"/>
  <c r="D31" i="41"/>
  <c r="J21" i="44"/>
  <c r="Y9" i="42" a="1"/>
  <c r="AB303" i="49"/>
  <c r="T329" i="49"/>
  <c r="Z113" i="49"/>
  <c r="AB162" i="49"/>
  <c r="N3" i="47"/>
  <c r="S111" i="38"/>
  <c r="Q99" i="33"/>
  <c r="S353" i="49"/>
  <c r="T70" i="47"/>
  <c r="J4" i="37"/>
  <c r="AG127" i="42"/>
  <c r="S247" i="37"/>
  <c r="X261" i="49"/>
  <c r="I22" i="10"/>
  <c r="N5" i="38"/>
  <c r="S199" i="37"/>
  <c r="S84" i="39"/>
  <c r="S74" i="39"/>
  <c r="Y246" i="49"/>
  <c r="O11" i="47"/>
  <c r="AF19" i="42"/>
  <c r="R230" i="33"/>
  <c r="R182" i="39"/>
  <c r="N1" i="38"/>
  <c r="S228" i="38"/>
  <c r="O308" i="49"/>
  <c r="Z258" i="49"/>
  <c r="Z362" i="49"/>
  <c r="N309" i="49"/>
  <c r="S115" i="39"/>
  <c r="Z345" i="49"/>
  <c r="AA74" i="49"/>
  <c r="S130" i="49"/>
  <c r="AI11" i="50"/>
  <c r="N306" i="49"/>
  <c r="X89" i="48"/>
  <c r="AB63" i="50"/>
  <c r="W49" i="51"/>
  <c r="X234" i="49"/>
  <c r="Y179" i="49"/>
  <c r="N391" i="49"/>
  <c r="R479" i="33"/>
  <c r="O145" i="49"/>
  <c r="X11" i="50"/>
  <c r="T339" i="49"/>
  <c r="G12" i="38"/>
  <c r="AB92" i="48"/>
  <c r="T29" i="50"/>
  <c r="N27" i="53"/>
  <c r="N148" i="49"/>
  <c r="AB94" i="49"/>
  <c r="Z34" i="50"/>
  <c r="T220" i="49"/>
  <c r="X89" i="49"/>
  <c r="R242" i="37"/>
  <c r="R304" i="33"/>
  <c r="T253" i="49"/>
  <c r="X226" i="49"/>
  <c r="E18" i="41"/>
  <c r="AG172" i="42"/>
  <c r="N11" i="37"/>
  <c r="Z56" i="48"/>
  <c r="AA47" i="49"/>
  <c r="X156" i="49"/>
  <c r="O12" i="50"/>
  <c r="S136" i="39"/>
  <c r="Y61" i="48"/>
  <c r="AB18" i="50"/>
  <c r="AA188" i="49"/>
  <c r="T72" i="47"/>
  <c r="Z48" i="48"/>
  <c r="S284" i="49"/>
  <c r="O19" i="50"/>
  <c r="R87" i="33"/>
  <c r="W33" i="51"/>
  <c r="AB124" i="50"/>
  <c r="AB51" i="48"/>
  <c r="T14" i="50"/>
  <c r="H40" i="51"/>
  <c r="O4" i="47"/>
  <c r="T81" i="53"/>
  <c r="Z374" i="49"/>
  <c r="T108" i="50"/>
  <c r="AB85" i="50"/>
  <c r="AB65" i="53"/>
  <c r="C40" i="53"/>
  <c r="AB66" i="49"/>
  <c r="E5" i="37"/>
  <c r="N40" i="47"/>
  <c r="S10" i="38"/>
  <c r="Z280" i="49"/>
  <c r="S53" i="38"/>
  <c r="N18" i="39"/>
  <c r="S245" i="49"/>
  <c r="AB76" i="49"/>
  <c r="Y110" i="49"/>
  <c r="O260" i="49"/>
  <c r="N8" i="49"/>
  <c r="S73" i="48"/>
  <c r="Y248" i="49"/>
  <c r="Z205" i="49"/>
  <c r="Y86" i="49"/>
  <c r="AB47" i="49"/>
  <c r="AB66" i="48"/>
  <c r="Z36" i="50"/>
  <c r="L55" i="51"/>
  <c r="Z8" i="51"/>
  <c r="Y220" i="49"/>
  <c r="R207" i="39"/>
  <c r="S186" i="38"/>
  <c r="AG139" i="42"/>
  <c r="AB121" i="49"/>
  <c r="T20" i="49"/>
  <c r="O54" i="48"/>
  <c r="V7" i="51"/>
  <c r="N97" i="50"/>
  <c r="AA13" i="49"/>
  <c r="X161" i="49"/>
  <c r="AB243" i="49"/>
  <c r="AB71" i="50"/>
  <c r="X157" i="49"/>
  <c r="AB305" i="49"/>
  <c r="X334" i="49"/>
  <c r="AG28" i="43"/>
  <c r="T41" i="47"/>
  <c r="S252" i="39"/>
  <c r="Y158" i="49"/>
  <c r="O81" i="50"/>
  <c r="S15" i="50"/>
  <c r="Y66" i="50"/>
  <c r="H61" i="51"/>
  <c r="N220" i="49"/>
  <c r="AB86" i="48"/>
  <c r="V10" i="51"/>
  <c r="O208" i="49"/>
  <c r="L27" i="51"/>
  <c r="S29" i="50"/>
  <c r="X35" i="53"/>
  <c r="Y271" i="49"/>
  <c r="Y182" i="49"/>
  <c r="O363" i="49"/>
  <c r="T247" i="49"/>
  <c r="Z100" i="50"/>
  <c r="Z30" i="48"/>
  <c r="AB54" i="50"/>
  <c r="AB289" i="49"/>
  <c r="Z42" i="53"/>
  <c r="N7" i="49"/>
  <c r="S49" i="49"/>
  <c r="AF92" i="43"/>
  <c r="G13" i="38"/>
  <c r="R162" i="39"/>
  <c r="S70" i="38"/>
  <c r="AA230" i="49"/>
  <c r="T259" i="49"/>
  <c r="Z76" i="49"/>
  <c r="N328" i="49"/>
  <c r="N366" i="49"/>
  <c r="J82" i="50"/>
  <c r="AF41" i="42"/>
  <c r="E25" i="41"/>
  <c r="X192" i="49"/>
  <c r="Y11" i="48"/>
  <c r="N37" i="47"/>
  <c r="T70" i="50"/>
  <c r="AG9" i="44"/>
  <c r="X123" i="49"/>
  <c r="AA232" i="49"/>
  <c r="Q3" i="51"/>
  <c r="Y12" i="49"/>
  <c r="N214" i="49"/>
  <c r="N346" i="49"/>
  <c r="N263" i="49"/>
  <c r="S56" i="49"/>
  <c r="AA360" i="49"/>
  <c r="AB55" i="49"/>
  <c r="AA12" i="50"/>
  <c r="AA87" i="50"/>
  <c r="Q54" i="51"/>
  <c r="AA68" i="50"/>
  <c r="G86" i="34"/>
  <c r="S8" i="37"/>
  <c r="T48" i="50"/>
  <c r="Y239" i="49"/>
  <c r="J11" i="48"/>
  <c r="N303" i="49"/>
  <c r="S150" i="49"/>
  <c r="N260" i="49"/>
  <c r="N4" i="37"/>
  <c r="AB79" i="48"/>
  <c r="O91" i="50"/>
  <c r="V48" i="51"/>
  <c r="Y51" i="51"/>
  <c r="M57" i="51"/>
  <c r="Y75" i="50"/>
  <c r="S224" i="38"/>
  <c r="Y234" i="49"/>
  <c r="J4" i="39"/>
  <c r="T26" i="48"/>
  <c r="O207" i="49"/>
  <c r="AB41" i="47"/>
  <c r="AA30" i="53"/>
  <c r="S36" i="50"/>
  <c r="O369" i="49"/>
  <c r="O243" i="49"/>
  <c r="T318" i="49"/>
  <c r="X233" i="49"/>
  <c r="AB25" i="48"/>
  <c r="J29" i="47"/>
  <c r="T23" i="48"/>
  <c r="AA226" i="49"/>
  <c r="Y136" i="49"/>
  <c r="T120" i="50"/>
  <c r="R410" i="33"/>
  <c r="S79" i="39"/>
  <c r="Y79" i="49"/>
  <c r="T227" i="49"/>
  <c r="Q181" i="33"/>
  <c r="S46" i="37"/>
  <c r="R74" i="33"/>
  <c r="T54" i="48"/>
  <c r="Y56" i="49"/>
  <c r="AB16" i="49"/>
  <c r="J50" i="48"/>
  <c r="O52" i="49"/>
  <c r="AB350" i="49"/>
  <c r="R28" i="39"/>
  <c r="R218" i="38"/>
  <c r="L5" i="43"/>
  <c r="AF9" i="42"/>
  <c r="AC23" i="45"/>
  <c r="R112" i="38"/>
  <c r="S3" i="43" a="1"/>
  <c r="G3" i="47"/>
  <c r="AG24" i="42"/>
  <c r="D19" i="36"/>
  <c r="I18" i="38"/>
  <c r="S53" i="37"/>
  <c r="S7" i="47"/>
  <c r="R117" i="37"/>
  <c r="AB263" i="49"/>
  <c r="O8" i="49"/>
  <c r="N126" i="49"/>
  <c r="G7" i="44"/>
  <c r="R62" i="33"/>
  <c r="T66" i="47"/>
  <c r="T21" i="47"/>
  <c r="R131" i="39"/>
  <c r="H10" i="39"/>
  <c r="N154" i="49"/>
  <c r="AG134" i="42"/>
  <c r="J15" i="42"/>
  <c r="S94" i="39"/>
  <c r="F3" i="42"/>
  <c r="S138" i="38"/>
  <c r="N31" i="47"/>
  <c r="X117" i="49"/>
  <c r="R9" i="33"/>
  <c r="S373" i="49"/>
  <c r="R379" i="33"/>
  <c r="R247" i="33"/>
  <c r="AG46" i="43"/>
  <c r="R61" i="37"/>
  <c r="S112" i="49"/>
  <c r="Y70" i="49"/>
  <c r="O297" i="49"/>
  <c r="O74" i="49"/>
  <c r="R154" i="38"/>
  <c r="O38" i="47"/>
  <c r="R473" i="33"/>
  <c r="R59" i="37"/>
  <c r="N79" i="49"/>
  <c r="N1" i="37"/>
  <c r="Z87" i="48"/>
  <c r="X19" i="49"/>
  <c r="AG8" i="44"/>
  <c r="S11" i="37"/>
  <c r="S173" i="37"/>
  <c r="AG118" i="42"/>
  <c r="AB68" i="49"/>
  <c r="T19" i="48"/>
  <c r="Z296" i="49"/>
  <c r="X167" i="49"/>
  <c r="M10" i="41"/>
  <c r="S12" i="39"/>
  <c r="X250" i="49"/>
  <c r="AB260" i="49"/>
  <c r="X21" i="49"/>
  <c r="T79" i="47"/>
  <c r="X277" i="49"/>
  <c r="O312" i="49"/>
  <c r="S49" i="48"/>
  <c r="S224" i="37"/>
  <c r="L6" i="43"/>
  <c r="M9" i="40"/>
  <c r="AA100" i="49"/>
  <c r="AA274" i="49"/>
  <c r="Y178" i="49"/>
  <c r="O271" i="49"/>
  <c r="AA322" i="49"/>
  <c r="AA131" i="49"/>
  <c r="Z23" i="51"/>
  <c r="S78" i="49"/>
  <c r="AG90" i="43"/>
  <c r="Z311" i="49"/>
  <c r="Z28" i="48"/>
  <c r="X3" i="50"/>
  <c r="Y338" i="49"/>
  <c r="O105" i="49"/>
  <c r="Z55" i="49"/>
  <c r="O33" i="50"/>
  <c r="Z236" i="49"/>
  <c r="S253" i="49"/>
  <c r="S105" i="49"/>
  <c r="H9" i="51"/>
  <c r="S47" i="48"/>
  <c r="N24" i="48"/>
  <c r="H21" i="51"/>
  <c r="T67" i="53"/>
  <c r="AG168" i="42"/>
  <c r="Y241" i="49"/>
  <c r="Z105" i="50"/>
  <c r="N23" i="53"/>
  <c r="R258" i="37"/>
  <c r="C17" i="39"/>
  <c r="X141" i="49"/>
  <c r="AB203" i="49"/>
  <c r="X235" i="49"/>
  <c r="X181" i="49"/>
  <c r="Z330" i="49"/>
  <c r="O54" i="49"/>
  <c r="T45" i="47"/>
  <c r="S360" i="49"/>
  <c r="AF14" i="49"/>
  <c r="V9" i="51"/>
  <c r="T8" i="47"/>
  <c r="T215" i="49"/>
  <c r="AA107" i="49"/>
  <c r="L49" i="51"/>
  <c r="Z33" i="48"/>
  <c r="X122" i="49"/>
  <c r="S30" i="48"/>
  <c r="N283" i="49"/>
  <c r="S76" i="50"/>
  <c r="Z27" i="50"/>
  <c r="H53" i="51"/>
  <c r="S177" i="49"/>
  <c r="Y71" i="48"/>
  <c r="V37" i="51"/>
  <c r="O94" i="49"/>
  <c r="R359" i="33"/>
  <c r="C17" i="51"/>
  <c r="M34" i="51"/>
  <c r="AB22" i="47"/>
  <c r="R32" i="51"/>
  <c r="S68" i="39"/>
  <c r="O385" i="49"/>
  <c r="AG50" i="43"/>
  <c r="AB218" i="49"/>
  <c r="T141" i="49"/>
  <c r="S231" i="37"/>
  <c r="S246" i="39"/>
  <c r="N124" i="49"/>
  <c r="Z212" i="49"/>
  <c r="Y277" i="49"/>
  <c r="T281" i="49"/>
  <c r="N188" i="49"/>
  <c r="Z127" i="49"/>
  <c r="O3" i="48"/>
  <c r="Y231" i="49"/>
  <c r="AA51" i="49"/>
  <c r="Y87" i="49"/>
  <c r="N25" i="48"/>
  <c r="AA154" i="49"/>
  <c r="S28" i="40"/>
  <c r="Z177" i="49"/>
  <c r="AB17" i="48"/>
  <c r="N86" i="48"/>
  <c r="R306" i="33"/>
  <c r="S198" i="49"/>
  <c r="AB118" i="49"/>
  <c r="Y357" i="49"/>
  <c r="M46" i="51"/>
  <c r="R36" i="51"/>
  <c r="R56" i="51"/>
  <c r="N5" i="47"/>
  <c r="T9" i="48"/>
  <c r="Z224" i="49"/>
  <c r="T251" i="49"/>
  <c r="T355" i="49"/>
  <c r="S224" i="49"/>
  <c r="N69" i="48"/>
  <c r="S88" i="48"/>
  <c r="S172" i="49"/>
  <c r="Z208" i="49"/>
  <c r="S108" i="50"/>
  <c r="AA56" i="50"/>
  <c r="AB11" i="50"/>
  <c r="AB104" i="50"/>
  <c r="S118" i="50"/>
  <c r="AA80" i="48"/>
  <c r="S223" i="49"/>
  <c r="Y89" i="48"/>
  <c r="T304" i="49"/>
  <c r="O116" i="50"/>
  <c r="C42" i="50"/>
  <c r="AB39" i="49"/>
  <c r="O45" i="49"/>
  <c r="S67" i="53"/>
  <c r="R26" i="40"/>
  <c r="X22" i="49"/>
  <c r="N118" i="50"/>
  <c r="X32" i="50"/>
  <c r="Y279" i="49"/>
  <c r="AA5" i="49"/>
  <c r="AB19" i="53"/>
  <c r="Z66" i="47"/>
  <c r="N295" i="49"/>
  <c r="AA269" i="49"/>
  <c r="AB8" i="45"/>
  <c r="AF241" i="42"/>
  <c r="X265" i="49"/>
  <c r="AN4" i="49"/>
  <c r="Y242" i="49"/>
  <c r="AB5" i="49"/>
  <c r="AI23" i="49"/>
  <c r="AA199" i="49"/>
  <c r="AG117" i="43"/>
  <c r="C22" i="34"/>
  <c r="G13" i="47"/>
  <c r="G11" i="39"/>
  <c r="S159" i="49"/>
  <c r="S197" i="38"/>
  <c r="AA344" i="49"/>
  <c r="R500" i="33"/>
  <c r="Y11" i="49"/>
  <c r="S90" i="48"/>
  <c r="AB188" i="49"/>
  <c r="AA294" i="49"/>
  <c r="Z9" i="49"/>
  <c r="S33" i="48"/>
  <c r="N13" i="50"/>
  <c r="AB210" i="49"/>
  <c r="O10" i="50"/>
  <c r="T325" i="49"/>
  <c r="Z17" i="50"/>
  <c r="Y50" i="50"/>
  <c r="Y123" i="50"/>
  <c r="N58" i="50"/>
  <c r="AG45" i="44"/>
  <c r="O76" i="49"/>
  <c r="AA267" i="49"/>
  <c r="AB64" i="49"/>
  <c r="G3" i="50"/>
  <c r="S45" i="50"/>
  <c r="AA97" i="50"/>
  <c r="B9" i="51"/>
  <c r="AB59" i="49"/>
  <c r="AB348" i="49"/>
  <c r="AA26" i="49"/>
  <c r="L32" i="51"/>
  <c r="O223" i="49"/>
  <c r="T388" i="49"/>
  <c r="X66" i="50"/>
  <c r="AB64" i="48"/>
  <c r="AB330" i="49"/>
  <c r="AB4" i="49"/>
  <c r="C9" i="51"/>
  <c r="S113" i="49"/>
  <c r="O193" i="49"/>
  <c r="AB172" i="49"/>
  <c r="AB383" i="49"/>
  <c r="X49" i="53"/>
  <c r="Y32" i="49"/>
  <c r="O44" i="48"/>
  <c r="Z112" i="50"/>
  <c r="S97" i="49"/>
  <c r="X84" i="48"/>
  <c r="T83" i="49"/>
  <c r="Y358" i="49"/>
  <c r="Z77" i="53"/>
  <c r="R53" i="38"/>
  <c r="AF56" i="44"/>
  <c r="J27" i="35"/>
  <c r="AF21" i="42"/>
  <c r="C21" i="39"/>
  <c r="S14" i="38"/>
  <c r="L23" i="43"/>
  <c r="S22" i="37"/>
  <c r="G20" i="39"/>
  <c r="AG115" i="43"/>
  <c r="S67" i="39"/>
  <c r="S42" i="38"/>
  <c r="AB3" i="18"/>
  <c r="R81" i="39"/>
  <c r="R309" i="33"/>
  <c r="AG99" i="42"/>
  <c r="AF80" i="42"/>
  <c r="AG90" i="42"/>
  <c r="N292" i="49"/>
  <c r="O34" i="49"/>
  <c r="R503" i="33"/>
  <c r="R23" i="38"/>
  <c r="Y107" i="49"/>
  <c r="AA32" i="49"/>
  <c r="T128" i="49"/>
  <c r="AG82" i="42"/>
  <c r="N169" i="49"/>
  <c r="S39" i="47"/>
  <c r="S26" i="47"/>
  <c r="AG187" i="42"/>
  <c r="O294" i="49"/>
  <c r="AB117" i="49"/>
  <c r="Z115" i="49"/>
  <c r="AG238" i="42"/>
  <c r="T197" i="49"/>
  <c r="Z318" i="49"/>
  <c r="R351" i="33"/>
  <c r="AF17" i="49"/>
  <c r="S109" i="39"/>
  <c r="T39" i="49"/>
  <c r="AA106" i="50"/>
  <c r="O84" i="49"/>
  <c r="AB16" i="48"/>
  <c r="AG130" i="43"/>
  <c r="X183" i="49"/>
  <c r="Y49" i="48"/>
  <c r="N8" i="53"/>
  <c r="B23" i="51"/>
  <c r="C55" i="53"/>
  <c r="S195" i="39"/>
  <c r="R90" i="38"/>
  <c r="R249" i="38"/>
  <c r="S43" i="38"/>
  <c r="O166" i="49"/>
  <c r="Y66" i="49"/>
  <c r="S12" i="47"/>
  <c r="AB76" i="48"/>
  <c r="T46" i="50"/>
  <c r="O90" i="50"/>
  <c r="AA52" i="50"/>
  <c r="AI22" i="49"/>
  <c r="AB38" i="48"/>
  <c r="X42" i="47"/>
  <c r="AB30" i="50"/>
  <c r="Y14" i="47"/>
  <c r="S191" i="49"/>
  <c r="AF129" i="42"/>
  <c r="X150" i="49"/>
  <c r="AB109" i="49"/>
  <c r="AB18" i="48"/>
  <c r="AH17" i="49"/>
  <c r="AF12" i="48"/>
  <c r="J67" i="50"/>
  <c r="T163" i="49"/>
  <c r="X40" i="50"/>
  <c r="Y165" i="49"/>
  <c r="S363" i="49"/>
  <c r="AA193" i="49"/>
  <c r="AB49" i="48"/>
  <c r="R24" i="51"/>
  <c r="X82" i="49"/>
  <c r="X138" i="49"/>
  <c r="AB369" i="49"/>
  <c r="AA56" i="48"/>
  <c r="AB318" i="49"/>
  <c r="Z200" i="49"/>
  <c r="Y52" i="51"/>
  <c r="AB339" i="49"/>
  <c r="Y74" i="49"/>
  <c r="Z384" i="49"/>
  <c r="Y61" i="53"/>
  <c r="AB319" i="49"/>
  <c r="X30" i="48"/>
  <c r="AA84" i="49"/>
  <c r="O18" i="53"/>
  <c r="Y51" i="53"/>
  <c r="T45" i="50"/>
  <c r="R5" i="37"/>
  <c r="S212" i="39"/>
  <c r="Y369" i="49"/>
  <c r="X337" i="49"/>
  <c r="R224" i="38"/>
  <c r="S27" i="37"/>
  <c r="X139" i="49"/>
  <c r="AA183" i="49"/>
  <c r="S39" i="48"/>
  <c r="N79" i="48"/>
  <c r="X81" i="48"/>
  <c r="J11" i="49"/>
  <c r="AB31" i="48"/>
  <c r="X86" i="50"/>
  <c r="W17" i="51"/>
  <c r="Y255" i="49"/>
  <c r="G6" i="48"/>
  <c r="AA74" i="48"/>
  <c r="S309" i="49"/>
  <c r="J5" i="48"/>
  <c r="AB81" i="50"/>
  <c r="Z44" i="50"/>
  <c r="T14" i="49"/>
  <c r="AB42" i="49"/>
  <c r="Z248" i="49"/>
  <c r="T27" i="47"/>
  <c r="AA3" i="53"/>
  <c r="Y25" i="49"/>
  <c r="O66" i="49"/>
  <c r="Z187" i="49"/>
  <c r="Z5" i="51"/>
  <c r="S42" i="50"/>
  <c r="AB57" i="53"/>
  <c r="AB129" i="49"/>
  <c r="F93" i="4"/>
  <c r="L6" i="44"/>
  <c r="Q390" i="33"/>
  <c r="J11" i="39"/>
  <c r="S91" i="38"/>
  <c r="R338" i="33"/>
  <c r="I15" i="37"/>
  <c r="AG37" i="44"/>
  <c r="N347" i="49"/>
  <c r="T124" i="49"/>
  <c r="F54" i="4"/>
  <c r="AF39" i="44"/>
  <c r="S233" i="38"/>
  <c r="S178" i="49"/>
  <c r="S119" i="38"/>
  <c r="R250" i="38"/>
  <c r="N51" i="47"/>
  <c r="N41" i="47"/>
  <c r="S72" i="48"/>
  <c r="R192" i="38"/>
  <c r="L7" i="43"/>
  <c r="S155" i="49"/>
  <c r="S48" i="37"/>
  <c r="S70" i="37"/>
  <c r="N9" i="49"/>
  <c r="X125" i="49"/>
  <c r="AA3" i="49"/>
  <c r="AG28" i="42"/>
  <c r="S50" i="39"/>
  <c r="X98" i="49"/>
  <c r="S51" i="39"/>
  <c r="AG85" i="43"/>
  <c r="L6" i="40"/>
  <c r="AA4" i="49"/>
  <c r="S97" i="38"/>
  <c r="J11" i="24"/>
  <c r="S116" i="39"/>
  <c r="T40" i="48"/>
  <c r="O58" i="50"/>
  <c r="S367" i="49"/>
  <c r="AB202" i="49"/>
  <c r="S274" i="49"/>
  <c r="AA90" i="50"/>
  <c r="Z171" i="49"/>
  <c r="Z91" i="48"/>
  <c r="Y40" i="48"/>
  <c r="R34" i="51"/>
  <c r="T125" i="49"/>
  <c r="X57" i="51"/>
  <c r="J21" i="49"/>
  <c r="AA65" i="47"/>
  <c r="R399" i="33"/>
  <c r="Z7" i="49"/>
  <c r="AB283" i="49"/>
  <c r="S160" i="49"/>
  <c r="N163" i="49"/>
  <c r="N43" i="48"/>
  <c r="N62" i="49"/>
  <c r="L40" i="51"/>
  <c r="Y34" i="49"/>
  <c r="S48" i="39"/>
  <c r="J45" i="50"/>
  <c r="R358" i="33"/>
  <c r="AA45" i="50"/>
  <c r="N11" i="38"/>
  <c r="T84" i="50"/>
  <c r="AB9" i="47"/>
  <c r="O177" i="49"/>
  <c r="I23" i="7"/>
  <c r="T22" i="47"/>
  <c r="T127" i="49"/>
  <c r="R514" i="33"/>
  <c r="AF244" i="42"/>
  <c r="S152" i="37"/>
  <c r="S95" i="50"/>
  <c r="T368" i="49"/>
  <c r="O117" i="49"/>
  <c r="Z165" i="49"/>
  <c r="G3" i="49"/>
  <c r="AB80" i="49"/>
  <c r="C11" i="51"/>
  <c r="T270" i="49"/>
  <c r="J19" i="49"/>
  <c r="R225" i="38"/>
  <c r="X36" i="48"/>
  <c r="Y32" i="48"/>
  <c r="S249" i="49"/>
  <c r="H15" i="51"/>
  <c r="R408" i="33"/>
  <c r="Z118" i="50"/>
  <c r="T212" i="49"/>
  <c r="Z6" i="51"/>
  <c r="Z175" i="49"/>
  <c r="T84" i="53"/>
  <c r="T82" i="48"/>
  <c r="M43" i="51"/>
  <c r="Z251" i="49"/>
  <c r="AA7" i="49"/>
  <c r="AA75" i="50"/>
  <c r="G3" i="38"/>
  <c r="R227" i="37"/>
  <c r="E24" i="43"/>
  <c r="S116" i="37"/>
  <c r="M14" i="41"/>
  <c r="S186" i="39"/>
  <c r="R8" i="38"/>
  <c r="Z269" i="49"/>
  <c r="Z37" i="48"/>
  <c r="N20" i="49"/>
  <c r="AB41" i="48"/>
  <c r="Z293" i="49"/>
  <c r="N53" i="49"/>
  <c r="S154" i="39"/>
  <c r="Z10" i="51"/>
  <c r="N12" i="49"/>
  <c r="Z15" i="48"/>
  <c r="Y307" i="49"/>
  <c r="X74" i="50"/>
  <c r="T219" i="49"/>
  <c r="C38" i="50"/>
  <c r="AI17" i="48"/>
  <c r="W23" i="51"/>
  <c r="AA108" i="50"/>
  <c r="S5" i="48"/>
  <c r="Z73" i="53"/>
  <c r="R13" i="51"/>
  <c r="AA356" i="49"/>
  <c r="AA197" i="49"/>
  <c r="Z259" i="49"/>
  <c r="W35" i="51"/>
  <c r="AA47" i="53"/>
  <c r="J23" i="53"/>
  <c r="Q404" i="33"/>
  <c r="E15" i="41"/>
  <c r="N7" i="38"/>
  <c r="U5" i="12"/>
  <c r="N19" i="38"/>
  <c r="G5" i="43"/>
  <c r="O57" i="47"/>
  <c r="K16" i="42"/>
  <c r="J34" i="9"/>
  <c r="N165" i="49"/>
  <c r="Y155" i="49"/>
  <c r="T376" i="49"/>
  <c r="S69" i="38"/>
  <c r="AG30" i="42"/>
  <c r="R264" i="33"/>
  <c r="N230" i="49"/>
  <c r="R3" i="33"/>
  <c r="J19" i="43"/>
  <c r="AG36" i="43"/>
  <c r="Y46" i="48"/>
  <c r="T218" i="49"/>
  <c r="M31" i="41"/>
  <c r="AA99" i="49"/>
  <c r="X13" i="48"/>
  <c r="T223" i="49"/>
  <c r="B25" i="34"/>
  <c r="S277" i="49"/>
  <c r="J72" i="50"/>
  <c r="AB211" i="49"/>
  <c r="AG160" i="42"/>
  <c r="S19" i="39"/>
  <c r="T214" i="49"/>
  <c r="AB144" i="49"/>
  <c r="Q186" i="33"/>
  <c r="X292" i="49"/>
  <c r="AG79" i="43"/>
  <c r="R78" i="37"/>
  <c r="I3" i="52"/>
  <c r="X37" i="49"/>
  <c r="AH11" i="48"/>
  <c r="AA295" i="49"/>
  <c r="T32" i="48"/>
  <c r="N70" i="48"/>
  <c r="AI16" i="49"/>
  <c r="N94" i="50"/>
  <c r="AG16" i="51"/>
  <c r="X70" i="47"/>
  <c r="H56" i="51"/>
  <c r="AA326" i="49"/>
  <c r="R348" i="33"/>
  <c r="S82" i="37"/>
  <c r="N89" i="49"/>
  <c r="R44" i="33"/>
  <c r="T63" i="49"/>
  <c r="AB228" i="49"/>
  <c r="Z29" i="50"/>
  <c r="S80" i="39"/>
  <c r="AA185" i="49"/>
  <c r="S34" i="47"/>
  <c r="Y199" i="49"/>
  <c r="O364" i="49"/>
  <c r="Z98" i="50"/>
  <c r="T69" i="49"/>
  <c r="AB316" i="49"/>
  <c r="Y69" i="53"/>
  <c r="I8" i="11"/>
  <c r="O180" i="49"/>
  <c r="T312" i="49"/>
  <c r="N272" i="49"/>
  <c r="S103" i="39"/>
  <c r="L24" i="42"/>
  <c r="S334" i="49"/>
  <c r="N6" i="38"/>
  <c r="AI21" i="49"/>
  <c r="Y91" i="49"/>
  <c r="M21" i="51"/>
  <c r="Z334" i="49"/>
  <c r="X175" i="49"/>
  <c r="S375" i="49"/>
  <c r="AB384" i="49"/>
  <c r="N252" i="49"/>
  <c r="AB214" i="49"/>
  <c r="X7" i="48"/>
  <c r="Y14" i="50"/>
  <c r="J379" i="49"/>
  <c r="AG49" i="43"/>
  <c r="AA22" i="48"/>
  <c r="X276" i="49"/>
  <c r="X42" i="51"/>
  <c r="D10" i="51"/>
  <c r="S23" i="49"/>
  <c r="Z5" i="53"/>
  <c r="O129" i="49"/>
  <c r="AB9" i="48"/>
  <c r="Z37" i="53"/>
  <c r="R69" i="38"/>
  <c r="I32" i="8"/>
  <c r="R290" i="33"/>
  <c r="AG149" i="42"/>
  <c r="S136" i="49"/>
  <c r="S95" i="39"/>
  <c r="S27" i="39"/>
  <c r="AG51" i="42"/>
  <c r="J49" i="49"/>
  <c r="F4" i="43"/>
  <c r="Z219" i="49"/>
  <c r="Z53" i="51"/>
  <c r="X116" i="50"/>
  <c r="N244" i="49"/>
  <c r="O86" i="48"/>
  <c r="Y116" i="49"/>
  <c r="Z351" i="49"/>
  <c r="N114" i="49"/>
  <c r="T20" i="50"/>
  <c r="Z39" i="50"/>
  <c r="R123" i="38"/>
  <c r="AA306" i="49"/>
  <c r="X14" i="48"/>
  <c r="N14" i="50"/>
  <c r="AG19" i="42"/>
  <c r="Y266" i="49"/>
  <c r="L56" i="51"/>
  <c r="Y318" i="49"/>
  <c r="AA53" i="47"/>
  <c r="Z21" i="49"/>
  <c r="T154" i="49"/>
  <c r="AA83" i="48"/>
  <c r="AF11" i="44"/>
  <c r="R48" i="39"/>
  <c r="Q391" i="33"/>
  <c r="R194" i="38"/>
  <c r="AG117" i="42"/>
  <c r="AB18" i="45"/>
  <c r="Y363" i="49"/>
  <c r="N182" i="49"/>
  <c r="I6" i="37"/>
  <c r="F12" i="38"/>
  <c r="S252" i="38"/>
  <c r="N354" i="49"/>
  <c r="M8" i="41"/>
  <c r="E19" i="42"/>
  <c r="R321" i="33"/>
  <c r="R403" i="33"/>
  <c r="AF227" i="42"/>
  <c r="R141" i="33"/>
  <c r="AA25" i="49"/>
  <c r="T51" i="49"/>
  <c r="R102" i="39"/>
  <c r="Z370" i="49"/>
  <c r="S188" i="38"/>
  <c r="S66" i="49"/>
  <c r="AF27" i="44"/>
  <c r="N81" i="49"/>
  <c r="AA58" i="49"/>
  <c r="N387" i="49"/>
  <c r="R105" i="37"/>
  <c r="S108" i="39"/>
  <c r="S175" i="39"/>
  <c r="T367" i="49"/>
  <c r="J24" i="49"/>
  <c r="S121" i="38"/>
  <c r="S207" i="49"/>
  <c r="O114" i="49"/>
  <c r="E21" i="39"/>
  <c r="J32" i="48"/>
  <c r="Y39" i="48"/>
  <c r="S99" i="50"/>
  <c r="K19" i="42"/>
  <c r="O77" i="49"/>
  <c r="R110" i="33"/>
  <c r="AB32" i="50"/>
  <c r="S238" i="49"/>
  <c r="T292" i="49"/>
  <c r="T185" i="49"/>
  <c r="N8" i="51"/>
  <c r="J18" i="47"/>
  <c r="D96" i="34"/>
  <c r="AA209" i="49"/>
  <c r="AG13" i="43"/>
  <c r="O72" i="49"/>
  <c r="O75" i="50"/>
  <c r="AA346" i="49"/>
  <c r="N11" i="51"/>
  <c r="T234" i="49"/>
  <c r="T280" i="49"/>
  <c r="Y91" i="48"/>
  <c r="O354" i="49"/>
  <c r="S61" i="50"/>
  <c r="Y312" i="49"/>
  <c r="T25" i="50"/>
  <c r="N26" i="48"/>
  <c r="T41" i="50"/>
  <c r="Q167" i="33"/>
  <c r="R194" i="39"/>
  <c r="M11" i="41"/>
  <c r="X219" i="49"/>
  <c r="AA390" i="49"/>
  <c r="Z275" i="49"/>
  <c r="X309" i="49"/>
  <c r="N184" i="49"/>
  <c r="N75" i="49"/>
  <c r="O287" i="49"/>
  <c r="R364" i="33"/>
  <c r="Z92" i="49"/>
  <c r="S262" i="49"/>
  <c r="AA7" i="48"/>
  <c r="R4" i="51"/>
  <c r="Z305" i="49"/>
  <c r="N13" i="51"/>
  <c r="Y353" i="49"/>
  <c r="AG34" i="42"/>
  <c r="X279" i="49"/>
  <c r="Y8" i="51"/>
  <c r="Y44" i="48"/>
  <c r="AA386" i="49"/>
  <c r="S208" i="49"/>
  <c r="O16" i="49"/>
  <c r="W3" i="47" a="1"/>
  <c r="AB25" i="49"/>
  <c r="N198" i="49"/>
  <c r="AA380" i="49"/>
  <c r="Z97" i="49"/>
  <c r="R83" i="37"/>
  <c r="R105" i="39"/>
  <c r="E40" i="41"/>
  <c r="AB308" i="49"/>
  <c r="AA312" i="49"/>
  <c r="N365" i="49"/>
  <c r="X214" i="49"/>
  <c r="N22" i="47"/>
  <c r="AB105" i="49"/>
  <c r="Z27" i="49"/>
  <c r="O49" i="48"/>
  <c r="O61" i="50"/>
  <c r="S18" i="50"/>
  <c r="R61" i="33"/>
  <c r="N106" i="50"/>
  <c r="AA120" i="50"/>
  <c r="J11" i="37"/>
  <c r="AA190" i="49"/>
  <c r="S20" i="49"/>
  <c r="Y197" i="49"/>
  <c r="O230" i="49"/>
  <c r="S390" i="49"/>
  <c r="Z46" i="50"/>
  <c r="J6" i="48"/>
  <c r="S13" i="38"/>
  <c r="Y129" i="49"/>
  <c r="Y105" i="50"/>
  <c r="T50" i="53"/>
  <c r="R104" i="38"/>
  <c r="O140" i="49"/>
  <c r="Y361" i="49"/>
  <c r="Y106" i="50"/>
  <c r="AA13" i="50"/>
  <c r="G27" i="34"/>
  <c r="R130" i="37"/>
  <c r="R490" i="33"/>
  <c r="J23" i="43"/>
  <c r="S2" i="29"/>
  <c r="S69" i="49"/>
  <c r="E34" i="41"/>
  <c r="AB317" i="49"/>
  <c r="T255" i="49"/>
  <c r="N298" i="49"/>
  <c r="N296" i="49"/>
  <c r="S59" i="39"/>
  <c r="X43" i="48"/>
  <c r="Z295" i="49"/>
  <c r="Y293" i="49"/>
  <c r="J8" i="39"/>
  <c r="G5" i="37"/>
  <c r="AG130" i="42"/>
  <c r="X52" i="49"/>
  <c r="AB255" i="49"/>
  <c r="S30" i="50"/>
  <c r="AB208" i="49"/>
  <c r="N83" i="50"/>
  <c r="AB391" i="49"/>
  <c r="Z26" i="47"/>
  <c r="Z63" i="49"/>
  <c r="R356" i="33"/>
  <c r="AA319" i="49"/>
  <c r="J15" i="39"/>
  <c r="S105" i="39"/>
  <c r="Z66" i="49"/>
  <c r="X228" i="49"/>
  <c r="X84" i="53"/>
  <c r="R414" i="33"/>
  <c r="N26" i="49"/>
  <c r="R90" i="33"/>
  <c r="AA119" i="49"/>
  <c r="Y256" i="49"/>
  <c r="T308" i="49"/>
  <c r="K3" i="44"/>
  <c r="N104" i="49"/>
  <c r="T66" i="49"/>
  <c r="Y20" i="49"/>
  <c r="Y259" i="49"/>
  <c r="Z21" i="50"/>
  <c r="N24" i="53"/>
  <c r="D17" i="51"/>
  <c r="Z89" i="49"/>
  <c r="F184" i="4"/>
  <c r="AG23" i="44"/>
  <c r="S157" i="38"/>
  <c r="N132" i="49"/>
  <c r="M28" i="41"/>
  <c r="N68" i="50"/>
  <c r="Z39" i="49"/>
  <c r="Z56" i="49"/>
  <c r="Z332" i="49"/>
  <c r="AA74" i="50"/>
  <c r="S190" i="39"/>
  <c r="N60" i="48"/>
  <c r="S109" i="37"/>
  <c r="O310" i="49"/>
  <c r="AB197" i="49"/>
  <c r="R6" i="51"/>
  <c r="AB21" i="47"/>
  <c r="AA16" i="53"/>
  <c r="AA179" i="49"/>
  <c r="AG252" i="42"/>
  <c r="S56" i="47"/>
  <c r="AB365" i="49"/>
  <c r="E15" i="44"/>
  <c r="Z65" i="49"/>
  <c r="S65" i="49"/>
  <c r="S12" i="49"/>
  <c r="J31" i="49"/>
  <c r="X24" i="50"/>
  <c r="T385" i="49"/>
  <c r="Z278" i="49"/>
  <c r="X48" i="51"/>
  <c r="S273" i="49"/>
  <c r="N58" i="49"/>
  <c r="O99" i="49"/>
  <c r="X65" i="50"/>
  <c r="Y82" i="50"/>
  <c r="T320" i="49"/>
  <c r="T260" i="49"/>
  <c r="O153" i="49"/>
  <c r="O10" i="49"/>
  <c r="AB15" i="48"/>
  <c r="Z89" i="48"/>
  <c r="M52" i="51"/>
  <c r="Z45" i="53"/>
  <c r="Z290" i="49"/>
  <c r="S21" i="49"/>
  <c r="AB57" i="50"/>
  <c r="O42" i="53"/>
  <c r="AB248" i="49"/>
  <c r="AB48" i="50"/>
  <c r="Z355" i="49"/>
  <c r="M47" i="51"/>
  <c r="AD20" i="51"/>
  <c r="O387" i="49"/>
  <c r="Z67" i="53"/>
  <c r="N379" i="49"/>
  <c r="T59" i="48"/>
  <c r="L31" i="51"/>
  <c r="S182" i="49"/>
  <c r="AA100" i="50"/>
  <c r="Q35" i="51"/>
  <c r="AA40" i="53"/>
  <c r="X71" i="48"/>
  <c r="AB47" i="53"/>
  <c r="AA331" i="49"/>
  <c r="X112" i="50"/>
  <c r="H34" i="51"/>
  <c r="X87" i="53"/>
  <c r="Z277" i="49"/>
  <c r="X245" i="49"/>
  <c r="Y163" i="49"/>
  <c r="Y30" i="49"/>
  <c r="AF13" i="50"/>
  <c r="R30" i="51"/>
  <c r="Z20" i="48"/>
  <c r="O91" i="49"/>
  <c r="AB131" i="49"/>
  <c r="X364" i="49"/>
  <c r="Q36" i="51"/>
  <c r="S146" i="37"/>
  <c r="Q8" i="40"/>
  <c r="W26" i="40"/>
  <c r="R237" i="33"/>
  <c r="AB178" i="49"/>
  <c r="X285" i="49"/>
  <c r="Z329" i="49"/>
  <c r="AA108" i="49"/>
  <c r="N64" i="47"/>
  <c r="O85" i="48"/>
  <c r="T92" i="48"/>
  <c r="AB26" i="50"/>
  <c r="AB26" i="48"/>
  <c r="W41" i="51"/>
  <c r="AA61" i="48"/>
  <c r="J10" i="38"/>
  <c r="AF16" i="50"/>
  <c r="AD21" i="51"/>
  <c r="R42" i="51"/>
  <c r="O391" i="49"/>
  <c r="N47" i="50"/>
  <c r="X137" i="49"/>
  <c r="S384" i="49"/>
  <c r="AB158" i="49"/>
  <c r="T30" i="49"/>
  <c r="Z50" i="48"/>
  <c r="AA30" i="47"/>
  <c r="AA62" i="48"/>
  <c r="S215" i="49"/>
  <c r="AB373" i="49"/>
  <c r="S16" i="49"/>
  <c r="O305" i="49"/>
  <c r="AA43" i="50"/>
  <c r="AB43" i="48"/>
  <c r="W27" i="40"/>
  <c r="Y74" i="50"/>
  <c r="T78" i="53"/>
  <c r="X72" i="47"/>
  <c r="X197" i="49"/>
  <c r="AF111" i="43"/>
  <c r="V8" i="51"/>
  <c r="Z68" i="48"/>
  <c r="Z92" i="50"/>
  <c r="S25" i="50"/>
  <c r="AB40" i="53"/>
  <c r="Z46" i="48"/>
  <c r="AB20" i="53"/>
  <c r="Y85" i="48"/>
  <c r="AA104" i="50"/>
  <c r="AB17" i="49"/>
  <c r="Z328" i="49"/>
  <c r="AB17" i="47"/>
  <c r="O78" i="50"/>
  <c r="O15" i="47"/>
  <c r="AB4" i="53"/>
  <c r="O62" i="48"/>
  <c r="Z123" i="50"/>
  <c r="T165" i="49"/>
  <c r="S21" i="50"/>
  <c r="S12" i="53"/>
  <c r="O41" i="50"/>
  <c r="V42" i="51"/>
  <c r="AF257" i="42"/>
  <c r="J32" i="7"/>
  <c r="AG235" i="42"/>
  <c r="J15" i="49"/>
  <c r="AG113" i="42"/>
  <c r="N71" i="49"/>
  <c r="S64" i="39"/>
  <c r="S87" i="38"/>
  <c r="Z368" i="49"/>
  <c r="N323" i="49"/>
  <c r="Z17" i="49"/>
  <c r="T279" i="49"/>
  <c r="AB368" i="49"/>
  <c r="O283" i="49"/>
  <c r="X290" i="49"/>
  <c r="R40" i="51"/>
  <c r="N30" i="50"/>
  <c r="AA61" i="49"/>
  <c r="S253" i="39"/>
  <c r="N4" i="50"/>
  <c r="S228" i="49"/>
  <c r="S325" i="49"/>
  <c r="X41" i="50"/>
  <c r="AG103" i="42"/>
  <c r="Y168" i="49"/>
  <c r="AB143" i="49"/>
  <c r="Y170" i="49"/>
  <c r="R9" i="51"/>
  <c r="R295" i="33"/>
  <c r="AB5" i="48"/>
  <c r="Y16" i="50"/>
  <c r="Z383" i="49"/>
  <c r="AG81" i="43"/>
  <c r="J31" i="48"/>
  <c r="Y56" i="48"/>
  <c r="Z99" i="50"/>
  <c r="N71" i="48"/>
  <c r="Y47" i="53"/>
  <c r="X131" i="49"/>
  <c r="R87" i="39"/>
  <c r="O95" i="49"/>
  <c r="N111" i="49"/>
  <c r="AA77" i="50"/>
  <c r="AA192" i="49"/>
  <c r="Q50" i="51"/>
  <c r="Y10" i="47"/>
  <c r="Z58" i="53"/>
  <c r="Z65" i="53"/>
  <c r="N2" i="41"/>
  <c r="T225" i="49"/>
  <c r="N61" i="48"/>
  <c r="S47" i="53"/>
  <c r="S122" i="49"/>
  <c r="X6" i="53"/>
  <c r="T94" i="50"/>
  <c r="AA5" i="48"/>
  <c r="AA333" i="49"/>
  <c r="AF19" i="51"/>
  <c r="N24" i="50"/>
  <c r="S54" i="47"/>
  <c r="Z14" i="53"/>
  <c r="AA46" i="47"/>
  <c r="AA68" i="48"/>
  <c r="S32" i="53"/>
  <c r="I31" i="9"/>
  <c r="L4" i="40"/>
  <c r="AF54" i="43"/>
  <c r="AC14" i="45"/>
  <c r="AG200" i="42"/>
  <c r="S258" i="37"/>
  <c r="AB310" i="49"/>
  <c r="S24" i="39"/>
  <c r="R185" i="33"/>
  <c r="N270" i="49"/>
  <c r="AG16" i="43"/>
  <c r="N297" i="49"/>
  <c r="AG156" i="42"/>
  <c r="N140" i="49"/>
  <c r="AG48" i="44"/>
  <c r="S229" i="39"/>
  <c r="AF166" i="42"/>
  <c r="Y382" i="49"/>
  <c r="N92" i="49"/>
  <c r="O195" i="49"/>
  <c r="Y10" i="49"/>
  <c r="N191" i="49"/>
  <c r="AB253" i="49"/>
  <c r="O246" i="49"/>
  <c r="X297" i="49"/>
  <c r="AB45" i="48"/>
  <c r="S261" i="37"/>
  <c r="AB127" i="49"/>
  <c r="Z156" i="49"/>
  <c r="Z243" i="49"/>
  <c r="Z124" i="49"/>
  <c r="Y79" i="48"/>
  <c r="AA55" i="48"/>
  <c r="R182" i="37"/>
  <c r="AG33" i="42"/>
  <c r="R210" i="33"/>
  <c r="Y174" i="49"/>
  <c r="N200" i="49"/>
  <c r="AA240" i="49"/>
  <c r="O138" i="49"/>
  <c r="Z288" i="49"/>
  <c r="L22" i="51"/>
  <c r="S81" i="50"/>
  <c r="AA64" i="48"/>
  <c r="Y281" i="49"/>
  <c r="X258" i="49"/>
  <c r="B14" i="51"/>
  <c r="Z43" i="47"/>
  <c r="Z47" i="51"/>
  <c r="D43" i="52"/>
  <c r="R209" i="38"/>
  <c r="F11" i="37"/>
  <c r="O64" i="47"/>
  <c r="N170" i="49"/>
  <c r="N371" i="49"/>
  <c r="N342" i="49"/>
  <c r="N28" i="47"/>
  <c r="T161" i="49"/>
  <c r="AB176" i="49"/>
  <c r="AD14" i="51"/>
  <c r="O40" i="49"/>
  <c r="Y371" i="49"/>
  <c r="Z12" i="51"/>
  <c r="Z24" i="47"/>
  <c r="AB360" i="49"/>
  <c r="Y63" i="50"/>
  <c r="O107" i="49"/>
  <c r="R214" i="37"/>
  <c r="AH15" i="50"/>
  <c r="R18" i="39"/>
  <c r="N72" i="49"/>
  <c r="T151" i="49"/>
  <c r="AB58" i="49"/>
  <c r="AF21" i="50"/>
  <c r="S59" i="48"/>
  <c r="N9" i="38"/>
  <c r="Y14" i="48"/>
  <c r="AB309" i="49"/>
  <c r="X50" i="48"/>
  <c r="T63" i="50"/>
  <c r="T56" i="48"/>
  <c r="T54" i="50"/>
  <c r="AF35" i="44"/>
  <c r="AG76" i="43"/>
  <c r="V49" i="51"/>
  <c r="Z249" i="49"/>
  <c r="AG116" i="42"/>
  <c r="N221" i="49"/>
  <c r="Z74" i="48"/>
  <c r="H62" i="51"/>
  <c r="T183" i="49"/>
  <c r="Z9" i="50"/>
  <c r="H55" i="51"/>
  <c r="AA3" i="47"/>
  <c r="Z299" i="49"/>
  <c r="R423" i="33"/>
  <c r="AA385" i="49"/>
  <c r="AA79" i="47"/>
  <c r="N56" i="48"/>
  <c r="N46" i="50"/>
  <c r="X16" i="49"/>
  <c r="Q21" i="51"/>
  <c r="Z35" i="47"/>
  <c r="Y219" i="49"/>
  <c r="AA44" i="53"/>
  <c r="Z183" i="49"/>
  <c r="Y152" i="49"/>
  <c r="S90" i="50"/>
  <c r="O55" i="48"/>
  <c r="H8" i="51"/>
  <c r="Y70" i="53"/>
  <c r="O147" i="49"/>
  <c r="AB61" i="53"/>
  <c r="C22" i="52"/>
  <c r="N318" i="49"/>
  <c r="O299" i="49"/>
  <c r="N19" i="53"/>
  <c r="J63" i="53"/>
  <c r="T47" i="47"/>
  <c r="N12" i="59"/>
  <c r="Y88" i="50"/>
  <c r="AA50" i="53"/>
  <c r="AI17" i="50"/>
  <c r="T322" i="49"/>
  <c r="AB84" i="49"/>
  <c r="Z36" i="47"/>
  <c r="N54" i="53"/>
  <c r="F1" i="58"/>
  <c r="Y298" i="49"/>
  <c r="S135" i="37"/>
  <c r="R49" i="38"/>
  <c r="R274" i="33"/>
  <c r="AG12" i="44"/>
  <c r="AG38" i="44"/>
  <c r="S34" i="39"/>
  <c r="H12" i="39"/>
  <c r="Y19" i="49"/>
  <c r="T349" i="49"/>
  <c r="T16" i="50"/>
  <c r="J32" i="50"/>
  <c r="AB10" i="45"/>
  <c r="AA41" i="48"/>
  <c r="AA169" i="49"/>
  <c r="AB7" i="48"/>
  <c r="AA123" i="49"/>
  <c r="N17" i="47"/>
  <c r="Z13" i="51"/>
  <c r="O57" i="48"/>
  <c r="T157" i="49"/>
  <c r="Y64" i="48"/>
  <c r="AA264" i="49"/>
  <c r="Y5" i="51"/>
  <c r="J30" i="48"/>
  <c r="X19" i="51"/>
  <c r="AB345" i="49"/>
  <c r="S8" i="53"/>
  <c r="O26" i="48"/>
  <c r="Y36" i="48"/>
  <c r="X5" i="50"/>
  <c r="N83" i="53"/>
  <c r="X34" i="49"/>
  <c r="AH13" i="48"/>
  <c r="O103" i="49"/>
  <c r="N50" i="50"/>
  <c r="J8" i="53"/>
  <c r="AB370" i="49"/>
  <c r="L12" i="61"/>
  <c r="O104" i="49"/>
  <c r="S133" i="49"/>
  <c r="Y208" i="49"/>
  <c r="AA11" i="48"/>
  <c r="T32" i="50"/>
  <c r="O162" i="49"/>
  <c r="Y75" i="47"/>
  <c r="AB220" i="49"/>
  <c r="S91" i="49"/>
  <c r="S42" i="48"/>
  <c r="Z324" i="49"/>
  <c r="Y30" i="51"/>
  <c r="X74" i="47"/>
  <c r="X242" i="49"/>
  <c r="B4" i="58" a="1"/>
  <c r="O89" i="48"/>
  <c r="T293" i="49"/>
  <c r="N102" i="50"/>
  <c r="S380" i="49"/>
  <c r="O9" i="53"/>
  <c r="Y85" i="53"/>
  <c r="Z4" i="49"/>
  <c r="N6" i="59"/>
  <c r="T92" i="49"/>
  <c r="S148" i="39"/>
  <c r="I14" i="10"/>
  <c r="S205" i="39"/>
  <c r="D32" i="41"/>
  <c r="S246" i="49"/>
  <c r="O57" i="49"/>
  <c r="AG9" i="43"/>
  <c r="R47" i="39"/>
  <c r="AA313" i="49"/>
  <c r="N82" i="49"/>
  <c r="Z39" i="48"/>
  <c r="S64" i="49"/>
  <c r="AF16" i="48"/>
  <c r="O37" i="48"/>
  <c r="AD19" i="51"/>
  <c r="L51" i="51"/>
  <c r="F16" i="38"/>
  <c r="AG183" i="42"/>
  <c r="O79" i="48"/>
  <c r="X46" i="50"/>
  <c r="T364" i="49"/>
  <c r="Y365" i="49"/>
  <c r="AB301" i="49"/>
  <c r="T117" i="49"/>
  <c r="T175" i="49"/>
  <c r="AA30" i="50"/>
  <c r="S5" i="49"/>
  <c r="S4" i="53"/>
  <c r="O17" i="48"/>
  <c r="Y61" i="50"/>
  <c r="X89" i="50"/>
  <c r="C47" i="53"/>
  <c r="Z364" i="49"/>
  <c r="X5" i="51"/>
  <c r="M25" i="51"/>
  <c r="T153" i="49"/>
  <c r="X48" i="50"/>
  <c r="Y35" i="53"/>
  <c r="O87" i="53"/>
  <c r="Y315" i="49"/>
  <c r="S63" i="50"/>
  <c r="AB76" i="50"/>
  <c r="L12" i="51"/>
  <c r="Z124" i="50"/>
  <c r="Z267" i="49"/>
  <c r="T63" i="47"/>
  <c r="AL4" i="51"/>
  <c r="J81" i="53"/>
  <c r="X193" i="49"/>
  <c r="T91" i="48"/>
  <c r="X17" i="51"/>
  <c r="Y61" i="47"/>
  <c r="AA79" i="53"/>
  <c r="X25" i="53"/>
  <c r="S17" i="48"/>
  <c r="T16" i="47"/>
  <c r="AA172" i="49"/>
  <c r="AB167" i="49"/>
  <c r="O93" i="49"/>
  <c r="C39" i="53"/>
  <c r="T15" i="48"/>
  <c r="Y87" i="53"/>
  <c r="Y380" i="49"/>
  <c r="Z48" i="51"/>
  <c r="I7" i="24"/>
  <c r="D5" i="34"/>
  <c r="S145" i="37"/>
  <c r="S239" i="38"/>
  <c r="O24" i="47"/>
  <c r="Z265" i="49"/>
  <c r="AG72" i="42"/>
  <c r="Z23" i="49"/>
  <c r="S24" i="37"/>
  <c r="N45" i="49"/>
  <c r="G116" i="34"/>
  <c r="AI11" i="48"/>
  <c r="S30" i="38"/>
  <c r="O366" i="49"/>
  <c r="S42" i="37"/>
  <c r="S58" i="50"/>
  <c r="E12" i="37"/>
  <c r="O89" i="50"/>
  <c r="S131" i="49"/>
  <c r="O164" i="49"/>
  <c r="AA45" i="49"/>
  <c r="R38" i="33"/>
  <c r="N76" i="47"/>
  <c r="X94" i="49"/>
  <c r="AH14" i="50"/>
  <c r="Z69" i="48"/>
  <c r="R235" i="39"/>
  <c r="S254" i="37"/>
  <c r="S110" i="39"/>
  <c r="S5" i="39"/>
  <c r="Z220" i="49"/>
  <c r="Y375" i="49"/>
  <c r="Y58" i="50"/>
  <c r="V28" i="51"/>
  <c r="T74" i="47"/>
  <c r="D34" i="41"/>
  <c r="Z186" i="49"/>
  <c r="AB194" i="49"/>
  <c r="O46" i="47"/>
  <c r="Z301" i="49"/>
  <c r="S124" i="49"/>
  <c r="S174" i="49"/>
  <c r="X170" i="49"/>
  <c r="Y57" i="51"/>
  <c r="Y323" i="49"/>
  <c r="S86" i="50"/>
  <c r="T106" i="50"/>
  <c r="N56" i="53"/>
  <c r="S71" i="48"/>
  <c r="X55" i="47"/>
  <c r="S36" i="38"/>
  <c r="S54" i="39"/>
  <c r="X120" i="49"/>
  <c r="AB240" i="49"/>
  <c r="X372" i="49"/>
  <c r="Q44" i="51"/>
  <c r="S135" i="49"/>
  <c r="S32" i="49"/>
  <c r="N72" i="48"/>
  <c r="AB44" i="49"/>
  <c r="T268" i="49"/>
  <c r="T38" i="48"/>
  <c r="Z14" i="51"/>
  <c r="X286" i="49"/>
  <c r="V17" i="51"/>
  <c r="R27" i="40"/>
  <c r="Z6" i="47"/>
  <c r="Y190" i="49"/>
  <c r="N4" i="8"/>
  <c r="Y237" i="49"/>
  <c r="C115" i="34"/>
  <c r="N23" i="47"/>
  <c r="X324" i="49"/>
  <c r="R179" i="33"/>
  <c r="O165" i="49"/>
  <c r="Y126" i="49"/>
  <c r="T113" i="50"/>
  <c r="J15" i="48"/>
  <c r="AF142" i="42"/>
  <c r="O372" i="49"/>
  <c r="J34" i="50"/>
  <c r="X155" i="49"/>
  <c r="Z327" i="49"/>
  <c r="S365" i="49"/>
  <c r="AA309" i="49"/>
  <c r="AB28" i="50"/>
  <c r="T26" i="47"/>
  <c r="X79" i="50"/>
  <c r="G14" i="47"/>
  <c r="AB191" i="49"/>
  <c r="N20" i="48"/>
  <c r="T27" i="50"/>
  <c r="T86" i="53"/>
  <c r="Y78" i="47"/>
  <c r="AA92" i="48"/>
  <c r="Y31" i="50"/>
  <c r="T27" i="53"/>
  <c r="T43" i="50"/>
  <c r="T6" i="49"/>
  <c r="Z131" i="49"/>
  <c r="X52" i="51"/>
  <c r="AA29" i="49"/>
  <c r="X56" i="53"/>
  <c r="Y53" i="53"/>
  <c r="Y42" i="47"/>
  <c r="N59" i="49"/>
  <c r="AI14" i="49"/>
  <c r="AB115" i="50"/>
  <c r="AB50" i="50"/>
  <c r="Z239" i="49"/>
  <c r="Y75" i="49"/>
  <c r="AA64" i="50"/>
  <c r="Z24" i="53"/>
  <c r="J69" i="53"/>
  <c r="Z50" i="51"/>
  <c r="N116" i="50"/>
  <c r="AA24" i="53"/>
  <c r="L18" i="61"/>
  <c r="N6" i="53"/>
  <c r="S179" i="38"/>
  <c r="S62" i="50"/>
  <c r="S3" i="50"/>
  <c r="AB91" i="49"/>
  <c r="X246" i="49"/>
  <c r="Z14" i="47"/>
  <c r="N69" i="53"/>
  <c r="Z59" i="53"/>
  <c r="Z343" i="49"/>
  <c r="X71" i="47"/>
  <c r="R315" i="33"/>
  <c r="S170" i="49"/>
  <c r="S216" i="37"/>
  <c r="AB33" i="49"/>
  <c r="AG106" i="43"/>
  <c r="E39" i="41"/>
  <c r="R131" i="37"/>
  <c r="AF11" i="49"/>
  <c r="AA91" i="49"/>
  <c r="AH12" i="50"/>
  <c r="AB275" i="49"/>
  <c r="AF21" i="49"/>
  <c r="X51" i="48"/>
  <c r="Y42" i="51"/>
  <c r="AB380" i="49"/>
  <c r="S193" i="38"/>
  <c r="Y31" i="49"/>
  <c r="AA170" i="49"/>
  <c r="AB36" i="49"/>
  <c r="Z82" i="49"/>
  <c r="AG19" i="51"/>
  <c r="J25" i="49"/>
  <c r="AB312" i="49"/>
  <c r="Y20" i="48"/>
  <c r="N9" i="51"/>
  <c r="Y36" i="50"/>
  <c r="AB25" i="53"/>
  <c r="AB34" i="50"/>
  <c r="S313" i="49"/>
  <c r="Y22" i="48"/>
  <c r="S347" i="49"/>
  <c r="AB379" i="49"/>
  <c r="Z116" i="50"/>
  <c r="AA26" i="50"/>
  <c r="J28" i="48"/>
  <c r="AA145" i="49"/>
  <c r="X187" i="49"/>
  <c r="Y8" i="53"/>
  <c r="Z34" i="49"/>
  <c r="O256" i="49"/>
  <c r="AA86" i="50"/>
  <c r="X13" i="50"/>
  <c r="T26" i="50"/>
  <c r="AB72" i="48"/>
  <c r="AA59" i="53"/>
  <c r="Z153" i="49"/>
  <c r="O37" i="50"/>
  <c r="S171" i="49"/>
  <c r="S44" i="50"/>
  <c r="AB50" i="47"/>
  <c r="AB89" i="53"/>
  <c r="N88" i="53"/>
  <c r="N32" i="48"/>
  <c r="I21" i="52"/>
  <c r="S320" i="49"/>
  <c r="AA330" i="49"/>
  <c r="X331" i="49"/>
  <c r="AB46" i="53"/>
  <c r="X34" i="47"/>
  <c r="AB79" i="53"/>
  <c r="X92" i="48"/>
  <c r="S51" i="53"/>
  <c r="S174" i="39"/>
  <c r="R136" i="33"/>
  <c r="Q256" i="33"/>
  <c r="AG229" i="42"/>
  <c r="R107" i="38"/>
  <c r="T129" i="49"/>
  <c r="N248" i="49"/>
  <c r="S135" i="38"/>
  <c r="N142" i="49"/>
  <c r="T8" i="49"/>
  <c r="AA46" i="50"/>
  <c r="Z13" i="50"/>
  <c r="E20" i="42"/>
  <c r="AH22" i="50"/>
  <c r="X76" i="48"/>
  <c r="AF11" i="50"/>
  <c r="Y205" i="49"/>
  <c r="X209" i="49"/>
  <c r="AG226" i="42"/>
  <c r="O21" i="48"/>
  <c r="Y367" i="49"/>
  <c r="AB181" i="49"/>
  <c r="O275" i="49"/>
  <c r="AB244" i="49"/>
  <c r="S115" i="50"/>
  <c r="H6" i="42"/>
  <c r="N17" i="50"/>
  <c r="AA59" i="47"/>
  <c r="AB41" i="49"/>
  <c r="S48" i="48"/>
  <c r="M32" i="51"/>
  <c r="Z33" i="47"/>
  <c r="AA24" i="48"/>
  <c r="AA57" i="48"/>
  <c r="O198" i="49"/>
  <c r="J28" i="50"/>
  <c r="AB71" i="53"/>
  <c r="Y37" i="47"/>
  <c r="O334" i="49"/>
  <c r="S154" i="37"/>
  <c r="S192" i="49"/>
  <c r="AB54" i="48"/>
  <c r="S87" i="48"/>
  <c r="AB65" i="48"/>
  <c r="Y54" i="49"/>
  <c r="S40" i="53"/>
  <c r="AB78" i="47"/>
  <c r="AA259" i="49"/>
  <c r="Z80" i="48"/>
  <c r="AA277" i="49"/>
  <c r="N37" i="53"/>
  <c r="AA9" i="53"/>
  <c r="Z314" i="49"/>
  <c r="L5" i="59"/>
  <c r="L17" i="51"/>
  <c r="X85" i="53"/>
  <c r="N78" i="48"/>
  <c r="O224" i="49"/>
  <c r="S7" i="49"/>
  <c r="X23" i="47"/>
  <c r="AB38" i="53"/>
  <c r="I1" i="58"/>
  <c r="O25" i="48"/>
  <c r="S230" i="49"/>
  <c r="AF173" i="42"/>
  <c r="R447" i="33"/>
  <c r="R47" i="33"/>
  <c r="AF100" i="43"/>
  <c r="AF39" i="42"/>
  <c r="AG254" i="42"/>
  <c r="T340" i="49"/>
  <c r="N128" i="49"/>
  <c r="S203" i="37"/>
  <c r="R197" i="37"/>
  <c r="R225" i="37"/>
  <c r="X84" i="49"/>
  <c r="R115" i="33"/>
  <c r="N87" i="50"/>
  <c r="R259" i="39"/>
  <c r="Y27" i="49"/>
  <c r="R108" i="33"/>
  <c r="AA66" i="49"/>
  <c r="D38" i="41"/>
  <c r="X43" i="49"/>
  <c r="S27" i="48"/>
  <c r="Z7" i="48"/>
  <c r="T74" i="48"/>
  <c r="AB264" i="49"/>
  <c r="AA91" i="48"/>
  <c r="AB91" i="50"/>
  <c r="T30" i="47"/>
  <c r="T276" i="49"/>
  <c r="AB34" i="48"/>
  <c r="AB113" i="50"/>
  <c r="O288" i="49"/>
  <c r="AB98" i="50"/>
  <c r="S77" i="47"/>
  <c r="Z26" i="50"/>
  <c r="S37" i="49"/>
  <c r="N357" i="49"/>
  <c r="S246" i="38"/>
  <c r="R324" i="33"/>
  <c r="AB58" i="48"/>
  <c r="N29" i="48"/>
  <c r="X305" i="49"/>
  <c r="S67" i="48"/>
  <c r="Y55" i="48"/>
  <c r="Q6" i="51"/>
  <c r="B10" i="51"/>
  <c r="AA82" i="50"/>
  <c r="N27" i="48"/>
  <c r="X54" i="53"/>
  <c r="Y265" i="49"/>
  <c r="Y24" i="47"/>
  <c r="R135" i="33"/>
  <c r="AC8" i="45"/>
  <c r="Z198" i="49"/>
  <c r="R93" i="33"/>
  <c r="N143" i="49"/>
  <c r="C8" i="51"/>
  <c r="Y313" i="49"/>
  <c r="J59" i="48"/>
  <c r="S58" i="48"/>
  <c r="V51" i="51"/>
  <c r="N224" i="49"/>
  <c r="O383" i="49"/>
  <c r="O186" i="49"/>
  <c r="Y62" i="48"/>
  <c r="X110" i="50"/>
  <c r="O56" i="50"/>
  <c r="X15" i="47"/>
  <c r="O309" i="49"/>
  <c r="H13" i="38"/>
  <c r="R234" i="38"/>
  <c r="Z35" i="49"/>
  <c r="O268" i="49"/>
  <c r="T224" i="49"/>
  <c r="S15" i="49"/>
  <c r="Z339" i="49"/>
  <c r="O182" i="49"/>
  <c r="N39" i="48"/>
  <c r="S50" i="50"/>
  <c r="N106" i="49"/>
  <c r="AA106" i="49"/>
  <c r="T85" i="48"/>
  <c r="Y214" i="49"/>
  <c r="Y325" i="49"/>
  <c r="T57" i="48"/>
  <c r="Z83" i="50"/>
  <c r="S116" i="50"/>
  <c r="T248" i="49"/>
  <c r="AI4" i="45"/>
  <c r="N146" i="49"/>
  <c r="Z86" i="49"/>
  <c r="S64" i="48"/>
  <c r="O3" i="49"/>
  <c r="AA60" i="47"/>
  <c r="M10" i="61"/>
  <c r="X222" i="49"/>
  <c r="AA69" i="50"/>
  <c r="Y123" i="49"/>
  <c r="T8" i="40"/>
  <c r="O65" i="49"/>
  <c r="AB67" i="50"/>
  <c r="AB306" i="49"/>
  <c r="AA84" i="50"/>
  <c r="AB37" i="47"/>
  <c r="C51" i="52"/>
  <c r="T58" i="48"/>
  <c r="T87" i="50"/>
  <c r="R53" i="51"/>
  <c r="M45" i="51"/>
  <c r="O10" i="48"/>
  <c r="R47" i="51"/>
  <c r="Z62" i="47"/>
  <c r="H37" i="52"/>
  <c r="S41" i="53"/>
  <c r="AA382" i="49"/>
  <c r="X58" i="50"/>
  <c r="Y258" i="49"/>
  <c r="Y43" i="47"/>
  <c r="AB376" i="49"/>
  <c r="AA125" i="49"/>
  <c r="Y52" i="49"/>
  <c r="T56" i="49"/>
  <c r="N98" i="49"/>
  <c r="Z22" i="50"/>
  <c r="AB334" i="49"/>
  <c r="T4" i="47"/>
  <c r="S82" i="48"/>
  <c r="AB42" i="53"/>
  <c r="X29" i="48"/>
  <c r="J25" i="24"/>
  <c r="N20" i="38"/>
  <c r="AG121" i="42"/>
  <c r="T106" i="49"/>
  <c r="R246" i="37"/>
  <c r="S178" i="38"/>
  <c r="Y283" i="49"/>
  <c r="S318" i="49"/>
  <c r="AG138" i="42"/>
  <c r="Y360" i="49"/>
  <c r="Z297" i="49"/>
  <c r="AA71" i="50"/>
  <c r="AA239" i="49"/>
  <c r="AB145" i="49"/>
  <c r="T11" i="49"/>
  <c r="O12" i="48"/>
  <c r="X370" i="49"/>
  <c r="AA315" i="49"/>
  <c r="R50" i="51"/>
  <c r="AB123" i="50"/>
  <c r="Y229" i="49"/>
  <c r="AA387" i="49"/>
  <c r="AA374" i="49"/>
  <c r="AB82" i="48"/>
  <c r="Y21" i="49"/>
  <c r="O39" i="48"/>
  <c r="Y31" i="53"/>
  <c r="AF150" i="42"/>
  <c r="Y47" i="48"/>
  <c r="T103" i="50"/>
  <c r="AB311" i="49"/>
  <c r="AG94" i="43"/>
  <c r="N7" i="51"/>
  <c r="Y29" i="50"/>
  <c r="S109" i="50"/>
  <c r="Q49" i="51"/>
  <c r="Q12" i="51"/>
  <c r="AB27" i="49"/>
  <c r="AB27" i="47"/>
  <c r="N49" i="50"/>
  <c r="Y41" i="51"/>
  <c r="T34" i="50"/>
  <c r="AB83" i="48"/>
  <c r="C37" i="50"/>
  <c r="Y45" i="53"/>
  <c r="AA127" i="49"/>
  <c r="S48" i="50"/>
  <c r="X88" i="49"/>
  <c r="N33" i="50"/>
  <c r="Y13" i="51"/>
  <c r="Y80" i="53"/>
  <c r="Q28" i="51"/>
  <c r="V53" i="51"/>
  <c r="N72" i="50"/>
  <c r="AB32" i="53"/>
  <c r="N367" i="49"/>
  <c r="Y109" i="50"/>
  <c r="W24" i="51"/>
  <c r="D14" i="52"/>
  <c r="S60" i="53"/>
  <c r="S53" i="53"/>
  <c r="Y56" i="50"/>
  <c r="X41" i="48"/>
  <c r="T204" i="49"/>
  <c r="AG153" i="42"/>
  <c r="N35" i="47"/>
  <c r="AG44" i="44"/>
  <c r="O32" i="48"/>
  <c r="T61" i="47"/>
  <c r="N377" i="49"/>
  <c r="E38" i="35"/>
  <c r="N51" i="48"/>
  <c r="S91" i="50"/>
  <c r="Z35" i="50"/>
  <c r="AB233" i="49"/>
  <c r="T69" i="47"/>
  <c r="AB187" i="49"/>
  <c r="Q5" i="51"/>
  <c r="Z56" i="51"/>
  <c r="S370" i="49"/>
  <c r="S27" i="49"/>
  <c r="S164" i="39"/>
  <c r="Y341" i="49"/>
  <c r="N289" i="49"/>
  <c r="T75" i="50"/>
  <c r="Z47" i="50"/>
  <c r="T243" i="49"/>
  <c r="T172" i="49"/>
  <c r="J55" i="48"/>
  <c r="Z89" i="53"/>
  <c r="S38" i="49"/>
  <c r="AH20" i="49"/>
  <c r="AB55" i="48"/>
  <c r="T78" i="47"/>
  <c r="Z47" i="53"/>
  <c r="AA25" i="48"/>
  <c r="AN4" i="48"/>
  <c r="AI19" i="49"/>
  <c r="M50" i="51"/>
  <c r="J20" i="53"/>
  <c r="X41" i="47"/>
  <c r="Z33" i="49"/>
  <c r="AF47" i="42"/>
  <c r="AH21" i="49"/>
  <c r="N22" i="49"/>
  <c r="L28" i="51"/>
  <c r="Y44" i="51"/>
  <c r="AA363" i="49"/>
  <c r="R29" i="51"/>
  <c r="O44" i="50"/>
  <c r="Z41" i="47"/>
  <c r="N104" i="50"/>
  <c r="AB332" i="49"/>
  <c r="X28" i="47"/>
  <c r="Z94" i="49"/>
  <c r="Y25" i="47"/>
  <c r="O64" i="49"/>
  <c r="AA212" i="49"/>
  <c r="T229" i="49"/>
  <c r="O115" i="50"/>
  <c r="AB26" i="49"/>
  <c r="AA28" i="53"/>
  <c r="O31" i="49"/>
  <c r="AA34" i="47"/>
  <c r="AA104" i="49"/>
  <c r="AA57" i="49"/>
  <c r="S78" i="38"/>
  <c r="R223" i="33"/>
  <c r="S69" i="47"/>
  <c r="O344" i="49"/>
  <c r="X176" i="49"/>
  <c r="S165" i="39"/>
  <c r="Y88" i="49"/>
  <c r="S197" i="49"/>
  <c r="AG128" i="42"/>
  <c r="AF140" i="42"/>
  <c r="S55" i="47"/>
  <c r="AG54" i="44"/>
  <c r="R124" i="39"/>
  <c r="AC26" i="45"/>
  <c r="R185" i="38"/>
  <c r="R499" i="33"/>
  <c r="AG56" i="44"/>
  <c r="AA19" i="49"/>
  <c r="Y147" i="49"/>
  <c r="T52" i="49"/>
  <c r="O5" i="48"/>
  <c r="AF45" i="42"/>
  <c r="AB201" i="49"/>
  <c r="Z42" i="48"/>
  <c r="Z129" i="49"/>
  <c r="AA146" i="49"/>
  <c r="AG92" i="42"/>
  <c r="X205" i="49"/>
  <c r="O204" i="49"/>
  <c r="O130" i="49"/>
  <c r="T174" i="49"/>
  <c r="Y12" i="51"/>
  <c r="O257" i="49"/>
  <c r="R354" i="33"/>
  <c r="O79" i="49"/>
  <c r="X244" i="49"/>
  <c r="AA189" i="49"/>
  <c r="Z31" i="48"/>
  <c r="Y15" i="48"/>
  <c r="AF13" i="48"/>
  <c r="X148" i="49"/>
  <c r="AB21" i="53"/>
  <c r="N276" i="49"/>
  <c r="T375" i="49"/>
  <c r="AB62" i="48"/>
  <c r="AB153" i="49"/>
  <c r="Y161" i="49"/>
  <c r="X28" i="50"/>
  <c r="AI19" i="50"/>
  <c r="Z181" i="49"/>
  <c r="X391" i="49"/>
  <c r="Z92" i="48"/>
  <c r="X85" i="49"/>
  <c r="Y17" i="48"/>
  <c r="T135" i="49"/>
  <c r="T86" i="49"/>
  <c r="Y81" i="53"/>
  <c r="Z307" i="49"/>
  <c r="Y92" i="48"/>
  <c r="T79" i="49"/>
  <c r="Z230" i="49"/>
  <c r="N18" i="48"/>
  <c r="T69" i="50"/>
  <c r="X36" i="47"/>
  <c r="AB35" i="53"/>
  <c r="S359" i="49"/>
  <c r="Z70" i="53"/>
  <c r="N14" i="53"/>
  <c r="H36" i="52"/>
  <c r="S14" i="48"/>
  <c r="S23" i="53"/>
  <c r="J79" i="53"/>
  <c r="AB10" i="47"/>
  <c r="S381" i="49"/>
  <c r="S247" i="49"/>
  <c r="O3" i="47"/>
  <c r="T55" i="49"/>
  <c r="C33" i="50"/>
  <c r="AG8" i="42"/>
  <c r="AG17" i="51"/>
  <c r="AG15" i="42"/>
  <c r="S208" i="37"/>
  <c r="S31" i="39"/>
  <c r="Q25" i="51"/>
  <c r="N65" i="48"/>
  <c r="C36" i="53"/>
  <c r="S100" i="50"/>
  <c r="S243" i="49"/>
  <c r="AF11" i="48"/>
  <c r="J64" i="50"/>
  <c r="AA298" i="49"/>
  <c r="Z80" i="53"/>
  <c r="AF112" i="42"/>
  <c r="J36" i="50"/>
  <c r="N70" i="53"/>
  <c r="AB282" i="49"/>
  <c r="AB13" i="48"/>
  <c r="AA46" i="53"/>
  <c r="S23" i="50"/>
  <c r="X218" i="49"/>
  <c r="AA340" i="49"/>
  <c r="X50" i="47"/>
  <c r="Z55" i="47"/>
  <c r="T37" i="53"/>
  <c r="R254" i="37"/>
  <c r="O61" i="47"/>
  <c r="X129" i="49"/>
  <c r="X335" i="49"/>
  <c r="AB273" i="49"/>
  <c r="T17" i="50"/>
  <c r="T88" i="50"/>
  <c r="Z49" i="49"/>
  <c r="AA219" i="49"/>
  <c r="Y91" i="50"/>
  <c r="O59" i="48"/>
  <c r="Y72" i="48"/>
  <c r="T113" i="49"/>
  <c r="D51" i="52"/>
  <c r="X52" i="48"/>
  <c r="O48" i="50"/>
  <c r="AA33" i="49"/>
  <c r="M42" i="51"/>
  <c r="Z7" i="47"/>
  <c r="N24" i="39"/>
  <c r="X32" i="51"/>
  <c r="T50" i="49"/>
  <c r="L17" i="61"/>
  <c r="O41" i="53"/>
  <c r="X132" i="49"/>
  <c r="X35" i="50"/>
  <c r="X47" i="47"/>
  <c r="AB63" i="53"/>
  <c r="X160" i="49"/>
  <c r="AA72" i="53"/>
  <c r="S43" i="53"/>
  <c r="S214" i="39"/>
  <c r="R30" i="33"/>
  <c r="S169" i="49"/>
  <c r="N129" i="49"/>
  <c r="S116" i="38"/>
  <c r="N329" i="49"/>
  <c r="X48" i="49"/>
  <c r="AB43" i="49"/>
  <c r="Z53" i="49"/>
  <c r="T67" i="50"/>
  <c r="T84" i="48"/>
  <c r="O70" i="50"/>
  <c r="T382" i="49"/>
  <c r="X8" i="50"/>
  <c r="J9" i="37"/>
  <c r="Y18" i="49"/>
  <c r="AA343" i="49"/>
  <c r="AI23" i="50"/>
  <c r="Y391" i="49"/>
  <c r="S85" i="50"/>
  <c r="V32" i="51"/>
  <c r="N65" i="50"/>
  <c r="Y65" i="49"/>
  <c r="Y296" i="49"/>
  <c r="AA22" i="50"/>
  <c r="T20" i="47"/>
  <c r="AA366" i="49"/>
  <c r="S265" i="49"/>
  <c r="V27" i="51"/>
  <c r="Z36" i="48"/>
  <c r="AA373" i="49"/>
  <c r="T261" i="49"/>
  <c r="Y32" i="51"/>
  <c r="Z77" i="50"/>
  <c r="Z96" i="50"/>
  <c r="T61" i="53"/>
  <c r="AA55" i="53"/>
  <c r="AG193" i="42"/>
  <c r="S307" i="49"/>
  <c r="X196" i="49"/>
  <c r="AA35" i="50"/>
  <c r="Y31" i="51"/>
  <c r="Y116" i="50"/>
  <c r="X91" i="49"/>
  <c r="AB68" i="47"/>
  <c r="T30" i="53"/>
  <c r="X23" i="48"/>
  <c r="AB94" i="50"/>
  <c r="C18" i="51"/>
  <c r="S19" i="49"/>
  <c r="T12" i="48"/>
  <c r="O36" i="53"/>
  <c r="Y16" i="48"/>
  <c r="Z344" i="49"/>
  <c r="R488" i="33"/>
  <c r="R38" i="51"/>
  <c r="Y33" i="51"/>
  <c r="Y251" i="49"/>
  <c r="X37" i="47"/>
  <c r="X30" i="49"/>
  <c r="S311" i="49"/>
  <c r="S60" i="47"/>
  <c r="N66" i="49"/>
  <c r="F12" i="39"/>
  <c r="AG164" i="42"/>
  <c r="S235" i="49"/>
  <c r="S43" i="47"/>
  <c r="O213" i="49"/>
  <c r="T193" i="49"/>
  <c r="T346" i="49"/>
  <c r="AA62" i="50"/>
  <c r="J35" i="48"/>
  <c r="S11" i="50"/>
  <c r="N268" i="49"/>
  <c r="Z159" i="49"/>
  <c r="AA133" i="49"/>
  <c r="AB135" i="49"/>
  <c r="Z62" i="48"/>
  <c r="S219" i="49"/>
  <c r="O386" i="49"/>
  <c r="AD18" i="51"/>
  <c r="Y70" i="48"/>
  <c r="R253" i="33"/>
  <c r="N53" i="48"/>
  <c r="Y121" i="50"/>
  <c r="N52" i="53"/>
  <c r="J58" i="47"/>
  <c r="N79" i="47"/>
  <c r="Y337" i="49"/>
  <c r="T28" i="49"/>
  <c r="T356" i="49"/>
  <c r="T99" i="49"/>
  <c r="N80" i="53"/>
  <c r="AG92" i="43"/>
  <c r="Y148" i="49"/>
  <c r="Q20" i="51"/>
  <c r="Z90" i="48"/>
  <c r="Z9" i="53"/>
  <c r="T79" i="53"/>
  <c r="C54" i="53"/>
  <c r="AA105" i="50"/>
  <c r="Z10" i="50"/>
  <c r="Z211" i="49"/>
  <c r="S364" i="49"/>
  <c r="Z71" i="50"/>
  <c r="S75" i="53"/>
  <c r="Q10" i="51"/>
  <c r="Z65" i="47"/>
  <c r="AA327" i="49"/>
  <c r="N336" i="49"/>
  <c r="X25" i="51"/>
  <c r="J10" i="53"/>
  <c r="Z53" i="53"/>
  <c r="AB45" i="47"/>
  <c r="X80" i="53"/>
  <c r="AB148" i="49"/>
  <c r="Y44" i="47"/>
  <c r="S193" i="49"/>
  <c r="AH23" i="49"/>
  <c r="X346" i="49"/>
  <c r="T149" i="49"/>
  <c r="AA84" i="53"/>
  <c r="X101" i="49"/>
  <c r="X29" i="47"/>
  <c r="Z34" i="47"/>
  <c r="S232" i="39"/>
  <c r="AF218" i="42"/>
  <c r="Y112" i="49"/>
  <c r="X185" i="49"/>
  <c r="AB259" i="49"/>
  <c r="N386" i="49"/>
  <c r="AB105" i="50"/>
  <c r="Y344" i="49"/>
  <c r="AB185" i="49"/>
  <c r="AA59" i="48"/>
  <c r="O384" i="49"/>
  <c r="AA69" i="48"/>
  <c r="T86" i="50"/>
  <c r="H33" i="51"/>
  <c r="Z4" i="51"/>
  <c r="X90" i="50"/>
  <c r="O48" i="47"/>
  <c r="S176" i="49"/>
  <c r="T76" i="50"/>
  <c r="Y64" i="47"/>
  <c r="T23" i="49"/>
  <c r="N9" i="48"/>
  <c r="O123" i="50"/>
  <c r="AB50" i="49"/>
  <c r="X43" i="53"/>
  <c r="T132" i="49"/>
  <c r="Y77" i="53"/>
  <c r="N10" i="59"/>
  <c r="Y5" i="50"/>
  <c r="AF31" i="44"/>
  <c r="T69" i="53"/>
  <c r="S2" i="59"/>
  <c r="O17" i="53"/>
  <c r="AB358" i="49"/>
  <c r="H13" i="51"/>
  <c r="AI22" i="48"/>
  <c r="X65" i="47"/>
  <c r="Z25" i="53"/>
  <c r="T114" i="50"/>
  <c r="AA45" i="47"/>
  <c r="T71" i="47"/>
  <c r="AI22" i="50"/>
  <c r="AA142" i="49"/>
  <c r="T58" i="50"/>
  <c r="Z52" i="53"/>
  <c r="Y68" i="47"/>
  <c r="T199" i="49"/>
  <c r="N105" i="50"/>
  <c r="T9" i="49"/>
  <c r="S256" i="49"/>
  <c r="AB19" i="47"/>
  <c r="AB82" i="53"/>
  <c r="S41" i="48"/>
  <c r="D27" i="41"/>
  <c r="N11" i="53"/>
  <c r="Y90" i="48"/>
  <c r="X302" i="49"/>
  <c r="Y284" i="49"/>
  <c r="Y287" i="49"/>
  <c r="Y39" i="50"/>
  <c r="E11" i="59"/>
  <c r="M4" i="52"/>
  <c r="X15" i="50"/>
  <c r="AA98" i="49"/>
  <c r="S68" i="47"/>
  <c r="B17" i="34"/>
  <c r="T341" i="49"/>
  <c r="M5" i="40"/>
  <c r="AD2" i="24"/>
  <c r="R123" i="33"/>
  <c r="O70" i="49"/>
  <c r="N70" i="50"/>
  <c r="N203" i="49"/>
  <c r="AA87" i="48"/>
  <c r="Y38" i="48"/>
  <c r="Z97" i="50"/>
  <c r="Y340" i="49"/>
  <c r="T44" i="50"/>
  <c r="N10" i="53"/>
  <c r="C36" i="50"/>
  <c r="S78" i="53"/>
  <c r="O51" i="49"/>
  <c r="AB109" i="50"/>
  <c r="AA42" i="50"/>
  <c r="S211" i="49"/>
  <c r="X78" i="48"/>
  <c r="X268" i="49"/>
  <c r="I36" i="52"/>
  <c r="Y62" i="53"/>
  <c r="AB299" i="49"/>
  <c r="Z8" i="47"/>
  <c r="Y41" i="49"/>
  <c r="Y235" i="49"/>
  <c r="X15" i="48"/>
  <c r="AB58" i="53"/>
  <c r="N44" i="50"/>
  <c r="T316" i="49"/>
  <c r="X318" i="49"/>
  <c r="W7" i="51"/>
  <c r="AB39" i="53"/>
  <c r="Z6" i="53"/>
  <c r="O282" i="49"/>
  <c r="AI19" i="48"/>
  <c r="T44" i="53"/>
  <c r="X5" i="49"/>
  <c r="AA329" i="49"/>
  <c r="J56" i="50"/>
  <c r="Y5" i="47"/>
  <c r="Y62" i="47"/>
  <c r="O66" i="53"/>
  <c r="AA33" i="48"/>
  <c r="Y311" i="49"/>
  <c r="AA5" i="50"/>
  <c r="AB52" i="47"/>
  <c r="L27" i="42"/>
  <c r="Y9" i="47"/>
  <c r="C37" i="52"/>
  <c r="R45" i="51"/>
  <c r="AB43" i="47"/>
  <c r="O232" i="49"/>
  <c r="N36" i="50"/>
  <c r="Z85" i="48"/>
  <c r="S321" i="49"/>
  <c r="S52" i="53"/>
  <c r="AB297" i="49"/>
  <c r="Z58" i="47"/>
  <c r="O5" i="53"/>
  <c r="X232" i="49"/>
  <c r="Y222" i="49"/>
  <c r="I8" i="39"/>
  <c r="R104" i="39"/>
  <c r="S156" i="38"/>
  <c r="K27" i="42"/>
  <c r="T3" i="50"/>
  <c r="T22" i="49"/>
  <c r="G3" i="43"/>
  <c r="N60" i="50"/>
  <c r="O25" i="49"/>
  <c r="Y12" i="50"/>
  <c r="X75" i="50"/>
  <c r="Y15" i="50"/>
  <c r="O30" i="47"/>
  <c r="AA26" i="53"/>
  <c r="AB81" i="49"/>
  <c r="X23" i="53"/>
  <c r="J41" i="50"/>
  <c r="AA72" i="50"/>
  <c r="C26" i="54"/>
  <c r="AA52" i="48"/>
  <c r="O32" i="50"/>
  <c r="O52" i="47"/>
  <c r="AB57" i="47"/>
  <c r="R177" i="38"/>
  <c r="Y24" i="50"/>
  <c r="AA195" i="49"/>
  <c r="Z52" i="48"/>
  <c r="AG64" i="43"/>
  <c r="AB205" i="49"/>
  <c r="X68" i="53"/>
  <c r="T62" i="50"/>
  <c r="K21" i="44"/>
  <c r="Z10" i="48"/>
  <c r="AB113" i="49"/>
  <c r="N78" i="53"/>
  <c r="X60" i="53"/>
  <c r="T73" i="48"/>
  <c r="X46" i="48"/>
  <c r="O42" i="50"/>
  <c r="S88" i="49"/>
  <c r="T88" i="48"/>
  <c r="S124" i="50"/>
  <c r="AA54" i="47"/>
  <c r="O25" i="47"/>
  <c r="Y101" i="50"/>
  <c r="AA215" i="49"/>
  <c r="AA220" i="49"/>
  <c r="V4" i="51"/>
  <c r="AB212" i="49"/>
  <c r="AG53" i="42"/>
  <c r="AA43" i="47"/>
  <c r="AA51" i="47"/>
  <c r="AN3" i="50"/>
  <c r="AB152" i="49"/>
  <c r="J18" i="48"/>
  <c r="AA80" i="50"/>
  <c r="O39" i="53"/>
  <c r="X13" i="53"/>
  <c r="O340" i="49"/>
  <c r="S209" i="38"/>
  <c r="S77" i="53"/>
  <c r="O7" i="53"/>
  <c r="AG8" i="43"/>
  <c r="AA152" i="49"/>
  <c r="N356" i="49"/>
  <c r="AA31" i="50"/>
  <c r="Z38" i="48"/>
  <c r="T37" i="49"/>
  <c r="O6" i="48"/>
  <c r="Y82" i="49"/>
  <c r="X44" i="47"/>
  <c r="AB59" i="50"/>
  <c r="S179" i="37"/>
  <c r="M5" i="51"/>
  <c r="Y30" i="47"/>
  <c r="T42" i="50"/>
  <c r="AB344" i="49"/>
  <c r="AB22" i="48"/>
  <c r="S26" i="48"/>
  <c r="AB70" i="48"/>
  <c r="X21" i="53"/>
  <c r="Z253" i="49"/>
  <c r="O18" i="48"/>
  <c r="Y9" i="49"/>
  <c r="T77" i="47"/>
  <c r="AA256" i="49"/>
  <c r="Y286" i="49"/>
  <c r="Z45" i="50"/>
  <c r="AA70" i="49"/>
  <c r="Z386" i="49"/>
  <c r="Y368" i="49"/>
  <c r="AB90" i="50"/>
  <c r="AB23" i="47"/>
  <c r="Y40" i="50"/>
  <c r="J55" i="47"/>
  <c r="Z51" i="48"/>
  <c r="Y62" i="50"/>
  <c r="AA38" i="48"/>
  <c r="Y43" i="49"/>
  <c r="N9" i="50"/>
  <c r="J21" i="43"/>
  <c r="X54" i="47"/>
  <c r="S3" i="48"/>
  <c r="V3" i="51"/>
  <c r="AA342" i="49"/>
  <c r="S80" i="53"/>
  <c r="S6" i="47"/>
  <c r="Y98" i="50"/>
  <c r="AH16" i="50"/>
  <c r="AB6" i="50"/>
  <c r="O290" i="49"/>
  <c r="AA349" i="49"/>
  <c r="V45" i="51"/>
  <c r="AB16" i="47"/>
  <c r="R515" i="33"/>
  <c r="O65" i="48"/>
  <c r="O326" i="49"/>
  <c r="Z51" i="53"/>
  <c r="O241" i="49"/>
  <c r="AA258" i="49"/>
  <c r="AB78" i="53"/>
  <c r="O376" i="49"/>
  <c r="AC3" i="45"/>
  <c r="S177" i="38"/>
  <c r="N67" i="50"/>
  <c r="AB155" i="49"/>
  <c r="Y213" i="49"/>
  <c r="O215" i="49"/>
  <c r="AA38" i="47"/>
  <c r="O28" i="48"/>
  <c r="Z28" i="53"/>
  <c r="J24" i="43"/>
  <c r="S210" i="37"/>
  <c r="AF15" i="44"/>
  <c r="AG71" i="42"/>
  <c r="S66" i="39"/>
  <c r="X230" i="49"/>
  <c r="T109" i="49"/>
  <c r="AG11" i="42"/>
  <c r="S160" i="38"/>
  <c r="B8" i="51"/>
  <c r="T112" i="49"/>
  <c r="AB49" i="47"/>
  <c r="T240" i="49"/>
  <c r="O111" i="50"/>
  <c r="O214" i="49"/>
  <c r="T55" i="50"/>
  <c r="S29" i="38"/>
  <c r="S28" i="39"/>
  <c r="S89" i="50"/>
  <c r="L41" i="51"/>
  <c r="AA39" i="48"/>
  <c r="M28" i="51"/>
  <c r="J45" i="48"/>
  <c r="N205" i="49"/>
  <c r="K22" i="42"/>
  <c r="N96" i="49"/>
  <c r="S86" i="39"/>
  <c r="M36" i="51"/>
  <c r="N255" i="49"/>
  <c r="AB36" i="48"/>
  <c r="H46" i="51"/>
  <c r="Z193" i="49"/>
  <c r="Z85" i="53"/>
  <c r="E35" i="41"/>
  <c r="AA253" i="49"/>
  <c r="Z287" i="49"/>
  <c r="S234" i="39"/>
  <c r="Y268" i="49"/>
  <c r="AB329" i="49"/>
  <c r="N17" i="48"/>
  <c r="AB79" i="49"/>
  <c r="X33" i="51"/>
  <c r="R505" i="33"/>
  <c r="W40" i="51"/>
  <c r="X94" i="50"/>
  <c r="AJ4" i="47"/>
  <c r="X72" i="50"/>
  <c r="X11" i="51"/>
  <c r="L15" i="51"/>
  <c r="O172" i="49"/>
  <c r="J71" i="53"/>
  <c r="T75" i="47"/>
  <c r="J47" i="50"/>
  <c r="Z119" i="50"/>
  <c r="Y245" i="49"/>
  <c r="Y21" i="50"/>
  <c r="O97" i="50"/>
  <c r="Y388" i="49"/>
  <c r="S3" i="53"/>
  <c r="T25" i="47"/>
  <c r="N42" i="48"/>
  <c r="J77" i="53"/>
  <c r="S87" i="53"/>
  <c r="F105" i="4"/>
  <c r="E18" i="38"/>
  <c r="R168" i="33"/>
  <c r="S145" i="39"/>
  <c r="D9" i="41"/>
  <c r="AF22" i="49"/>
  <c r="AA213" i="49"/>
  <c r="T27" i="49"/>
  <c r="N21" i="39"/>
  <c r="O44" i="47"/>
  <c r="N299" i="49"/>
  <c r="Z75" i="50"/>
  <c r="S22" i="50"/>
  <c r="S36" i="53"/>
  <c r="AA34" i="50"/>
  <c r="T31" i="49"/>
  <c r="Y115" i="50"/>
  <c r="T30" i="48"/>
  <c r="D36" i="52"/>
  <c r="S40" i="50"/>
  <c r="Z51" i="51"/>
  <c r="S280" i="49"/>
  <c r="AA242" i="49"/>
  <c r="O40" i="50"/>
  <c r="O221" i="49"/>
  <c r="S13" i="53"/>
  <c r="O11" i="48"/>
  <c r="M16" i="61"/>
  <c r="S55" i="49"/>
  <c r="O109" i="49"/>
  <c r="O15" i="53"/>
  <c r="Y51" i="47"/>
  <c r="AG18" i="42"/>
  <c r="B43" i="34"/>
  <c r="R43" i="37"/>
  <c r="D13" i="41"/>
  <c r="O227" i="49"/>
  <c r="O279" i="49"/>
  <c r="T18" i="50"/>
  <c r="AA29" i="48"/>
  <c r="AB32" i="49"/>
  <c r="Z113" i="50"/>
  <c r="N73" i="50"/>
  <c r="N76" i="50"/>
  <c r="Y104" i="50"/>
  <c r="X75" i="47"/>
  <c r="S329" i="49"/>
  <c r="O43" i="50"/>
  <c r="X22" i="51"/>
  <c r="AH12" i="49"/>
  <c r="N46" i="53"/>
  <c r="X39" i="49"/>
  <c r="Y49" i="50"/>
  <c r="N78" i="50"/>
  <c r="T64" i="53"/>
  <c r="X78" i="47"/>
  <c r="J29" i="48"/>
  <c r="Y69" i="48"/>
  <c r="Z138" i="49"/>
  <c r="AF146" i="42"/>
  <c r="L23" i="51"/>
  <c r="X50" i="49"/>
  <c r="S102" i="50"/>
  <c r="O17" i="47"/>
  <c r="E9" i="39"/>
  <c r="X77" i="49"/>
  <c r="T138" i="49"/>
  <c r="R198" i="37"/>
  <c r="AB46" i="49"/>
  <c r="O313" i="49"/>
  <c r="S239" i="49"/>
  <c r="N121" i="50"/>
  <c r="X55" i="48"/>
  <c r="S18" i="48"/>
  <c r="S326" i="49"/>
  <c r="AG12" i="51"/>
  <c r="N273" i="49"/>
  <c r="S158" i="39"/>
  <c r="N327" i="49"/>
  <c r="O20" i="50"/>
  <c r="W42" i="51"/>
  <c r="AA198" i="49"/>
  <c r="Y131" i="49"/>
  <c r="AA50" i="49"/>
  <c r="N90" i="48"/>
  <c r="AA338" i="49"/>
  <c r="Y29" i="51"/>
  <c r="AA70" i="50"/>
  <c r="AB165" i="49"/>
  <c r="Y306" i="49"/>
  <c r="D18" i="36"/>
  <c r="C10" i="51"/>
  <c r="AA12" i="53"/>
  <c r="S151" i="49"/>
  <c r="Z45" i="51"/>
  <c r="AB46" i="50"/>
  <c r="AB44" i="50"/>
  <c r="O92" i="50"/>
  <c r="X20" i="47"/>
  <c r="Z64" i="53"/>
  <c r="T347" i="49"/>
  <c r="T119" i="50"/>
  <c r="Z66" i="50"/>
  <c r="Z38" i="51"/>
  <c r="Y55" i="50"/>
  <c r="AI21" i="50"/>
  <c r="O4" i="53"/>
  <c r="S7" i="48"/>
  <c r="O45" i="53"/>
  <c r="Z245" i="49"/>
  <c r="X61" i="48"/>
  <c r="S240" i="49"/>
  <c r="X327" i="49"/>
  <c r="X61" i="47"/>
  <c r="AB119" i="49"/>
  <c r="S49" i="50"/>
  <c r="AA20" i="47"/>
  <c r="AI20" i="49"/>
  <c r="AB23" i="50"/>
  <c r="AB35" i="50"/>
  <c r="J21" i="53"/>
  <c r="Y69" i="47"/>
  <c r="N30" i="53"/>
  <c r="O192" i="49"/>
  <c r="O54" i="47"/>
  <c r="AA117" i="49"/>
  <c r="AG184" i="42"/>
  <c r="N88" i="49"/>
  <c r="R196" i="33"/>
  <c r="X59" i="49"/>
  <c r="Z93" i="49"/>
  <c r="R37" i="51"/>
  <c r="O87" i="48"/>
  <c r="Z91" i="49"/>
  <c r="T4" i="48"/>
  <c r="X14" i="51"/>
  <c r="AA180" i="49"/>
  <c r="AF20" i="42"/>
  <c r="B11" i="51"/>
  <c r="S262" i="37"/>
  <c r="Z76" i="50"/>
  <c r="T216" i="49"/>
  <c r="AA122" i="50"/>
  <c r="L7" i="51"/>
  <c r="T206" i="49"/>
  <c r="Y57" i="49"/>
  <c r="T39" i="47"/>
  <c r="L36" i="51"/>
  <c r="O31" i="53"/>
  <c r="G17" i="39"/>
  <c r="N20" i="50"/>
  <c r="Y97" i="49"/>
  <c r="S357" i="49"/>
  <c r="S16" i="39"/>
  <c r="AA51" i="50"/>
  <c r="AB43" i="53"/>
  <c r="Z363" i="49"/>
  <c r="AF256" i="42"/>
  <c r="Y390" i="49"/>
  <c r="X14" i="50"/>
  <c r="X3" i="47"/>
  <c r="AB59" i="53"/>
  <c r="T168" i="49"/>
  <c r="L38" i="51"/>
  <c r="X303" i="49"/>
  <c r="N294" i="49"/>
  <c r="N89" i="48"/>
  <c r="Z25" i="50"/>
  <c r="Z61" i="48"/>
  <c r="Y41" i="47"/>
  <c r="AB39" i="47"/>
  <c r="S96" i="39"/>
  <c r="S9" i="49"/>
  <c r="Y78" i="50"/>
  <c r="T7" i="47"/>
  <c r="X59" i="48"/>
  <c r="AB44" i="48"/>
  <c r="Y37" i="48"/>
  <c r="N117" i="50"/>
  <c r="O83" i="53"/>
  <c r="Y46" i="53"/>
  <c r="L24" i="51"/>
  <c r="I21" i="59"/>
  <c r="D14" i="61" a="1"/>
  <c r="AA41" i="49"/>
  <c r="AC24" i="45"/>
  <c r="O26" i="53"/>
  <c r="AC2" i="48" a="1"/>
  <c r="N67" i="47"/>
  <c r="R241" i="39"/>
  <c r="AA235" i="49"/>
  <c r="AB17" i="45"/>
  <c r="N31" i="48"/>
  <c r="AF220" i="42"/>
  <c r="S44" i="48"/>
  <c r="T105" i="50"/>
  <c r="T64" i="48"/>
  <c r="AH18" i="48"/>
  <c r="O60" i="48"/>
  <c r="C32" i="50"/>
  <c r="AH14" i="49"/>
  <c r="X113" i="50"/>
  <c r="AA58" i="47"/>
  <c r="D15" i="51"/>
  <c r="Y33" i="47"/>
  <c r="S83" i="50"/>
  <c r="AB40" i="50"/>
  <c r="AA75" i="53"/>
  <c r="S32" i="47"/>
  <c r="AA18" i="48"/>
  <c r="R48" i="51"/>
  <c r="Y10" i="48"/>
  <c r="X43" i="47"/>
  <c r="AB298" i="49"/>
  <c r="Z96" i="49"/>
  <c r="Z146" i="49"/>
  <c r="N69" i="50"/>
  <c r="O199" i="49"/>
  <c r="I13" i="52"/>
  <c r="AB15" i="49"/>
  <c r="X281" i="49"/>
  <c r="AB54" i="49"/>
  <c r="S5" i="50"/>
  <c r="S37" i="53"/>
  <c r="T47" i="49"/>
  <c r="O32" i="53"/>
  <c r="X67" i="49"/>
  <c r="X159" i="49"/>
  <c r="AA162" i="49"/>
  <c r="S114" i="50"/>
  <c r="AA79" i="50"/>
  <c r="N84" i="53"/>
  <c r="X27" i="47"/>
  <c r="Z3" i="53"/>
  <c r="AH18" i="49"/>
  <c r="T16" i="49"/>
  <c r="Z52" i="50"/>
  <c r="O211" i="49"/>
  <c r="X8" i="53"/>
  <c r="X21" i="47"/>
  <c r="Y18" i="53"/>
  <c r="J34" i="48"/>
  <c r="O315" i="49"/>
  <c r="Y51" i="48"/>
  <c r="AB11" i="48"/>
  <c r="T80" i="53"/>
  <c r="AB26" i="53"/>
  <c r="S49" i="53"/>
  <c r="S58" i="49"/>
  <c r="AI20" i="50"/>
  <c r="O20" i="48"/>
  <c r="AB29" i="48"/>
  <c r="Y98" i="49"/>
  <c r="N7" i="47"/>
  <c r="N67" i="49"/>
  <c r="Y304" i="49"/>
  <c r="R336" i="33"/>
  <c r="S180" i="49"/>
  <c r="X30" i="51"/>
  <c r="T68" i="50"/>
  <c r="AA46" i="48"/>
  <c r="H11" i="51"/>
  <c r="J18" i="39"/>
  <c r="T52" i="48"/>
  <c r="S26" i="39"/>
  <c r="L45" i="51"/>
  <c r="S142" i="49"/>
  <c r="AA37" i="48"/>
  <c r="E17" i="42"/>
  <c r="R444" i="33"/>
  <c r="V21" i="51"/>
  <c r="L15" i="61"/>
  <c r="Z71" i="48"/>
  <c r="Z336" i="49"/>
  <c r="O18" i="49"/>
  <c r="Y105" i="49"/>
  <c r="X239" i="49"/>
  <c r="T92" i="50"/>
  <c r="Y194" i="49"/>
  <c r="C45" i="50"/>
  <c r="S113" i="39"/>
  <c r="AB79" i="50"/>
  <c r="Y29" i="53"/>
  <c r="X77" i="50"/>
  <c r="T327" i="49"/>
  <c r="N93" i="50"/>
  <c r="O47" i="48"/>
  <c r="S56" i="53"/>
  <c r="Y10" i="53"/>
  <c r="Y34" i="47"/>
  <c r="AB159" i="49"/>
  <c r="S50" i="53"/>
  <c r="AB112" i="49"/>
  <c r="Z178" i="49"/>
  <c r="Z73" i="48"/>
  <c r="S31" i="53"/>
  <c r="X390" i="49"/>
  <c r="O73" i="48"/>
  <c r="AB106" i="49"/>
  <c r="Y20" i="51"/>
  <c r="N38" i="50"/>
  <c r="S38" i="53"/>
  <c r="Z41" i="48"/>
  <c r="AA88" i="53"/>
  <c r="T191" i="49"/>
  <c r="X198" i="49"/>
  <c r="AA71" i="53"/>
  <c r="T7" i="50"/>
  <c r="X270" i="49"/>
  <c r="AB49" i="49"/>
  <c r="T83" i="53"/>
  <c r="AA42" i="47"/>
  <c r="V13" i="51"/>
  <c r="X51" i="47"/>
  <c r="N28" i="59"/>
  <c r="N102" i="49"/>
  <c r="V12" i="51"/>
  <c r="Y282" i="49"/>
  <c r="R339" i="33"/>
  <c r="S152" i="49"/>
  <c r="AG136" i="42"/>
  <c r="AB207" i="49"/>
  <c r="X204" i="49"/>
  <c r="S17" i="39"/>
  <c r="AA33" i="50"/>
  <c r="Q18" i="51"/>
  <c r="AG78" i="43"/>
  <c r="AH23" i="48"/>
  <c r="AG53" i="43"/>
  <c r="AA60" i="50"/>
  <c r="S141" i="49"/>
  <c r="Y35" i="51"/>
  <c r="Y207" i="49"/>
  <c r="N19" i="50"/>
  <c r="X49" i="51"/>
  <c r="Y43" i="53"/>
  <c r="Y62" i="49"/>
  <c r="T118" i="50"/>
  <c r="S78" i="47"/>
  <c r="M12" i="51"/>
  <c r="X121" i="49"/>
  <c r="S86" i="49"/>
  <c r="S58" i="53"/>
  <c r="T56" i="50"/>
  <c r="S61" i="47"/>
  <c r="C12" i="51"/>
  <c r="O11" i="53"/>
  <c r="Q23" i="51"/>
  <c r="N32" i="47"/>
  <c r="Y34" i="50"/>
  <c r="X330" i="49"/>
  <c r="Y74" i="53"/>
  <c r="Z72" i="47"/>
  <c r="Y27" i="47"/>
  <c r="O100" i="49"/>
  <c r="AA324" i="49"/>
  <c r="N312" i="49"/>
  <c r="H59" i="51"/>
  <c r="O60" i="49"/>
  <c r="T324" i="49"/>
  <c r="Y22" i="51"/>
  <c r="O86" i="53"/>
  <c r="O38" i="49"/>
  <c r="Y4" i="51"/>
  <c r="Y82" i="48"/>
  <c r="AB79" i="47"/>
  <c r="Y60" i="49"/>
  <c r="AB265" i="49"/>
  <c r="Y67" i="50"/>
  <c r="AA50" i="50"/>
  <c r="AB242" i="49"/>
  <c r="S248" i="49"/>
  <c r="AB39" i="50"/>
  <c r="T71" i="48"/>
  <c r="S6" i="53"/>
  <c r="Q15" i="51"/>
  <c r="X32" i="48"/>
  <c r="Y188" i="49"/>
  <c r="G35" i="59"/>
  <c r="AF137" i="42"/>
  <c r="AG13" i="44"/>
  <c r="S71" i="39"/>
  <c r="AG3" i="43"/>
  <c r="L25" i="51"/>
  <c r="T22" i="48"/>
  <c r="AA119" i="50"/>
  <c r="Y76" i="50"/>
  <c r="O36" i="49"/>
  <c r="N73" i="48"/>
  <c r="AG123" i="42"/>
  <c r="O238" i="49"/>
  <c r="Z3" i="48"/>
  <c r="AB84" i="50"/>
  <c r="AG29" i="43"/>
  <c r="AB85" i="53"/>
  <c r="Z104" i="49"/>
  <c r="Y39" i="51"/>
  <c r="AA67" i="53"/>
  <c r="Z139" i="49"/>
  <c r="Y230" i="49"/>
  <c r="S113" i="50"/>
  <c r="AB10" i="53"/>
  <c r="T256" i="49"/>
  <c r="Z19" i="50"/>
  <c r="AA89" i="53"/>
  <c r="Z304" i="49"/>
  <c r="X31" i="47"/>
  <c r="Z49" i="51"/>
  <c r="X27" i="48"/>
  <c r="S40" i="49"/>
  <c r="L19" i="61"/>
  <c r="S103" i="50"/>
  <c r="AA49" i="53"/>
  <c r="N66" i="48"/>
  <c r="T87" i="53"/>
  <c r="Z11" i="49"/>
  <c r="W36" i="51"/>
  <c r="AA89" i="49"/>
  <c r="AA92" i="49"/>
  <c r="AA121" i="49"/>
  <c r="AB286" i="49"/>
  <c r="T50" i="50"/>
  <c r="J15" i="47"/>
  <c r="AG151" i="42"/>
  <c r="Y12" i="47"/>
  <c r="Y6" i="47"/>
  <c r="AG181" i="42"/>
  <c r="Z19" i="53"/>
  <c r="L44" i="51"/>
  <c r="O45" i="48"/>
  <c r="AG35" i="42"/>
  <c r="T24" i="50"/>
  <c r="R240" i="39"/>
  <c r="X289" i="49"/>
  <c r="X317" i="49"/>
  <c r="Z168" i="49"/>
  <c r="O320" i="49"/>
  <c r="F11" i="24"/>
  <c r="S22" i="47"/>
  <c r="Y262" i="49"/>
  <c r="Y308" i="49"/>
  <c r="D5" i="44"/>
  <c r="AH23" i="50"/>
  <c r="H49" i="51"/>
  <c r="AB78" i="48"/>
  <c r="Y28" i="53"/>
  <c r="S92" i="38"/>
  <c r="S312" i="49"/>
  <c r="R70" i="37"/>
  <c r="S241" i="38"/>
  <c r="AF19" i="49"/>
  <c r="O131" i="49"/>
  <c r="N291" i="49"/>
  <c r="R174" i="33"/>
  <c r="Q369" i="33"/>
  <c r="X70" i="50"/>
  <c r="X71" i="49"/>
  <c r="Z46" i="47"/>
  <c r="AN3" i="49"/>
  <c r="S71" i="47"/>
  <c r="T45" i="48"/>
  <c r="M13" i="61"/>
  <c r="E7" i="38"/>
  <c r="T76" i="49"/>
  <c r="Y4" i="48"/>
  <c r="Y107" i="50"/>
  <c r="S102" i="49"/>
  <c r="S68" i="48"/>
  <c r="Z91" i="50"/>
  <c r="AB93" i="50"/>
  <c r="R99" i="39"/>
  <c r="X199" i="49"/>
  <c r="X26" i="48"/>
  <c r="V52" i="51"/>
  <c r="Y102" i="50"/>
  <c r="N55" i="49"/>
  <c r="Z12" i="50"/>
  <c r="S17" i="50"/>
  <c r="AB67" i="53"/>
  <c r="AG28" i="44"/>
  <c r="R255" i="39"/>
  <c r="T72" i="49"/>
  <c r="AA168" i="49"/>
  <c r="AA110" i="50"/>
  <c r="R396" i="33"/>
  <c r="S88" i="50"/>
  <c r="AA79" i="48"/>
  <c r="AA32" i="48"/>
  <c r="S6" i="49"/>
  <c r="Q45" i="51"/>
  <c r="Y329" i="49"/>
  <c r="X26" i="51"/>
  <c r="X31" i="49"/>
  <c r="N48" i="47"/>
  <c r="N48" i="50"/>
  <c r="Z43" i="51"/>
  <c r="R12" i="51"/>
  <c r="AG25" i="42"/>
  <c r="N124" i="50"/>
  <c r="AB15" i="50"/>
  <c r="X5" i="53"/>
  <c r="Z54" i="49"/>
  <c r="AB36" i="50"/>
  <c r="Q19" i="51"/>
  <c r="AB31" i="53"/>
  <c r="AA27" i="53"/>
  <c r="X119" i="50"/>
  <c r="AB63" i="47"/>
  <c r="J94" i="53"/>
  <c r="F49" i="4"/>
  <c r="S70" i="49"/>
  <c r="N326" i="49"/>
  <c r="J20" i="38"/>
  <c r="AG56" i="42"/>
  <c r="Z65" i="48"/>
  <c r="AA378" i="49"/>
  <c r="M37" i="51"/>
  <c r="S106" i="39"/>
  <c r="S85" i="49"/>
  <c r="AF19" i="50"/>
  <c r="Q32" i="51"/>
  <c r="N87" i="49"/>
  <c r="Z141" i="49"/>
  <c r="T3" i="48"/>
  <c r="AB62" i="53"/>
  <c r="O78" i="48"/>
  <c r="H32" i="51"/>
  <c r="T16" i="53"/>
  <c r="R190" i="38"/>
  <c r="S92" i="50"/>
  <c r="AB72" i="50"/>
  <c r="AA114" i="49"/>
  <c r="AA32" i="50"/>
  <c r="N56" i="50"/>
  <c r="S11" i="48"/>
  <c r="AO3" i="34"/>
  <c r="J78" i="53"/>
  <c r="AA91" i="50"/>
  <c r="X47" i="53"/>
  <c r="O48" i="49"/>
  <c r="AA45" i="53"/>
  <c r="R66" i="33"/>
  <c r="S8" i="47"/>
  <c r="S62" i="38"/>
  <c r="T152" i="49"/>
  <c r="X381" i="49"/>
  <c r="AB13" i="50"/>
  <c r="AA8" i="49"/>
  <c r="N58" i="48"/>
  <c r="T265" i="49"/>
  <c r="Y22" i="50"/>
  <c r="O350" i="49"/>
  <c r="B13" i="51"/>
  <c r="Z103" i="50"/>
  <c r="R31" i="39"/>
  <c r="AD22" i="51"/>
  <c r="R350" i="33"/>
  <c r="AA347" i="49"/>
  <c r="O253" i="49"/>
  <c r="AA114" i="50"/>
  <c r="R255" i="33"/>
  <c r="N23" i="50"/>
  <c r="AB87" i="50"/>
  <c r="S19" i="47"/>
  <c r="Z210" i="49"/>
  <c r="B22" i="51"/>
  <c r="O75" i="53"/>
  <c r="Y38" i="51"/>
  <c r="S120" i="39"/>
  <c r="Y120" i="50"/>
  <c r="X58" i="49"/>
  <c r="W53" i="51"/>
  <c r="O32" i="47"/>
  <c r="X238" i="49"/>
  <c r="F3" i="43"/>
  <c r="AA391" i="49"/>
  <c r="X357" i="49"/>
  <c r="Z261" i="49"/>
  <c r="S215" i="39"/>
  <c r="O124" i="49"/>
  <c r="AB296" i="49"/>
  <c r="Z27" i="51"/>
  <c r="AB63" i="49"/>
  <c r="N13" i="49"/>
  <c r="N47" i="49"/>
  <c r="AB102" i="49"/>
  <c r="AG105" i="42"/>
  <c r="Y106" i="49"/>
  <c r="Q47" i="51"/>
  <c r="T198" i="49"/>
  <c r="AG14" i="44"/>
  <c r="N18" i="49"/>
  <c r="X208" i="49"/>
  <c r="S4" i="48"/>
  <c r="O197" i="49"/>
  <c r="N53" i="50"/>
  <c r="N110" i="50"/>
  <c r="Y185" i="49"/>
  <c r="S333" i="49"/>
  <c r="V39" i="51"/>
  <c r="Y52" i="50"/>
  <c r="S15" i="48"/>
  <c r="J18" i="43"/>
  <c r="F19" i="45"/>
  <c r="AB200" i="49"/>
  <c r="T43" i="48"/>
  <c r="O88" i="48"/>
  <c r="AB25" i="47"/>
  <c r="O77" i="53"/>
  <c r="AB222" i="49"/>
  <c r="N222" i="49"/>
  <c r="N116" i="49"/>
  <c r="R171" i="38"/>
  <c r="O263" i="49"/>
  <c r="AB116" i="50"/>
  <c r="M11" i="61"/>
  <c r="AA351" i="49"/>
  <c r="O343" i="49"/>
  <c r="O359" i="49"/>
  <c r="S38" i="48"/>
  <c r="AA24" i="50"/>
  <c r="Y359" i="49"/>
  <c r="AB61" i="47"/>
  <c r="D4" i="60"/>
  <c r="AB42" i="50"/>
  <c r="AA352" i="49"/>
  <c r="S76" i="39"/>
  <c r="AI13" i="50"/>
  <c r="AA321" i="49"/>
  <c r="AB87" i="53"/>
  <c r="N65" i="53"/>
  <c r="N26" i="59"/>
  <c r="Z27" i="47"/>
  <c r="N352" i="49"/>
  <c r="Y80" i="48"/>
  <c r="S192" i="38"/>
  <c r="R445" i="33"/>
  <c r="X201" i="49"/>
  <c r="O352" i="49"/>
  <c r="N372" i="49"/>
  <c r="X165" i="49"/>
  <c r="J19" i="48"/>
  <c r="Z108" i="50"/>
  <c r="AB146" i="49"/>
  <c r="E6" i="41"/>
  <c r="D18" i="51"/>
  <c r="T156" i="49"/>
  <c r="AF12" i="50"/>
  <c r="O61" i="49"/>
  <c r="Y38" i="50"/>
  <c r="S45" i="39"/>
  <c r="Z106" i="50"/>
  <c r="N40" i="50"/>
  <c r="S64" i="53"/>
  <c r="R429" i="33"/>
  <c r="AF20" i="51"/>
  <c r="X93" i="50"/>
  <c r="AB108" i="50"/>
  <c r="Z160" i="49"/>
  <c r="O117" i="50"/>
  <c r="Y27" i="53"/>
  <c r="R428" i="33"/>
  <c r="X145" i="49"/>
  <c r="V56" i="51"/>
  <c r="Z294" i="49"/>
  <c r="R51" i="51"/>
  <c r="Z203" i="49"/>
  <c r="N10" i="51"/>
  <c r="W19" i="51"/>
  <c r="T48" i="47"/>
  <c r="T9" i="47"/>
  <c r="AA43" i="48"/>
  <c r="S84" i="48"/>
  <c r="J74" i="53"/>
  <c r="Y143" i="49"/>
  <c r="N153" i="49"/>
  <c r="Z59" i="48"/>
  <c r="X79" i="53"/>
  <c r="L14" i="61"/>
  <c r="R8" i="51"/>
  <c r="Y300" i="49"/>
  <c r="O59" i="50"/>
  <c r="X117" i="50"/>
  <c r="N89" i="53"/>
  <c r="X4" i="49"/>
  <c r="Y39" i="53"/>
  <c r="S85" i="48"/>
  <c r="N18" i="50"/>
  <c r="AA50" i="47"/>
  <c r="Y71" i="49"/>
  <c r="Y49" i="47"/>
  <c r="S336" i="49"/>
  <c r="AA206" i="49"/>
  <c r="AA44" i="48"/>
  <c r="S75" i="49"/>
  <c r="AA80" i="53"/>
  <c r="AE2" i="34"/>
  <c r="Y330" i="49"/>
  <c r="S21" i="47"/>
  <c r="N330" i="49"/>
  <c r="J54" i="47"/>
  <c r="R203" i="38"/>
  <c r="Y41" i="48"/>
  <c r="O53" i="50"/>
  <c r="T47" i="50"/>
  <c r="N83" i="48"/>
  <c r="AA49" i="50"/>
  <c r="R416" i="33"/>
  <c r="N162" i="49"/>
  <c r="S239" i="39"/>
  <c r="S77" i="49"/>
  <c r="S195" i="38"/>
  <c r="O361" i="49"/>
  <c r="Z234" i="49"/>
  <c r="AB292" i="49"/>
  <c r="X49" i="50"/>
  <c r="C36" i="52"/>
  <c r="O176" i="49"/>
  <c r="AB75" i="49"/>
  <c r="AB24" i="50"/>
  <c r="AB355" i="49"/>
  <c r="K7" i="44"/>
  <c r="N33" i="48"/>
  <c r="AA72" i="47"/>
  <c r="Z60" i="50"/>
  <c r="Y191" i="49"/>
  <c r="N80" i="50"/>
  <c r="AB62" i="47"/>
  <c r="Y356" i="49"/>
  <c r="R67" i="39"/>
  <c r="X70" i="49"/>
  <c r="L9" i="51"/>
  <c r="T33" i="53"/>
  <c r="O15" i="48"/>
  <c r="X62" i="48"/>
  <c r="Z68" i="50"/>
  <c r="O76" i="53"/>
  <c r="AA105" i="49"/>
  <c r="N112" i="50"/>
  <c r="X47" i="48"/>
  <c r="X7" i="53"/>
  <c r="J75" i="53"/>
  <c r="AB69" i="47"/>
  <c r="S237" i="49"/>
  <c r="AA113" i="50"/>
  <c r="AA123" i="50"/>
  <c r="Z27" i="53"/>
  <c r="T330" i="49"/>
  <c r="Z32" i="48"/>
  <c r="D33" i="59"/>
  <c r="Z7" i="51"/>
  <c r="T66" i="48"/>
  <c r="S125" i="49"/>
  <c r="Z33" i="50"/>
  <c r="S143" i="49"/>
  <c r="X44" i="51"/>
  <c r="X46" i="53"/>
  <c r="O35" i="49"/>
  <c r="T211" i="49"/>
  <c r="Y73" i="47"/>
  <c r="T66" i="50"/>
  <c r="S203" i="38"/>
  <c r="O333" i="49"/>
  <c r="AB81" i="48"/>
  <c r="AF96" i="42"/>
  <c r="X168" i="49"/>
  <c r="N111" i="50"/>
  <c r="X63" i="48"/>
  <c r="O291" i="49"/>
  <c r="R141" i="37"/>
  <c r="N55" i="50"/>
  <c r="Z112" i="49"/>
  <c r="O34" i="50"/>
  <c r="T103" i="49"/>
  <c r="V44" i="51"/>
  <c r="Z118" i="49"/>
  <c r="X107" i="49"/>
  <c r="Y181" i="49"/>
  <c r="Z32" i="51"/>
  <c r="O101" i="50"/>
  <c r="AC2" i="47" a="1"/>
  <c r="Z195" i="49"/>
  <c r="C29" i="50"/>
  <c r="Z31" i="50"/>
  <c r="T290" i="49"/>
  <c r="X329" i="49"/>
  <c r="AB99" i="50"/>
  <c r="AB340" i="49"/>
  <c r="X10" i="51"/>
  <c r="S324" i="49"/>
  <c r="T100" i="50"/>
  <c r="AB14" i="47"/>
  <c r="T73" i="50"/>
  <c r="AB28" i="49"/>
  <c r="O61" i="48"/>
  <c r="T39" i="48"/>
  <c r="X25" i="49"/>
  <c r="N29" i="53"/>
  <c r="Z36" i="51"/>
  <c r="J58" i="50"/>
  <c r="N64" i="53"/>
  <c r="AB56" i="49"/>
  <c r="AB245" i="49"/>
  <c r="S27" i="50"/>
  <c r="Y5" i="53"/>
  <c r="AB42" i="47"/>
  <c r="N29" i="47"/>
  <c r="X386" i="49"/>
  <c r="X6" i="48"/>
  <c r="X163" i="49"/>
  <c r="AB75" i="53"/>
  <c r="X108" i="50"/>
  <c r="Q13" i="51"/>
  <c r="H44" i="51"/>
  <c r="O216" i="49"/>
  <c r="Y77" i="47"/>
  <c r="O70" i="53"/>
  <c r="Z17" i="47"/>
  <c r="H30" i="51"/>
  <c r="X45" i="47"/>
  <c r="Z55" i="53"/>
  <c r="N16" i="51"/>
  <c r="O113" i="49"/>
  <c r="R9" i="37"/>
  <c r="AB378" i="49"/>
  <c r="Y27" i="51"/>
  <c r="N10" i="47"/>
  <c r="F24" i="35"/>
  <c r="AG89" i="42"/>
  <c r="AA348" i="49"/>
  <c r="S209" i="49"/>
  <c r="AA224" i="49"/>
  <c r="W28" i="40"/>
  <c r="S188" i="39"/>
  <c r="Z53" i="48"/>
  <c r="O188" i="49"/>
  <c r="X367" i="49"/>
  <c r="N43" i="49"/>
  <c r="O94" i="50"/>
  <c r="T17" i="48"/>
  <c r="W34" i="51"/>
  <c r="AB288" i="49"/>
  <c r="X34" i="50"/>
  <c r="AA36" i="49"/>
  <c r="X62" i="47"/>
  <c r="O341" i="49"/>
  <c r="X16" i="50"/>
  <c r="T202" i="49"/>
  <c r="X52" i="50"/>
  <c r="Y77" i="49"/>
  <c r="Z73" i="50"/>
  <c r="X321" i="49"/>
  <c r="AA36" i="50"/>
  <c r="S25" i="49"/>
  <c r="X27" i="49"/>
  <c r="Z40" i="49"/>
  <c r="L21" i="51"/>
  <c r="Y264" i="49"/>
  <c r="X360" i="49"/>
  <c r="S27" i="40"/>
  <c r="T91" i="49"/>
  <c r="O11" i="49"/>
  <c r="T60" i="47"/>
  <c r="Y17" i="51"/>
  <c r="Z12" i="53"/>
  <c r="AB71" i="49"/>
  <c r="X85" i="48"/>
  <c r="AB7" i="50"/>
  <c r="O8" i="53"/>
  <c r="X274" i="49"/>
  <c r="AB28" i="48"/>
  <c r="T54" i="49"/>
  <c r="S76" i="48"/>
  <c r="Y192" i="49"/>
  <c r="S72" i="53"/>
  <c r="T47" i="48"/>
  <c r="O80" i="53"/>
  <c r="X8" i="51"/>
  <c r="L35" i="51"/>
  <c r="T63" i="48"/>
  <c r="Z48" i="47"/>
  <c r="AA18" i="47"/>
  <c r="AB120" i="50"/>
  <c r="AA71" i="47"/>
  <c r="X3" i="49"/>
  <c r="Y349" i="49"/>
  <c r="X207" i="49"/>
  <c r="J8" i="11"/>
  <c r="AB195" i="49"/>
  <c r="J8" i="49"/>
  <c r="S97" i="50"/>
  <c r="L34" i="51"/>
  <c r="X9" i="50"/>
  <c r="Y48" i="49"/>
  <c r="L21" i="42"/>
  <c r="Z357" i="49"/>
  <c r="N28" i="49"/>
  <c r="X63" i="50"/>
  <c r="O26" i="49"/>
  <c r="S57" i="50"/>
  <c r="O163" i="49"/>
  <c r="AA17" i="53"/>
  <c r="O389" i="49"/>
  <c r="Z6" i="48"/>
  <c r="J24" i="39"/>
  <c r="AG11" i="51"/>
  <c r="X10" i="47"/>
  <c r="T387" i="49"/>
  <c r="X36" i="49"/>
  <c r="AH20" i="50"/>
  <c r="Z44" i="53"/>
  <c r="R491" i="33"/>
  <c r="X64" i="50"/>
  <c r="N316" i="49"/>
  <c r="AB53" i="48"/>
  <c r="S24" i="53"/>
  <c r="AA77" i="53"/>
  <c r="X73" i="49"/>
  <c r="X69" i="48"/>
  <c r="R398" i="33"/>
  <c r="O108" i="50"/>
  <c r="O4" i="50"/>
  <c r="L20" i="51"/>
  <c r="Z115" i="50"/>
  <c r="T26" i="49"/>
  <c r="Z41" i="53"/>
  <c r="X67" i="48"/>
  <c r="T36" i="50"/>
  <c r="X31" i="53"/>
  <c r="S354" i="49"/>
  <c r="J57" i="48"/>
  <c r="T74" i="53"/>
  <c r="AA208" i="49"/>
  <c r="Y93" i="49"/>
  <c r="N73" i="47"/>
  <c r="S150" i="39"/>
  <c r="Y309" i="49"/>
  <c r="Y25" i="51"/>
  <c r="R33" i="51"/>
  <c r="N64" i="49"/>
  <c r="N38" i="47"/>
  <c r="AB171" i="49"/>
  <c r="Z11" i="53"/>
  <c r="X12" i="53"/>
  <c r="AA28" i="50"/>
  <c r="O242" i="49"/>
  <c r="AG30" i="44"/>
  <c r="AB225" i="49"/>
  <c r="Z192" i="49"/>
  <c r="X83" i="49"/>
  <c r="V19" i="51"/>
  <c r="Z50" i="50"/>
  <c r="W44" i="51"/>
  <c r="X17" i="48"/>
  <c r="Y53" i="47"/>
  <c r="O36" i="48"/>
  <c r="AA36" i="53"/>
  <c r="I8" i="38"/>
  <c r="S220" i="39"/>
  <c r="L5" i="42"/>
  <c r="R412" i="33"/>
  <c r="G16" i="47"/>
  <c r="AB14" i="49"/>
  <c r="AB304" i="49"/>
  <c r="O300" i="49"/>
  <c r="X61" i="49"/>
  <c r="X389" i="49"/>
  <c r="T29" i="49"/>
  <c r="N21" i="53"/>
  <c r="AF73" i="42"/>
  <c r="T107" i="50"/>
  <c r="L43" i="51"/>
  <c r="Y52" i="53"/>
  <c r="R261" i="33"/>
  <c r="S241" i="49"/>
  <c r="O98" i="50"/>
  <c r="V11" i="51"/>
  <c r="V28" i="40"/>
  <c r="E20" i="41"/>
  <c r="X46" i="51"/>
  <c r="N63" i="48"/>
  <c r="O66" i="47"/>
  <c r="AB166" i="49"/>
  <c r="O373" i="49"/>
  <c r="Z218" i="49"/>
  <c r="Y47" i="50"/>
  <c r="X31" i="48"/>
  <c r="Z93" i="50"/>
  <c r="X179" i="49"/>
  <c r="O60" i="47"/>
  <c r="C18" i="39"/>
  <c r="S107" i="49"/>
  <c r="Y84" i="49"/>
  <c r="Y58" i="48"/>
  <c r="T36" i="48"/>
  <c r="Z151" i="49"/>
  <c r="J42" i="50"/>
  <c r="J9" i="50"/>
  <c r="C35" i="50"/>
  <c r="N135" i="49"/>
  <c r="Y66" i="48"/>
  <c r="AB37" i="50"/>
  <c r="O34" i="53"/>
  <c r="X76" i="50"/>
  <c r="D28" i="54"/>
  <c r="AB190" i="49"/>
  <c r="O84" i="48"/>
  <c r="AB14" i="53"/>
  <c r="AF14" i="44"/>
  <c r="Y111" i="50"/>
  <c r="O362" i="49"/>
  <c r="Y263" i="49"/>
  <c r="I28" i="52"/>
  <c r="X184" i="49"/>
  <c r="S12" i="50"/>
  <c r="O37" i="53"/>
  <c r="AB80" i="53"/>
  <c r="Z313" i="49"/>
  <c r="T209" i="49"/>
  <c r="N38" i="53"/>
  <c r="S207" i="38"/>
  <c r="R118" i="38"/>
  <c r="O41" i="47"/>
  <c r="R237" i="38"/>
  <c r="Y17" i="49"/>
  <c r="N3" i="50"/>
  <c r="Z286" i="49"/>
  <c r="V22" i="51"/>
  <c r="S56" i="37"/>
  <c r="Z28" i="51"/>
  <c r="Z213" i="49"/>
  <c r="AG75" i="42"/>
  <c r="AF22" i="51"/>
  <c r="AA66" i="48"/>
  <c r="AA39" i="50"/>
  <c r="X377" i="49"/>
  <c r="X122" i="50"/>
  <c r="T11" i="50"/>
  <c r="Z10" i="47"/>
  <c r="N271" i="49"/>
  <c r="O100" i="50"/>
  <c r="T77" i="50"/>
  <c r="AW3" i="34"/>
  <c r="AB77" i="47"/>
  <c r="AA69" i="49"/>
  <c r="X75" i="53"/>
  <c r="N7" i="53"/>
  <c r="T51" i="53"/>
  <c r="Z359" i="49"/>
  <c r="AA28" i="48"/>
  <c r="C37" i="53"/>
  <c r="T20" i="53"/>
  <c r="O45" i="47"/>
  <c r="E23" i="41"/>
  <c r="Y201" i="49"/>
  <c r="AB23" i="45"/>
  <c r="AA90" i="48"/>
  <c r="X144" i="49"/>
  <c r="O5" i="50"/>
  <c r="O73" i="50"/>
  <c r="AB83" i="50"/>
  <c r="AG23" i="42"/>
  <c r="T179" i="49"/>
  <c r="Y42" i="49"/>
  <c r="X25" i="50"/>
  <c r="T5" i="47"/>
  <c r="Y37" i="51"/>
  <c r="AF12" i="49"/>
  <c r="O210" i="49"/>
  <c r="W27" i="51"/>
  <c r="O21" i="53"/>
  <c r="R23" i="33"/>
  <c r="Z19" i="49"/>
  <c r="X54" i="49"/>
  <c r="R54" i="51"/>
  <c r="AA216" i="49"/>
  <c r="Z142" i="49"/>
  <c r="M14" i="61"/>
  <c r="AB19" i="49"/>
  <c r="AA290" i="49"/>
  <c r="X39" i="48"/>
  <c r="X68" i="47"/>
  <c r="Z266" i="49"/>
  <c r="AA88" i="49"/>
  <c r="D91" i="34"/>
  <c r="N68" i="49"/>
  <c r="S134" i="49"/>
  <c r="N370" i="49"/>
  <c r="N282" i="49"/>
  <c r="O98" i="49"/>
  <c r="X65" i="48"/>
  <c r="S31" i="50"/>
  <c r="N108" i="50"/>
  <c r="R374" i="33"/>
  <c r="S43" i="39"/>
  <c r="AB39" i="48"/>
  <c r="AA23" i="50"/>
  <c r="H6" i="39"/>
  <c r="X361" i="49"/>
  <c r="Y149" i="49"/>
  <c r="Y290" i="49"/>
  <c r="S302" i="49"/>
  <c r="J16" i="48"/>
  <c r="T13" i="50"/>
  <c r="AF18" i="51"/>
  <c r="AG94" i="42"/>
  <c r="Y347" i="49"/>
  <c r="Y45" i="51"/>
  <c r="J92" i="53"/>
  <c r="N5" i="49"/>
  <c r="AB367" i="49"/>
  <c r="Y34" i="51"/>
  <c r="O53" i="53"/>
  <c r="T139" i="49"/>
  <c r="AG57" i="44"/>
  <c r="O124" i="50"/>
  <c r="AB20" i="48"/>
  <c r="AA62" i="47"/>
  <c r="Z75" i="53"/>
  <c r="Y34" i="48"/>
  <c r="Z116" i="49"/>
  <c r="N63" i="50"/>
  <c r="Z114" i="49"/>
  <c r="O170" i="49"/>
  <c r="S83" i="48"/>
  <c r="AA58" i="53"/>
  <c r="O379" i="49"/>
  <c r="Z66" i="53"/>
  <c r="AA14" i="47"/>
  <c r="O136" i="49"/>
  <c r="AA237" i="49"/>
  <c r="N9" i="47"/>
  <c r="Z43" i="53"/>
  <c r="Z134" i="49"/>
  <c r="N19" i="59"/>
  <c r="Z57" i="53"/>
  <c r="E3" i="59"/>
  <c r="S290" i="49"/>
  <c r="B17" i="51"/>
  <c r="D44" i="52"/>
  <c r="X53" i="47"/>
  <c r="O81" i="53"/>
  <c r="AG242" i="42"/>
  <c r="G3" i="48"/>
  <c r="T118" i="49"/>
  <c r="X39" i="51"/>
  <c r="AG99" i="43"/>
  <c r="G5" i="34"/>
  <c r="Z35" i="48"/>
  <c r="T159" i="49"/>
  <c r="AA245" i="49"/>
  <c r="W57" i="51"/>
  <c r="X58" i="48"/>
  <c r="N177" i="49"/>
  <c r="AA53" i="50"/>
  <c r="AA37" i="49"/>
  <c r="AA116" i="49"/>
  <c r="AB114" i="49"/>
  <c r="S24" i="50"/>
  <c r="Y53" i="48"/>
  <c r="Y23" i="48"/>
  <c r="Y378" i="49"/>
  <c r="T317" i="49"/>
  <c r="AB100" i="50"/>
  <c r="AB22" i="53"/>
  <c r="S98" i="49"/>
  <c r="X116" i="49"/>
  <c r="M49" i="51"/>
  <c r="Z12" i="47"/>
  <c r="O58" i="49"/>
  <c r="W15" i="51"/>
  <c r="D38" i="52"/>
  <c r="Y299" i="49"/>
  <c r="O90" i="48"/>
  <c r="H48" i="51"/>
  <c r="AB326" i="49"/>
  <c r="X55" i="51"/>
  <c r="T38" i="49"/>
  <c r="Q38" i="51"/>
  <c r="W47" i="51"/>
  <c r="X36" i="53"/>
  <c r="AA32" i="47"/>
  <c r="L11" i="61"/>
  <c r="N35" i="50"/>
  <c r="O121" i="49"/>
  <c r="N156" i="49"/>
  <c r="Z196" i="49"/>
  <c r="Z114" i="50"/>
  <c r="N79" i="53"/>
  <c r="AA13" i="48"/>
  <c r="AA66" i="53"/>
  <c r="X308" i="49"/>
  <c r="Z54" i="50"/>
  <c r="Y72" i="47"/>
  <c r="S48" i="47"/>
  <c r="Y19" i="48"/>
  <c r="AA17" i="49"/>
  <c r="O40" i="53"/>
  <c r="X84" i="50"/>
  <c r="I11" i="59"/>
  <c r="H14" i="59"/>
  <c r="O49" i="53"/>
  <c r="AB7" i="53"/>
  <c r="N40" i="53"/>
  <c r="AA65" i="53"/>
  <c r="AB35" i="48"/>
  <c r="O12" i="53"/>
  <c r="N286" i="49"/>
  <c r="R22" i="33"/>
  <c r="S14" i="39"/>
  <c r="S57" i="49"/>
  <c r="R197" i="33"/>
  <c r="Y274" i="49"/>
  <c r="O68" i="50"/>
  <c r="X23" i="49"/>
  <c r="S37" i="47"/>
  <c r="S114" i="37"/>
  <c r="N77" i="48"/>
  <c r="Z109" i="49"/>
  <c r="H47" i="51"/>
  <c r="S166" i="39"/>
  <c r="S34" i="50"/>
  <c r="AA270" i="49"/>
  <c r="AA21" i="48"/>
  <c r="O251" i="49"/>
  <c r="AA17" i="50"/>
  <c r="X43" i="51"/>
  <c r="O14" i="49"/>
  <c r="Z128" i="49"/>
  <c r="N15" i="50"/>
  <c r="AA98" i="50"/>
  <c r="S9" i="53"/>
  <c r="T314" i="49"/>
  <c r="V36" i="51"/>
  <c r="T33" i="49"/>
  <c r="N81" i="48"/>
  <c r="X7" i="49"/>
  <c r="M51" i="51"/>
  <c r="AA75" i="47"/>
  <c r="L3" i="51"/>
  <c r="AF216" i="42"/>
  <c r="Z152" i="49"/>
  <c r="V46" i="51"/>
  <c r="AA76" i="47"/>
  <c r="J89" i="53"/>
  <c r="AA24" i="49"/>
  <c r="AB347" i="49"/>
  <c r="C50" i="53"/>
  <c r="T104" i="49"/>
  <c r="Z166" i="49"/>
  <c r="AB64" i="50"/>
  <c r="O302" i="49"/>
  <c r="M16" i="51"/>
  <c r="AB26" i="47"/>
  <c r="Y291" i="49"/>
  <c r="T67" i="47"/>
  <c r="Y374" i="49"/>
  <c r="C52" i="53"/>
  <c r="O218" i="49"/>
  <c r="O65" i="53"/>
  <c r="S79" i="49"/>
  <c r="Z75" i="49"/>
  <c r="X38" i="53"/>
  <c r="N47" i="53"/>
  <c r="O27" i="53"/>
  <c r="AB27" i="50"/>
  <c r="S103" i="49"/>
  <c r="X57" i="47"/>
  <c r="W13" i="51"/>
  <c r="O62" i="53"/>
  <c r="Q185" i="33"/>
  <c r="Y172" i="49"/>
  <c r="Y65" i="48"/>
  <c r="S172" i="39"/>
  <c r="N337" i="49"/>
  <c r="N45" i="48"/>
  <c r="Y294" i="49"/>
  <c r="S123" i="50"/>
  <c r="AB119" i="50"/>
  <c r="X229" i="49"/>
  <c r="S271" i="49"/>
  <c r="V14" i="51"/>
  <c r="N74" i="49"/>
  <c r="N13" i="48"/>
  <c r="AA186" i="49"/>
  <c r="AH15" i="48"/>
  <c r="Z358" i="49"/>
  <c r="Z53" i="50"/>
  <c r="T34" i="47"/>
  <c r="Y40" i="49"/>
  <c r="T41" i="48"/>
  <c r="X30" i="53"/>
  <c r="Z310" i="49"/>
  <c r="Y302" i="49"/>
  <c r="Z59" i="47"/>
  <c r="AB34" i="53"/>
  <c r="J30" i="49"/>
  <c r="AA112" i="50"/>
  <c r="X44" i="53"/>
  <c r="Z13" i="49"/>
  <c r="J27" i="49"/>
  <c r="J52" i="47"/>
  <c r="S66" i="53"/>
  <c r="Z10" i="53"/>
  <c r="O135" i="49"/>
  <c r="X80" i="50"/>
  <c r="C28" i="50"/>
  <c r="Z61" i="50"/>
  <c r="AB55" i="47"/>
  <c r="N33" i="47"/>
  <c r="T29" i="40"/>
  <c r="O31" i="48"/>
  <c r="AB174" i="49"/>
  <c r="R18" i="51"/>
  <c r="X53" i="50"/>
  <c r="O58" i="47"/>
  <c r="C41" i="53"/>
  <c r="O8" i="50"/>
  <c r="N80" i="48"/>
  <c r="X7" i="51"/>
  <c r="O84" i="53"/>
  <c r="C35" i="53"/>
  <c r="V26" i="51"/>
  <c r="AB40" i="49"/>
  <c r="J25" i="53"/>
  <c r="AA122" i="49"/>
  <c r="R227" i="33"/>
  <c r="N82" i="48"/>
  <c r="S30" i="47"/>
  <c r="T7" i="53"/>
  <c r="N225" i="49"/>
  <c r="T45" i="53"/>
  <c r="Y324" i="49"/>
  <c r="E8" i="59"/>
  <c r="T12" i="47"/>
  <c r="T89" i="49"/>
  <c r="Z6" i="49"/>
  <c r="R193" i="38"/>
  <c r="L21" i="43"/>
  <c r="N213" i="49"/>
  <c r="AA177" i="49"/>
  <c r="AG20" i="51"/>
  <c r="K29" i="42"/>
  <c r="Y252" i="49"/>
  <c r="AB34" i="49"/>
  <c r="AB235" i="49"/>
  <c r="O272" i="49"/>
  <c r="O64" i="50"/>
  <c r="Z302" i="49"/>
  <c r="AF21" i="51"/>
  <c r="Z47" i="48"/>
  <c r="Z30" i="50"/>
  <c r="J40" i="48"/>
  <c r="AA151" i="49"/>
  <c r="Y200" i="49"/>
  <c r="Y19" i="47"/>
  <c r="O248" i="49"/>
  <c r="S117" i="49"/>
  <c r="Y162" i="49"/>
  <c r="J85" i="53"/>
  <c r="T64" i="49"/>
  <c r="O158" i="49"/>
  <c r="AB16" i="53"/>
  <c r="Z45" i="47"/>
  <c r="T49" i="48"/>
  <c r="Z57" i="47"/>
  <c r="T67" i="49"/>
  <c r="Y44" i="53"/>
  <c r="J14" i="48"/>
  <c r="V47" i="51"/>
  <c r="T201" i="49"/>
  <c r="S63" i="53"/>
  <c r="X22" i="53"/>
  <c r="Z13" i="53"/>
  <c r="AA275" i="49"/>
  <c r="AB262" i="49"/>
  <c r="AF13" i="49"/>
  <c r="T38" i="47"/>
  <c r="X99" i="50"/>
  <c r="S278" i="49"/>
  <c r="S27" i="53"/>
  <c r="L16" i="61"/>
  <c r="O22" i="49"/>
  <c r="M40" i="51"/>
  <c r="AB60" i="48"/>
  <c r="T37" i="50"/>
  <c r="W45" i="51"/>
  <c r="Y66" i="53"/>
  <c r="AA77" i="49"/>
  <c r="M38" i="51"/>
  <c r="C30" i="50"/>
  <c r="T122" i="50"/>
  <c r="N39" i="47"/>
  <c r="Y14" i="49"/>
  <c r="AB354" i="49"/>
  <c r="Z37" i="47"/>
  <c r="Z16" i="50"/>
  <c r="B1" i="46"/>
  <c r="F250" i="4"/>
  <c r="S94" i="37"/>
  <c r="J53" i="47"/>
  <c r="X293" i="49"/>
  <c r="H38" i="35"/>
  <c r="S62" i="49"/>
  <c r="Z225" i="49"/>
  <c r="AA241" i="49"/>
  <c r="AB229" i="49"/>
  <c r="J21" i="47"/>
  <c r="S66" i="48"/>
  <c r="J60" i="50"/>
  <c r="X75" i="48"/>
  <c r="S79" i="48"/>
  <c r="X76" i="53"/>
  <c r="Y67" i="49"/>
  <c r="Y88" i="53"/>
  <c r="T373" i="49"/>
  <c r="M39" i="51"/>
  <c r="T110" i="50"/>
  <c r="AB48" i="47"/>
  <c r="N264" i="49"/>
  <c r="O23" i="50"/>
  <c r="T371" i="49"/>
  <c r="Y6" i="51"/>
  <c r="X26" i="53"/>
  <c r="Y7" i="50"/>
  <c r="Z257" i="49"/>
  <c r="Q48" i="51"/>
  <c r="X13" i="47"/>
  <c r="O53" i="49"/>
  <c r="AI16" i="48"/>
  <c r="AF84" i="43"/>
  <c r="Z82" i="48"/>
  <c r="X97" i="50"/>
  <c r="AA73" i="49"/>
  <c r="AA252" i="49"/>
  <c r="N23" i="48"/>
  <c r="AG31" i="44"/>
  <c r="O92" i="49"/>
  <c r="AB76" i="53"/>
  <c r="AA109" i="50"/>
  <c r="V31" i="51"/>
  <c r="AA150" i="49"/>
  <c r="T13" i="53"/>
  <c r="S146" i="49"/>
  <c r="T88" i="53"/>
  <c r="T10" i="53"/>
  <c r="H17" i="51"/>
  <c r="Z11" i="51"/>
  <c r="AB246" i="49"/>
  <c r="X264" i="49"/>
  <c r="AA371" i="49"/>
  <c r="X49" i="47"/>
  <c r="X47" i="51"/>
  <c r="AA10" i="47"/>
  <c r="S37" i="50"/>
  <c r="AB23" i="53"/>
  <c r="AB10" i="48"/>
  <c r="F14" i="37"/>
  <c r="N359" i="49"/>
  <c r="O27" i="48"/>
  <c r="Z58" i="48"/>
  <c r="AA20" i="50"/>
  <c r="M35" i="51"/>
  <c r="R92" i="37"/>
  <c r="AB48" i="49"/>
  <c r="X356" i="49"/>
  <c r="Y387" i="49"/>
  <c r="T390" i="49"/>
  <c r="X12" i="49"/>
  <c r="Y273" i="49"/>
  <c r="S87" i="39"/>
  <c r="K6" i="44"/>
  <c r="Z67" i="49"/>
  <c r="O9" i="49"/>
  <c r="Z389" i="49"/>
  <c r="AG132" i="42"/>
  <c r="O67" i="50"/>
  <c r="L19" i="51"/>
  <c r="Y22" i="47"/>
  <c r="S129" i="39"/>
  <c r="K23" i="42"/>
  <c r="AG5" i="43"/>
  <c r="Z164" i="49"/>
  <c r="N76" i="48"/>
  <c r="T150" i="49"/>
  <c r="S60" i="48"/>
  <c r="N84" i="48"/>
  <c r="S82" i="50"/>
  <c r="Y23" i="53"/>
  <c r="O118" i="50"/>
  <c r="O371" i="49"/>
  <c r="AA63" i="50"/>
  <c r="AA81" i="49"/>
  <c r="X54" i="51"/>
  <c r="I4" i="39"/>
  <c r="M19" i="41"/>
  <c r="E18" i="43"/>
  <c r="AA368" i="49"/>
  <c r="Y8" i="50"/>
  <c r="Y28" i="48"/>
  <c r="AG21" i="42"/>
  <c r="X59" i="53"/>
  <c r="S41" i="50"/>
  <c r="X100" i="50"/>
  <c r="AA164" i="49"/>
  <c r="Z51" i="50"/>
  <c r="Y61" i="49"/>
  <c r="T18" i="53"/>
  <c r="R55" i="33"/>
  <c r="AA254" i="49"/>
  <c r="L22" i="42"/>
  <c r="R378" i="33"/>
  <c r="Z148" i="49"/>
  <c r="AF12" i="51"/>
  <c r="R187" i="33"/>
  <c r="AB125" i="49"/>
  <c r="AB385" i="49"/>
  <c r="AA71" i="49"/>
  <c r="Y383" i="49"/>
  <c r="T27" i="40"/>
  <c r="G38" i="35"/>
  <c r="AB61" i="50"/>
  <c r="Y52" i="48"/>
  <c r="AB20" i="47"/>
  <c r="J4" i="48"/>
  <c r="J3" i="53"/>
  <c r="C18" i="36"/>
  <c r="AA289" i="49"/>
  <c r="AA332" i="49"/>
  <c r="N232" i="49"/>
  <c r="AF15" i="51"/>
  <c r="T249" i="49"/>
  <c r="AB3" i="50"/>
  <c r="S372" i="49"/>
  <c r="AA268" i="49"/>
  <c r="Z262" i="49"/>
  <c r="Q39" i="51"/>
  <c r="N155" i="49"/>
  <c r="X15" i="53"/>
  <c r="AB232" i="49"/>
  <c r="AA60" i="53"/>
  <c r="Y63" i="48"/>
  <c r="H58" i="51"/>
  <c r="Z89" i="50"/>
  <c r="Y87" i="48"/>
  <c r="S89" i="48"/>
  <c r="Y28" i="51"/>
  <c r="J72" i="53"/>
  <c r="T38" i="53"/>
  <c r="V57" i="51"/>
  <c r="AA48" i="47"/>
  <c r="O25" i="53"/>
  <c r="S23" i="47"/>
  <c r="L4" i="51"/>
  <c r="O6" i="53"/>
  <c r="AA39" i="47"/>
  <c r="O79" i="50"/>
  <c r="Y331" i="49"/>
  <c r="R24" i="39"/>
  <c r="O24" i="48"/>
  <c r="O349" i="49"/>
  <c r="AB120" i="49"/>
  <c r="S339" i="49"/>
  <c r="O143" i="49"/>
  <c r="T20" i="48"/>
  <c r="Y379" i="49"/>
  <c r="T70" i="53"/>
  <c r="O154" i="49"/>
  <c r="Y55" i="47"/>
  <c r="AB63" i="48"/>
  <c r="S26" i="53"/>
  <c r="Y60" i="50"/>
  <c r="Z40" i="53"/>
  <c r="AF22" i="50"/>
  <c r="V24" i="51"/>
  <c r="O63" i="48"/>
  <c r="O44" i="53"/>
  <c r="Y23" i="49"/>
  <c r="S285" i="49"/>
  <c r="AB40" i="47"/>
  <c r="Y11" i="50"/>
  <c r="X39" i="53"/>
  <c r="X90" i="48"/>
  <c r="AA10" i="53"/>
  <c r="J55" i="50"/>
  <c r="O69" i="49"/>
  <c r="AC13" i="45"/>
  <c r="AB13" i="47"/>
  <c r="X6" i="49"/>
  <c r="N22" i="39"/>
  <c r="AA318" i="49"/>
  <c r="AA73" i="48"/>
  <c r="O7" i="49"/>
  <c r="Y72" i="50"/>
  <c r="Z300" i="49"/>
  <c r="Q51" i="51"/>
  <c r="X23" i="50"/>
  <c r="AD16" i="51"/>
  <c r="AA4" i="48"/>
  <c r="O226" i="49"/>
  <c r="Y4" i="47"/>
  <c r="Z26" i="51"/>
  <c r="D16" i="51"/>
  <c r="H3" i="51"/>
  <c r="X22" i="47"/>
  <c r="AD17" i="51"/>
  <c r="X5" i="47"/>
  <c r="Z268" i="49"/>
  <c r="Z16" i="53"/>
  <c r="H50" i="51"/>
  <c r="Y236" i="49"/>
  <c r="Y54" i="53"/>
  <c r="Z315" i="49"/>
  <c r="H21" i="52"/>
  <c r="AB107" i="49"/>
  <c r="AB170" i="49"/>
  <c r="I19" i="59"/>
  <c r="J22" i="53"/>
  <c r="AA369" i="49"/>
  <c r="I4" i="59"/>
  <c r="R10" i="38"/>
  <c r="N83" i="49"/>
  <c r="R171" i="37"/>
  <c r="Y9" i="48"/>
  <c r="N6" i="51"/>
  <c r="S67" i="50"/>
  <c r="R28" i="40"/>
  <c r="AA61" i="53"/>
  <c r="AA29" i="47"/>
  <c r="N27" i="50"/>
  <c r="Z22" i="53"/>
  <c r="Y94" i="50"/>
  <c r="Y218" i="49"/>
  <c r="T77" i="49"/>
  <c r="N16" i="53"/>
  <c r="T13" i="40" a="1"/>
  <c r="Y366" i="49"/>
  <c r="AB186" i="49"/>
  <c r="T62" i="47"/>
  <c r="N14" i="59"/>
  <c r="D34" i="59"/>
  <c r="Y43" i="48"/>
  <c r="T79" i="50"/>
  <c r="L2" i="58"/>
  <c r="X82" i="48"/>
  <c r="O79" i="53"/>
  <c r="H34" i="59"/>
  <c r="Y60" i="47"/>
  <c r="T28" i="48"/>
  <c r="O28" i="47"/>
  <c r="T6" i="53"/>
  <c r="Y343" i="49"/>
  <c r="Y247" i="49"/>
  <c r="AF63" i="43"/>
  <c r="AG129" i="43"/>
  <c r="T302" i="49"/>
  <c r="D34" i="46"/>
  <c r="S80" i="48"/>
  <c r="J7" i="49"/>
  <c r="Y65" i="47"/>
  <c r="S74" i="53"/>
  <c r="L13" i="51"/>
  <c r="Z12" i="48"/>
  <c r="C46" i="50"/>
  <c r="AA69" i="47"/>
  <c r="U9" i="45" a="1"/>
  <c r="AA27" i="47"/>
  <c r="T49" i="53"/>
  <c r="X24" i="53"/>
  <c r="N59" i="48"/>
  <c r="Y56" i="47"/>
  <c r="E31" i="59"/>
  <c r="G13" i="37"/>
  <c r="AH14" i="48"/>
  <c r="S25" i="48"/>
  <c r="E19" i="59"/>
  <c r="T144" i="49"/>
  <c r="O8" i="48"/>
  <c r="O62" i="49"/>
  <c r="T71" i="53"/>
  <c r="J6" i="53"/>
  <c r="X266" i="49"/>
  <c r="N34" i="53"/>
  <c r="AB121" i="50"/>
  <c r="F18" i="45"/>
  <c r="S130" i="39"/>
  <c r="O46" i="50"/>
  <c r="Z98" i="49"/>
  <c r="Y8" i="48"/>
  <c r="Y250" i="49"/>
  <c r="T53" i="48"/>
  <c r="Y32" i="50"/>
  <c r="AB37" i="48"/>
  <c r="U13" i="45" a="1"/>
  <c r="Y68" i="50"/>
  <c r="AA38" i="53"/>
  <c r="O14" i="53"/>
  <c r="AH22" i="48"/>
  <c r="T3" i="53"/>
  <c r="X53" i="53"/>
  <c r="Z9" i="51"/>
  <c r="X30" i="50"/>
  <c r="N60" i="53"/>
  <c r="Z34" i="53"/>
  <c r="Z73" i="47"/>
  <c r="Z27" i="48"/>
  <c r="Y103" i="49"/>
  <c r="O78" i="47"/>
  <c r="C39" i="50"/>
  <c r="N44" i="48"/>
  <c r="Y384" i="49"/>
  <c r="AA353" i="49"/>
  <c r="Z71" i="47"/>
  <c r="AG22" i="44"/>
  <c r="X27" i="51"/>
  <c r="AB33" i="50"/>
  <c r="AA71" i="48"/>
  <c r="M53" i="51"/>
  <c r="Y47" i="51"/>
  <c r="T4" i="53"/>
  <c r="X323" i="49"/>
  <c r="T41" i="49"/>
  <c r="S39" i="50"/>
  <c r="O191" i="49"/>
  <c r="Y27" i="50"/>
  <c r="AB11" i="53"/>
  <c r="S315" i="49"/>
  <c r="AB45" i="49"/>
  <c r="O86" i="49"/>
  <c r="T46" i="48"/>
  <c r="X81" i="49"/>
  <c r="O31" i="50"/>
  <c r="Z86" i="53"/>
  <c r="Y70" i="50"/>
  <c r="X45" i="53"/>
  <c r="S291" i="49"/>
  <c r="S69" i="53"/>
  <c r="N59" i="53"/>
  <c r="S75" i="50"/>
  <c r="AB193" i="49"/>
  <c r="Y240" i="49"/>
  <c r="X70" i="53"/>
  <c r="Y65" i="50"/>
  <c r="X56" i="48"/>
  <c r="O24" i="50"/>
  <c r="Z67" i="47"/>
  <c r="T48" i="48"/>
  <c r="X96" i="49"/>
  <c r="Y16" i="51"/>
  <c r="T95" i="49"/>
  <c r="AB387" i="49"/>
  <c r="T66" i="53"/>
  <c r="R219" i="39"/>
  <c r="T142" i="49"/>
  <c r="Y7" i="53"/>
  <c r="X32" i="47"/>
  <c r="O81" i="48"/>
  <c r="AA384" i="49"/>
  <c r="AB83" i="53"/>
  <c r="AA63" i="53"/>
  <c r="E21" i="44"/>
  <c r="X41" i="51"/>
  <c r="O231" i="49"/>
  <c r="Y30" i="53"/>
  <c r="AA34" i="53"/>
  <c r="AB67" i="48"/>
  <c r="X4" i="53"/>
  <c r="AA376" i="49"/>
  <c r="AF88" i="42"/>
  <c r="R122" i="33"/>
  <c r="T264" i="49"/>
  <c r="T8" i="48"/>
  <c r="S111" i="49"/>
  <c r="AA4" i="53"/>
  <c r="S54" i="53"/>
  <c r="Y64" i="50"/>
  <c r="Y267" i="49"/>
  <c r="S57" i="39"/>
  <c r="S61" i="53"/>
  <c r="Y38" i="47"/>
  <c r="Z69" i="53"/>
  <c r="M12" i="61"/>
  <c r="X38" i="50"/>
  <c r="T13" i="49"/>
  <c r="AA14" i="53"/>
  <c r="X4" i="57"/>
  <c r="Z28" i="49"/>
  <c r="N78" i="49"/>
  <c r="U3" i="45" a="1"/>
  <c r="H33" i="59"/>
  <c r="X35" i="51"/>
  <c r="Z35" i="53"/>
  <c r="N34" i="48"/>
  <c r="O27" i="47"/>
  <c r="Z15" i="53"/>
  <c r="N7" i="59"/>
  <c r="AA76" i="53"/>
  <c r="S110" i="49"/>
  <c r="X69" i="50"/>
  <c r="H14" i="51"/>
  <c r="S60" i="39"/>
  <c r="O19" i="53"/>
  <c r="X48" i="53"/>
  <c r="I14" i="52"/>
  <c r="Y13" i="53"/>
  <c r="X20" i="50"/>
  <c r="T32" i="53"/>
  <c r="AB33" i="53"/>
  <c r="D22" i="52"/>
  <c r="AB107" i="50"/>
  <c r="AA6" i="47"/>
  <c r="AA293" i="49"/>
  <c r="AB315" i="49"/>
  <c r="X223" i="49"/>
  <c r="H41" i="51"/>
  <c r="Z81" i="53"/>
  <c r="O33" i="53"/>
  <c r="X9" i="49"/>
  <c r="R64" i="37"/>
  <c r="X259" i="49"/>
  <c r="AB17" i="50"/>
  <c r="Y351" i="49"/>
  <c r="S223" i="39"/>
  <c r="J7" i="48"/>
  <c r="AB364" i="49"/>
  <c r="N235" i="49"/>
  <c r="Z78" i="47"/>
  <c r="N3" i="48"/>
  <c r="Z350" i="49"/>
  <c r="AA200" i="49"/>
  <c r="Y206" i="49"/>
  <c r="Z16" i="51"/>
  <c r="Y113" i="50"/>
  <c r="S43" i="48"/>
  <c r="J83" i="53"/>
  <c r="Z15" i="51"/>
  <c r="Q16" i="51"/>
  <c r="AB68" i="48"/>
  <c r="AB3" i="47"/>
  <c r="AA78" i="50"/>
  <c r="N49" i="47"/>
  <c r="O75" i="48"/>
  <c r="Z9" i="47"/>
  <c r="Z79" i="48"/>
  <c r="Z20" i="49"/>
  <c r="AB74" i="49"/>
  <c r="X12" i="47"/>
  <c r="AA21" i="47"/>
  <c r="S46" i="50"/>
  <c r="Y24" i="51"/>
  <c r="S47" i="47"/>
  <c r="S13" i="50"/>
  <c r="AB15" i="47"/>
  <c r="T85" i="53"/>
  <c r="AA16" i="48"/>
  <c r="AA25" i="47"/>
  <c r="AG109" i="42"/>
  <c r="B12" i="34"/>
  <c r="AA383" i="49"/>
  <c r="T208" i="49"/>
  <c r="G6" i="50"/>
  <c r="Z79" i="50"/>
  <c r="Z86" i="48"/>
  <c r="N105" i="49"/>
  <c r="T57" i="47"/>
  <c r="AA14" i="49"/>
  <c r="Y8" i="47"/>
  <c r="Z88" i="50"/>
  <c r="L16" i="51"/>
  <c r="T14" i="47"/>
  <c r="Q55" i="51"/>
  <c r="Z104" i="50"/>
  <c r="X11" i="47"/>
  <c r="X38" i="48"/>
  <c r="Z105" i="49"/>
  <c r="O285" i="49"/>
  <c r="M35" i="41"/>
  <c r="AA73" i="47"/>
  <c r="N73" i="53"/>
  <c r="O3" i="53"/>
  <c r="AA12" i="49"/>
  <c r="Y75" i="53"/>
  <c r="Y232" i="49"/>
  <c r="R265" i="33"/>
  <c r="S57" i="48"/>
  <c r="S4" i="39"/>
  <c r="AB374" i="49"/>
  <c r="AB77" i="50"/>
  <c r="AH16" i="49"/>
  <c r="X48" i="47"/>
  <c r="Z373" i="49"/>
  <c r="AI18" i="48"/>
  <c r="Q52" i="51"/>
  <c r="T386" i="49"/>
  <c r="V23" i="51"/>
  <c r="L18" i="42"/>
  <c r="T99" i="50"/>
  <c r="C35" i="46"/>
  <c r="T10" i="47"/>
  <c r="O52" i="50"/>
  <c r="S28" i="53"/>
  <c r="X13" i="51"/>
  <c r="T245" i="49"/>
  <c r="S254" i="49"/>
  <c r="X241" i="49"/>
  <c r="J41" i="49"/>
  <c r="R373" i="33"/>
  <c r="Y110" i="50"/>
  <c r="S157" i="49"/>
  <c r="O258" i="49"/>
  <c r="D15" i="41"/>
  <c r="X57" i="48"/>
  <c r="X45" i="51"/>
  <c r="AB331" i="49"/>
  <c r="N98" i="50"/>
  <c r="S40" i="48"/>
  <c r="X375" i="49"/>
  <c r="AA85" i="50"/>
  <c r="O57" i="50"/>
  <c r="N63" i="47"/>
  <c r="X194" i="49"/>
  <c r="O77" i="48"/>
  <c r="T85" i="50"/>
  <c r="J39" i="50"/>
  <c r="Z82" i="53"/>
  <c r="X92" i="49"/>
  <c r="X124" i="49"/>
  <c r="Q14" i="51"/>
  <c r="X83" i="48"/>
  <c r="Y77" i="48"/>
  <c r="S129" i="49"/>
  <c r="O60" i="50"/>
  <c r="AA30" i="49"/>
  <c r="O97" i="49"/>
  <c r="T319" i="49"/>
  <c r="N82" i="53"/>
  <c r="H54" i="51"/>
  <c r="AF107" i="43"/>
  <c r="AG215" i="42"/>
  <c r="X113" i="49"/>
  <c r="AA205" i="49"/>
  <c r="AA181" i="49"/>
  <c r="H12" i="51"/>
  <c r="AB18" i="49"/>
  <c r="S62" i="48"/>
  <c r="N21" i="49"/>
  <c r="AH11" i="49"/>
  <c r="O63" i="47"/>
  <c r="E23" i="39"/>
  <c r="R120" i="33"/>
  <c r="X83" i="50"/>
  <c r="AA166" i="49"/>
  <c r="S218" i="39"/>
  <c r="AA78" i="48"/>
  <c r="E4" i="45"/>
  <c r="S156" i="49"/>
  <c r="Z145" i="49"/>
  <c r="AA95" i="50"/>
  <c r="AA58" i="48"/>
  <c r="AA19" i="50"/>
  <c r="X106" i="50"/>
  <c r="Z102" i="49"/>
  <c r="S20" i="48"/>
  <c r="AA302" i="49"/>
  <c r="AA137" i="49"/>
  <c r="X81" i="50"/>
  <c r="AB3" i="49"/>
  <c r="AB19" i="50"/>
  <c r="X388" i="49"/>
  <c r="AG124" i="42"/>
  <c r="AA68" i="49"/>
  <c r="S199" i="49"/>
  <c r="T65" i="48"/>
  <c r="AG82" i="43"/>
  <c r="N302" i="49"/>
  <c r="N151" i="49"/>
  <c r="AG51" i="44"/>
  <c r="X121" i="50"/>
  <c r="X311" i="49"/>
  <c r="W4" i="51"/>
  <c r="S35" i="48"/>
  <c r="M15" i="61"/>
  <c r="N223" i="49"/>
  <c r="AA61" i="47"/>
  <c r="AB82" i="49"/>
  <c r="X69" i="49"/>
  <c r="T11" i="47"/>
  <c r="AA263" i="49"/>
  <c r="AG61" i="44"/>
  <c r="AA229" i="49"/>
  <c r="J13" i="48"/>
  <c r="Y43" i="50"/>
  <c r="T119" i="49"/>
  <c r="AB70" i="47"/>
  <c r="O114" i="50"/>
  <c r="X18" i="53"/>
  <c r="T136" i="49"/>
  <c r="Y25" i="53"/>
  <c r="S94" i="50"/>
  <c r="AA157" i="49"/>
  <c r="R281" i="33"/>
  <c r="AB60" i="49"/>
  <c r="AA257" i="49"/>
  <c r="O68" i="47"/>
  <c r="Z77" i="48"/>
  <c r="Z289" i="49"/>
  <c r="T237" i="49"/>
  <c r="AA87" i="49"/>
  <c r="S162" i="49"/>
  <c r="Y29" i="48"/>
  <c r="AB361" i="49"/>
  <c r="Y44" i="50"/>
  <c r="S83" i="53"/>
  <c r="C44" i="50"/>
  <c r="S56" i="50"/>
  <c r="AA191" i="49"/>
  <c r="Z28" i="50"/>
  <c r="J65" i="53"/>
  <c r="T89" i="53"/>
  <c r="T297" i="49"/>
  <c r="V43" i="51"/>
  <c r="M15" i="51"/>
  <c r="M7" i="51"/>
  <c r="J86" i="50"/>
  <c r="J87" i="53"/>
  <c r="Z70" i="47"/>
  <c r="AC2" i="49" a="1"/>
  <c r="S120" i="50"/>
  <c r="AB47" i="47"/>
  <c r="I23" i="52"/>
  <c r="T101" i="50"/>
  <c r="Q172" i="33"/>
  <c r="R165" i="33"/>
  <c r="R186" i="39"/>
  <c r="Y102" i="49"/>
  <c r="R67" i="33"/>
  <c r="S294" i="49"/>
  <c r="AB284" i="49"/>
  <c r="S83" i="49"/>
  <c r="N43" i="50"/>
  <c r="X18" i="47"/>
  <c r="AA3" i="50"/>
  <c r="S48" i="53"/>
  <c r="V16" i="51"/>
  <c r="X72" i="53"/>
  <c r="AF13" i="51"/>
  <c r="W3" i="53" a="1"/>
  <c r="T91" i="50"/>
  <c r="T48" i="49"/>
  <c r="T102" i="49"/>
  <c r="N75" i="53"/>
  <c r="AB59" i="48"/>
  <c r="BI3" i="34"/>
  <c r="Y23" i="47"/>
  <c r="X87" i="48"/>
  <c r="Z60" i="53"/>
  <c r="O50" i="53"/>
  <c r="N75" i="50"/>
  <c r="Y63" i="47"/>
  <c r="AA160" i="49"/>
  <c r="S47" i="50"/>
  <c r="X52" i="53"/>
  <c r="S65" i="38"/>
  <c r="J57" i="49"/>
  <c r="AF190" i="42"/>
  <c r="T44" i="48"/>
  <c r="X88" i="50"/>
  <c r="AB71" i="48"/>
  <c r="L53" i="51"/>
  <c r="O280" i="49"/>
  <c r="N66" i="53"/>
  <c r="X50" i="50"/>
  <c r="Y42" i="48"/>
  <c r="W46" i="51"/>
  <c r="X67" i="53"/>
  <c r="O185" i="49"/>
  <c r="C38" i="53"/>
  <c r="X342" i="49"/>
  <c r="X45" i="49"/>
  <c r="R427" i="33"/>
  <c r="N55" i="53"/>
  <c r="I8" i="59"/>
  <c r="N9" i="59"/>
  <c r="O281" i="49"/>
  <c r="J80" i="53"/>
  <c r="F1" i="56"/>
  <c r="T296" i="49"/>
  <c r="Y90" i="49"/>
  <c r="I10" i="59"/>
  <c r="AA67" i="49"/>
  <c r="O43" i="53"/>
  <c r="AB6" i="47"/>
  <c r="AA9" i="48"/>
  <c r="T241" i="49"/>
  <c r="I5" i="37"/>
  <c r="O50" i="49"/>
  <c r="S112" i="39"/>
  <c r="S122" i="50"/>
  <c r="X383" i="49"/>
  <c r="Z3" i="51"/>
  <c r="S53" i="49"/>
  <c r="Y71" i="50"/>
  <c r="X60" i="47"/>
  <c r="T61" i="49"/>
  <c r="AB49" i="53"/>
  <c r="N12" i="48"/>
  <c r="Y21" i="47"/>
  <c r="AB69" i="53"/>
  <c r="N24" i="47"/>
  <c r="AB67" i="47"/>
  <c r="I22" i="52"/>
  <c r="AA92" i="50"/>
  <c r="S60" i="50"/>
  <c r="N131" i="49"/>
  <c r="AA78" i="49"/>
  <c r="AB117" i="50"/>
  <c r="AG23" i="51"/>
  <c r="S352" i="49"/>
  <c r="Y45" i="48"/>
  <c r="Z87" i="53"/>
  <c r="T84" i="49"/>
  <c r="T361" i="49"/>
  <c r="R251" i="33"/>
  <c r="AI16" i="50"/>
  <c r="Y50" i="47"/>
  <c r="Y67" i="48"/>
  <c r="R472" i="33"/>
  <c r="R241" i="33"/>
  <c r="N339" i="49"/>
  <c r="L5" i="51"/>
  <c r="Z64" i="49"/>
  <c r="S73" i="47"/>
  <c r="Z62" i="50"/>
  <c r="X106" i="49"/>
  <c r="O292" i="49"/>
  <c r="S95" i="49"/>
  <c r="X18" i="50"/>
  <c r="O233" i="49"/>
  <c r="Z341" i="49"/>
  <c r="AB102" i="50"/>
  <c r="X41" i="49"/>
  <c r="Y48" i="48"/>
  <c r="X35" i="47"/>
  <c r="AB389" i="49"/>
  <c r="Z71" i="53"/>
  <c r="AB149" i="49"/>
  <c r="X64" i="48"/>
  <c r="K3" i="42"/>
  <c r="S20" i="53"/>
  <c r="S77" i="39"/>
  <c r="X3" i="51"/>
  <c r="O36" i="50"/>
  <c r="S64" i="50"/>
  <c r="Z23" i="53"/>
  <c r="S92" i="39"/>
  <c r="L48" i="51"/>
  <c r="T82" i="53"/>
  <c r="T363" i="49"/>
  <c r="S136" i="38"/>
  <c r="S13" i="49"/>
  <c r="S232" i="49"/>
  <c r="Z227" i="49"/>
  <c r="Z55" i="48"/>
  <c r="X355" i="49"/>
  <c r="N34" i="50"/>
  <c r="AA101" i="50"/>
  <c r="D11" i="51"/>
  <c r="Z4" i="48"/>
  <c r="S70" i="39"/>
  <c r="N41" i="53"/>
  <c r="Y79" i="47"/>
  <c r="X119" i="49"/>
  <c r="N44" i="53"/>
  <c r="S52" i="49"/>
  <c r="O86" i="50"/>
  <c r="T283" i="49"/>
  <c r="AA15" i="48"/>
  <c r="AB3" i="48"/>
  <c r="AA49" i="48"/>
  <c r="Z68" i="47"/>
  <c r="X95" i="49"/>
  <c r="T10" i="50"/>
  <c r="X40" i="47"/>
  <c r="S7" i="53"/>
  <c r="O67" i="49"/>
  <c r="X18" i="48"/>
  <c r="Z83" i="53"/>
  <c r="T326" i="49"/>
  <c r="Y53" i="51"/>
  <c r="X28" i="48"/>
  <c r="AB112" i="50"/>
  <c r="R46" i="51"/>
  <c r="Z37" i="50"/>
  <c r="O13" i="53"/>
  <c r="Y46" i="47"/>
  <c r="X91" i="48"/>
  <c r="Z74" i="53"/>
  <c r="S96" i="49"/>
  <c r="L37" i="51"/>
  <c r="AC3" i="34"/>
  <c r="Z320" i="49"/>
  <c r="T331" i="49"/>
  <c r="O75" i="47"/>
  <c r="I29" i="52"/>
  <c r="AI17" i="49"/>
  <c r="N101" i="50"/>
  <c r="Y285" i="49"/>
  <c r="AA63" i="47"/>
  <c r="N45" i="53"/>
  <c r="S111" i="50"/>
  <c r="AB56" i="53"/>
  <c r="N57" i="50"/>
  <c r="X365" i="49"/>
  <c r="AA379" i="49"/>
  <c r="L16" i="42"/>
  <c r="Y31" i="47"/>
  <c r="D35" i="46"/>
  <c r="R39" i="51"/>
  <c r="X4" i="55"/>
  <c r="S70" i="48"/>
  <c r="AB18" i="47"/>
  <c r="AB70" i="53"/>
  <c r="J70" i="53"/>
  <c r="T73" i="53"/>
  <c r="T46" i="53"/>
  <c r="D29" i="52"/>
  <c r="T278" i="49"/>
  <c r="Y117" i="50"/>
  <c r="T29" i="48"/>
  <c r="N4" i="59"/>
  <c r="X52" i="47"/>
  <c r="Z64" i="47"/>
  <c r="S234" i="49"/>
  <c r="X41" i="53"/>
  <c r="S249" i="38"/>
  <c r="Y53" i="49"/>
  <c r="AA35" i="48"/>
  <c r="S17" i="37"/>
  <c r="AA20" i="53"/>
  <c r="AA25" i="53"/>
  <c r="T4" i="50"/>
  <c r="X37" i="53"/>
  <c r="AB366" i="49"/>
  <c r="X105" i="50"/>
  <c r="S134" i="38"/>
  <c r="X78" i="50"/>
  <c r="J61" i="50"/>
  <c r="AB29" i="53"/>
  <c r="O110" i="50"/>
  <c r="X12" i="50"/>
  <c r="S243" i="37"/>
  <c r="H45" i="51"/>
  <c r="AB56" i="47"/>
  <c r="J82" i="53"/>
  <c r="Z319" i="49"/>
  <c r="AB29" i="47"/>
  <c r="O55" i="53"/>
  <c r="T121" i="49"/>
  <c r="AA11" i="47"/>
  <c r="N38" i="49"/>
  <c r="J5" i="37"/>
  <c r="AB78" i="50"/>
  <c r="AA367" i="49"/>
  <c r="AA43" i="49"/>
  <c r="O89" i="49"/>
  <c r="S81" i="53"/>
  <c r="Y3" i="47"/>
  <c r="Z32" i="47"/>
  <c r="N71" i="50"/>
  <c r="O101" i="49"/>
  <c r="Z48" i="53"/>
  <c r="O133" i="49"/>
  <c r="AA176" i="49"/>
  <c r="AB30" i="53"/>
  <c r="J44" i="50"/>
  <c r="T15" i="53"/>
  <c r="AB85" i="48"/>
  <c r="AA262" i="49"/>
  <c r="AA33" i="47"/>
  <c r="AA64" i="47"/>
  <c r="Z50" i="49"/>
  <c r="Z11" i="47"/>
  <c r="C43" i="53"/>
  <c r="Z149" i="49"/>
  <c r="X29" i="51"/>
  <c r="V40" i="51"/>
  <c r="Z21" i="51"/>
  <c r="X210" i="49"/>
  <c r="O56" i="49"/>
  <c r="O40" i="48"/>
  <c r="AB44" i="47"/>
  <c r="AA57" i="47"/>
  <c r="S58" i="38"/>
  <c r="V50" i="51"/>
  <c r="S71" i="53"/>
  <c r="AB68" i="50"/>
  <c r="T235" i="49"/>
  <c r="T145" i="49"/>
  <c r="X6" i="51"/>
  <c r="AB51" i="47"/>
  <c r="R177" i="39"/>
  <c r="AG79" i="42"/>
  <c r="AA287" i="49"/>
  <c r="Z61" i="49"/>
  <c r="T87" i="49"/>
  <c r="AB61" i="49"/>
  <c r="N96" i="50"/>
  <c r="AG21" i="51"/>
  <c r="AA15" i="47"/>
  <c r="W51" i="51"/>
  <c r="X66" i="47"/>
  <c r="Y30" i="50"/>
  <c r="S90" i="49"/>
  <c r="N29" i="50"/>
  <c r="X3" i="48"/>
  <c r="Z174" i="49"/>
  <c r="X51" i="53"/>
  <c r="X59" i="47"/>
  <c r="Y64" i="53"/>
  <c r="N4" i="48"/>
  <c r="J64" i="53"/>
  <c r="AA81" i="53"/>
  <c r="S107" i="50"/>
  <c r="S255" i="49"/>
  <c r="Y12" i="53"/>
  <c r="N48" i="53"/>
  <c r="N8" i="59"/>
  <c r="AA273" i="49"/>
  <c r="Y26" i="51"/>
  <c r="Z29" i="53"/>
  <c r="R258" i="33"/>
  <c r="R269" i="33"/>
  <c r="S220" i="49"/>
  <c r="N74" i="50"/>
  <c r="S70" i="50"/>
  <c r="D13" i="51"/>
  <c r="AA118" i="50"/>
  <c r="AB103" i="49"/>
  <c r="Z13" i="48"/>
  <c r="T65" i="49"/>
  <c r="D27" i="54"/>
  <c r="O81" i="49"/>
  <c r="AB101" i="49"/>
  <c r="AB27" i="53"/>
  <c r="V25" i="51"/>
  <c r="Z74" i="50"/>
  <c r="AA66" i="47"/>
  <c r="AB390" i="49"/>
  <c r="T46" i="49"/>
  <c r="AA29" i="53"/>
  <c r="T80" i="49"/>
  <c r="AA359" i="49"/>
  <c r="Z194" i="49"/>
  <c r="S63" i="49"/>
  <c r="H28" i="51"/>
  <c r="D23" i="52"/>
  <c r="AB91" i="48"/>
  <c r="T25" i="48"/>
  <c r="S144" i="49"/>
  <c r="T11" i="53"/>
  <c r="S286" i="49"/>
  <c r="I3" i="38"/>
  <c r="Z11" i="50"/>
  <c r="O179" i="49"/>
  <c r="Y180" i="49"/>
  <c r="AF4" i="43"/>
  <c r="S182" i="39"/>
  <c r="AB86" i="49"/>
  <c r="R162" i="33"/>
  <c r="H14" i="37"/>
  <c r="AA358" i="49"/>
  <c r="X133" i="49"/>
  <c r="AB14" i="50"/>
  <c r="T5" i="48"/>
  <c r="Y117" i="49"/>
  <c r="AA165" i="49"/>
  <c r="S18" i="37"/>
  <c r="T228" i="49"/>
  <c r="T23" i="50"/>
  <c r="X61" i="50"/>
  <c r="S59" i="47"/>
  <c r="S133" i="39"/>
  <c r="N217" i="49"/>
  <c r="AB280" i="49"/>
  <c r="Y86" i="50"/>
  <c r="Z244" i="49"/>
  <c r="T378" i="49"/>
  <c r="AB33" i="47"/>
  <c r="T350" i="49"/>
  <c r="J31" i="50"/>
  <c r="N68" i="47"/>
  <c r="W5" i="51"/>
  <c r="X58" i="47"/>
  <c r="T77" i="53"/>
  <c r="S66" i="50"/>
  <c r="S68" i="50"/>
  <c r="S213" i="49"/>
  <c r="AB6" i="53"/>
  <c r="S22" i="49"/>
  <c r="J27" i="48"/>
  <c r="S40" i="39"/>
  <c r="J91" i="53"/>
  <c r="X9" i="47"/>
  <c r="U5" i="61"/>
  <c r="AB179" i="49"/>
  <c r="S137" i="49"/>
  <c r="T77" i="48"/>
  <c r="X33" i="50"/>
  <c r="N15" i="49"/>
  <c r="O106" i="49"/>
  <c r="Z144" i="49"/>
  <c r="AA97" i="49"/>
  <c r="Y16" i="49"/>
  <c r="AB66" i="50"/>
  <c r="S42" i="47"/>
  <c r="Y160" i="49"/>
  <c r="Y118" i="49"/>
  <c r="AA40" i="48"/>
  <c r="N209" i="49"/>
  <c r="Z52" i="49"/>
  <c r="R118" i="33"/>
  <c r="Y45" i="50"/>
  <c r="S53" i="39"/>
  <c r="S15" i="38"/>
  <c r="O107" i="50"/>
  <c r="O13" i="47"/>
  <c r="S282" i="49"/>
  <c r="AB80" i="48"/>
  <c r="Y6" i="48"/>
  <c r="S148" i="49"/>
  <c r="X22" i="50"/>
  <c r="S101" i="49"/>
  <c r="S81" i="48"/>
  <c r="T334" i="49"/>
  <c r="O9" i="50"/>
  <c r="Z78" i="48"/>
  <c r="AH20" i="48"/>
  <c r="X45" i="50"/>
  <c r="AA57" i="50"/>
  <c r="AB53" i="50"/>
  <c r="R64" i="33"/>
  <c r="T19" i="49"/>
  <c r="J24" i="47"/>
  <c r="X15" i="51"/>
  <c r="O390" i="49"/>
  <c r="T33" i="47"/>
  <c r="E15" i="38"/>
  <c r="AB382" i="49"/>
  <c r="O69" i="50"/>
  <c r="O14" i="50"/>
  <c r="T244" i="49"/>
  <c r="O247" i="49"/>
  <c r="Y69" i="49"/>
  <c r="S39" i="39"/>
  <c r="Z176" i="49"/>
  <c r="J31" i="35"/>
  <c r="H5" i="44"/>
  <c r="N6" i="37"/>
  <c r="X68" i="49"/>
  <c r="O66" i="48"/>
  <c r="AA370" i="49"/>
  <c r="AB98" i="49"/>
  <c r="AA6" i="48"/>
  <c r="AB70" i="50"/>
  <c r="T42" i="53"/>
  <c r="Y11" i="51"/>
  <c r="Z32" i="53"/>
  <c r="S52" i="47"/>
  <c r="Y11" i="47"/>
  <c r="R49" i="51"/>
  <c r="Y118" i="50"/>
  <c r="S58" i="39"/>
  <c r="Q133" i="33"/>
  <c r="Y301" i="49"/>
  <c r="N369" i="49"/>
  <c r="W12" i="51"/>
  <c r="N228" i="49"/>
  <c r="N219" i="49"/>
  <c r="S227" i="39"/>
  <c r="Q27" i="51"/>
  <c r="X24" i="48"/>
  <c r="T9" i="50"/>
  <c r="X253" i="49"/>
  <c r="N50" i="47"/>
  <c r="T158" i="49"/>
  <c r="R7" i="51"/>
  <c r="J38" i="50"/>
  <c r="S8" i="49"/>
  <c r="O67" i="53"/>
  <c r="O33" i="49"/>
  <c r="Y92" i="50"/>
  <c r="J10" i="48"/>
  <c r="X190" i="49"/>
  <c r="N35" i="53"/>
  <c r="Z32" i="50"/>
  <c r="AB51" i="53"/>
  <c r="X16" i="47"/>
  <c r="N3" i="53"/>
  <c r="Z80" i="50"/>
  <c r="Z5" i="47"/>
  <c r="N71" i="53"/>
  <c r="AA74" i="47"/>
  <c r="I18" i="8"/>
  <c r="Y130" i="49"/>
  <c r="O259" i="49"/>
  <c r="X351" i="49"/>
  <c r="X97" i="49"/>
  <c r="AA124" i="49"/>
  <c r="S264" i="49"/>
  <c r="O12" i="49"/>
  <c r="S358" i="49"/>
  <c r="M14" i="51"/>
  <c r="N28" i="48"/>
  <c r="N39" i="53"/>
  <c r="W29" i="51"/>
  <c r="S287" i="49"/>
  <c r="B25" i="51"/>
  <c r="AS3" i="34"/>
  <c r="AB88" i="50"/>
  <c r="AB73" i="53"/>
  <c r="S45" i="53"/>
  <c r="X56" i="47"/>
  <c r="Y97" i="50"/>
  <c r="M11" i="51"/>
  <c r="Z49" i="48"/>
  <c r="J23" i="49"/>
  <c r="S21" i="53"/>
  <c r="AA37" i="47"/>
  <c r="Z16" i="48"/>
  <c r="Z325" i="49"/>
  <c r="S322" i="49"/>
  <c r="AB65" i="50"/>
  <c r="I37" i="52"/>
  <c r="AF72" i="42"/>
  <c r="X349" i="49"/>
  <c r="S89" i="39"/>
  <c r="AB80" i="50"/>
  <c r="AB175" i="49"/>
  <c r="Y4" i="50"/>
  <c r="O87" i="50"/>
  <c r="AB12" i="53"/>
  <c r="J62" i="53"/>
  <c r="Z85" i="49"/>
  <c r="X186" i="49"/>
  <c r="AB160" i="49"/>
  <c r="O75" i="49"/>
  <c r="H4" i="54"/>
  <c r="N62" i="53"/>
  <c r="Y35" i="47"/>
  <c r="O10" i="53"/>
  <c r="X40" i="51"/>
  <c r="N22" i="53"/>
  <c r="O174" i="49"/>
  <c r="R21" i="37"/>
  <c r="Z58" i="50"/>
  <c r="AB89" i="50"/>
  <c r="S260" i="38"/>
  <c r="Q40" i="51"/>
  <c r="Z30" i="53"/>
  <c r="T7" i="48"/>
  <c r="S82" i="53"/>
  <c r="T284" i="49"/>
  <c r="Z26" i="48"/>
  <c r="AA37" i="53"/>
  <c r="N194" i="49"/>
  <c r="Q325" i="33"/>
  <c r="Y109" i="49"/>
  <c r="O267" i="49"/>
  <c r="S52" i="48"/>
  <c r="S28" i="50"/>
  <c r="Y88" i="48"/>
  <c r="S279" i="49"/>
  <c r="AA18" i="50"/>
  <c r="T148" i="49"/>
  <c r="W6" i="51"/>
  <c r="R29" i="37"/>
  <c r="S54" i="48"/>
  <c r="Y18" i="47"/>
  <c r="S88" i="53"/>
  <c r="O29" i="47"/>
  <c r="AA14" i="50"/>
  <c r="AA52" i="53"/>
  <c r="O18" i="50"/>
  <c r="X9" i="53"/>
  <c r="T40" i="49"/>
  <c r="O71" i="50"/>
  <c r="V33" i="51"/>
  <c r="AB53" i="49"/>
  <c r="O360" i="49"/>
  <c r="S84" i="50"/>
  <c r="Z61" i="47"/>
  <c r="Q37" i="51"/>
  <c r="AA78" i="47"/>
  <c r="O62" i="50"/>
  <c r="W11" i="51"/>
  <c r="AB65" i="47"/>
  <c r="T187" i="49"/>
  <c r="Y381" i="49"/>
  <c r="Q509" i="33"/>
  <c r="E12" i="39"/>
  <c r="T21" i="49"/>
  <c r="X34" i="51"/>
  <c r="L18" i="51"/>
  <c r="Z292" i="49"/>
  <c r="X103" i="49"/>
  <c r="AA325" i="49"/>
  <c r="Z24" i="50"/>
  <c r="S6" i="39"/>
  <c r="Q57" i="51"/>
  <c r="X70" i="48"/>
  <c r="O64" i="53"/>
  <c r="Y38" i="49"/>
  <c r="O30" i="49"/>
  <c r="AB84" i="48"/>
  <c r="N40" i="48"/>
  <c r="AB66" i="47"/>
  <c r="T344" i="49"/>
  <c r="X273" i="49"/>
  <c r="AB221" i="49"/>
  <c r="J4" i="53"/>
  <c r="N211" i="49"/>
  <c r="S116" i="49"/>
  <c r="N72" i="53"/>
  <c r="L13" i="61"/>
  <c r="Y33" i="53"/>
  <c r="AF16" i="51"/>
  <c r="Y72" i="53"/>
  <c r="AB46" i="47"/>
  <c r="AH22" i="49"/>
  <c r="AG22" i="42"/>
  <c r="S297" i="49"/>
  <c r="Y89" i="49"/>
  <c r="Z84" i="48"/>
  <c r="N119" i="50"/>
  <c r="N88" i="50"/>
  <c r="AA99" i="50"/>
  <c r="O106" i="50"/>
  <c r="L10" i="51"/>
  <c r="O72" i="48"/>
  <c r="S21" i="39"/>
  <c r="AA9" i="47"/>
  <c r="W9" i="51"/>
  <c r="O93" i="50"/>
  <c r="T27" i="48"/>
  <c r="T33" i="50"/>
  <c r="T23" i="47"/>
  <c r="X7" i="50"/>
  <c r="AB54" i="53"/>
  <c r="N47" i="47"/>
  <c r="X42" i="53"/>
  <c r="T42" i="49"/>
  <c r="T383" i="49"/>
  <c r="S142" i="39"/>
  <c r="O370" i="49"/>
  <c r="M4" i="51"/>
  <c r="N136" i="49"/>
  <c r="W38" i="51"/>
  <c r="Y67" i="53"/>
  <c r="N239" i="49"/>
  <c r="AA357" i="49"/>
  <c r="O83" i="48"/>
  <c r="O144" i="49"/>
  <c r="X58" i="53"/>
  <c r="Z45" i="48"/>
  <c r="Z388" i="49"/>
  <c r="Y17" i="47"/>
  <c r="Y320" i="49"/>
  <c r="Y54" i="47"/>
  <c r="AA234" i="49"/>
  <c r="Y81" i="50"/>
  <c r="Y54" i="51"/>
  <c r="H43" i="51"/>
  <c r="N52" i="47"/>
  <c r="H4" i="51"/>
  <c r="T48" i="53"/>
  <c r="S166" i="49"/>
  <c r="O82" i="49"/>
  <c r="S15" i="39"/>
  <c r="Y13" i="50"/>
  <c r="N69" i="47"/>
  <c r="AA5" i="53"/>
  <c r="S203" i="49"/>
  <c r="AA18" i="49"/>
  <c r="F4" i="42"/>
  <c r="G17" i="47"/>
  <c r="AB217" i="49"/>
  <c r="AB343" i="49"/>
  <c r="O74" i="53"/>
  <c r="AF16" i="49"/>
  <c r="Y377" i="49"/>
  <c r="AA33" i="53"/>
  <c r="AB199" i="49"/>
  <c r="Z33" i="53"/>
  <c r="T232" i="49"/>
  <c r="N26" i="53"/>
  <c r="X340" i="49"/>
  <c r="X182" i="49"/>
  <c r="AB110" i="49"/>
  <c r="N30" i="49"/>
  <c r="Z15" i="49"/>
  <c r="D14" i="59"/>
  <c r="AA15" i="49"/>
  <c r="O104" i="50"/>
  <c r="Z30" i="51"/>
  <c r="Z18" i="47"/>
  <c r="O348" i="49"/>
  <c r="AH18" i="50"/>
  <c r="AA85" i="49"/>
  <c r="E12" i="38"/>
  <c r="R21" i="51"/>
  <c r="T35" i="53"/>
  <c r="O82" i="50"/>
  <c r="N15" i="51"/>
  <c r="X280" i="49"/>
  <c r="AB154" i="49"/>
  <c r="U13" i="42" a="1"/>
  <c r="L50" i="51"/>
  <c r="X16" i="51"/>
  <c r="AB74" i="47"/>
  <c r="Z63" i="53"/>
  <c r="T114" i="49"/>
  <c r="J343" i="49"/>
  <c r="N54" i="50"/>
  <c r="AG122" i="43"/>
  <c r="Z110" i="50"/>
  <c r="R27" i="38"/>
  <c r="D32" i="46"/>
  <c r="AB163" i="49"/>
  <c r="N107" i="50"/>
  <c r="AI4" i="53"/>
  <c r="X19" i="50"/>
  <c r="L19" i="42"/>
  <c r="AD13" i="51"/>
  <c r="W30" i="51"/>
  <c r="O169" i="49"/>
  <c r="AN4" i="50"/>
  <c r="Z47" i="49"/>
  <c r="AB60" i="50"/>
  <c r="O50" i="50"/>
  <c r="Y85" i="50"/>
  <c r="N12" i="47"/>
  <c r="S10" i="49"/>
  <c r="X4" i="47"/>
  <c r="X379" i="49"/>
  <c r="X23" i="51"/>
  <c r="AB276" i="49"/>
  <c r="X33" i="48"/>
  <c r="AG34" i="44"/>
  <c r="O91" i="48"/>
  <c r="Z158" i="49"/>
  <c r="S22" i="53"/>
  <c r="AB28" i="47"/>
  <c r="Z77" i="47"/>
  <c r="Z55" i="51"/>
  <c r="J7" i="53"/>
  <c r="T17" i="47"/>
  <c r="O83" i="49"/>
  <c r="AA23" i="49"/>
  <c r="Z312" i="49"/>
  <c r="T34" i="53"/>
  <c r="S55" i="48"/>
  <c r="O46" i="53"/>
  <c r="AB115" i="49"/>
  <c r="AB89" i="49"/>
  <c r="X300" i="49"/>
  <c r="X224" i="49"/>
  <c r="Z390" i="49"/>
  <c r="T83" i="50"/>
  <c r="C16" i="51"/>
  <c r="AB323" i="49"/>
  <c r="Y25" i="48"/>
  <c r="AG250" i="42"/>
  <c r="Z119" i="49"/>
  <c r="Z143" i="49"/>
  <c r="S16" i="48"/>
  <c r="T60" i="49"/>
  <c r="S229" i="49"/>
  <c r="B18" i="51"/>
  <c r="L46" i="51"/>
  <c r="O103" i="50"/>
  <c r="X20" i="51"/>
  <c r="N77" i="53"/>
  <c r="Z117" i="50"/>
  <c r="S16" i="50"/>
  <c r="Z361" i="49"/>
  <c r="Y253" i="49"/>
  <c r="Z37" i="49"/>
  <c r="AB50" i="48"/>
  <c r="Z30" i="47"/>
  <c r="Y16" i="47"/>
  <c r="J17" i="48"/>
  <c r="O54" i="53"/>
  <c r="X20" i="53"/>
  <c r="T87" i="48"/>
  <c r="X249" i="49"/>
  <c r="T52" i="47"/>
  <c r="X296" i="49"/>
  <c r="S28" i="49"/>
  <c r="N22" i="59"/>
  <c r="T288" i="49"/>
  <c r="N61" i="53"/>
  <c r="D11" i="35"/>
  <c r="S89" i="49"/>
  <c r="X382" i="49"/>
  <c r="AB25" i="50"/>
  <c r="AA26" i="48"/>
  <c r="T31" i="53"/>
  <c r="AA23" i="53"/>
  <c r="AH16" i="48"/>
  <c r="O38" i="53"/>
  <c r="AA299" i="49"/>
  <c r="X39" i="47"/>
  <c r="T72" i="53"/>
  <c r="Y9" i="53"/>
  <c r="AA134" i="49"/>
  <c r="D13" i="54"/>
  <c r="O13" i="50"/>
  <c r="O38" i="50"/>
  <c r="Z29" i="49"/>
  <c r="S343" i="49"/>
  <c r="Y51" i="50"/>
  <c r="Z372" i="49"/>
  <c r="Z24" i="49"/>
  <c r="AD11" i="51"/>
  <c r="Z101" i="50"/>
  <c r="Z87" i="50"/>
  <c r="S29" i="48"/>
  <c r="N22" i="50"/>
  <c r="Y212" i="49"/>
  <c r="N81" i="53"/>
  <c r="AA86" i="53"/>
  <c r="X55" i="50"/>
  <c r="AA75" i="48"/>
  <c r="Z67" i="50"/>
  <c r="S34" i="53"/>
  <c r="F5" i="38"/>
  <c r="O265" i="49"/>
  <c r="S44" i="39"/>
  <c r="Y20" i="50"/>
  <c r="L5" i="44"/>
  <c r="AB20" i="49"/>
  <c r="Z107" i="50"/>
  <c r="Z60" i="47"/>
  <c r="J40" i="50"/>
  <c r="AB67" i="49"/>
  <c r="AG88" i="43"/>
  <c r="AG13" i="51"/>
  <c r="N61" i="50"/>
  <c r="X127" i="49"/>
  <c r="I25" i="11"/>
  <c r="N315" i="49"/>
  <c r="V54" i="51"/>
  <c r="AA250" i="49"/>
  <c r="AB48" i="53"/>
  <c r="O67" i="47"/>
  <c r="AA292" i="49"/>
  <c r="I18" i="36"/>
  <c r="AB239" i="49"/>
  <c r="AB241" i="49"/>
  <c r="AB45" i="53"/>
  <c r="AG108" i="42"/>
  <c r="Z209" i="49"/>
  <c r="Y60" i="53"/>
  <c r="AA15" i="53"/>
  <c r="O47" i="47"/>
  <c r="R231" i="33"/>
  <c r="AA341" i="49"/>
  <c r="Z58" i="49"/>
  <c r="T8" i="53"/>
  <c r="T81" i="49"/>
  <c r="H2" i="60"/>
  <c r="Z75" i="47"/>
  <c r="Z106" i="49"/>
  <c r="Y11" i="53"/>
  <c r="N50" i="53"/>
  <c r="X110" i="49"/>
  <c r="AA96" i="50"/>
  <c r="O278" i="49"/>
  <c r="AB58" i="50"/>
  <c r="AB55" i="53"/>
  <c r="R243" i="33"/>
  <c r="AB132" i="49"/>
  <c r="R248" i="38"/>
  <c r="AA14" i="48"/>
  <c r="AA362" i="49"/>
  <c r="X322" i="49"/>
  <c r="Y215" i="49"/>
  <c r="X213" i="49"/>
  <c r="O286" i="49"/>
  <c r="AA171" i="49"/>
  <c r="S73" i="38"/>
  <c r="Y196" i="49"/>
  <c r="AB3" i="53"/>
  <c r="O4" i="49"/>
  <c r="N139" i="49"/>
  <c r="Z117" i="49"/>
  <c r="AA388" i="49"/>
  <c r="N241" i="49"/>
  <c r="Y50" i="49"/>
  <c r="Y8" i="49"/>
  <c r="Y96" i="50"/>
  <c r="S91" i="48"/>
  <c r="Y10" i="51"/>
  <c r="S78" i="48"/>
  <c r="T60" i="48"/>
  <c r="Z44" i="51"/>
  <c r="N44" i="47"/>
  <c r="V38" i="51"/>
  <c r="Y22" i="53"/>
  <c r="X57" i="53"/>
  <c r="G6" i="49"/>
  <c r="S39" i="53"/>
  <c r="P9" i="40"/>
  <c r="AG239" i="42"/>
  <c r="AA82" i="49"/>
  <c r="Y364" i="49"/>
  <c r="Y81" i="49"/>
  <c r="N54" i="48"/>
  <c r="S119" i="49"/>
  <c r="Y3" i="48"/>
  <c r="O74" i="48"/>
  <c r="AA66" i="50"/>
  <c r="S110" i="50"/>
  <c r="O39" i="50"/>
  <c r="U3" i="51" a="1"/>
  <c r="T51" i="47"/>
  <c r="AB10" i="50"/>
  <c r="X135" i="49"/>
  <c r="AG60" i="42"/>
  <c r="S236" i="49"/>
  <c r="N95" i="50"/>
  <c r="Y46" i="51"/>
  <c r="U12" i="40" a="1"/>
  <c r="S71" i="49"/>
  <c r="Z111" i="50"/>
  <c r="Y35" i="48"/>
  <c r="T111" i="49"/>
  <c r="X30" i="47"/>
  <c r="AA31" i="48"/>
  <c r="AA73" i="53"/>
  <c r="O205" i="49"/>
  <c r="S106" i="49"/>
  <c r="S15" i="47"/>
  <c r="AB4" i="50"/>
  <c r="T56" i="47"/>
  <c r="Y33" i="48"/>
  <c r="Z8" i="49"/>
  <c r="Z57" i="48"/>
  <c r="N251" i="49"/>
  <c r="T50" i="48"/>
  <c r="Z281" i="49"/>
  <c r="AB206" i="49"/>
  <c r="Y327" i="49"/>
  <c r="X18" i="51"/>
  <c r="N67" i="48"/>
  <c r="AB41" i="50"/>
  <c r="Q7" i="51"/>
  <c r="Y45" i="49"/>
  <c r="Y21" i="53"/>
  <c r="O365" i="49"/>
  <c r="AB122" i="50"/>
  <c r="T40" i="50"/>
  <c r="N185" i="49"/>
  <c r="X172" i="49"/>
  <c r="M17" i="51"/>
  <c r="T14" i="53"/>
  <c r="O52" i="53"/>
  <c r="AA217" i="49"/>
  <c r="N67" i="53"/>
  <c r="R208" i="39"/>
  <c r="T97" i="50"/>
  <c r="O156" i="49"/>
  <c r="AB362" i="49"/>
  <c r="O273" i="49"/>
  <c r="AG14" i="42"/>
  <c r="T266" i="49"/>
  <c r="N158" i="49"/>
  <c r="Z18" i="51"/>
  <c r="O42" i="48"/>
  <c r="T68" i="49"/>
  <c r="H38" i="51"/>
  <c r="O41" i="48"/>
  <c r="C52" i="52"/>
  <c r="Z95" i="50"/>
  <c r="X25" i="47"/>
  <c r="H57" i="51"/>
  <c r="Z347" i="49"/>
  <c r="Y34" i="53"/>
  <c r="T58" i="53"/>
  <c r="Y7" i="47"/>
  <c r="Z240" i="49"/>
  <c r="T72" i="48"/>
  <c r="T17" i="53"/>
  <c r="N17" i="59"/>
  <c r="N11" i="59"/>
  <c r="X231" i="49"/>
  <c r="AK3" i="34"/>
  <c r="N16" i="59"/>
  <c r="T80" i="50"/>
  <c r="Y113" i="49"/>
  <c r="X3" i="61"/>
  <c r="AB209" i="49"/>
  <c r="J90" i="53"/>
  <c r="AB35" i="49"/>
  <c r="O120" i="50"/>
  <c r="AB269" i="49"/>
  <c r="X173" i="49"/>
  <c r="N110" i="49"/>
  <c r="N301" i="49"/>
  <c r="Z52" i="51"/>
  <c r="J57" i="47"/>
  <c r="S73" i="39"/>
  <c r="J28" i="47"/>
  <c r="T53" i="49"/>
  <c r="N167" i="49"/>
  <c r="Y99" i="50"/>
  <c r="T203" i="49"/>
  <c r="X76" i="49"/>
  <c r="R181" i="33"/>
  <c r="R17" i="51"/>
  <c r="S158" i="49"/>
  <c r="L10" i="61"/>
  <c r="R513" i="33"/>
  <c r="X104" i="50"/>
  <c r="AB73" i="49"/>
  <c r="T59" i="50"/>
  <c r="Z379" i="49"/>
  <c r="W10" i="51"/>
  <c r="T36" i="53"/>
  <c r="N123" i="50"/>
  <c r="N54" i="47"/>
  <c r="Y10" i="50"/>
  <c r="X76" i="47"/>
  <c r="L2" i="56"/>
  <c r="T59" i="49"/>
  <c r="E10" i="59"/>
  <c r="Y46" i="50"/>
  <c r="AF70" i="43"/>
  <c r="Q380" i="33"/>
  <c r="J62" i="49"/>
  <c r="X24" i="49"/>
  <c r="S83" i="38"/>
  <c r="S76" i="38"/>
  <c r="O52" i="48"/>
  <c r="AB173" i="49"/>
  <c r="O109" i="50"/>
  <c r="T286" i="49"/>
  <c r="T47" i="53"/>
  <c r="AA86" i="48"/>
  <c r="T38" i="50"/>
  <c r="W16" i="51"/>
  <c r="O35" i="53"/>
  <c r="AA65" i="50"/>
  <c r="Y76" i="47"/>
  <c r="AA70" i="48"/>
  <c r="Y70" i="47"/>
  <c r="AA78" i="53"/>
  <c r="D53" i="52"/>
  <c r="X299" i="49"/>
  <c r="AB21" i="48"/>
  <c r="AA26" i="47"/>
  <c r="T315" i="49"/>
  <c r="Z56" i="53"/>
  <c r="N21" i="48"/>
  <c r="Z39" i="47"/>
  <c r="X252" i="49"/>
  <c r="Z29" i="47"/>
  <c r="V29" i="51"/>
  <c r="AB72" i="53"/>
  <c r="O381" i="49"/>
  <c r="AA276" i="49"/>
  <c r="O184" i="49"/>
  <c r="T381" i="49"/>
  <c r="R243" i="38"/>
  <c r="S32" i="39"/>
  <c r="O332" i="49"/>
  <c r="T328" i="49"/>
  <c r="Y41" i="50"/>
  <c r="S20" i="50"/>
  <c r="Z18" i="53"/>
  <c r="S340" i="49"/>
  <c r="S331" i="49"/>
  <c r="AA36" i="48"/>
  <c r="O40" i="47"/>
  <c r="X79" i="48"/>
  <c r="Z50" i="53"/>
  <c r="S123" i="39"/>
  <c r="X26" i="47"/>
  <c r="S35" i="53"/>
  <c r="S252" i="49"/>
  <c r="Z226" i="49"/>
  <c r="O82" i="53"/>
  <c r="T51" i="50"/>
  <c r="N304" i="49"/>
  <c r="AA8" i="53"/>
  <c r="Y50" i="51"/>
  <c r="X40" i="48"/>
  <c r="O51" i="48"/>
  <c r="AB24" i="47"/>
  <c r="N5" i="50"/>
  <c r="N32" i="53"/>
  <c r="B84" i="34"/>
  <c r="I39" i="8"/>
  <c r="Z30" i="49"/>
  <c r="AA233" i="49"/>
  <c r="J37" i="48"/>
  <c r="S54" i="49"/>
  <c r="AB31" i="47"/>
  <c r="AA21" i="50"/>
  <c r="X46" i="47"/>
  <c r="Y24" i="48"/>
  <c r="N53" i="47"/>
  <c r="AA77" i="47"/>
  <c r="W3" i="50" a="1"/>
  <c r="Z78" i="53"/>
  <c r="T32" i="47"/>
  <c r="AH19" i="50"/>
  <c r="AG158" i="42"/>
  <c r="X51" i="50"/>
  <c r="H36" i="51"/>
  <c r="O33" i="48"/>
  <c r="Y56" i="53"/>
  <c r="Y328" i="49"/>
  <c r="N50" i="48"/>
  <c r="AG209" i="42"/>
  <c r="AB277" i="49"/>
  <c r="Y79" i="53"/>
  <c r="AB21" i="50"/>
  <c r="S72" i="50"/>
  <c r="J67" i="49"/>
  <c r="T110" i="49"/>
  <c r="K6" i="42"/>
  <c r="X54" i="48"/>
  <c r="AB151" i="49"/>
  <c r="S44" i="38"/>
  <c r="N144" i="49"/>
  <c r="Y30" i="48"/>
  <c r="X384" i="49"/>
  <c r="S76" i="53"/>
  <c r="AA316" i="49"/>
  <c r="X86" i="53"/>
  <c r="Z38" i="50"/>
  <c r="Z365" i="49"/>
  <c r="Z88" i="53"/>
  <c r="N9" i="53"/>
  <c r="O8" i="47"/>
  <c r="O57" i="53"/>
  <c r="O50" i="47"/>
  <c r="O4" i="48"/>
  <c r="Y150" i="49"/>
  <c r="T76" i="53"/>
  <c r="AB372" i="49"/>
  <c r="Z19" i="47"/>
  <c r="S149" i="49"/>
  <c r="S77" i="48"/>
  <c r="Z40" i="48"/>
  <c r="AB95" i="49"/>
  <c r="D14" i="51"/>
  <c r="O112" i="50"/>
  <c r="Z78" i="50"/>
  <c r="AF11" i="51"/>
  <c r="Z57" i="51"/>
  <c r="T111" i="50"/>
  <c r="AA19" i="47"/>
  <c r="Y195" i="49"/>
  <c r="B4" i="56" a="1"/>
  <c r="AB169" i="49"/>
  <c r="X4" i="50"/>
  <c r="C41" i="50"/>
  <c r="S97" i="39"/>
  <c r="N97" i="49"/>
  <c r="AA67" i="48"/>
  <c r="O35" i="50"/>
  <c r="T34" i="49"/>
  <c r="X37" i="51"/>
  <c r="S16" i="53"/>
  <c r="Y43" i="51"/>
  <c r="R10" i="51"/>
  <c r="AA285" i="49"/>
  <c r="Z51" i="47"/>
  <c r="S55" i="53"/>
  <c r="N58" i="53"/>
  <c r="O66" i="50"/>
  <c r="AA140" i="49"/>
  <c r="Z81" i="49"/>
  <c r="N28" i="50"/>
  <c r="AB180" i="49"/>
  <c r="S178" i="39"/>
  <c r="N215" i="49"/>
  <c r="O108" i="49"/>
  <c r="D9" i="51"/>
  <c r="AG14" i="51"/>
  <c r="Z23" i="48"/>
  <c r="Y29" i="47"/>
  <c r="N66" i="50"/>
  <c r="AB66" i="53"/>
  <c r="AF14" i="48"/>
  <c r="Y84" i="53"/>
  <c r="X307" i="49"/>
  <c r="T380" i="49"/>
  <c r="X338" i="49"/>
  <c r="Y36" i="53"/>
  <c r="AB34" i="47"/>
  <c r="Z38" i="49"/>
  <c r="N109" i="50"/>
  <c r="T24" i="48"/>
  <c r="M29" i="51"/>
  <c r="Z233" i="49"/>
  <c r="Z74" i="47"/>
  <c r="J46" i="50"/>
  <c r="J5" i="53"/>
  <c r="AB12" i="50"/>
  <c r="AA261" i="49"/>
  <c r="L33" i="51"/>
  <c r="O71" i="53"/>
  <c r="S186" i="49"/>
  <c r="S10" i="50"/>
  <c r="D18" i="54"/>
  <c r="AA8" i="47"/>
  <c r="Z199" i="49"/>
  <c r="AA102" i="50"/>
  <c r="N90" i="49"/>
  <c r="T65" i="53"/>
  <c r="S194" i="49"/>
  <c r="Z22" i="47"/>
  <c r="N47" i="48"/>
  <c r="T31" i="50"/>
  <c r="Z88" i="48"/>
  <c r="E28" i="42"/>
  <c r="S108" i="49"/>
  <c r="S34" i="48"/>
  <c r="Z31" i="47"/>
  <c r="S59" i="53"/>
  <c r="S104" i="49"/>
  <c r="AA228" i="49"/>
  <c r="Z49" i="53"/>
  <c r="O317" i="49"/>
  <c r="Z84" i="49"/>
  <c r="T70" i="49"/>
  <c r="M56" i="51"/>
  <c r="AB386" i="49"/>
  <c r="AA58" i="50"/>
  <c r="X17" i="47"/>
  <c r="AB28" i="53"/>
  <c r="Z356" i="49"/>
  <c r="N57" i="49"/>
  <c r="AA222" i="49"/>
  <c r="O116" i="49"/>
  <c r="T25" i="49"/>
  <c r="X7" i="47"/>
  <c r="S46" i="48"/>
  <c r="Z221" i="49"/>
  <c r="S19" i="53"/>
  <c r="AA90" i="49"/>
  <c r="M10" i="51"/>
  <c r="X88" i="53"/>
  <c r="X64" i="47"/>
  <c r="O336" i="49"/>
  <c r="AA207" i="49"/>
  <c r="X306" i="49"/>
  <c r="T68" i="53"/>
  <c r="I1" i="56"/>
  <c r="N193" i="49"/>
  <c r="AB118" i="50"/>
  <c r="Z331" i="49"/>
  <c r="R218" i="39"/>
  <c r="Y122" i="50"/>
  <c r="AB36" i="47"/>
  <c r="X9" i="48"/>
  <c r="O9" i="47"/>
  <c r="N18" i="59"/>
  <c r="O102" i="49"/>
  <c r="T29" i="47"/>
  <c r="N90" i="50"/>
  <c r="N257" i="49"/>
  <c r="Z65" i="50"/>
  <c r="T305" i="49"/>
  <c r="AF38" i="42"/>
  <c r="N1" i="39"/>
  <c r="AG42" i="42"/>
  <c r="X313" i="49"/>
  <c r="T14" i="48"/>
  <c r="N16" i="48"/>
  <c r="N82" i="50"/>
  <c r="F5" i="44"/>
  <c r="N33" i="53"/>
  <c r="AA246" i="49"/>
  <c r="AB60" i="53"/>
  <c r="N361" i="49"/>
  <c r="S15" i="53"/>
  <c r="Y21" i="48"/>
  <c r="T90" i="48"/>
  <c r="J27" i="47"/>
  <c r="M8" i="40"/>
  <c r="AB20" i="50"/>
  <c r="X28" i="53"/>
  <c r="Y16" i="53"/>
  <c r="C14" i="61" a="1"/>
  <c r="Y184" i="49"/>
  <c r="Z15" i="47"/>
  <c r="Z79" i="53"/>
  <c r="X46" i="49"/>
  <c r="X45" i="48"/>
  <c r="N385" i="49"/>
  <c r="Z18" i="48"/>
  <c r="Z13" i="47"/>
  <c r="AA16" i="47"/>
  <c r="O178" i="49"/>
  <c r="T123" i="49"/>
  <c r="X64" i="49"/>
  <c r="AB336" i="49"/>
  <c r="J70" i="49"/>
  <c r="S98" i="50"/>
  <c r="M19" i="51"/>
  <c r="T22" i="50"/>
  <c r="Z70" i="48"/>
  <c r="R343" i="33"/>
  <c r="AG61" i="43"/>
  <c r="X66" i="49"/>
  <c r="S251" i="49"/>
  <c r="X362" i="49"/>
  <c r="X164" i="49"/>
  <c r="S228" i="39"/>
  <c r="Y55" i="51"/>
  <c r="R107" i="33"/>
  <c r="AA286" i="49"/>
  <c r="N46" i="47"/>
  <c r="AI12" i="50"/>
  <c r="AG59" i="42"/>
  <c r="N161" i="49"/>
  <c r="X28" i="49"/>
  <c r="S263" i="49"/>
  <c r="H60" i="51"/>
  <c r="O27" i="49"/>
  <c r="X120" i="50"/>
  <c r="Y137" i="49"/>
  <c r="Y65" i="53"/>
  <c r="R14" i="39"/>
  <c r="Z23" i="47"/>
  <c r="Y389" i="49"/>
  <c r="T301" i="49"/>
  <c r="T200" i="49"/>
  <c r="X42" i="48"/>
  <c r="X6" i="50"/>
  <c r="Y228" i="49"/>
  <c r="X74" i="48"/>
  <c r="Q43" i="51"/>
  <c r="S4" i="50"/>
  <c r="AB71" i="47"/>
  <c r="T311" i="49"/>
  <c r="Y83" i="53"/>
  <c r="L11" i="51"/>
  <c r="O44" i="49"/>
  <c r="N85" i="48"/>
  <c r="Z90" i="49"/>
  <c r="G8" i="38"/>
  <c r="N8" i="41"/>
  <c r="T295" i="49"/>
  <c r="AB95" i="50"/>
  <c r="S74" i="48"/>
  <c r="R489" i="33"/>
  <c r="N20" i="53"/>
  <c r="O55" i="47"/>
  <c r="V29" i="40"/>
  <c r="O250" i="49"/>
  <c r="Q26" i="51"/>
  <c r="J95" i="53"/>
  <c r="T28" i="53"/>
  <c r="O22" i="53"/>
  <c r="AB61" i="48"/>
  <c r="X29" i="53"/>
  <c r="T35" i="49"/>
  <c r="R188" i="33"/>
  <c r="X352" i="49"/>
  <c r="AH11" i="50"/>
  <c r="N92" i="50"/>
  <c r="N164" i="49"/>
  <c r="Z85" i="50"/>
  <c r="Z136" i="49"/>
  <c r="Z5" i="50"/>
  <c r="Z22" i="51"/>
  <c r="W29" i="40"/>
  <c r="T123" i="50"/>
  <c r="T43" i="53"/>
  <c r="O95" i="50"/>
  <c r="X82" i="53"/>
  <c r="Y49" i="51"/>
  <c r="AH17" i="48"/>
  <c r="O36" i="47"/>
  <c r="N363" i="49"/>
  <c r="O7" i="50"/>
  <c r="O105" i="50"/>
  <c r="N172" i="49"/>
  <c r="Z7" i="50"/>
  <c r="R319" i="33"/>
  <c r="AB219" i="49"/>
  <c r="AF104" i="42"/>
  <c r="S8" i="39"/>
  <c r="X88" i="48"/>
  <c r="Y82" i="53"/>
  <c r="P13" i="40" a="1"/>
  <c r="H37" i="51"/>
  <c r="R15" i="51"/>
  <c r="Y19" i="51"/>
  <c r="AB371" i="49"/>
  <c r="O206" i="49"/>
  <c r="AA32" i="53"/>
  <c r="AA278" i="49"/>
  <c r="O70" i="47"/>
  <c r="AI21" i="48"/>
  <c r="X47" i="49"/>
  <c r="Z24" i="51"/>
  <c r="T39" i="50"/>
  <c r="AB84" i="53"/>
  <c r="L6" i="51"/>
  <c r="R59" i="33"/>
  <c r="X103" i="50"/>
  <c r="S41" i="39"/>
  <c r="C31" i="50"/>
  <c r="AB35" i="47"/>
  <c r="Y68" i="48"/>
  <c r="X77" i="47"/>
  <c r="Z31" i="53"/>
  <c r="C34" i="46"/>
  <c r="T19" i="47"/>
  <c r="AG6" i="42"/>
  <c r="Y27" i="48"/>
  <c r="M6" i="51"/>
  <c r="S24" i="49"/>
  <c r="O128" i="49"/>
  <c r="AB7" i="49"/>
  <c r="S361" i="49"/>
  <c r="X89" i="53"/>
  <c r="Z82" i="50"/>
  <c r="X102" i="50"/>
  <c r="T49" i="50"/>
  <c r="AB88" i="53"/>
  <c r="AB124" i="49"/>
  <c r="Z38" i="47"/>
  <c r="AA17" i="47"/>
  <c r="Y42" i="53"/>
  <c r="AB8" i="53"/>
  <c r="J9" i="47"/>
  <c r="R116" i="38"/>
  <c r="S63" i="39"/>
  <c r="X60" i="49"/>
  <c r="S196" i="49"/>
  <c r="X96" i="50"/>
  <c r="AA73" i="50"/>
  <c r="Z87" i="49"/>
  <c r="AH21" i="48"/>
  <c r="X72" i="48"/>
  <c r="S58" i="47"/>
  <c r="S217" i="49"/>
  <c r="AA202" i="49"/>
  <c r="O47" i="49"/>
  <c r="X33" i="47"/>
  <c r="X33" i="53"/>
  <c r="Z147" i="49"/>
  <c r="J23" i="7"/>
  <c r="S152" i="38"/>
  <c r="AB333" i="49"/>
  <c r="J43" i="50"/>
  <c r="Y319" i="49"/>
  <c r="T126" i="49"/>
  <c r="AA53" i="48"/>
  <c r="AB73" i="48"/>
  <c r="AF15" i="50"/>
  <c r="AA83" i="53"/>
  <c r="X73" i="48"/>
  <c r="X149" i="49"/>
  <c r="AB11" i="49"/>
  <c r="S69" i="48"/>
  <c r="AA35" i="53"/>
  <c r="AA65" i="49"/>
  <c r="AG7" i="43"/>
  <c r="S362" i="49"/>
  <c r="X272" i="49"/>
  <c r="R291" i="33"/>
  <c r="X50" i="53"/>
  <c r="J88" i="53"/>
  <c r="X53" i="51"/>
  <c r="O314" i="49"/>
  <c r="Y6" i="50"/>
  <c r="W18" i="51"/>
  <c r="T57" i="53"/>
  <c r="O121" i="50"/>
  <c r="Y58" i="47"/>
  <c r="Y36" i="47"/>
  <c r="S74" i="50"/>
  <c r="Z272" i="49"/>
  <c r="AA88" i="50"/>
  <c r="O68" i="49"/>
  <c r="AA47" i="48"/>
  <c r="N14" i="47"/>
  <c r="T78" i="50"/>
  <c r="AB53" i="53"/>
  <c r="Z20" i="53"/>
  <c r="T86" i="48"/>
  <c r="Z54" i="53"/>
  <c r="AB74" i="50"/>
  <c r="X38" i="47"/>
  <c r="T68" i="48"/>
  <c r="Z76" i="47"/>
  <c r="O342" i="49"/>
  <c r="O67" i="48"/>
  <c r="Y74" i="48"/>
  <c r="O34" i="48"/>
  <c r="Z25" i="47"/>
  <c r="Y336" i="49"/>
  <c r="T15" i="50"/>
  <c r="AB76" i="47"/>
  <c r="AA54" i="48"/>
  <c r="AB388" i="49"/>
  <c r="Z46" i="53"/>
  <c r="Y87" i="50"/>
  <c r="N42" i="53"/>
  <c r="S346" i="49"/>
  <c r="S31" i="49"/>
  <c r="X216" i="49"/>
  <c r="Q4" i="51"/>
  <c r="H10" i="51"/>
  <c r="Y9" i="50"/>
  <c r="Z8" i="50"/>
  <c r="S56" i="48"/>
  <c r="S92" i="48"/>
  <c r="AA288" i="49"/>
  <c r="Y40" i="47"/>
  <c r="Z53" i="47"/>
  <c r="Y24" i="53"/>
  <c r="AB30" i="47"/>
  <c r="S46" i="53"/>
  <c r="AA12" i="48"/>
  <c r="X107" i="50"/>
  <c r="Y297" i="49"/>
  <c r="AI20" i="48"/>
  <c r="AA57" i="53"/>
  <c r="M54" i="51"/>
  <c r="N76" i="53"/>
  <c r="X80" i="48"/>
  <c r="N78" i="47"/>
  <c r="T15" i="47"/>
  <c r="O19" i="48"/>
  <c r="Y59" i="47"/>
  <c r="T254" i="49"/>
  <c r="AB56" i="50"/>
  <c r="S31" i="48"/>
  <c r="N51" i="49"/>
  <c r="X53" i="48"/>
  <c r="S29" i="53"/>
  <c r="N389" i="49"/>
  <c r="AB77" i="49"/>
  <c r="Z273" i="49"/>
  <c r="AA305" i="49"/>
  <c r="Y26" i="53"/>
  <c r="R83" i="39"/>
  <c r="S11" i="53"/>
  <c r="S89" i="53"/>
  <c r="T291" i="49"/>
  <c r="BE3" i="34"/>
  <c r="AA389" i="49"/>
  <c r="X158" i="49"/>
  <c r="X358" i="49"/>
  <c r="X98" i="50"/>
  <c r="Z41" i="51"/>
  <c r="J31" i="47"/>
  <c r="R161" i="33"/>
  <c r="AA38" i="49"/>
  <c r="AA15" i="50"/>
  <c r="J7" i="50"/>
  <c r="Z387" i="49"/>
  <c r="Y154" i="49"/>
  <c r="AA64" i="53"/>
  <c r="T98" i="49"/>
  <c r="N52" i="50"/>
  <c r="O22" i="48"/>
  <c r="X44" i="48"/>
  <c r="T365" i="49"/>
  <c r="X14" i="53"/>
  <c r="T52" i="50"/>
  <c r="S112" i="50"/>
  <c r="S73" i="53"/>
  <c r="S168" i="49"/>
  <c r="Z90" i="50"/>
  <c r="AB41" i="53"/>
  <c r="M48" i="51"/>
  <c r="AA3" i="48"/>
  <c r="M9" i="51"/>
  <c r="AA266" i="49"/>
  <c r="I9" i="59"/>
  <c r="C14" i="51"/>
  <c r="N20" i="47"/>
  <c r="Y124" i="49"/>
  <c r="AB30" i="48"/>
  <c r="S84" i="49"/>
  <c r="AB24" i="53"/>
  <c r="AB51" i="50"/>
  <c r="Z66" i="48"/>
  <c r="T80" i="48"/>
  <c r="Y7" i="51"/>
  <c r="Z109" i="50"/>
  <c r="AB258" i="49"/>
  <c r="Y346" i="49"/>
  <c r="T98" i="50"/>
  <c r="C13" i="51"/>
  <c r="AA19" i="53"/>
  <c r="Y18" i="51"/>
  <c r="AA203" i="49"/>
  <c r="Y69" i="50"/>
  <c r="S214" i="49"/>
  <c r="T192" i="49"/>
  <c r="O274" i="49"/>
  <c r="Z14" i="50"/>
  <c r="Y32" i="47"/>
  <c r="T29" i="53"/>
  <c r="AA8" i="50"/>
  <c r="S8" i="48"/>
  <c r="AA12" i="47"/>
  <c r="N21" i="50"/>
  <c r="AF22" i="48"/>
  <c r="AB29" i="49"/>
  <c r="AB69" i="48"/>
  <c r="N62" i="48"/>
  <c r="B56" i="34"/>
  <c r="T36" i="49"/>
  <c r="AF14" i="51"/>
  <c r="O330" i="49"/>
  <c r="V41" i="51"/>
  <c r="AA13" i="47"/>
  <c r="S77" i="50"/>
  <c r="AB249" i="49"/>
  <c r="X255" i="49"/>
  <c r="AA55" i="47"/>
  <c r="Z3" i="47"/>
  <c r="X220" i="49"/>
  <c r="S51" i="49"/>
  <c r="S72" i="47"/>
  <c r="X180" i="49"/>
  <c r="AA10" i="50"/>
  <c r="N12" i="50"/>
  <c r="T238" i="49"/>
  <c r="T53" i="53"/>
  <c r="AB12" i="47"/>
  <c r="AB55" i="50"/>
  <c r="AB357" i="49"/>
  <c r="N100" i="50"/>
  <c r="Y385" i="49"/>
  <c r="S244" i="49"/>
  <c r="S27" i="47"/>
  <c r="O63" i="53"/>
  <c r="Y56" i="51"/>
  <c r="AB50" i="53"/>
  <c r="N19" i="48"/>
  <c r="Y13" i="48"/>
  <c r="AA47" i="50"/>
  <c r="Y6" i="53"/>
  <c r="Z8" i="48"/>
  <c r="Z17" i="53"/>
  <c r="Z39" i="51"/>
  <c r="AA49" i="49"/>
  <c r="X269" i="49"/>
  <c r="Z371" i="49"/>
  <c r="AB16" i="50"/>
  <c r="AG18" i="51"/>
  <c r="M18" i="51"/>
  <c r="AA60" i="48"/>
  <c r="S42" i="53"/>
  <c r="Z46" i="51"/>
  <c r="S254" i="39"/>
  <c r="O21" i="50"/>
  <c r="O51" i="53"/>
  <c r="C48" i="53"/>
  <c r="N229" i="49"/>
  <c r="Z335" i="49"/>
  <c r="O23" i="53"/>
  <c r="AA231" i="49"/>
  <c r="J26" i="50"/>
  <c r="T57" i="50"/>
  <c r="N86" i="50"/>
  <c r="X288" i="49"/>
  <c r="T26" i="53"/>
  <c r="AB300" i="49"/>
  <c r="AG125" i="43"/>
  <c r="S314" i="49"/>
  <c r="AA22" i="53"/>
  <c r="Z353" i="49"/>
  <c r="X376" i="49"/>
  <c r="AB114" i="50"/>
  <c r="Z60" i="49"/>
  <c r="Y260" i="49"/>
  <c r="Y339" i="49"/>
  <c r="I12" i="39"/>
  <c r="AA27" i="48"/>
  <c r="S45" i="49"/>
  <c r="AB325" i="49"/>
  <c r="S86" i="53"/>
  <c r="AA72" i="48"/>
  <c r="S33" i="50"/>
  <c r="S65" i="50"/>
  <c r="D8" i="51"/>
  <c r="O244" i="49"/>
  <c r="O368" i="49"/>
  <c r="M19" i="61"/>
  <c r="R501" i="33"/>
  <c r="X63" i="47"/>
  <c r="AB33" i="48"/>
  <c r="AB73" i="47"/>
  <c r="Z155" i="49"/>
  <c r="AA76" i="50"/>
  <c r="AG21" i="43"/>
  <c r="Z323" i="49"/>
  <c r="AG26" i="43"/>
  <c r="S184" i="39"/>
  <c r="C42" i="53"/>
  <c r="AA68" i="53"/>
  <c r="S12" i="48"/>
  <c r="BA3" i="34"/>
  <c r="X6" i="47"/>
  <c r="X9" i="51"/>
  <c r="N13" i="59"/>
  <c r="J68" i="53"/>
  <c r="V4" i="37"/>
  <c r="O80" i="50"/>
  <c r="S68" i="53"/>
  <c r="Z24" i="48"/>
  <c r="X189" i="49"/>
  <c r="Z20" i="51"/>
  <c r="AA67" i="47"/>
  <c r="AB111" i="49"/>
  <c r="AA24" i="47"/>
  <c r="S75" i="48"/>
  <c r="X348" i="49"/>
  <c r="N42" i="50"/>
  <c r="H28" i="59"/>
  <c r="S65" i="48"/>
  <c r="S61" i="38"/>
  <c r="X40" i="53"/>
  <c r="Z338" i="49"/>
  <c r="O76" i="50"/>
  <c r="S305" i="49"/>
  <c r="X62" i="50"/>
  <c r="Y90" i="50"/>
  <c r="T310" i="49"/>
  <c r="S276" i="49"/>
  <c r="Y53" i="50"/>
  <c r="AI13" i="49"/>
  <c r="N17" i="49"/>
  <c r="B95" i="34"/>
  <c r="S14" i="47"/>
  <c r="Y26" i="47"/>
  <c r="X69" i="53"/>
  <c r="AA2" i="51" a="1"/>
  <c r="R36" i="33"/>
  <c r="Z63" i="50"/>
  <c r="Z161" i="49"/>
  <c r="Y36" i="49"/>
  <c r="R59" i="38"/>
  <c r="N265" i="49"/>
  <c r="B24" i="51"/>
  <c r="O84" i="50"/>
  <c r="S40" i="38"/>
  <c r="X55" i="49"/>
  <c r="AA31" i="53"/>
  <c r="T112" i="50"/>
  <c r="O351" i="49"/>
  <c r="W20" i="51"/>
  <c r="AB37" i="53"/>
  <c r="X55" i="53"/>
  <c r="T374" i="49"/>
  <c r="S266" i="49"/>
  <c r="AH12" i="48"/>
  <c r="N87" i="48"/>
  <c r="Y47" i="49"/>
  <c r="AA10" i="48"/>
  <c r="J84" i="53"/>
  <c r="J71" i="49"/>
  <c r="O306" i="49"/>
  <c r="S97" i="37"/>
  <c r="X20" i="48"/>
  <c r="AA328" i="49"/>
  <c r="X114" i="50"/>
  <c r="O7" i="48"/>
  <c r="Z49" i="47"/>
  <c r="AA9" i="50"/>
  <c r="R443" i="33"/>
  <c r="Z25" i="49"/>
  <c r="O345" i="49"/>
  <c r="O30" i="50"/>
  <c r="AA25" i="50"/>
  <c r="T78" i="49"/>
  <c r="N41" i="48"/>
  <c r="X48" i="48"/>
  <c r="AF14" i="50"/>
  <c r="Z56" i="50"/>
  <c r="Z70" i="49"/>
  <c r="Z63" i="48"/>
  <c r="Z8" i="53"/>
  <c r="T391" i="49"/>
  <c r="Z17" i="48"/>
  <c r="S25" i="53"/>
  <c r="T170" i="49"/>
  <c r="D21" i="52"/>
  <c r="O62" i="47"/>
  <c r="X2" i="19"/>
  <c r="AG70" i="42"/>
  <c r="O113" i="50"/>
  <c r="T105" i="49"/>
  <c r="O85" i="49"/>
  <c r="N14" i="48"/>
  <c r="N245" i="49"/>
  <c r="Z68" i="49"/>
  <c r="T61" i="48"/>
  <c r="J9" i="53"/>
  <c r="AA93" i="50"/>
  <c r="Z36" i="53"/>
  <c r="Z264" i="49"/>
  <c r="X14" i="47"/>
  <c r="Z185" i="49"/>
  <c r="D26" i="54"/>
  <c r="F269" i="4"/>
  <c r="S49" i="37"/>
  <c r="G10" i="47"/>
  <c r="N62" i="50"/>
  <c r="J33" i="50"/>
  <c r="Y15" i="51"/>
  <c r="N201" i="49"/>
  <c r="O53" i="48"/>
  <c r="Y3" i="50"/>
  <c r="C53" i="53"/>
  <c r="T74" i="49"/>
  <c r="X11" i="53"/>
  <c r="S10" i="53"/>
  <c r="AA56" i="47"/>
  <c r="Z79" i="47"/>
  <c r="X32" i="53"/>
  <c r="X142" i="49"/>
  <c r="AA4" i="50"/>
  <c r="AA54" i="53"/>
  <c r="S378" i="49"/>
  <c r="T12" i="53"/>
  <c r="T40" i="53"/>
  <c r="Z47" i="47"/>
  <c r="X312" i="49"/>
  <c r="T18" i="48"/>
  <c r="J19" i="53"/>
  <c r="Y86" i="53"/>
  <c r="X24" i="47"/>
  <c r="O262" i="49"/>
  <c r="J77" i="50"/>
  <c r="X212" i="49"/>
  <c r="X174" i="49"/>
  <c r="J30" i="50"/>
  <c r="X68" i="48"/>
  <c r="Y83" i="49"/>
  <c r="H63" i="51"/>
  <c r="X191" i="49"/>
  <c r="T335" i="49"/>
  <c r="X221" i="49"/>
  <c r="S24" i="48"/>
  <c r="AA47" i="47"/>
  <c r="Y33" i="49"/>
  <c r="Y17" i="53"/>
  <c r="AA81" i="48"/>
  <c r="AB278" i="49"/>
  <c r="W25" i="51"/>
  <c r="X10" i="48"/>
  <c r="O69" i="48"/>
  <c r="AB42" i="48"/>
  <c r="S64" i="47"/>
  <c r="S32" i="50"/>
  <c r="N390" i="49"/>
  <c r="S275" i="49"/>
  <c r="O58" i="53"/>
  <c r="X66" i="48"/>
  <c r="X60" i="50"/>
  <c r="S299" i="49"/>
  <c r="AB31" i="49"/>
  <c r="AA301" i="49"/>
  <c r="Z29" i="48"/>
  <c r="X18" i="49"/>
  <c r="R55" i="51"/>
  <c r="D12" i="51"/>
  <c r="L26" i="51"/>
  <c r="T34" i="48"/>
  <c r="X325" i="49"/>
  <c r="T55" i="53"/>
  <c r="AA308" i="49"/>
  <c r="AA120" i="49"/>
  <c r="Y50" i="53"/>
  <c r="Y9" i="51"/>
  <c r="D52" i="52"/>
  <c r="S179" i="49"/>
  <c r="AB168" i="49"/>
  <c r="N85" i="50"/>
  <c r="Z42" i="47"/>
  <c r="S345" i="49"/>
  <c r="Y39" i="47"/>
  <c r="Z16" i="49"/>
  <c r="Z64" i="48"/>
  <c r="Y124" i="50"/>
  <c r="H52" i="51"/>
  <c r="J24" i="53"/>
  <c r="O134" i="49"/>
  <c r="W26" i="51"/>
  <c r="Y322" i="49"/>
  <c r="O53" i="47"/>
  <c r="X147" i="49"/>
  <c r="Z342" i="49"/>
  <c r="X111" i="50"/>
  <c r="AA22" i="47"/>
  <c r="AB70" i="49"/>
  <c r="T68" i="47"/>
  <c r="G10" i="49"/>
  <c r="Q3" i="41"/>
  <c r="Y38" i="53"/>
  <c r="AG251" i="42"/>
  <c r="D12" i="54"/>
  <c r="N99" i="50"/>
  <c r="O194" i="49"/>
  <c r="AB75" i="48"/>
  <c r="F6" i="43"/>
  <c r="T5" i="50"/>
  <c r="Y183" i="49"/>
  <c r="AB6" i="48"/>
  <c r="Z276" i="49"/>
  <c r="Q56" i="51"/>
  <c r="X77" i="48"/>
  <c r="AA23" i="48"/>
  <c r="O325" i="49"/>
  <c r="Y166" i="49"/>
  <c r="Z26" i="53"/>
  <c r="AA41" i="53"/>
  <c r="N28" i="53"/>
  <c r="AB138" i="49"/>
  <c r="AB23" i="49"/>
  <c r="E17" i="38"/>
  <c r="AA61" i="50"/>
  <c r="J73" i="53"/>
  <c r="S93" i="49"/>
  <c r="O5" i="49"/>
  <c r="Q46" i="51"/>
  <c r="AA77" i="48"/>
  <c r="Z76" i="48"/>
  <c r="AB32" i="47"/>
  <c r="N152" i="49"/>
  <c r="Q34" i="51"/>
  <c r="AB324" i="49"/>
  <c r="Z263" i="49"/>
  <c r="Z42" i="50"/>
  <c r="H29" i="51"/>
  <c r="AA82" i="53"/>
  <c r="AB13" i="53"/>
  <c r="O38" i="48"/>
  <c r="R28" i="51"/>
  <c r="J32" i="49"/>
  <c r="O284" i="49"/>
  <c r="T31" i="48"/>
  <c r="AA284" i="49"/>
  <c r="S304" i="49"/>
  <c r="C49" i="53"/>
  <c r="X11" i="49"/>
  <c r="X136" i="49"/>
  <c r="T90" i="49"/>
  <c r="O50" i="48"/>
  <c r="Z38" i="53"/>
  <c r="AA53" i="53"/>
  <c r="AA4" i="47"/>
  <c r="AA5" i="47"/>
  <c r="N120" i="50"/>
  <c r="Y21" i="51"/>
  <c r="Y3" i="53"/>
  <c r="O29" i="48"/>
  <c r="Y48" i="53"/>
  <c r="Z180" i="49"/>
  <c r="L6" i="59"/>
  <c r="AB234" i="49"/>
  <c r="Y42" i="50"/>
  <c r="X10" i="49"/>
  <c r="H42" i="51"/>
  <c r="X316" i="49"/>
  <c r="S50" i="49"/>
  <c r="N30" i="48"/>
  <c r="X65" i="53"/>
  <c r="Y376" i="49"/>
  <c r="N7" i="48"/>
  <c r="S319" i="49"/>
  <c r="R16" i="51"/>
  <c r="C40" i="50"/>
  <c r="O22" i="47"/>
  <c r="AI13" i="48"/>
  <c r="AB294" i="49"/>
  <c r="T62" i="48"/>
  <c r="Y19" i="53"/>
  <c r="Y292" i="49"/>
  <c r="AA49" i="47"/>
  <c r="AA323" i="49"/>
  <c r="J27" i="50"/>
  <c r="X111" i="49"/>
  <c r="O175" i="49"/>
  <c r="J86" i="53"/>
  <c r="X101" i="50"/>
  <c r="T11" i="48"/>
  <c r="AB130" i="49"/>
  <c r="S53" i="48"/>
  <c r="N10" i="50"/>
  <c r="X275" i="49"/>
  <c r="O234" i="49"/>
  <c r="X350" i="49"/>
  <c r="X374" i="49"/>
  <c r="R127" i="39"/>
  <c r="X8" i="48"/>
  <c r="W56" i="51"/>
  <c r="AB101" i="50"/>
  <c r="AB92" i="50"/>
  <c r="AB44" i="53"/>
  <c r="T44" i="47"/>
  <c r="O47" i="53"/>
  <c r="AA255" i="49"/>
  <c r="AA55" i="49"/>
  <c r="Z69" i="49"/>
  <c r="O319" i="49"/>
  <c r="Z120" i="50"/>
  <c r="Y60" i="48"/>
  <c r="T117" i="50"/>
  <c r="Z309" i="49"/>
  <c r="T299" i="49"/>
  <c r="O48" i="48"/>
  <c r="AA39" i="53"/>
  <c r="F139" i="4"/>
  <c r="AA11" i="53"/>
  <c r="T52" i="53"/>
  <c r="S4" i="49"/>
  <c r="C45" i="53"/>
  <c r="Z56" i="47"/>
  <c r="S154" i="49"/>
  <c r="T8" i="50"/>
  <c r="X21" i="50"/>
  <c r="O298" i="49"/>
  <c r="Y316" i="49"/>
  <c r="S19" i="50"/>
  <c r="N75" i="48"/>
  <c r="AB22" i="49"/>
  <c r="AA103" i="50"/>
  <c r="AA82" i="48"/>
  <c r="AB47" i="50"/>
  <c r="T17" i="49"/>
  <c r="X262" i="49"/>
  <c r="X21" i="48"/>
  <c r="O237" i="49"/>
  <c r="Z308" i="49"/>
  <c r="N74" i="48"/>
  <c r="S379" i="49"/>
  <c r="N15" i="53"/>
  <c r="T67" i="48"/>
  <c r="AB32" i="48"/>
  <c r="AG95" i="43"/>
  <c r="AG33" i="43"/>
  <c r="T28" i="50"/>
  <c r="X24" i="51"/>
  <c r="Z21" i="53"/>
  <c r="AA37" i="50"/>
  <c r="N56" i="47"/>
  <c r="AB139" i="49"/>
  <c r="AA62" i="53"/>
  <c r="M17" i="61"/>
  <c r="X66" i="53"/>
  <c r="Q42" i="51"/>
  <c r="S201" i="39"/>
  <c r="Y13" i="44" a="1"/>
  <c r="S6" i="48"/>
  <c r="AB81" i="53"/>
  <c r="AA16" i="50"/>
  <c r="AA54" i="50"/>
  <c r="AA282" i="49"/>
  <c r="W21" i="51"/>
  <c r="X73" i="53"/>
  <c r="AA153" i="49"/>
  <c r="AA35" i="47"/>
  <c r="T54" i="47"/>
  <c r="S35" i="50"/>
  <c r="Z238" i="49"/>
  <c r="T102" i="50"/>
  <c r="I3" i="59"/>
  <c r="Y55" i="53"/>
  <c r="Z4" i="50"/>
  <c r="T93" i="50"/>
  <c r="C21" i="52"/>
  <c r="S106" i="50"/>
  <c r="N87" i="53"/>
  <c r="Z11" i="48"/>
  <c r="S391" i="49"/>
  <c r="X79" i="47"/>
  <c r="AA260" i="49"/>
  <c r="R14" i="51"/>
  <c r="S30" i="53"/>
  <c r="AB356" i="49"/>
  <c r="S54" i="50"/>
  <c r="J66" i="53"/>
  <c r="Y47" i="47"/>
  <c r="T25" i="53"/>
  <c r="AB60" i="47"/>
  <c r="N320" i="49"/>
  <c r="Z72" i="50"/>
  <c r="AA51" i="53"/>
  <c r="N17" i="53"/>
  <c r="T131" i="49"/>
  <c r="X36" i="51"/>
  <c r="AB267" i="49"/>
  <c r="AA74" i="53"/>
  <c r="T70" i="48"/>
  <c r="Z28" i="47"/>
  <c r="N41" i="50"/>
  <c r="AB9" i="53"/>
  <c r="T195" i="49"/>
  <c r="X80" i="49"/>
  <c r="D42" i="59"/>
  <c r="Y225" i="49"/>
  <c r="J64" i="47"/>
  <c r="AA87" i="53"/>
  <c r="R246" i="33"/>
  <c r="J22" i="49"/>
  <c r="N375" i="49"/>
  <c r="AB142" i="49"/>
  <c r="T83" i="48"/>
  <c r="AB141" i="49"/>
  <c r="T10" i="49"/>
  <c r="Y59" i="48"/>
  <c r="S356" i="49"/>
  <c r="S80" i="50"/>
  <c r="X12" i="48"/>
  <c r="AA291" i="49"/>
  <c r="S233" i="49"/>
  <c r="AA17" i="48"/>
  <c r="S226" i="49"/>
  <c r="AI14" i="48"/>
  <c r="AF240" i="42"/>
  <c r="AA79" i="49"/>
  <c r="X368" i="49"/>
  <c r="S43" i="50"/>
  <c r="N36" i="53"/>
  <c r="AB224" i="49"/>
  <c r="AB52" i="50"/>
  <c r="AG205" i="42"/>
  <c r="S7" i="50"/>
  <c r="X17" i="53"/>
  <c r="AG186" i="42"/>
  <c r="AB5" i="47"/>
  <c r="S51" i="50"/>
  <c r="AB4" i="47"/>
  <c r="Q41" i="51"/>
  <c r="R63" i="33"/>
  <c r="M41" i="51"/>
  <c r="AB161" i="49"/>
  <c r="AB43" i="50"/>
  <c r="S204" i="39"/>
  <c r="S60" i="49"/>
  <c r="AH19" i="48"/>
  <c r="X118" i="50"/>
  <c r="T89" i="50"/>
  <c r="X225" i="49"/>
  <c r="N25" i="50"/>
  <c r="X34" i="53"/>
  <c r="Z33" i="51"/>
  <c r="AA13" i="53"/>
  <c r="Z39" i="53"/>
  <c r="Y20" i="47"/>
  <c r="S57" i="53"/>
  <c r="AB268" i="49"/>
  <c r="G74" i="34"/>
  <c r="X99" i="49"/>
  <c r="AI11" i="49"/>
  <c r="V18" i="51"/>
  <c r="T242" i="49"/>
  <c r="S101" i="50"/>
  <c r="H31" i="51"/>
  <c r="Z247" i="49"/>
  <c r="T64" i="50"/>
  <c r="Z72" i="53"/>
  <c r="X363" i="49"/>
  <c r="Z40" i="47"/>
  <c r="Z68" i="53"/>
  <c r="Z83" i="49"/>
  <c r="AB64" i="53"/>
  <c r="O60" i="53"/>
  <c r="S222" i="38"/>
  <c r="N344" i="49"/>
  <c r="AA6" i="49"/>
  <c r="AA21" i="49"/>
  <c r="Z103" i="49"/>
  <c r="N73" i="49"/>
  <c r="X243" i="49"/>
  <c r="Y5" i="48"/>
  <c r="X91" i="50"/>
  <c r="M18" i="61"/>
  <c r="R25" i="51"/>
  <c r="AB321" i="49"/>
  <c r="AA31" i="47"/>
  <c r="T120" i="49"/>
  <c r="X63" i="53"/>
  <c r="X10" i="53"/>
  <c r="AG67" i="42"/>
  <c r="AA6" i="50"/>
  <c r="X69" i="47"/>
  <c r="S165" i="49"/>
  <c r="X310" i="49"/>
  <c r="S44" i="53"/>
  <c r="Y68" i="53"/>
  <c r="S48" i="49"/>
  <c r="O72" i="53"/>
  <c r="Y76" i="53"/>
  <c r="Z381" i="49"/>
  <c r="Y261" i="49"/>
  <c r="N4" i="53"/>
  <c r="T133" i="49"/>
  <c r="T21" i="53"/>
  <c r="AB12" i="49"/>
  <c r="W31" i="51"/>
  <c r="S36" i="48"/>
  <c r="N86" i="53"/>
  <c r="S293" i="49"/>
  <c r="AB8" i="50"/>
  <c r="R463" i="33"/>
  <c r="N85" i="53"/>
  <c r="X278" i="49"/>
  <c r="N5" i="59"/>
  <c r="AB177" i="49"/>
  <c r="S45" i="47"/>
  <c r="S26" i="49"/>
  <c r="R71" i="33"/>
  <c r="AA69" i="53"/>
  <c r="O56" i="48"/>
  <c r="X51" i="51"/>
  <c r="AB64" i="47"/>
  <c r="O22" i="50"/>
  <c r="AD15" i="51"/>
  <c r="L54" i="51"/>
  <c r="Z19" i="51"/>
  <c r="S351" i="49"/>
  <c r="Z157" i="49"/>
  <c r="Y4" i="53"/>
  <c r="AA43" i="53"/>
  <c r="AB7" i="47"/>
  <c r="J4" i="38"/>
  <c r="O9" i="48"/>
  <c r="Z84" i="50"/>
  <c r="X31" i="51"/>
  <c r="Y78" i="49"/>
  <c r="AB22" i="50"/>
  <c r="R29" i="40"/>
  <c r="Y125" i="49"/>
  <c r="X77" i="53"/>
  <c r="AF17" i="50"/>
  <c r="S70" i="53"/>
  <c r="T233" i="49"/>
  <c r="C34" i="50"/>
  <c r="Z188" i="49"/>
  <c r="Y135" i="49"/>
  <c r="J8" i="50"/>
  <c r="AD12" i="51"/>
  <c r="Y114" i="49"/>
  <c r="Y4" i="49"/>
  <c r="T60" i="53"/>
  <c r="Z101" i="49"/>
  <c r="R186" i="37"/>
  <c r="S22" i="48"/>
  <c r="AB74" i="48"/>
  <c r="T35" i="50"/>
  <c r="Y63" i="49"/>
  <c r="Z12" i="49"/>
  <c r="AB87" i="49"/>
  <c r="X35" i="48"/>
  <c r="J17" i="42"/>
  <c r="J44" i="49"/>
  <c r="AA354" i="49"/>
  <c r="Y295" i="49"/>
  <c r="O14" i="48"/>
  <c r="AB204" i="49"/>
  <c r="O90" i="49"/>
  <c r="Y50" i="48"/>
  <c r="AI3" i="53"/>
  <c r="R45" i="33"/>
  <c r="O61" i="53"/>
  <c r="X71" i="53"/>
  <c r="Y71" i="53"/>
  <c r="AB52" i="53"/>
  <c r="Z34" i="48"/>
  <c r="S308" i="49"/>
  <c r="Z137" i="49"/>
  <c r="X12" i="51"/>
  <c r="O46" i="48"/>
  <c r="AB215" i="49"/>
  <c r="S258" i="49"/>
  <c r="AB12" i="48"/>
  <c r="X123" i="50"/>
  <c r="N125" i="49"/>
  <c r="Z34" i="51"/>
  <c r="AB88" i="49"/>
  <c r="S383" i="49"/>
  <c r="Y31" i="48"/>
  <c r="Y138" i="49"/>
  <c r="AB328" i="49"/>
  <c r="O47" i="50"/>
  <c r="N42" i="47"/>
  <c r="J58" i="48"/>
  <c r="N355" i="49"/>
  <c r="AA204" i="49"/>
  <c r="Y71" i="47"/>
  <c r="AB196" i="49"/>
  <c r="AB230" i="49"/>
  <c r="AA296" i="49"/>
  <c r="AG18" i="43"/>
  <c r="Y114" i="50"/>
  <c r="O63" i="50"/>
  <c r="J37" i="50"/>
  <c r="AN3" i="48"/>
  <c r="X251" i="49"/>
  <c r="Z22" i="49"/>
  <c r="AB73" i="50"/>
  <c r="Z22" i="48"/>
  <c r="M23" i="51"/>
  <c r="Y14" i="53"/>
  <c r="Y40" i="53"/>
  <c r="O37" i="49"/>
  <c r="Y73" i="53"/>
  <c r="R35" i="51"/>
  <c r="Y370" i="49"/>
  <c r="AA29" i="50"/>
  <c r="T379" i="49"/>
  <c r="T9" i="53"/>
  <c r="H18" i="51"/>
  <c r="Z7" i="53"/>
  <c r="Y6" i="49"/>
  <c r="O149" i="49"/>
  <c r="Z125" i="49"/>
  <c r="Y58" i="53"/>
  <c r="O20" i="53"/>
  <c r="S79" i="47"/>
  <c r="Z170" i="49"/>
  <c r="R47" i="37"/>
  <c r="O16" i="48"/>
  <c r="Y100" i="50"/>
  <c r="O59" i="47"/>
  <c r="L47" i="51"/>
  <c r="V34" i="51"/>
  <c r="X59" i="50"/>
  <c r="T12" i="50"/>
  <c r="S175" i="49"/>
  <c r="X4" i="48"/>
  <c r="O119" i="50"/>
  <c r="Y35" i="50"/>
  <c r="X353" i="49"/>
  <c r="AA111" i="50"/>
  <c r="AA247" i="49"/>
  <c r="N210" i="49"/>
  <c r="V20" i="51"/>
  <c r="Q9" i="51"/>
  <c r="Z44" i="47"/>
  <c r="N307" i="49"/>
  <c r="Y159" i="49"/>
  <c r="T28" i="40"/>
  <c r="T97" i="49"/>
  <c r="M22" i="51"/>
  <c r="AA335" i="49"/>
  <c r="Z76" i="53"/>
  <c r="S247" i="39"/>
  <c r="N5" i="53"/>
  <c r="T23" i="53"/>
  <c r="T81" i="50"/>
  <c r="Y49" i="53"/>
  <c r="AB96" i="50"/>
  <c r="T116" i="49"/>
  <c r="N49" i="48"/>
  <c r="Y15" i="47"/>
  <c r="AB86" i="50"/>
  <c r="X188" i="49"/>
  <c r="X143" i="49"/>
  <c r="S79" i="50"/>
  <c r="R467" i="33"/>
  <c r="AF20" i="50"/>
  <c r="N300" i="49"/>
  <c r="S53" i="50"/>
  <c r="AA23" i="47"/>
  <c r="S30" i="37"/>
  <c r="AA41" i="47"/>
  <c r="Y78" i="53"/>
  <c r="Y59" i="53"/>
  <c r="N25" i="53"/>
  <c r="Z4" i="53"/>
  <c r="S225" i="49"/>
  <c r="M31" i="51"/>
  <c r="S67" i="49"/>
  <c r="Z385" i="49"/>
  <c r="O235" i="49"/>
  <c r="D28" i="59"/>
  <c r="AF30" i="42"/>
  <c r="R22" i="51"/>
  <c r="AB5" i="53"/>
  <c r="X49" i="48"/>
  <c r="S61" i="48"/>
  <c r="S78" i="50"/>
  <c r="AB338" i="49"/>
  <c r="M8" i="51"/>
  <c r="S55" i="50"/>
  <c r="Y41" i="53"/>
  <c r="N81" i="50"/>
  <c r="W55" i="51"/>
  <c r="N311" i="49"/>
  <c r="Y52" i="47"/>
  <c r="S29" i="47"/>
  <c r="AA381" i="49"/>
  <c r="AA59" i="49"/>
  <c r="R43" i="51"/>
  <c r="AA11" i="49"/>
  <c r="T54" i="53"/>
  <c r="AA85" i="48"/>
  <c r="Z20" i="47"/>
  <c r="O311" i="49"/>
  <c r="X56" i="50"/>
  <c r="AG3" i="34"/>
  <c r="AA40" i="47"/>
  <c r="O27" i="50"/>
  <c r="Z20" i="50"/>
  <c r="O338" i="49"/>
  <c r="M33" i="51"/>
  <c r="S386" i="49"/>
  <c r="AA115" i="50"/>
  <c r="AA48" i="53"/>
  <c r="R11" i="51"/>
  <c r="S190" i="49"/>
  <c r="G18" i="45"/>
  <c r="Z216" i="49"/>
  <c r="S79" i="53"/>
  <c r="R27" i="51"/>
  <c r="Z79" i="49"/>
  <c r="Y35" i="49"/>
  <c r="Y66" i="47"/>
  <c r="X36" i="50"/>
  <c r="S69" i="50"/>
  <c r="V30" i="51"/>
  <c r="AB72" i="47"/>
  <c r="X169" i="49"/>
  <c r="AB8" i="48"/>
  <c r="Y115" i="49"/>
  <c r="V5" i="51"/>
  <c r="L14" i="51"/>
  <c r="S38" i="50"/>
  <c r="N258" i="49"/>
  <c r="Z197" i="49"/>
  <c r="AC2" i="50" a="1"/>
  <c r="X339" i="49"/>
  <c r="N68" i="53"/>
  <c r="AA159" i="49"/>
  <c r="O59" i="53"/>
  <c r="AC2" i="53" a="1"/>
  <c r="O49" i="50"/>
  <c r="S341" i="49"/>
  <c r="D37" i="52"/>
  <c r="AB213" i="49"/>
  <c r="J57" i="50"/>
  <c r="N53" i="53"/>
  <c r="N174" i="49"/>
  <c r="T42" i="48"/>
  <c r="Z64" i="50"/>
  <c r="I31" i="59"/>
  <c r="Z254" i="49"/>
  <c r="T60" i="50"/>
  <c r="D13" i="52"/>
  <c r="S33" i="53"/>
  <c r="T5" i="53"/>
  <c r="AA161" i="49"/>
  <c r="AI18" i="50"/>
  <c r="AB38" i="47"/>
  <c r="AG110" i="43"/>
  <c r="T53" i="50"/>
  <c r="S85" i="53"/>
  <c r="Y3" i="42" a="1"/>
  <c r="T96" i="49"/>
  <c r="O323" i="49"/>
  <c r="AA124" i="50"/>
  <c r="S19" i="48"/>
  <c r="AA44" i="50"/>
  <c r="R7" i="40"/>
  <c r="AB56" i="48"/>
  <c r="Z19" i="48"/>
  <c r="N20" i="39"/>
  <c r="X294" i="49"/>
  <c r="N45" i="50"/>
  <c r="X21" i="51"/>
  <c r="J10" i="39"/>
  <c r="R420" i="33"/>
  <c r="L42" i="51"/>
  <c r="O35" i="48"/>
  <c r="AF16" i="42"/>
  <c r="N11" i="48"/>
  <c r="AA42" i="49"/>
  <c r="AB9" i="49"/>
  <c r="R52" i="51"/>
  <c r="X43" i="50"/>
  <c r="J59" i="50"/>
  <c r="J23" i="42"/>
  <c r="AB58" i="47"/>
  <c r="R238" i="37"/>
  <c r="T124" i="50"/>
  <c r="T61" i="50"/>
  <c r="L57" i="51"/>
  <c r="X79" i="49"/>
  <c r="Y37" i="53"/>
  <c r="AB24" i="48"/>
  <c r="S251" i="39"/>
  <c r="N43" i="53"/>
  <c r="Y95" i="50"/>
  <c r="AG64" i="44"/>
  <c r="N23" i="59"/>
  <c r="N324" i="49"/>
  <c r="Z377" i="49"/>
  <c r="AI23" i="48"/>
  <c r="O358" i="49"/>
  <c r="X56" i="49"/>
  <c r="AB62" i="50"/>
  <c r="AA39" i="49"/>
  <c r="N57" i="53"/>
  <c r="AA355" i="49"/>
  <c r="Y134" i="49"/>
  <c r="B15" i="51"/>
  <c r="Y68" i="49"/>
  <c r="L39" i="51"/>
  <c r="Y13" i="47"/>
  <c r="X115" i="49"/>
  <c r="T57" i="49"/>
  <c r="J33" i="48"/>
  <c r="Z135" i="49"/>
  <c r="Z62" i="53"/>
  <c r="S213" i="39"/>
  <c r="AB75" i="47"/>
  <c r="O39" i="49"/>
  <c r="N25" i="47"/>
  <c r="Y45" i="47"/>
  <c r="S139" i="49"/>
  <c r="AA85" i="53"/>
  <c r="T78" i="48"/>
  <c r="S65" i="53"/>
  <c r="AA138" i="49"/>
  <c r="N27" i="59"/>
  <c r="T176" i="49"/>
  <c r="V4" i="39"/>
  <c r="AA8" i="48"/>
  <c r="W54" i="51"/>
  <c r="Z69" i="47"/>
  <c r="S241" i="39"/>
  <c r="C27" i="54"/>
  <c r="N15" i="59"/>
  <c r="L27" i="59"/>
  <c r="AA70" i="47"/>
  <c r="S86" i="38"/>
  <c r="T358" i="49"/>
  <c r="S126" i="49"/>
  <c r="S36" i="49"/>
  <c r="S23" i="48"/>
  <c r="Y321" i="49"/>
  <c r="R220" i="39"/>
  <c r="N6" i="48"/>
  <c r="X8" i="49"/>
  <c r="Y74" i="47"/>
  <c r="AB48" i="48"/>
  <c r="N8" i="50"/>
  <c r="T41" i="53"/>
  <c r="O28" i="53"/>
  <c r="Y63" i="53"/>
  <c r="S73" i="49"/>
  <c r="AB157" i="49"/>
  <c r="X95" i="50"/>
  <c r="AB183" i="49"/>
  <c r="Q30" i="51"/>
  <c r="G19" i="39"/>
  <c r="H10" i="37"/>
  <c r="X195" i="49"/>
  <c r="S29" i="49"/>
  <c r="Z14" i="48"/>
  <c r="T39" i="53"/>
  <c r="Z84" i="53"/>
  <c r="N18" i="47"/>
  <c r="Z43" i="48"/>
  <c r="Z60" i="48"/>
  <c r="AA94" i="50"/>
  <c r="N13" i="53"/>
  <c r="AA9" i="49"/>
  <c r="N11" i="49"/>
  <c r="Y72" i="49"/>
  <c r="Q33" i="51"/>
  <c r="X20" i="49"/>
  <c r="AA55" i="50"/>
  <c r="O88" i="53"/>
  <c r="D19" i="54"/>
  <c r="Z31" i="51"/>
  <c r="Z94" i="50"/>
  <c r="O270" i="49"/>
  <c r="AA182" i="49"/>
  <c r="O353" i="49"/>
  <c r="C27" i="50"/>
  <c r="AA18" i="53"/>
  <c r="X319" i="49"/>
  <c r="O70" i="48"/>
  <c r="Z4" i="40"/>
  <c r="Z285" i="49"/>
  <c r="Y83" i="48"/>
  <c r="AA144" i="49"/>
  <c r="X100" i="49"/>
  <c r="Z283" i="49"/>
  <c r="S181" i="49"/>
  <c r="T19" i="53"/>
  <c r="N59" i="50"/>
  <c r="T321" i="49"/>
  <c r="X19" i="48"/>
  <c r="Y32" i="53"/>
  <c r="T56" i="53"/>
  <c r="Z23" i="50"/>
  <c r="Z250" i="49"/>
  <c r="Y17" i="50"/>
  <c r="Y272" i="49"/>
  <c r="I38" i="52"/>
  <c r="N89" i="50"/>
  <c r="X44" i="49"/>
  <c r="AB15" i="53"/>
  <c r="Y119" i="50"/>
  <c r="X81" i="53"/>
  <c r="AA163" i="49"/>
  <c r="N31" i="50"/>
  <c r="AB223" i="49"/>
  <c r="Z306" i="49"/>
  <c r="D28" i="52"/>
  <c r="J3" i="39"/>
  <c r="W52" i="51"/>
  <c r="S376" i="49"/>
  <c r="AA314" i="49"/>
  <c r="X64" i="53"/>
  <c r="AB133" i="49"/>
  <c r="AA84" i="48"/>
  <c r="X54" i="50"/>
  <c r="AA167" i="49"/>
  <c r="Y67" i="47"/>
  <c r="X27" i="53"/>
  <c r="Y26" i="50"/>
  <c r="N51" i="53"/>
  <c r="S50" i="47"/>
  <c r="O68" i="53"/>
  <c r="AA89" i="48"/>
  <c r="T81" i="48"/>
  <c r="N79" i="50"/>
  <c r="X336" i="49"/>
  <c r="S204" i="49"/>
  <c r="Z121" i="50"/>
  <c r="N18" i="53"/>
  <c r="N21" i="59"/>
  <c r="C46" i="53"/>
  <c r="AB89" i="48"/>
  <c r="O29" i="49"/>
  <c r="Y20" i="53"/>
  <c r="AA11" i="50"/>
  <c r="H22" i="52"/>
  <c r="S67" i="47"/>
  <c r="Y108" i="50"/>
  <c r="O56" i="53"/>
  <c r="H39" i="51"/>
  <c r="S159" i="38"/>
  <c r="N120" i="49"/>
  <c r="AA155" i="49"/>
  <c r="AB37" i="49"/>
  <c r="S118" i="49"/>
  <c r="T205" i="49"/>
  <c r="X65" i="49"/>
  <c r="AB353" i="49"/>
  <c r="Z340" i="49"/>
  <c r="E24" i="39"/>
  <c r="Z215" i="49"/>
  <c r="AA6" i="53"/>
  <c r="AA70" i="53"/>
  <c r="X115" i="50"/>
  <c r="O76" i="48"/>
  <c r="AF144" i="42"/>
  <c r="U6" i="61"/>
  <c r="AB77" i="53"/>
  <c r="S162" i="38"/>
  <c r="S310" i="49"/>
  <c r="V27" i="40"/>
  <c r="Z54" i="47"/>
  <c r="Z57" i="50"/>
  <c r="R224" i="39"/>
  <c r="S211" i="37"/>
  <c r="S328" i="49"/>
  <c r="Q8" i="51"/>
  <c r="AA28" i="47"/>
  <c r="O13" i="48"/>
  <c r="O89" i="53"/>
  <c r="S155" i="39"/>
  <c r="X44" i="50"/>
  <c r="AF20" i="48"/>
  <c r="O83" i="50"/>
  <c r="T24" i="53"/>
  <c r="E5" i="42"/>
  <c r="Z70" i="50"/>
  <c r="Z52" i="47"/>
  <c r="Y57" i="50"/>
  <c r="AA21" i="53"/>
  <c r="AF239" i="42"/>
  <c r="E4" i="59"/>
  <c r="Y57" i="47"/>
  <c r="O51" i="50"/>
  <c r="T89" i="48"/>
  <c r="Z83" i="48"/>
  <c r="AB68" i="53"/>
  <c r="X3" i="53"/>
  <c r="S84" i="53"/>
  <c r="Z41" i="50"/>
  <c r="T362" i="49"/>
  <c r="AB74" i="53"/>
  <c r="S316" i="49"/>
  <c r="C15" i="51"/>
  <c r="Z14" i="49"/>
  <c r="Q11" i="33"/>
  <c r="S289" i="49"/>
  <c r="R26" i="51"/>
  <c r="Y108" i="49"/>
  <c r="Z378" i="49"/>
  <c r="AB150" i="49"/>
  <c r="N55" i="48"/>
  <c r="Y373" i="49"/>
  <c r="O30" i="53"/>
  <c r="N63" i="53"/>
  <c r="N91" i="48"/>
  <c r="AJ3" i="47"/>
  <c r="Z214" i="49"/>
  <c r="X73" i="47"/>
  <c r="H3" i="54"/>
  <c r="T71" i="50"/>
  <c r="S165" i="37"/>
  <c r="W28" i="51"/>
  <c r="Y48" i="47"/>
  <c r="R234" i="33"/>
  <c r="Z21" i="47"/>
  <c r="W3" i="51"/>
  <c r="O85" i="53"/>
  <c r="Z37" i="51"/>
  <c r="S208" i="39"/>
  <c r="S87" i="50"/>
  <c r="T62" i="53"/>
  <c r="Y278" i="49"/>
  <c r="T44" i="49"/>
  <c r="Y23" i="51"/>
  <c r="S17" i="53"/>
  <c r="Y303" i="49"/>
  <c r="AG35" i="43"/>
  <c r="Z40" i="50"/>
  <c r="S227" i="49"/>
  <c r="AA48" i="50"/>
  <c r="Y3" i="49"/>
  <c r="Y29" i="49"/>
  <c r="X16" i="53"/>
  <c r="T313" i="49"/>
  <c r="N74" i="53"/>
  <c r="O48" i="53"/>
  <c r="Z150" i="49"/>
  <c r="G7" i="12"/>
  <c r="AA56" i="53"/>
  <c r="S11" i="47"/>
  <c r="S18" i="53"/>
  <c r="AB256" i="49"/>
  <c r="O222" i="49"/>
  <c r="O80" i="48"/>
  <c r="Y54" i="50"/>
  <c r="Y167" i="49"/>
  <c r="AF17" i="51"/>
  <c r="AA41" i="50"/>
  <c r="X19" i="47"/>
  <c r="O217" i="49"/>
  <c r="Z16" i="47"/>
  <c r="Q29" i="51"/>
  <c r="O69" i="53"/>
  <c r="AB19" i="48"/>
  <c r="T4" i="49"/>
  <c r="Z63" i="47"/>
  <c r="AB9" i="50"/>
  <c r="X2" i="61"/>
  <c r="X151" i="49"/>
  <c r="AB108" i="49"/>
  <c r="Y84" i="48"/>
  <c r="C51" i="53"/>
  <c r="R20" i="51"/>
  <c r="Y355" i="49"/>
  <c r="T76" i="48"/>
  <c r="M13" i="51"/>
  <c r="T75" i="53"/>
  <c r="S86" i="48"/>
  <c r="AB36" i="53"/>
  <c r="X75" i="49"/>
  <c r="Z206" i="49"/>
  <c r="AA249" i="49"/>
  <c r="AA42" i="53"/>
  <c r="Y238" i="49"/>
  <c r="AA63" i="49"/>
  <c r="AB110" i="50"/>
  <c r="AB8" i="47"/>
  <c r="O23" i="48"/>
  <c r="O266" i="49"/>
  <c r="X211" i="49"/>
  <c r="N11" i="50"/>
  <c r="O6" i="50"/>
  <c r="Y18" i="50"/>
  <c r="AB11" i="47"/>
  <c r="Y57" i="53"/>
  <c r="N92" i="48"/>
  <c r="X39" i="50"/>
  <c r="T6" i="48"/>
  <c r="T63" i="53"/>
  <c r="W39" i="51"/>
  <c r="Y145" i="49"/>
  <c r="O73" i="53"/>
  <c r="Z40" i="51"/>
  <c r="AB4" i="48"/>
  <c r="S160" i="39"/>
  <c r="AA27" i="50"/>
  <c r="O77" i="50"/>
  <c r="J20" i="48"/>
  <c r="H35" i="51"/>
  <c r="Y223" i="49"/>
  <c r="N24" i="59"/>
  <c r="AA307" i="49"/>
  <c r="T115" i="50"/>
  <c r="S150" i="38"/>
  <c r="AB226" i="49"/>
  <c r="S217" i="37"/>
  <c r="Y40" i="51"/>
  <c r="Y54" i="48"/>
  <c r="X287" i="49"/>
  <c r="C44" i="53"/>
  <c r="O125" i="49"/>
  <c r="S62" i="53"/>
  <c r="X15" i="49"/>
  <c r="AA126" i="49"/>
  <c r="Z59" i="50"/>
  <c r="AB254" i="49"/>
  <c r="S350" i="49"/>
  <c r="Y28" i="47"/>
  <c r="Y177" i="49"/>
  <c r="N262" i="49"/>
  <c r="S51" i="48"/>
  <c r="T300" i="49"/>
  <c r="L4" i="59"/>
  <c r="Y3" i="34"/>
  <c r="S12" i="38"/>
  <c r="O16" i="53"/>
  <c r="Z4" i="47"/>
  <c r="L3" i="43"/>
  <c r="AA83" i="49"/>
  <c r="N3" i="59"/>
  <c r="Y14" i="51"/>
  <c r="Y169" i="49"/>
  <c r="X83" i="53"/>
  <c r="AB17" i="53"/>
  <c r="Z284" i="49"/>
  <c r="AB59" i="47"/>
  <c r="Z3" i="50"/>
  <c r="X68" i="50"/>
  <c r="AG22" i="51"/>
  <c r="Q11" i="51"/>
  <c r="X19" i="53"/>
  <c r="AB53" i="47"/>
  <c r="N231" i="49"/>
  <c r="AB97" i="50"/>
  <c r="O24" i="53"/>
  <c r="S65" i="47"/>
  <c r="AB45" i="50"/>
  <c r="AB327" i="49"/>
  <c r="N20" i="59"/>
  <c r="AG19" i="43"/>
  <c r="N25" i="59"/>
  <c r="L8" i="51"/>
  <c r="M55" i="51"/>
  <c r="B2" i="55" a="1"/>
  <c r="C29" i="59"/>
  <c r="A3" i="55" a="1"/>
  <c r="A3" i="57" a="1"/>
  <c r="C35" i="59"/>
  <c r="C50" i="59"/>
  <c r="C43" i="59"/>
  <c r="M50" i="59"/>
  <c r="M51" i="59"/>
  <c r="G50" i="59"/>
  <c r="C51" i="59"/>
  <c r="B2" i="57" a="1"/>
  <c r="C47" i="59"/>
  <c r="G51" i="59"/>
  <c r="G49" i="59" l="1"/>
  <c r="C49" i="59"/>
  <c r="M120" i="57"/>
  <c r="F95" i="57"/>
  <c r="H7" i="57"/>
  <c r="D46" i="57"/>
  <c r="M99" i="57"/>
  <c r="G20" i="57"/>
  <c r="F122" i="57"/>
  <c r="D87" i="57"/>
  <c r="U39" i="57"/>
  <c r="B38" i="57"/>
  <c r="Q66" i="57"/>
  <c r="Q55" i="57"/>
  <c r="G93" i="57"/>
  <c r="P38" i="57"/>
  <c r="G69" i="57"/>
  <c r="D19" i="57"/>
  <c r="L104" i="57"/>
  <c r="Q27" i="57"/>
  <c r="U90" i="57"/>
  <c r="J14" i="57"/>
  <c r="N49" i="57"/>
  <c r="D39" i="57"/>
  <c r="M113" i="57"/>
  <c r="R10" i="57"/>
  <c r="C103" i="57"/>
  <c r="K89" i="57"/>
  <c r="Q85" i="57"/>
  <c r="I105" i="57"/>
  <c r="Q49" i="57"/>
  <c r="H47" i="57"/>
  <c r="B25" i="57"/>
  <c r="K14" i="57"/>
  <c r="B79" i="57"/>
  <c r="L118" i="57"/>
  <c r="E40" i="57"/>
  <c r="I18" i="57"/>
  <c r="R103" i="57"/>
  <c r="U75" i="57"/>
  <c r="P80" i="57"/>
  <c r="M101" i="57"/>
  <c r="P16" i="57"/>
  <c r="J40" i="57"/>
  <c r="N53" i="57"/>
  <c r="P46" i="57"/>
  <c r="E10" i="57"/>
  <c r="D59" i="57"/>
  <c r="L55" i="57"/>
  <c r="F4" i="57"/>
  <c r="D9" i="57"/>
  <c r="U114" i="57"/>
  <c r="I35" i="57"/>
  <c r="B75" i="57"/>
  <c r="S19" i="57"/>
  <c r="J64" i="57"/>
  <c r="I64" i="57"/>
  <c r="C71" i="57"/>
  <c r="S83" i="57"/>
  <c r="B2" i="57"/>
  <c r="K58" i="57"/>
  <c r="N86" i="57"/>
  <c r="M19" i="57"/>
  <c r="I49" i="57"/>
  <c r="D110" i="57"/>
  <c r="M8" i="57"/>
  <c r="I11" i="57"/>
  <c r="J58" i="57"/>
  <c r="F17" i="57"/>
  <c r="U111" i="57"/>
  <c r="G8" i="57"/>
  <c r="O10" i="57"/>
  <c r="B7" i="57"/>
  <c r="I107" i="57"/>
  <c r="R36" i="57"/>
  <c r="Q80" i="57"/>
  <c r="L22" i="57"/>
  <c r="D70" i="57"/>
  <c r="J102" i="57"/>
  <c r="M103" i="57"/>
  <c r="J3" i="57"/>
  <c r="I12" i="57"/>
  <c r="B108" i="57"/>
  <c r="R43" i="57"/>
  <c r="J47" i="57"/>
  <c r="J20" i="57"/>
  <c r="F105" i="57"/>
  <c r="N68" i="57"/>
  <c r="T86" i="57"/>
  <c r="M51" i="57"/>
  <c r="U4" i="57"/>
  <c r="S29" i="57"/>
  <c r="C47" i="57"/>
  <c r="J84" i="57"/>
  <c r="M108" i="57"/>
  <c r="C44" i="57"/>
  <c r="Q56" i="57"/>
  <c r="Q12" i="57"/>
  <c r="D119" i="57"/>
  <c r="R9" i="57"/>
  <c r="F63" i="57"/>
  <c r="O19" i="57"/>
  <c r="C34" i="57"/>
  <c r="K70" i="57"/>
  <c r="N50" i="57"/>
  <c r="K61" i="57"/>
  <c r="C78" i="57"/>
  <c r="E76" i="57"/>
  <c r="S79" i="57"/>
  <c r="K118" i="57"/>
  <c r="B32" i="57"/>
  <c r="B49" i="57"/>
  <c r="U74" i="57"/>
  <c r="Q107" i="57"/>
  <c r="O41" i="57"/>
  <c r="G32" i="57"/>
  <c r="C56" i="57"/>
  <c r="S84" i="57"/>
  <c r="T82" i="57"/>
  <c r="R117" i="57"/>
  <c r="P93" i="57"/>
  <c r="C57" i="57"/>
  <c r="B48" i="57"/>
  <c r="G9" i="57"/>
  <c r="B96" i="57"/>
  <c r="Q40" i="57"/>
  <c r="U44" i="57"/>
  <c r="M37" i="57"/>
  <c r="M105" i="57"/>
  <c r="S4" i="57"/>
  <c r="D54" i="57"/>
  <c r="K53" i="57"/>
  <c r="R57" i="57"/>
  <c r="R2" i="57"/>
  <c r="N55" i="57"/>
  <c r="B77" i="57"/>
  <c r="L85" i="57"/>
  <c r="G115" i="57"/>
  <c r="L43" i="57"/>
  <c r="M16" i="57"/>
  <c r="B98" i="57"/>
  <c r="M15" i="57"/>
  <c r="F81" i="57"/>
  <c r="Q74" i="57"/>
  <c r="C14" i="57"/>
  <c r="P90" i="57"/>
  <c r="P111" i="57"/>
  <c r="H35" i="57"/>
  <c r="M82" i="57"/>
  <c r="K12" i="57"/>
  <c r="M3" i="57"/>
  <c r="E73" i="57"/>
  <c r="B36" i="57"/>
  <c r="M4" i="57"/>
  <c r="P26" i="57"/>
  <c r="T42" i="57"/>
  <c r="E101" i="57"/>
  <c r="U72" i="57"/>
  <c r="S102" i="57"/>
  <c r="I62" i="57"/>
  <c r="S101" i="57"/>
  <c r="Q94" i="57"/>
  <c r="R26" i="57"/>
  <c r="P114" i="57"/>
  <c r="I117" i="57"/>
  <c r="N116" i="57"/>
  <c r="Q95" i="57"/>
  <c r="H26" i="57"/>
  <c r="M49" i="57"/>
  <c r="C3" i="57"/>
  <c r="S75" i="57"/>
  <c r="R34" i="57"/>
  <c r="T43" i="57"/>
  <c r="E47" i="57"/>
  <c r="D71" i="57"/>
  <c r="P42" i="57"/>
  <c r="T48" i="57"/>
  <c r="Q3" i="57"/>
  <c r="B21" i="57"/>
  <c r="N71" i="57"/>
  <c r="K75" i="57"/>
  <c r="T111" i="57"/>
  <c r="P113" i="57"/>
  <c r="N65" i="57"/>
  <c r="U82" i="57"/>
  <c r="P39" i="57"/>
  <c r="K48" i="57"/>
  <c r="G99" i="57"/>
  <c r="C32" i="57"/>
  <c r="J71" i="57"/>
  <c r="P30" i="57"/>
  <c r="N61" i="57"/>
  <c r="N51" i="57"/>
  <c r="R45" i="57"/>
  <c r="I114" i="57"/>
  <c r="B100" i="57"/>
  <c r="G56" i="57"/>
  <c r="H60" i="57"/>
  <c r="P43" i="57"/>
  <c r="M73" i="57"/>
  <c r="P81" i="57"/>
  <c r="P96" i="57"/>
  <c r="D91" i="57"/>
  <c r="G82" i="57"/>
  <c r="J114" i="57"/>
  <c r="H75" i="57"/>
  <c r="B43" i="57"/>
  <c r="P92" i="57"/>
  <c r="E70" i="57"/>
  <c r="O119" i="57"/>
  <c r="I16" i="57"/>
  <c r="B27" i="57"/>
  <c r="J106" i="57"/>
  <c r="M115" i="57"/>
  <c r="L59" i="57"/>
  <c r="F34" i="57"/>
  <c r="H25" i="57"/>
  <c r="B109" i="57"/>
  <c r="I116" i="57"/>
  <c r="O109" i="57"/>
  <c r="M95" i="57"/>
  <c r="C21" i="57"/>
  <c r="D38" i="57"/>
  <c r="J82" i="57"/>
  <c r="E103" i="57"/>
  <c r="P87" i="57"/>
  <c r="K66" i="57"/>
  <c r="I96" i="57"/>
  <c r="J23" i="57"/>
  <c r="C87" i="57"/>
  <c r="B17" i="57"/>
  <c r="S33" i="57"/>
  <c r="U117" i="57"/>
  <c r="G104" i="57"/>
  <c r="O75" i="57"/>
  <c r="I93" i="57"/>
  <c r="L34" i="57"/>
  <c r="J30" i="57"/>
  <c r="D75" i="57"/>
  <c r="E80" i="57"/>
  <c r="U102" i="57"/>
  <c r="P31" i="57"/>
  <c r="B34" i="57"/>
  <c r="T83" i="57"/>
  <c r="R54" i="57"/>
  <c r="I54" i="57"/>
  <c r="F10" i="57"/>
  <c r="S122" i="57"/>
  <c r="T73" i="57"/>
  <c r="B66" i="57"/>
  <c r="L66" i="57"/>
  <c r="E108" i="57"/>
  <c r="J34" i="57"/>
  <c r="T75" i="57"/>
  <c r="J70" i="57"/>
  <c r="L71" i="57"/>
  <c r="P55" i="57"/>
  <c r="M122" i="57"/>
  <c r="S105" i="57"/>
  <c r="N7" i="57"/>
  <c r="K33" i="57"/>
  <c r="R33" i="57"/>
  <c r="Q114" i="57"/>
  <c r="Q38" i="57"/>
  <c r="B94" i="57"/>
  <c r="U78" i="57"/>
  <c r="H52" i="57"/>
  <c r="N45" i="57"/>
  <c r="E105" i="57"/>
  <c r="H13" i="57"/>
  <c r="J63" i="57"/>
  <c r="G108" i="57"/>
  <c r="S56" i="57"/>
  <c r="L13" i="57"/>
  <c r="I85" i="57"/>
  <c r="D111" i="57"/>
  <c r="H49" i="57"/>
  <c r="F16" i="57"/>
  <c r="D29" i="57"/>
  <c r="N92" i="57"/>
  <c r="F38" i="57"/>
  <c r="P86" i="57"/>
  <c r="Q21" i="57"/>
  <c r="N108" i="57"/>
  <c r="I28" i="57"/>
  <c r="T41" i="57"/>
  <c r="M65" i="57"/>
  <c r="I3" i="57"/>
  <c r="C97" i="57"/>
  <c r="I25" i="57"/>
  <c r="K97" i="57"/>
  <c r="P34" i="57"/>
  <c r="F108" i="57"/>
  <c r="E120" i="57"/>
  <c r="L20" i="57"/>
  <c r="C58" i="57"/>
  <c r="P112" i="57"/>
  <c r="N89" i="57"/>
  <c r="K73" i="57"/>
  <c r="C61" i="57"/>
  <c r="B12" i="57"/>
  <c r="R97" i="57"/>
  <c r="T102" i="57"/>
  <c r="G17" i="57"/>
  <c r="Q112" i="57"/>
  <c r="L73" i="57"/>
  <c r="G87" i="57"/>
  <c r="T39" i="57"/>
  <c r="K41" i="57"/>
  <c r="F85" i="57"/>
  <c r="O99" i="57"/>
  <c r="R60" i="57"/>
  <c r="R95" i="57"/>
  <c r="D114" i="57"/>
  <c r="C16" i="57"/>
  <c r="H111" i="57"/>
  <c r="O84" i="57"/>
  <c r="G114" i="57"/>
  <c r="E31" i="57"/>
  <c r="I37" i="57"/>
  <c r="K107" i="57"/>
  <c r="O97" i="57"/>
  <c r="R65" i="57"/>
  <c r="H78" i="57"/>
  <c r="C98" i="57"/>
  <c r="L68" i="57"/>
  <c r="T8" i="57"/>
  <c r="B62" i="57"/>
  <c r="R15" i="57"/>
  <c r="K106" i="57"/>
  <c r="E68" i="57"/>
  <c r="N87" i="57"/>
  <c r="H39" i="57"/>
  <c r="L61" i="57"/>
  <c r="J72" i="57"/>
  <c r="J87" i="57"/>
  <c r="F107" i="57"/>
  <c r="E83" i="57"/>
  <c r="Q39" i="57"/>
  <c r="F84" i="57"/>
  <c r="T12" i="57"/>
  <c r="K105" i="57"/>
  <c r="H115" i="57"/>
  <c r="D22" i="57"/>
  <c r="L108" i="57"/>
  <c r="R61" i="57"/>
  <c r="E21" i="57"/>
  <c r="F47" i="57"/>
  <c r="F44" i="57"/>
  <c r="P63" i="57"/>
  <c r="F21" i="57"/>
  <c r="R38" i="57"/>
  <c r="C117" i="57"/>
  <c r="P67" i="57"/>
  <c r="Q110" i="57"/>
  <c r="D58" i="57"/>
  <c r="Q8" i="57"/>
  <c r="S30" i="57"/>
  <c r="I112" i="57"/>
  <c r="T23" i="57"/>
  <c r="M69" i="57"/>
  <c r="F111" i="57"/>
  <c r="F74" i="57"/>
  <c r="T35" i="57"/>
  <c r="J66" i="57"/>
  <c r="N52" i="57"/>
  <c r="E60" i="57"/>
  <c r="P88" i="57"/>
  <c r="J36" i="57"/>
  <c r="O39" i="57"/>
  <c r="B85" i="57"/>
  <c r="B86" i="57"/>
  <c r="R67" i="57"/>
  <c r="G105" i="57"/>
  <c r="F25" i="57"/>
  <c r="J101" i="57"/>
  <c r="D40" i="57"/>
  <c r="R106" i="57"/>
  <c r="N6" i="57"/>
  <c r="F83" i="57"/>
  <c r="Q42" i="57"/>
  <c r="B121" i="57"/>
  <c r="T109" i="57"/>
  <c r="D49" i="57"/>
  <c r="R46" i="57"/>
  <c r="M46" i="57"/>
  <c r="B15" i="57"/>
  <c r="R25" i="57"/>
  <c r="L67" i="57"/>
  <c r="Q106" i="57"/>
  <c r="Q43" i="57"/>
  <c r="U26" i="57"/>
  <c r="P100" i="57"/>
  <c r="L95" i="57"/>
  <c r="P35" i="57"/>
  <c r="D102" i="57"/>
  <c r="F97" i="57"/>
  <c r="M31" i="57"/>
  <c r="L121" i="57"/>
  <c r="Q41" i="57"/>
  <c r="F13" i="57"/>
  <c r="B82" i="57"/>
  <c r="B16" i="57"/>
  <c r="B63" i="57"/>
  <c r="J9" i="57"/>
  <c r="E79" i="57"/>
  <c r="C95" i="57"/>
  <c r="H86" i="57"/>
  <c r="K116" i="57"/>
  <c r="Q51" i="57"/>
  <c r="L51" i="57"/>
  <c r="Q104" i="57"/>
  <c r="O12" i="57"/>
  <c r="E20" i="57"/>
  <c r="N28" i="57"/>
  <c r="H30" i="57"/>
  <c r="D3" i="57"/>
  <c r="B122" i="57"/>
  <c r="F86" i="57"/>
  <c r="S104" i="57"/>
  <c r="U56" i="57"/>
  <c r="P54" i="57"/>
  <c r="F37" i="57"/>
  <c r="U119" i="57"/>
  <c r="S54" i="57"/>
  <c r="D2" i="57"/>
  <c r="O95" i="57"/>
  <c r="H20" i="57"/>
  <c r="U49" i="57"/>
  <c r="R102" i="57"/>
  <c r="E2" i="57"/>
  <c r="Q73" i="57"/>
  <c r="P23" i="57"/>
  <c r="M28" i="57"/>
  <c r="F58" i="57"/>
  <c r="K72" i="57"/>
  <c r="M93" i="57"/>
  <c r="G120" i="57"/>
  <c r="U95" i="57"/>
  <c r="T62" i="57"/>
  <c r="S53" i="57"/>
  <c r="T66" i="57"/>
  <c r="L39" i="57"/>
  <c r="M70" i="57"/>
  <c r="E62" i="57"/>
  <c r="D60" i="57"/>
  <c r="R108" i="57"/>
  <c r="K35" i="57"/>
  <c r="H118" i="57"/>
  <c r="D11" i="57"/>
  <c r="S18" i="57"/>
  <c r="D62" i="57"/>
  <c r="T22" i="57"/>
  <c r="M32" i="57"/>
  <c r="M62" i="57"/>
  <c r="J49" i="57"/>
  <c r="E69" i="57"/>
  <c r="L18" i="57"/>
  <c r="R71" i="57"/>
  <c r="O93" i="57"/>
  <c r="C17" i="57"/>
  <c r="H70" i="57"/>
  <c r="C28" i="57"/>
  <c r="U108" i="57"/>
  <c r="N66" i="57"/>
  <c r="L94" i="57"/>
  <c r="D103" i="57"/>
  <c r="N101" i="57"/>
  <c r="S3" i="57"/>
  <c r="R85" i="57"/>
  <c r="I50" i="57"/>
  <c r="G121" i="57"/>
  <c r="J28" i="57"/>
  <c r="U83" i="57"/>
  <c r="R93" i="57"/>
  <c r="G47" i="57"/>
  <c r="U87" i="57"/>
  <c r="P48" i="57"/>
  <c r="L58" i="57"/>
  <c r="H73" i="57"/>
  <c r="T53" i="57"/>
  <c r="O9" i="57"/>
  <c r="C81" i="57"/>
  <c r="L102" i="57"/>
  <c r="M116" i="57"/>
  <c r="Q63" i="57"/>
  <c r="N17" i="57"/>
  <c r="H95" i="57"/>
  <c r="M84" i="57"/>
  <c r="F77" i="57"/>
  <c r="K8" i="57"/>
  <c r="S9" i="57"/>
  <c r="N88" i="57"/>
  <c r="U104" i="57"/>
  <c r="Q77" i="57"/>
  <c r="N38" i="57"/>
  <c r="O4" i="57"/>
  <c r="H38" i="57"/>
  <c r="C76" i="57"/>
  <c r="H113" i="57"/>
  <c r="B64" i="57"/>
  <c r="D73" i="57"/>
  <c r="D51" i="57"/>
  <c r="T89" i="57"/>
  <c r="C83" i="57"/>
  <c r="T72" i="57"/>
  <c r="S31" i="57"/>
  <c r="E92" i="57"/>
  <c r="K16" i="57"/>
  <c r="J50" i="57"/>
  <c r="M121" i="57"/>
  <c r="R112" i="57"/>
  <c r="K38" i="57"/>
  <c r="K85" i="57"/>
  <c r="Q122" i="57"/>
  <c r="O64" i="57"/>
  <c r="Q96" i="57"/>
  <c r="G107" i="57"/>
  <c r="E45" i="57"/>
  <c r="F20" i="57"/>
  <c r="L17" i="57"/>
  <c r="S119" i="57"/>
  <c r="U89" i="57"/>
  <c r="M35" i="57"/>
  <c r="G15" i="57"/>
  <c r="N22" i="57"/>
  <c r="C42" i="57"/>
  <c r="K96" i="57"/>
  <c r="L78" i="57"/>
  <c r="C24" i="57"/>
  <c r="N119" i="57"/>
  <c r="L57" i="57"/>
  <c r="O5" i="57"/>
  <c r="R41" i="57"/>
  <c r="P109" i="57"/>
  <c r="J62" i="57"/>
  <c r="U28" i="57"/>
  <c r="D21" i="57"/>
  <c r="N54" i="57"/>
  <c r="R81" i="57"/>
  <c r="C65" i="57"/>
  <c r="I59" i="57"/>
  <c r="N34" i="57"/>
  <c r="T105" i="57"/>
  <c r="F11" i="57"/>
  <c r="M11" i="57"/>
  <c r="N56" i="57"/>
  <c r="J24" i="57"/>
  <c r="M21" i="57"/>
  <c r="J96" i="57"/>
  <c r="Q70" i="57"/>
  <c r="T19" i="57"/>
  <c r="K42" i="57"/>
  <c r="L97" i="57"/>
  <c r="N98" i="57"/>
  <c r="P56" i="57"/>
  <c r="K18" i="57"/>
  <c r="O55" i="57"/>
  <c r="O102" i="57"/>
  <c r="H97" i="57"/>
  <c r="H121" i="57"/>
  <c r="F80" i="57"/>
  <c r="K13" i="57"/>
  <c r="Q18" i="57"/>
  <c r="R68" i="57"/>
  <c r="P45" i="57"/>
  <c r="Q67" i="57"/>
  <c r="L75" i="57"/>
  <c r="O17" i="57"/>
  <c r="Q32" i="57"/>
  <c r="L72" i="57"/>
  <c r="H57" i="57"/>
  <c r="S15" i="57"/>
  <c r="P70" i="57"/>
  <c r="K7" i="57"/>
  <c r="G49" i="57"/>
  <c r="Q46" i="57"/>
  <c r="N122" i="57"/>
  <c r="G35" i="57"/>
  <c r="L120" i="57"/>
  <c r="E35" i="57"/>
  <c r="T94" i="57"/>
  <c r="F76" i="57"/>
  <c r="U110" i="57"/>
  <c r="G64" i="57"/>
  <c r="E102" i="57"/>
  <c r="G111" i="57"/>
  <c r="R27" i="57"/>
  <c r="D84" i="57"/>
  <c r="U62" i="57"/>
  <c r="L86" i="57"/>
  <c r="N72" i="57"/>
  <c r="Q25" i="57"/>
  <c r="C70" i="57"/>
  <c r="D24" i="57"/>
  <c r="R35" i="57"/>
  <c r="U43" i="57"/>
  <c r="L4" i="57"/>
  <c r="I39" i="57"/>
  <c r="M41" i="57"/>
  <c r="C109" i="57"/>
  <c r="L6" i="57"/>
  <c r="E93" i="57"/>
  <c r="F98" i="57"/>
  <c r="L56" i="57"/>
  <c r="N11" i="57"/>
  <c r="C38" i="57"/>
  <c r="J44" i="57"/>
  <c r="H54" i="57"/>
  <c r="C79" i="57"/>
  <c r="U112" i="57"/>
  <c r="R96" i="57"/>
  <c r="E58" i="57"/>
  <c r="F91" i="57"/>
  <c r="U96" i="57"/>
  <c r="Q54" i="57"/>
  <c r="T46" i="57"/>
  <c r="D83" i="57"/>
  <c r="T28" i="57"/>
  <c r="O42" i="57"/>
  <c r="F26" i="57"/>
  <c r="F57" i="57"/>
  <c r="L100" i="57"/>
  <c r="Q117" i="57"/>
  <c r="G84" i="57"/>
  <c r="K36" i="57"/>
  <c r="E14" i="57"/>
  <c r="M81" i="57"/>
  <c r="H22" i="57"/>
  <c r="E81" i="57"/>
  <c r="O60" i="57"/>
  <c r="R7" i="57"/>
  <c r="F43" i="57"/>
  <c r="B24" i="57"/>
  <c r="T118" i="57"/>
  <c r="G83" i="57"/>
  <c r="U97" i="57"/>
  <c r="E86" i="57"/>
  <c r="I84" i="57"/>
  <c r="P28" i="57"/>
  <c r="L103" i="57"/>
  <c r="L9" i="57"/>
  <c r="I91" i="57"/>
  <c r="R39" i="57"/>
  <c r="H96" i="57"/>
  <c r="M33" i="57"/>
  <c r="L42" i="57"/>
  <c r="I58" i="57"/>
  <c r="O46" i="57"/>
  <c r="M94" i="57"/>
  <c r="Q111" i="57"/>
  <c r="M79" i="57"/>
  <c r="S44" i="57"/>
  <c r="R31" i="57"/>
  <c r="B76" i="57"/>
  <c r="T50" i="57"/>
  <c r="K79" i="57"/>
  <c r="S13" i="57"/>
  <c r="J116" i="57"/>
  <c r="B45" i="57"/>
  <c r="F117" i="57"/>
  <c r="N70" i="57"/>
  <c r="Q31" i="57"/>
  <c r="R56" i="57"/>
  <c r="P40" i="57"/>
  <c r="G109" i="57"/>
  <c r="G98" i="57"/>
  <c r="L105" i="57"/>
  <c r="H101" i="57"/>
  <c r="P84" i="57"/>
  <c r="Q101" i="57"/>
  <c r="P115" i="57"/>
  <c r="T85" i="57"/>
  <c r="D78" i="57"/>
  <c r="F82" i="57"/>
  <c r="N58" i="57"/>
  <c r="L38" i="57"/>
  <c r="P8" i="57"/>
  <c r="E114" i="57"/>
  <c r="L93" i="57"/>
  <c r="F120" i="57"/>
  <c r="B102" i="57"/>
  <c r="Q83" i="57"/>
  <c r="B6" i="57"/>
  <c r="L116" i="57"/>
  <c r="O89" i="57"/>
  <c r="H48" i="57"/>
  <c r="R6" i="57"/>
  <c r="T56" i="57"/>
  <c r="L15" i="57"/>
  <c r="N57" i="57"/>
  <c r="K103" i="57"/>
  <c r="S5" i="57"/>
  <c r="J37" i="57"/>
  <c r="K81" i="57"/>
  <c r="E113" i="57"/>
  <c r="M114" i="57"/>
  <c r="R19" i="57"/>
  <c r="I103" i="57"/>
  <c r="U76" i="57"/>
  <c r="S38" i="57"/>
  <c r="P36" i="57"/>
  <c r="N37" i="57"/>
  <c r="F62" i="57"/>
  <c r="R74" i="57"/>
  <c r="S100" i="57"/>
  <c r="L70" i="57"/>
  <c r="J76" i="57"/>
  <c r="F65" i="57"/>
  <c r="B99" i="57"/>
  <c r="Q11" i="57"/>
  <c r="L46" i="57"/>
  <c r="D94" i="57"/>
  <c r="Q68" i="57"/>
  <c r="K104" i="57"/>
  <c r="E37" i="57"/>
  <c r="P119" i="57"/>
  <c r="F39" i="57"/>
  <c r="N12" i="57"/>
  <c r="E77" i="57"/>
  <c r="L12" i="57"/>
  <c r="L36" i="57"/>
  <c r="C105" i="57"/>
  <c r="N39" i="57"/>
  <c r="I99" i="57"/>
  <c r="F59" i="57"/>
  <c r="G70" i="57"/>
  <c r="Q71" i="57"/>
  <c r="N30" i="57"/>
  <c r="G60" i="57"/>
  <c r="R82" i="57"/>
  <c r="U13" i="57"/>
  <c r="J59" i="57"/>
  <c r="C46" i="57"/>
  <c r="T92" i="57"/>
  <c r="M42" i="57"/>
  <c r="Q4" i="57"/>
  <c r="B113" i="57"/>
  <c r="T40" i="57"/>
  <c r="J83" i="57"/>
  <c r="T38" i="57"/>
  <c r="I36" i="57"/>
  <c r="H110" i="57"/>
  <c r="J5" i="57"/>
  <c r="J91" i="57"/>
  <c r="P82" i="57"/>
  <c r="P62" i="57"/>
  <c r="K68" i="57"/>
  <c r="H107" i="57"/>
  <c r="O26" i="57"/>
  <c r="L2" i="57"/>
  <c r="N26" i="57"/>
  <c r="C92" i="57"/>
  <c r="D65" i="57"/>
  <c r="B56" i="57"/>
  <c r="T69" i="57"/>
  <c r="L32" i="57"/>
  <c r="B120" i="57"/>
  <c r="T51" i="57"/>
  <c r="K84" i="57"/>
  <c r="U61" i="57"/>
  <c r="E75" i="57"/>
  <c r="J11" i="57"/>
  <c r="D15" i="57"/>
  <c r="B55" i="57"/>
  <c r="G10" i="57"/>
  <c r="P116" i="57"/>
  <c r="L90" i="57"/>
  <c r="S95" i="57"/>
  <c r="S117" i="57"/>
  <c r="S97" i="57"/>
  <c r="G29" i="57"/>
  <c r="O16" i="57"/>
  <c r="R16" i="57"/>
  <c r="B53" i="57"/>
  <c r="H119" i="57"/>
  <c r="O105" i="57"/>
  <c r="P120" i="57"/>
  <c r="L28" i="57"/>
  <c r="I15" i="57"/>
  <c r="U32" i="57"/>
  <c r="Q109" i="57"/>
  <c r="S63" i="57"/>
  <c r="S20" i="57"/>
  <c r="Q47" i="57"/>
  <c r="U103" i="57"/>
  <c r="L33" i="57"/>
  <c r="E5" i="57"/>
  <c r="J88" i="57"/>
  <c r="P72" i="57"/>
  <c r="C115" i="57"/>
  <c r="I68" i="57"/>
  <c r="B37" i="57"/>
  <c r="I75" i="57"/>
  <c r="U6" i="57"/>
  <c r="T47" i="57"/>
  <c r="G96" i="57"/>
  <c r="S107" i="57"/>
  <c r="T30" i="57"/>
  <c r="H99" i="57"/>
  <c r="I120" i="57"/>
  <c r="O108" i="57"/>
  <c r="C85" i="57"/>
  <c r="G61" i="57"/>
  <c r="Q17" i="57"/>
  <c r="U70" i="57"/>
  <c r="M54" i="57"/>
  <c r="H14" i="57"/>
  <c r="O85" i="57"/>
  <c r="U69" i="57"/>
  <c r="I7" i="57"/>
  <c r="R51" i="57"/>
  <c r="B84" i="57"/>
  <c r="U57" i="57"/>
  <c r="N100" i="57"/>
  <c r="B35" i="57"/>
  <c r="U16" i="57"/>
  <c r="C108" i="57"/>
  <c r="M17" i="57"/>
  <c r="F64" i="57"/>
  <c r="O120" i="57"/>
  <c r="L60" i="57"/>
  <c r="E61" i="57"/>
  <c r="M26" i="57"/>
  <c r="T32" i="57"/>
  <c r="Q44" i="57"/>
  <c r="K122" i="57"/>
  <c r="L7" i="57"/>
  <c r="T117" i="57"/>
  <c r="O27" i="57"/>
  <c r="Q24" i="57"/>
  <c r="F32" i="57"/>
  <c r="G36" i="57"/>
  <c r="I115" i="57"/>
  <c r="P104" i="57"/>
  <c r="G72" i="57"/>
  <c r="U8" i="57"/>
  <c r="U40" i="57"/>
  <c r="T4" i="57"/>
  <c r="B87" i="57"/>
  <c r="F41" i="57"/>
  <c r="F99" i="57"/>
  <c r="P25" i="57"/>
  <c r="K95" i="57"/>
  <c r="G68" i="57"/>
  <c r="F90" i="57"/>
  <c r="T91" i="57"/>
  <c r="M60" i="57"/>
  <c r="R80" i="57"/>
  <c r="G40" i="57"/>
  <c r="E56" i="57"/>
  <c r="E23" i="57"/>
  <c r="R28" i="57"/>
  <c r="C60" i="57"/>
  <c r="O49" i="57"/>
  <c r="U30" i="57"/>
  <c r="S17" i="57"/>
  <c r="D28" i="57"/>
  <c r="N3" i="57"/>
  <c r="L83" i="57"/>
  <c r="K50" i="57"/>
  <c r="N40" i="57"/>
  <c r="E44" i="57"/>
  <c r="H44" i="57"/>
  <c r="O53" i="57"/>
  <c r="B3" i="57"/>
  <c r="M52" i="57"/>
  <c r="P71" i="57"/>
  <c r="B107" i="57"/>
  <c r="I32" i="57"/>
  <c r="P53" i="57"/>
  <c r="E99" i="57"/>
  <c r="P65" i="57"/>
  <c r="U101" i="57"/>
  <c r="J65" i="57"/>
  <c r="I71" i="57"/>
  <c r="H15" i="57"/>
  <c r="O6" i="57"/>
  <c r="P3" i="57"/>
  <c r="I94" i="57"/>
  <c r="B51" i="57"/>
  <c r="C107" i="57"/>
  <c r="K5" i="57"/>
  <c r="E3" i="57"/>
  <c r="C62" i="57"/>
  <c r="B73" i="57"/>
  <c r="J29" i="57"/>
  <c r="G57" i="57"/>
  <c r="J15" i="57"/>
  <c r="G79" i="57"/>
  <c r="T34" i="57"/>
  <c r="T63" i="57"/>
  <c r="C94" i="57"/>
  <c r="I23" i="57"/>
  <c r="R88" i="57"/>
  <c r="T122" i="57"/>
  <c r="H66" i="57"/>
  <c r="G19" i="57"/>
  <c r="O58" i="57"/>
  <c r="O113" i="57"/>
  <c r="P74" i="57"/>
  <c r="C102" i="57"/>
  <c r="S80" i="57"/>
  <c r="C50" i="57"/>
  <c r="N111" i="57"/>
  <c r="J60" i="57"/>
  <c r="U53" i="57"/>
  <c r="B117" i="57"/>
  <c r="R49" i="57"/>
  <c r="J92" i="57"/>
  <c r="N106" i="57"/>
  <c r="G118" i="57"/>
  <c r="L50" i="57"/>
  <c r="Q5" i="57"/>
  <c r="G75" i="57"/>
  <c r="S70" i="57"/>
  <c r="E51" i="57"/>
  <c r="U73" i="57"/>
  <c r="H76" i="57"/>
  <c r="E87" i="57"/>
  <c r="T31" i="57"/>
  <c r="S91" i="57"/>
  <c r="P95" i="57"/>
  <c r="O86" i="57"/>
  <c r="H5" i="57"/>
  <c r="O56" i="57"/>
  <c r="N32" i="57"/>
  <c r="J95" i="57"/>
  <c r="G14" i="57"/>
  <c r="M58" i="57"/>
  <c r="P20" i="57"/>
  <c r="M75" i="57"/>
  <c r="J42" i="57"/>
  <c r="I111" i="57"/>
  <c r="S11" i="57"/>
  <c r="K24" i="57"/>
  <c r="U5" i="57"/>
  <c r="E91" i="57"/>
  <c r="S110" i="57"/>
  <c r="U84" i="57"/>
  <c r="Q120" i="57"/>
  <c r="Q62" i="57"/>
  <c r="M87" i="57"/>
  <c r="P103" i="57"/>
  <c r="O20" i="57"/>
  <c r="U38" i="57"/>
  <c r="O2" i="57"/>
  <c r="R20" i="57"/>
  <c r="K121" i="57"/>
  <c r="J48" i="57"/>
  <c r="M71" i="57"/>
  <c r="D45" i="57"/>
  <c r="P99" i="57"/>
  <c r="H33" i="57"/>
  <c r="E55" i="57"/>
  <c r="E110" i="57"/>
  <c r="O51" i="57"/>
  <c r="U81" i="57"/>
  <c r="O40" i="57"/>
  <c r="O21" i="57"/>
  <c r="D118" i="57"/>
  <c r="J61" i="57"/>
  <c r="P32" i="57"/>
  <c r="I21" i="57"/>
  <c r="Q28" i="57"/>
  <c r="O28" i="57"/>
  <c r="H62" i="57"/>
  <c r="D99" i="57"/>
  <c r="B10" i="57"/>
  <c r="R44" i="57"/>
  <c r="C99" i="57"/>
  <c r="J27" i="57"/>
  <c r="J105" i="57"/>
  <c r="G28" i="57"/>
  <c r="I41" i="57"/>
  <c r="D107" i="57"/>
  <c r="U22" i="57"/>
  <c r="B95" i="57"/>
  <c r="D18" i="57"/>
  <c r="P2" i="57"/>
  <c r="I8" i="57"/>
  <c r="I10" i="57"/>
  <c r="S50" i="57"/>
  <c r="E48" i="57"/>
  <c r="R107" i="57"/>
  <c r="C52" i="57"/>
  <c r="G30" i="57"/>
  <c r="G86" i="57"/>
  <c r="U105" i="57"/>
  <c r="G116" i="57"/>
  <c r="M80" i="57"/>
  <c r="M59" i="57"/>
  <c r="O79" i="57"/>
  <c r="N80" i="57"/>
  <c r="H55" i="57"/>
  <c r="J103" i="57"/>
  <c r="I90" i="57"/>
  <c r="R99" i="57"/>
  <c r="K87" i="57"/>
  <c r="E22" i="57"/>
  <c r="E50" i="57"/>
  <c r="R90" i="57"/>
  <c r="K23" i="57"/>
  <c r="J80" i="57"/>
  <c r="K119" i="57"/>
  <c r="N118" i="57"/>
  <c r="I83" i="57"/>
  <c r="M89" i="57"/>
  <c r="D43" i="57"/>
  <c r="H64" i="57"/>
  <c r="L29" i="57"/>
  <c r="K44" i="57"/>
  <c r="D31" i="57"/>
  <c r="Q34" i="57"/>
  <c r="O88" i="57"/>
  <c r="Q60" i="57"/>
  <c r="F36" i="57"/>
  <c r="N47" i="57"/>
  <c r="N5" i="57"/>
  <c r="B9" i="57"/>
  <c r="C20" i="57"/>
  <c r="H46" i="57"/>
  <c r="J119" i="57"/>
  <c r="C86" i="57"/>
  <c r="F87" i="57"/>
  <c r="E13" i="57"/>
  <c r="P91" i="57"/>
  <c r="M64" i="57"/>
  <c r="H103" i="57"/>
  <c r="C119" i="57"/>
  <c r="P73" i="57"/>
  <c r="H19" i="57"/>
  <c r="E88" i="57"/>
  <c r="E82" i="57"/>
  <c r="O117" i="57"/>
  <c r="D32" i="57"/>
  <c r="B80" i="57"/>
  <c r="F5" i="57"/>
  <c r="F112" i="57"/>
  <c r="O23" i="57"/>
  <c r="C100" i="57"/>
  <c r="D14" i="57"/>
  <c r="L54" i="57"/>
  <c r="Q33" i="57"/>
  <c r="Q61" i="57"/>
  <c r="F31" i="57"/>
  <c r="B26" i="57"/>
  <c r="M68" i="57"/>
  <c r="I40" i="57"/>
  <c r="M40" i="57"/>
  <c r="K86" i="57"/>
  <c r="D115" i="57"/>
  <c r="D52" i="57"/>
  <c r="Q30" i="57"/>
  <c r="M61" i="57"/>
  <c r="N31" i="57"/>
  <c r="G50" i="57"/>
  <c r="P89" i="57"/>
  <c r="G54" i="57"/>
  <c r="H65" i="57"/>
  <c r="M112" i="57"/>
  <c r="F109" i="57"/>
  <c r="O57" i="57"/>
  <c r="T58" i="57"/>
  <c r="K22" i="57"/>
  <c r="I22" i="57"/>
  <c r="T52" i="57"/>
  <c r="U115" i="57"/>
  <c r="M6" i="57"/>
  <c r="C67" i="57"/>
  <c r="D5" i="57"/>
  <c r="M72" i="57"/>
  <c r="M12" i="57"/>
  <c r="E12" i="57"/>
  <c r="P61" i="57"/>
  <c r="G6" i="57"/>
  <c r="T76" i="57"/>
  <c r="R52" i="57"/>
  <c r="T29" i="57"/>
  <c r="L114" i="57"/>
  <c r="H69" i="57"/>
  <c r="N112" i="57"/>
  <c r="Q82" i="57"/>
  <c r="H114" i="57"/>
  <c r="S8" i="57"/>
  <c r="K6" i="57"/>
  <c r="I61" i="57"/>
  <c r="D79" i="57"/>
  <c r="D105" i="57"/>
  <c r="E29" i="57"/>
  <c r="R100" i="57"/>
  <c r="M7" i="57"/>
  <c r="F68" i="57"/>
  <c r="L113" i="57"/>
  <c r="E17" i="57"/>
  <c r="H45" i="57"/>
  <c r="L96" i="57"/>
  <c r="C35" i="57"/>
  <c r="F101" i="57"/>
  <c r="Q45" i="57"/>
  <c r="F60" i="57"/>
  <c r="M102" i="57"/>
  <c r="C93" i="57"/>
  <c r="J21" i="57"/>
  <c r="T5" i="57"/>
  <c r="S90" i="57"/>
  <c r="I87" i="57"/>
  <c r="J94" i="57"/>
  <c r="C72" i="57"/>
  <c r="T59" i="57"/>
  <c r="D35" i="57"/>
  <c r="J31" i="57"/>
  <c r="E106" i="57"/>
  <c r="C29" i="57"/>
  <c r="J90" i="57"/>
  <c r="J69" i="57"/>
  <c r="E25" i="57"/>
  <c r="S26" i="57"/>
  <c r="F102" i="57"/>
  <c r="B97" i="57"/>
  <c r="H61" i="57"/>
  <c r="F18" i="57"/>
  <c r="E39" i="57"/>
  <c r="C91" i="57"/>
  <c r="E27" i="57"/>
  <c r="J55" i="57"/>
  <c r="J38" i="57"/>
  <c r="P66" i="57"/>
  <c r="O8" i="57"/>
  <c r="T37" i="57"/>
  <c r="F71" i="57"/>
  <c r="S71" i="57"/>
  <c r="S60" i="57"/>
  <c r="P60" i="57"/>
  <c r="P122" i="57"/>
  <c r="N10" i="57"/>
  <c r="R12" i="57"/>
  <c r="C68" i="57"/>
  <c r="S114" i="57"/>
  <c r="H28" i="57"/>
  <c r="O103" i="57"/>
  <c r="D74" i="57"/>
  <c r="D90" i="57"/>
  <c r="D55" i="57"/>
  <c r="G101" i="57"/>
  <c r="F69" i="57"/>
  <c r="L119" i="57"/>
  <c r="P4" i="57"/>
  <c r="O122" i="57"/>
  <c r="R5" i="57"/>
  <c r="R73" i="57"/>
  <c r="B31" i="57"/>
  <c r="S48" i="57"/>
  <c r="J35" i="57"/>
  <c r="Q79" i="57"/>
  <c r="L122" i="57"/>
  <c r="S85" i="57"/>
  <c r="E100" i="57"/>
  <c r="D50" i="57"/>
  <c r="E43" i="57"/>
  <c r="S55" i="57"/>
  <c r="B83" i="57"/>
  <c r="P5" i="57"/>
  <c r="H108" i="57"/>
  <c r="O94" i="57"/>
  <c r="T80" i="57"/>
  <c r="N63" i="57"/>
  <c r="H12" i="57"/>
  <c r="B103" i="57"/>
  <c r="F56" i="57"/>
  <c r="E121" i="57"/>
  <c r="Q50" i="57"/>
  <c r="M66" i="57"/>
  <c r="H59" i="57"/>
  <c r="R98" i="57"/>
  <c r="E36" i="57"/>
  <c r="U91" i="57"/>
  <c r="P108" i="57"/>
  <c r="D106" i="57"/>
  <c r="Q20" i="57"/>
  <c r="D20" i="57"/>
  <c r="E26" i="57"/>
  <c r="I17" i="57"/>
  <c r="U88" i="57"/>
  <c r="J2" i="57"/>
  <c r="S34" i="57"/>
  <c r="S16" i="57"/>
  <c r="T84" i="57"/>
  <c r="M63" i="57"/>
  <c r="K110" i="57"/>
  <c r="M45" i="57"/>
  <c r="J17" i="57"/>
  <c r="P76" i="57"/>
  <c r="F118" i="57"/>
  <c r="T6" i="57"/>
  <c r="G11" i="57"/>
  <c r="U7" i="57"/>
  <c r="O14" i="57"/>
  <c r="U33" i="57"/>
  <c r="O61" i="57"/>
  <c r="C90" i="57"/>
  <c r="E34" i="57"/>
  <c r="N81" i="57"/>
  <c r="H6" i="57"/>
  <c r="L91" i="57"/>
  <c r="O69" i="57"/>
  <c r="C74" i="57"/>
  <c r="E11" i="57"/>
  <c r="U60" i="57"/>
  <c r="T15" i="57"/>
  <c r="Q115" i="57"/>
  <c r="U118" i="57"/>
  <c r="I89" i="57"/>
  <c r="F61" i="57"/>
  <c r="D42" i="57"/>
  <c r="H100" i="57"/>
  <c r="M53" i="57"/>
  <c r="E94" i="57"/>
  <c r="D98" i="57"/>
  <c r="Q90" i="57"/>
  <c r="U20" i="57"/>
  <c r="G53" i="57"/>
  <c r="B67" i="57"/>
  <c r="Q10" i="57"/>
  <c r="S35" i="57"/>
  <c r="U15" i="57"/>
  <c r="U36" i="57"/>
  <c r="J77" i="57"/>
  <c r="P97" i="57"/>
  <c r="T81" i="57"/>
  <c r="D47" i="57"/>
  <c r="M10" i="57"/>
  <c r="U12" i="57"/>
  <c r="P79" i="57"/>
  <c r="M13" i="57"/>
  <c r="K99" i="57"/>
  <c r="R77" i="57"/>
  <c r="E28" i="57"/>
  <c r="L8" i="57"/>
  <c r="L62" i="57"/>
  <c r="J118" i="57"/>
  <c r="I46" i="57"/>
  <c r="D120" i="57"/>
  <c r="T3" i="57"/>
  <c r="I95" i="57"/>
  <c r="H50" i="57"/>
  <c r="O32" i="57"/>
  <c r="F110" i="57"/>
  <c r="S88" i="57"/>
  <c r="F27" i="57"/>
  <c r="R118" i="57"/>
  <c r="G65" i="57"/>
  <c r="B110" i="57"/>
  <c r="D63" i="57"/>
  <c r="O48" i="57"/>
  <c r="B4" i="57"/>
  <c r="F28" i="57"/>
  <c r="R91" i="57"/>
  <c r="U121" i="57"/>
  <c r="F48" i="57"/>
  <c r="C45" i="57"/>
  <c r="K52" i="57"/>
  <c r="E4" i="57"/>
  <c r="P29" i="57"/>
  <c r="I73" i="57"/>
  <c r="S68" i="57"/>
  <c r="C27" i="57"/>
  <c r="E116" i="57"/>
  <c r="C6" i="57"/>
  <c r="L16" i="57"/>
  <c r="M44" i="57"/>
  <c r="N84" i="57"/>
  <c r="O76" i="57"/>
  <c r="N21" i="57"/>
  <c r="N114" i="57"/>
  <c r="P22" i="57"/>
  <c r="U58" i="57"/>
  <c r="E64" i="57"/>
  <c r="H8" i="57"/>
  <c r="D13" i="57"/>
  <c r="Q7" i="57"/>
  <c r="J107" i="57"/>
  <c r="R116" i="57"/>
  <c r="G12" i="57"/>
  <c r="L63" i="57"/>
  <c r="H120" i="57"/>
  <c r="R48" i="57"/>
  <c r="O37" i="57"/>
  <c r="J19" i="57"/>
  <c r="I42" i="57"/>
  <c r="I97" i="57"/>
  <c r="P52" i="57"/>
  <c r="K30" i="57"/>
  <c r="U67" i="57"/>
  <c r="R72" i="57"/>
  <c r="N48" i="57"/>
  <c r="S23" i="57"/>
  <c r="I70" i="57"/>
  <c r="L37" i="57"/>
  <c r="L23" i="57"/>
  <c r="N75" i="57"/>
  <c r="G48" i="57"/>
  <c r="G95" i="57"/>
  <c r="R121" i="57"/>
  <c r="T70" i="57"/>
  <c r="P107" i="57"/>
  <c r="B104" i="57"/>
  <c r="T14" i="57"/>
  <c r="M76" i="57"/>
  <c r="P17" i="57"/>
  <c r="K64" i="57"/>
  <c r="P19" i="57"/>
  <c r="D101" i="57"/>
  <c r="U122" i="57"/>
  <c r="M86" i="57"/>
  <c r="M38" i="57"/>
  <c r="O73" i="57"/>
  <c r="K17" i="57"/>
  <c r="R87" i="57"/>
  <c r="I79" i="57"/>
  <c r="G119" i="57"/>
  <c r="C7" i="57"/>
  <c r="U52" i="57"/>
  <c r="S46" i="57"/>
  <c r="O66" i="57"/>
  <c r="O106" i="57"/>
  <c r="H74" i="57"/>
  <c r="R76" i="57"/>
  <c r="U66" i="57"/>
  <c r="L53" i="57"/>
  <c r="S12" i="57"/>
  <c r="N19" i="57"/>
  <c r="L19" i="57"/>
  <c r="S57" i="57"/>
  <c r="N110" i="57"/>
  <c r="M118" i="57"/>
  <c r="C59" i="57"/>
  <c r="D69" i="57"/>
  <c r="B14" i="57"/>
  <c r="H67" i="57"/>
  <c r="N8" i="57"/>
  <c r="U46" i="57"/>
  <c r="B5" i="57"/>
  <c r="M24" i="57"/>
  <c r="H27" i="57"/>
  <c r="Q16" i="57"/>
  <c r="O90" i="57"/>
  <c r="C40" i="57"/>
  <c r="G31" i="57"/>
  <c r="U35" i="57"/>
  <c r="I19" i="57"/>
  <c r="G42" i="57"/>
  <c r="J67" i="57"/>
  <c r="C111" i="57"/>
  <c r="U42" i="57"/>
  <c r="P41" i="57"/>
  <c r="M18" i="57"/>
  <c r="S120" i="57"/>
  <c r="C48" i="57"/>
  <c r="O83" i="57"/>
  <c r="I76" i="57"/>
  <c r="S61" i="57"/>
  <c r="L115" i="57"/>
  <c r="H17" i="57"/>
  <c r="G38" i="57"/>
  <c r="G102" i="57"/>
  <c r="N105" i="57"/>
  <c r="D80" i="57"/>
  <c r="K32" i="57"/>
  <c r="K54" i="57"/>
  <c r="Q119" i="57"/>
  <c r="U77" i="57"/>
  <c r="Q14" i="57"/>
  <c r="T13" i="57"/>
  <c r="S109" i="57"/>
  <c r="S94" i="57"/>
  <c r="I80" i="57"/>
  <c r="G16" i="57"/>
  <c r="L92" i="57"/>
  <c r="P58" i="57"/>
  <c r="D23" i="57"/>
  <c r="H23" i="57"/>
  <c r="Q69" i="57"/>
  <c r="C89" i="57"/>
  <c r="I66" i="57"/>
  <c r="L77" i="57"/>
  <c r="K4" i="57"/>
  <c r="Q116" i="57"/>
  <c r="G122" i="57"/>
  <c r="O71" i="57"/>
  <c r="L44" i="57"/>
  <c r="S27" i="57"/>
  <c r="L88" i="57"/>
  <c r="T77" i="57"/>
  <c r="Q105" i="57"/>
  <c r="P37" i="57"/>
  <c r="L110" i="57"/>
  <c r="M48" i="57"/>
  <c r="S69" i="57"/>
  <c r="P59" i="57"/>
  <c r="N13" i="57"/>
  <c r="D117" i="57"/>
  <c r="N9" i="57"/>
  <c r="J93" i="57"/>
  <c r="K113" i="57"/>
  <c r="E63" i="57"/>
  <c r="G74" i="57"/>
  <c r="B106" i="57"/>
  <c r="F22" i="57"/>
  <c r="H2" i="57"/>
  <c r="R50" i="57"/>
  <c r="G21" i="57"/>
  <c r="Q92" i="57"/>
  <c r="G59" i="57"/>
  <c r="M78" i="57"/>
  <c r="N67" i="57"/>
  <c r="M30" i="57"/>
  <c r="R115" i="57"/>
  <c r="T64" i="57"/>
  <c r="P49" i="57"/>
  <c r="D16" i="57"/>
  <c r="Q22" i="57"/>
  <c r="C2" i="57"/>
  <c r="E24" i="57"/>
  <c r="O81" i="57"/>
  <c r="C55" i="57"/>
  <c r="T24" i="57"/>
  <c r="J4" i="57"/>
  <c r="P110" i="57"/>
  <c r="B58" i="57"/>
  <c r="N18" i="57"/>
  <c r="H122" i="57"/>
  <c r="J33" i="57"/>
  <c r="O54" i="57"/>
  <c r="F19" i="57"/>
  <c r="B23" i="57"/>
  <c r="K19" i="57"/>
  <c r="D56" i="57"/>
  <c r="S32" i="57"/>
  <c r="K57" i="57"/>
  <c r="B68" i="57"/>
  <c r="N14" i="57"/>
  <c r="T61" i="57"/>
  <c r="N90" i="57"/>
  <c r="T60" i="57"/>
  <c r="T79" i="57"/>
  <c r="F121" i="57"/>
  <c r="O47" i="57"/>
  <c r="K31" i="57"/>
  <c r="R94" i="57"/>
  <c r="L5" i="57"/>
  <c r="C4" i="57"/>
  <c r="U31" i="57"/>
  <c r="T33" i="57"/>
  <c r="O44" i="57"/>
  <c r="H53" i="57"/>
  <c r="D41" i="57"/>
  <c r="U11" i="57"/>
  <c r="H24" i="57"/>
  <c r="S65" i="57"/>
  <c r="R22" i="57"/>
  <c r="J57" i="57"/>
  <c r="D12" i="57"/>
  <c r="L31" i="57"/>
  <c r="Q37" i="57"/>
  <c r="H106" i="57"/>
  <c r="H63" i="57"/>
  <c r="N25" i="57"/>
  <c r="Q102" i="57"/>
  <c r="L82" i="57"/>
  <c r="E67" i="57"/>
  <c r="C112" i="57"/>
  <c r="N15" i="57"/>
  <c r="T2" i="57"/>
  <c r="U98" i="57"/>
  <c r="K49" i="57"/>
  <c r="U48" i="57"/>
  <c r="Q87" i="57"/>
  <c r="D27" i="57"/>
  <c r="F46" i="57"/>
  <c r="P33" i="57"/>
  <c r="R69" i="57"/>
  <c r="I56" i="57"/>
  <c r="M47" i="57"/>
  <c r="Q9" i="57"/>
  <c r="Q19" i="57"/>
  <c r="G41" i="57"/>
  <c r="D53" i="57"/>
  <c r="K28" i="57"/>
  <c r="O67" i="57"/>
  <c r="E15" i="57"/>
  <c r="N4" i="57"/>
  <c r="F66" i="57"/>
  <c r="C51" i="57"/>
  <c r="P50" i="57"/>
  <c r="O15" i="57"/>
  <c r="G3" i="57"/>
  <c r="F73" i="57"/>
  <c r="G13" i="57"/>
  <c r="Q93" i="57"/>
  <c r="T36" i="57"/>
  <c r="N85" i="57"/>
  <c r="B81" i="57"/>
  <c r="N104" i="57"/>
  <c r="H79" i="57"/>
  <c r="J121" i="57"/>
  <c r="K88" i="57"/>
  <c r="M27" i="57"/>
  <c r="S121" i="57"/>
  <c r="M50" i="57"/>
  <c r="U54" i="57"/>
  <c r="G43" i="57"/>
  <c r="K71" i="57"/>
  <c r="O33" i="57"/>
  <c r="N91" i="57"/>
  <c r="C9" i="57"/>
  <c r="O111" i="57"/>
  <c r="O72" i="57"/>
  <c r="I4" i="57"/>
  <c r="S42" i="57"/>
  <c r="F51" i="57"/>
  <c r="I106" i="57"/>
  <c r="T90" i="57"/>
  <c r="F54" i="57"/>
  <c r="S47" i="57"/>
  <c r="U63" i="57"/>
  <c r="O34" i="57"/>
  <c r="S82" i="57"/>
  <c r="J51" i="57"/>
  <c r="H85" i="57"/>
  <c r="U19" i="57"/>
  <c r="O24" i="57"/>
  <c r="N42" i="57"/>
  <c r="J73" i="57"/>
  <c r="H42" i="57"/>
  <c r="L69" i="57"/>
  <c r="R79" i="57"/>
  <c r="D89" i="57"/>
  <c r="H93" i="57"/>
  <c r="R59" i="57"/>
  <c r="P83" i="57"/>
  <c r="M106" i="57"/>
  <c r="J111" i="57"/>
  <c r="T107" i="57"/>
  <c r="J54" i="57"/>
  <c r="R104" i="57"/>
  <c r="N46" i="57"/>
  <c r="K27" i="57"/>
  <c r="Q91" i="57"/>
  <c r="F15" i="57"/>
  <c r="M5" i="57"/>
  <c r="G34" i="57"/>
  <c r="B92" i="57"/>
  <c r="T16" i="57"/>
  <c r="G7" i="57"/>
  <c r="L101" i="57"/>
  <c r="B47" i="57"/>
  <c r="U100" i="57"/>
  <c r="P98" i="57"/>
  <c r="K46" i="57"/>
  <c r="O87" i="57"/>
  <c r="T7" i="57"/>
  <c r="S67" i="57"/>
  <c r="J79" i="57"/>
  <c r="I30" i="57"/>
  <c r="N60" i="57"/>
  <c r="K39" i="57"/>
  <c r="J32" i="57"/>
  <c r="B22" i="57"/>
  <c r="S96" i="57"/>
  <c r="T110" i="57"/>
  <c r="I55" i="57"/>
  <c r="R75" i="57"/>
  <c r="G62" i="57"/>
  <c r="D77" i="57"/>
  <c r="J13" i="57"/>
  <c r="D30" i="57"/>
  <c r="K2" i="57"/>
  <c r="U85" i="57"/>
  <c r="Q103" i="57"/>
  <c r="I45" i="57"/>
  <c r="O52" i="57"/>
  <c r="O30" i="57"/>
  <c r="R11" i="57"/>
  <c r="H11" i="57"/>
  <c r="N97" i="57"/>
  <c r="I118" i="57"/>
  <c r="D104" i="57"/>
  <c r="S89" i="57"/>
  <c r="P101" i="57"/>
  <c r="M111" i="57"/>
  <c r="S45" i="57"/>
  <c r="P18" i="57"/>
  <c r="G52" i="57"/>
  <c r="T57" i="57"/>
  <c r="D26" i="57"/>
  <c r="L80" i="57"/>
  <c r="E66" i="57"/>
  <c r="H10" i="57"/>
  <c r="K91" i="57"/>
  <c r="N95" i="57"/>
  <c r="N107" i="57"/>
  <c r="J97" i="57"/>
  <c r="O63" i="57"/>
  <c r="Q23" i="57"/>
  <c r="P78" i="57"/>
  <c r="T44" i="57"/>
  <c r="E78" i="57"/>
  <c r="N20" i="57"/>
  <c r="J8" i="57"/>
  <c r="S22" i="57"/>
  <c r="L87" i="57"/>
  <c r="H87" i="57"/>
  <c r="H40" i="57"/>
  <c r="N29" i="57"/>
  <c r="P57" i="57"/>
  <c r="R63" i="57"/>
  <c r="C88" i="57"/>
  <c r="M43" i="57"/>
  <c r="D82" i="57"/>
  <c r="B111" i="57"/>
  <c r="T26" i="57"/>
  <c r="K114" i="57"/>
  <c r="D34" i="57"/>
  <c r="M104" i="57"/>
  <c r="S77" i="57"/>
  <c r="E32" i="57"/>
  <c r="C49" i="57"/>
  <c r="F94" i="57"/>
  <c r="C114" i="57"/>
  <c r="G25" i="57"/>
  <c r="H112" i="57"/>
  <c r="O82" i="57"/>
  <c r="T9" i="57"/>
  <c r="O121" i="57"/>
  <c r="T100" i="57"/>
  <c r="E112" i="57"/>
  <c r="C23" i="57"/>
  <c r="J74" i="57"/>
  <c r="O22" i="57"/>
  <c r="M23" i="57"/>
  <c r="O77" i="57"/>
  <c r="H89" i="57"/>
  <c r="H36" i="57"/>
  <c r="P85" i="57"/>
  <c r="C25" i="57"/>
  <c r="N33" i="57"/>
  <c r="I48" i="57"/>
  <c r="E89" i="57"/>
  <c r="K78" i="57"/>
  <c r="G91" i="57"/>
  <c r="F49" i="57"/>
  <c r="K59" i="57"/>
  <c r="O91" i="57"/>
  <c r="J18" i="57"/>
  <c r="B93" i="57"/>
  <c r="N44" i="57"/>
  <c r="H104" i="57"/>
  <c r="G24" i="57"/>
  <c r="F104" i="57"/>
  <c r="O62" i="57"/>
  <c r="L49" i="57"/>
  <c r="S115" i="57"/>
  <c r="N82" i="57"/>
  <c r="I122" i="57"/>
  <c r="E7" i="57"/>
  <c r="R120" i="57"/>
  <c r="D67" i="57"/>
  <c r="M98" i="57"/>
  <c r="S7" i="57"/>
  <c r="K112" i="57"/>
  <c r="K62" i="57"/>
  <c r="B41" i="57"/>
  <c r="F55" i="57"/>
  <c r="D95" i="57"/>
  <c r="K65" i="57"/>
  <c r="M39" i="57"/>
  <c r="G76" i="57"/>
  <c r="M9" i="57"/>
  <c r="N96" i="57"/>
  <c r="B115" i="57"/>
  <c r="Q84" i="57"/>
  <c r="I47" i="57"/>
  <c r="O50" i="57"/>
  <c r="R114" i="57"/>
  <c r="T55" i="57"/>
  <c r="N78" i="57"/>
  <c r="O96" i="57"/>
  <c r="J86" i="57"/>
  <c r="E42" i="57"/>
  <c r="U47" i="57"/>
  <c r="C26" i="57"/>
  <c r="B29" i="57"/>
  <c r="S6" i="57"/>
  <c r="J110" i="57"/>
  <c r="C118" i="57"/>
  <c r="D33" i="57"/>
  <c r="D37" i="57"/>
  <c r="N41" i="57"/>
  <c r="J41" i="57"/>
  <c r="G90" i="57"/>
  <c r="B74" i="57"/>
  <c r="K102" i="57"/>
  <c r="T18" i="57"/>
  <c r="F40" i="57"/>
  <c r="G78" i="57"/>
  <c r="F106" i="57"/>
  <c r="S108" i="57"/>
  <c r="E9" i="57"/>
  <c r="T99" i="57"/>
  <c r="S14" i="57"/>
  <c r="K51" i="57"/>
  <c r="G71" i="57"/>
  <c r="L112" i="57"/>
  <c r="L41" i="57"/>
  <c r="H4" i="57"/>
  <c r="S49" i="57"/>
  <c r="N16" i="57"/>
  <c r="E84" i="57"/>
  <c r="J45" i="57"/>
  <c r="U18" i="57"/>
  <c r="N64" i="57"/>
  <c r="E46" i="57"/>
  <c r="F7" i="57"/>
  <c r="F103" i="57"/>
  <c r="B28" i="57"/>
  <c r="G23" i="57"/>
  <c r="C63" i="57"/>
  <c r="C120" i="57"/>
  <c r="B105" i="57"/>
  <c r="U50" i="57"/>
  <c r="U37" i="57"/>
  <c r="H43" i="57"/>
  <c r="E115" i="57"/>
  <c r="B119" i="57"/>
  <c r="F89" i="57"/>
  <c r="T54" i="57"/>
  <c r="P117" i="57"/>
  <c r="I5" i="57"/>
  <c r="C122" i="57"/>
  <c r="F114" i="57"/>
  <c r="R21" i="57"/>
  <c r="K111" i="57"/>
  <c r="N121" i="57"/>
  <c r="L81" i="57"/>
  <c r="T103" i="57"/>
  <c r="S92" i="57"/>
  <c r="U93" i="57"/>
  <c r="L76" i="57"/>
  <c r="M109" i="57"/>
  <c r="I72" i="57"/>
  <c r="T116" i="57"/>
  <c r="S87" i="57"/>
  <c r="H109" i="57"/>
  <c r="U120" i="57"/>
  <c r="I69" i="57"/>
  <c r="M97" i="57"/>
  <c r="S116" i="57"/>
  <c r="G67" i="57"/>
  <c r="D68" i="57"/>
  <c r="O11" i="57"/>
  <c r="B18" i="57"/>
  <c r="G81" i="57"/>
  <c r="K109" i="57"/>
  <c r="K76" i="57"/>
  <c r="R53" i="57"/>
  <c r="S36" i="57"/>
  <c r="E8" i="57"/>
  <c r="D64" i="57"/>
  <c r="B33" i="57"/>
  <c r="T68" i="57"/>
  <c r="H32" i="57"/>
  <c r="S64" i="57"/>
  <c r="L3" i="57"/>
  <c r="F2" i="57"/>
  <c r="F100" i="57"/>
  <c r="T121" i="57"/>
  <c r="J52" i="57"/>
  <c r="K80" i="57"/>
  <c r="O80" i="57"/>
  <c r="Q65" i="57"/>
  <c r="R17" i="57"/>
  <c r="F3" i="57"/>
  <c r="R30" i="57"/>
  <c r="Q29" i="57"/>
  <c r="O107" i="57"/>
  <c r="T119" i="57"/>
  <c r="P47" i="57"/>
  <c r="J68" i="57"/>
  <c r="Q15" i="57"/>
  <c r="R40" i="57"/>
  <c r="D116" i="57"/>
  <c r="E85" i="57"/>
  <c r="D57" i="57"/>
  <c r="K10" i="57"/>
  <c r="U2" i="57"/>
  <c r="E65" i="57"/>
  <c r="O74" i="57"/>
  <c r="G94" i="57"/>
  <c r="C96" i="57"/>
  <c r="D113" i="57"/>
  <c r="U99" i="57"/>
  <c r="G44" i="57"/>
  <c r="P11" i="57"/>
  <c r="D100" i="57"/>
  <c r="L48" i="57"/>
  <c r="K56" i="57"/>
  <c r="C53" i="57"/>
  <c r="K9" i="57"/>
  <c r="G100" i="57"/>
  <c r="N94" i="57"/>
  <c r="H71" i="57"/>
  <c r="H91" i="57"/>
  <c r="L109" i="57"/>
  <c r="J112" i="57"/>
  <c r="C75" i="57"/>
  <c r="P6" i="57"/>
  <c r="M55" i="57"/>
  <c r="H3" i="57"/>
  <c r="R47" i="57"/>
  <c r="C104" i="57"/>
  <c r="I86" i="57"/>
  <c r="G18" i="57"/>
  <c r="L21" i="57"/>
  <c r="T87" i="57"/>
  <c r="L65" i="57"/>
  <c r="E72" i="57"/>
  <c r="S112" i="57"/>
  <c r="U59" i="57"/>
  <c r="G37" i="57"/>
  <c r="I57" i="57"/>
  <c r="T17" i="57"/>
  <c r="C84" i="57"/>
  <c r="O115" i="57"/>
  <c r="S37" i="57"/>
  <c r="S81" i="57"/>
  <c r="K47" i="57"/>
  <c r="E16" i="57"/>
  <c r="O18" i="57"/>
  <c r="I74" i="57"/>
  <c r="L106" i="57"/>
  <c r="Q118" i="57"/>
  <c r="S51" i="57"/>
  <c r="J46" i="57"/>
  <c r="J113" i="57"/>
  <c r="R113" i="57"/>
  <c r="R122" i="57"/>
  <c r="H72" i="57"/>
  <c r="D25" i="57"/>
  <c r="O70" i="57"/>
  <c r="L84" i="57"/>
  <c r="J43" i="57"/>
  <c r="L111" i="57"/>
  <c r="F52" i="57"/>
  <c r="R119" i="57"/>
  <c r="M92" i="57"/>
  <c r="N59" i="57"/>
  <c r="M2" i="57"/>
  <c r="O38" i="57"/>
  <c r="I104" i="57"/>
  <c r="N69" i="57"/>
  <c r="D93" i="57"/>
  <c r="I63" i="57"/>
  <c r="I88" i="57"/>
  <c r="S10" i="57"/>
  <c r="S66" i="57"/>
  <c r="E90" i="57"/>
  <c r="D4" i="57"/>
  <c r="G5" i="57"/>
  <c r="C33" i="57"/>
  <c r="G89" i="57"/>
  <c r="C116" i="57"/>
  <c r="S21" i="57"/>
  <c r="C31" i="57"/>
  <c r="G45" i="57"/>
  <c r="I109" i="57"/>
  <c r="R64" i="57"/>
  <c r="G103" i="57"/>
  <c r="Q64" i="57"/>
  <c r="C66" i="57"/>
  <c r="N62" i="57"/>
  <c r="C11" i="57"/>
  <c r="T98" i="57"/>
  <c r="T20" i="57"/>
  <c r="S40" i="57"/>
  <c r="N35" i="57"/>
  <c r="R18" i="57"/>
  <c r="C15" i="57"/>
  <c r="S28" i="57"/>
  <c r="L25" i="57"/>
  <c r="U51" i="57"/>
  <c r="B57" i="57"/>
  <c r="L14" i="57"/>
  <c r="I110" i="57"/>
  <c r="D48" i="57"/>
  <c r="B78" i="57"/>
  <c r="L24" i="57"/>
  <c r="E111" i="57"/>
  <c r="J117" i="57"/>
  <c r="I34" i="57"/>
  <c r="G55" i="57"/>
  <c r="G88" i="57"/>
  <c r="J39" i="57"/>
  <c r="R105" i="57"/>
  <c r="C12" i="57"/>
  <c r="B118" i="57"/>
  <c r="D8" i="57"/>
  <c r="I81" i="57"/>
  <c r="P106" i="57"/>
  <c r="B50" i="57"/>
  <c r="R109" i="57"/>
  <c r="F88" i="57"/>
  <c r="L27" i="57"/>
  <c r="P15" i="57"/>
  <c r="J10" i="57"/>
  <c r="C18" i="57"/>
  <c r="P24" i="57"/>
  <c r="P51" i="57"/>
  <c r="M90" i="57"/>
  <c r="F23" i="57"/>
  <c r="C54" i="57"/>
  <c r="K101" i="57"/>
  <c r="O13" i="57"/>
  <c r="R92" i="57"/>
  <c r="P69" i="57"/>
  <c r="N93" i="57"/>
  <c r="R111" i="57"/>
  <c r="B112" i="57"/>
  <c r="J122" i="57"/>
  <c r="K100" i="57"/>
  <c r="R3" i="57"/>
  <c r="G77" i="57"/>
  <c r="Q78" i="57"/>
  <c r="P13" i="57"/>
  <c r="K26" i="57"/>
  <c r="F6" i="57"/>
  <c r="U21" i="57"/>
  <c r="S99" i="57"/>
  <c r="R32" i="57"/>
  <c r="B11" i="57"/>
  <c r="M74" i="57"/>
  <c r="K55" i="57"/>
  <c r="D92" i="57"/>
  <c r="C77" i="57"/>
  <c r="Q48" i="57"/>
  <c r="I2" i="57"/>
  <c r="T97" i="57"/>
  <c r="J16" i="57"/>
  <c r="C41" i="57"/>
  <c r="N2" i="57"/>
  <c r="H88" i="57"/>
  <c r="O110" i="57"/>
  <c r="S98" i="57"/>
  <c r="L98" i="57"/>
  <c r="B61" i="57"/>
  <c r="O78" i="57"/>
  <c r="O36" i="57"/>
  <c r="L35" i="57"/>
  <c r="R4" i="57"/>
  <c r="D88" i="57"/>
  <c r="B65" i="57"/>
  <c r="R84" i="57"/>
  <c r="H80" i="57"/>
  <c r="R66" i="57"/>
  <c r="T74" i="57"/>
  <c r="N73" i="57"/>
  <c r="U55" i="57"/>
  <c r="I60" i="57"/>
  <c r="I67" i="57"/>
  <c r="S39" i="57"/>
  <c r="N24" i="57"/>
  <c r="J81" i="57"/>
  <c r="Q36" i="57"/>
  <c r="S113" i="57"/>
  <c r="Q121" i="57"/>
  <c r="M57" i="57"/>
  <c r="E19" i="57"/>
  <c r="Q97" i="57"/>
  <c r="O29" i="57"/>
  <c r="I31" i="57"/>
  <c r="E53" i="57"/>
  <c r="G26" i="57"/>
  <c r="E71" i="57"/>
  <c r="U10" i="57"/>
  <c r="R13" i="57"/>
  <c r="E104" i="57"/>
  <c r="E117" i="57"/>
  <c r="O118" i="57"/>
  <c r="K15" i="57"/>
  <c r="S86" i="57"/>
  <c r="J78" i="57"/>
  <c r="C110" i="57"/>
  <c r="H31" i="57"/>
  <c r="C69" i="57"/>
  <c r="L74" i="57"/>
  <c r="B19" i="57"/>
  <c r="C37" i="57"/>
  <c r="F8" i="57"/>
  <c r="O98" i="57"/>
  <c r="H116" i="57"/>
  <c r="H56" i="57"/>
  <c r="P10" i="57"/>
  <c r="T108" i="57"/>
  <c r="P9" i="57"/>
  <c r="F35" i="57"/>
  <c r="N79" i="57"/>
  <c r="G22" i="57"/>
  <c r="U80" i="57"/>
  <c r="D81" i="57"/>
  <c r="E118" i="57"/>
  <c r="N23" i="57"/>
  <c r="G80" i="57"/>
  <c r="D10" i="57"/>
  <c r="P75" i="57"/>
  <c r="R23" i="57"/>
  <c r="U109" i="57"/>
  <c r="S25" i="57"/>
  <c r="S41" i="57"/>
  <c r="J53" i="57"/>
  <c r="I52" i="57"/>
  <c r="C36" i="57"/>
  <c r="B88" i="57"/>
  <c r="C73" i="57"/>
  <c r="D85" i="57"/>
  <c r="U25" i="57"/>
  <c r="U86" i="57"/>
  <c r="S2" i="57"/>
  <c r="S74" i="57"/>
  <c r="J7" i="57"/>
  <c r="P77" i="57"/>
  <c r="F50" i="57"/>
  <c r="H16" i="57"/>
  <c r="C30" i="57"/>
  <c r="L30" i="57"/>
  <c r="N99" i="57"/>
  <c r="K92" i="57"/>
  <c r="T106" i="57"/>
  <c r="L45" i="57"/>
  <c r="R78" i="57"/>
  <c r="H29" i="57"/>
  <c r="S62" i="57"/>
  <c r="Q72" i="57"/>
  <c r="I78" i="57"/>
  <c r="T120" i="57"/>
  <c r="G85" i="57"/>
  <c r="J100" i="57"/>
  <c r="T93" i="57"/>
  <c r="E119" i="57"/>
  <c r="T101" i="57"/>
  <c r="R42" i="57"/>
  <c r="M56" i="57"/>
  <c r="K93" i="57"/>
  <c r="O68" i="57"/>
  <c r="I20" i="57"/>
  <c r="U24" i="57"/>
  <c r="N120" i="57"/>
  <c r="Q86" i="57"/>
  <c r="T10" i="57"/>
  <c r="R14" i="57"/>
  <c r="Q108" i="57"/>
  <c r="T27" i="57"/>
  <c r="M107" i="57"/>
  <c r="D36" i="57"/>
  <c r="Q52" i="57"/>
  <c r="H92" i="57"/>
  <c r="I33" i="57"/>
  <c r="C19" i="57"/>
  <c r="P102" i="57"/>
  <c r="I24" i="57"/>
  <c r="K11" i="57"/>
  <c r="R83" i="57"/>
  <c r="M110" i="57"/>
  <c r="Q26" i="57"/>
  <c r="F115" i="57"/>
  <c r="L52" i="57"/>
  <c r="J108" i="57"/>
  <c r="Q76" i="57"/>
  <c r="M117" i="57"/>
  <c r="F42" i="57"/>
  <c r="P27" i="57"/>
  <c r="D17" i="57"/>
  <c r="J104" i="57"/>
  <c r="J85" i="57"/>
  <c r="L79" i="57"/>
  <c r="Q75" i="57"/>
  <c r="G58" i="57"/>
  <c r="O116" i="57"/>
  <c r="D61" i="57"/>
  <c r="G2" i="57"/>
  <c r="I121" i="57"/>
  <c r="R37" i="57"/>
  <c r="E96" i="57"/>
  <c r="L117" i="57"/>
  <c r="P21" i="57"/>
  <c r="P121" i="57"/>
  <c r="E97" i="57"/>
  <c r="D66" i="57"/>
  <c r="N76" i="57"/>
  <c r="B91" i="57"/>
  <c r="K90" i="57"/>
  <c r="P44" i="57"/>
  <c r="I9" i="57"/>
  <c r="K83" i="57"/>
  <c r="S106" i="57"/>
  <c r="J75" i="57"/>
  <c r="R58" i="57"/>
  <c r="J99" i="57"/>
  <c r="S24" i="57"/>
  <c r="B60" i="57"/>
  <c r="G63" i="57"/>
  <c r="G117" i="57"/>
  <c r="R29" i="57"/>
  <c r="U92" i="57"/>
  <c r="H58" i="57"/>
  <c r="E33" i="57"/>
  <c r="R8" i="57"/>
  <c r="I38" i="57"/>
  <c r="C101" i="57"/>
  <c r="I65" i="57"/>
  <c r="H105" i="57"/>
  <c r="D6" i="57"/>
  <c r="E6" i="57"/>
  <c r="H51" i="57"/>
  <c r="L10" i="57"/>
  <c r="K94" i="57"/>
  <c r="O112" i="57"/>
  <c r="M91" i="57"/>
  <c r="Q98" i="57"/>
  <c r="I108" i="57"/>
  <c r="Q35" i="57"/>
  <c r="D112" i="57"/>
  <c r="U65" i="57"/>
  <c r="N117" i="57"/>
  <c r="F24" i="57"/>
  <c r="H21" i="57"/>
  <c r="J115" i="57"/>
  <c r="U41" i="57"/>
  <c r="L47" i="57"/>
  <c r="H102" i="57"/>
  <c r="K74" i="57"/>
  <c r="T67" i="57"/>
  <c r="U107" i="57"/>
  <c r="P64" i="57"/>
  <c r="I44" i="57"/>
  <c r="Q58" i="57"/>
  <c r="E74" i="57"/>
  <c r="P14" i="57"/>
  <c r="L40" i="57"/>
  <c r="E109" i="57"/>
  <c r="G112" i="57"/>
  <c r="I92" i="57"/>
  <c r="F72" i="57"/>
  <c r="T65" i="57"/>
  <c r="M83" i="57"/>
  <c r="F29" i="57"/>
  <c r="P105" i="57"/>
  <c r="F93" i="57"/>
  <c r="K120" i="57"/>
  <c r="E95" i="57"/>
  <c r="B54" i="57"/>
  <c r="R110" i="57"/>
  <c r="M96" i="57"/>
  <c r="J26" i="57"/>
  <c r="T45" i="57"/>
  <c r="K21" i="57"/>
  <c r="B52" i="57"/>
  <c r="Q6" i="57"/>
  <c r="J22" i="57"/>
  <c r="O92" i="57"/>
  <c r="N109" i="57"/>
  <c r="F53" i="57"/>
  <c r="F96" i="57"/>
  <c r="O45" i="57"/>
  <c r="K117" i="57"/>
  <c r="M77" i="57"/>
  <c r="N103" i="57"/>
  <c r="I100" i="57"/>
  <c r="B72" i="57"/>
  <c r="I6" i="57"/>
  <c r="H83" i="57"/>
  <c r="G110" i="57"/>
  <c r="T95" i="57"/>
  <c r="M34" i="57"/>
  <c r="S76" i="57"/>
  <c r="C39" i="57"/>
  <c r="G73" i="57"/>
  <c r="B90" i="57"/>
  <c r="M100" i="57"/>
  <c r="M119" i="57"/>
  <c r="H90" i="57"/>
  <c r="G51" i="57"/>
  <c r="L26" i="57"/>
  <c r="D108" i="57"/>
  <c r="U23" i="57"/>
  <c r="J98" i="57"/>
  <c r="P94" i="57"/>
  <c r="H82" i="57"/>
  <c r="S118" i="57"/>
  <c r="S58" i="57"/>
  <c r="T11" i="57"/>
  <c r="U17" i="57"/>
  <c r="U106" i="57"/>
  <c r="H34" i="57"/>
  <c r="C121" i="57"/>
  <c r="B13" i="57"/>
  <c r="N113" i="57"/>
  <c r="C8" i="57"/>
  <c r="D44" i="57"/>
  <c r="E30" i="57"/>
  <c r="F119" i="57"/>
  <c r="Q88" i="57"/>
  <c r="L99" i="57"/>
  <c r="B70" i="57"/>
  <c r="I29" i="57"/>
  <c r="N36" i="57"/>
  <c r="G66" i="57"/>
  <c r="E57" i="57"/>
  <c r="T21" i="57"/>
  <c r="S52" i="57"/>
  <c r="C43" i="57"/>
  <c r="C64" i="57"/>
  <c r="M36" i="57"/>
  <c r="I119" i="57"/>
  <c r="C80" i="57"/>
  <c r="I26" i="57"/>
  <c r="G106" i="57"/>
  <c r="K34" i="57"/>
  <c r="S111" i="57"/>
  <c r="O35" i="57"/>
  <c r="E41" i="57"/>
  <c r="Q100" i="57"/>
  <c r="D76" i="57"/>
  <c r="I102" i="57"/>
  <c r="K20" i="57"/>
  <c r="T25" i="57"/>
  <c r="K29" i="57"/>
  <c r="C10" i="57"/>
  <c r="I77" i="57"/>
  <c r="K43" i="57"/>
  <c r="O114" i="57"/>
  <c r="C82" i="57"/>
  <c r="B8" i="57"/>
  <c r="G27" i="57"/>
  <c r="H18" i="57"/>
  <c r="U113" i="57"/>
  <c r="U27" i="57"/>
  <c r="H84" i="57"/>
  <c r="F113" i="57"/>
  <c r="K77" i="57"/>
  <c r="U3" i="57"/>
  <c r="J109" i="57"/>
  <c r="K115" i="57"/>
  <c r="Q113" i="57"/>
  <c r="S103" i="57"/>
  <c r="H9" i="57"/>
  <c r="T96" i="57"/>
  <c r="T78" i="57"/>
  <c r="B30" i="57"/>
  <c r="N83" i="57"/>
  <c r="F92" i="57"/>
  <c r="G39" i="57"/>
  <c r="E122" i="57"/>
  <c r="M25" i="57"/>
  <c r="F14" i="57"/>
  <c r="U71" i="57"/>
  <c r="J89" i="57"/>
  <c r="D109" i="57"/>
  <c r="I82" i="57"/>
  <c r="T114" i="57"/>
  <c r="H98" i="57"/>
  <c r="R70" i="57"/>
  <c r="U79" i="57"/>
  <c r="Q81" i="57"/>
  <c r="M14" i="57"/>
  <c r="B116" i="57"/>
  <c r="U116" i="57"/>
  <c r="G46" i="57"/>
  <c r="D97" i="57"/>
  <c r="B114" i="57"/>
  <c r="H68" i="57"/>
  <c r="K40" i="57"/>
  <c r="G33" i="57"/>
  <c r="O104" i="57"/>
  <c r="D121" i="57"/>
  <c r="B89" i="57"/>
  <c r="B42" i="57"/>
  <c r="T104" i="57"/>
  <c r="K69" i="57"/>
  <c r="O100" i="57"/>
  <c r="K108" i="57"/>
  <c r="F33" i="57"/>
  <c r="H77" i="57"/>
  <c r="R55" i="57"/>
  <c r="R62" i="57"/>
  <c r="M22" i="57"/>
  <c r="E49" i="57"/>
  <c r="B20" i="57"/>
  <c r="U45" i="57"/>
  <c r="I113" i="57"/>
  <c r="E52" i="57"/>
  <c r="D72" i="57"/>
  <c r="K67" i="57"/>
  <c r="C5" i="57"/>
  <c r="T71" i="57"/>
  <c r="F12" i="57"/>
  <c r="T113" i="57"/>
  <c r="E98" i="57"/>
  <c r="F78" i="57"/>
  <c r="N27" i="57"/>
  <c r="R24" i="57"/>
  <c r="D7" i="57"/>
  <c r="C13" i="57"/>
  <c r="S72" i="57"/>
  <c r="U14" i="57"/>
  <c r="N77" i="57"/>
  <c r="F79" i="57"/>
  <c r="M88" i="57"/>
  <c r="G113" i="57"/>
  <c r="C113" i="57"/>
  <c r="U64" i="57"/>
  <c r="K3" i="57"/>
  <c r="C22" i="57"/>
  <c r="F67" i="57"/>
  <c r="M67" i="57"/>
  <c r="E18" i="57"/>
  <c r="N43" i="57"/>
  <c r="U94" i="57"/>
  <c r="B101" i="57"/>
  <c r="N115" i="57"/>
  <c r="L89" i="57"/>
  <c r="K63" i="57"/>
  <c r="O101" i="57"/>
  <c r="Q53" i="57"/>
  <c r="B44" i="57"/>
  <c r="E59" i="57"/>
  <c r="L11" i="57"/>
  <c r="U34" i="57"/>
  <c r="B59" i="57"/>
  <c r="S59" i="57"/>
  <c r="O3" i="57"/>
  <c r="U29" i="57"/>
  <c r="I98" i="57"/>
  <c r="J25" i="57"/>
  <c r="Q13" i="57"/>
  <c r="H41" i="57"/>
  <c r="J6" i="57"/>
  <c r="L64" i="57"/>
  <c r="D86" i="57"/>
  <c r="H81" i="57"/>
  <c r="K37" i="57"/>
  <c r="I13" i="57"/>
  <c r="F30" i="57"/>
  <c r="R89" i="57"/>
  <c r="B40" i="57"/>
  <c r="N74" i="57"/>
  <c r="M20" i="57"/>
  <c r="E107" i="57"/>
  <c r="B69" i="57"/>
  <c r="G92" i="57"/>
  <c r="T88" i="57"/>
  <c r="T115" i="57"/>
  <c r="I51" i="57"/>
  <c r="H94" i="57"/>
  <c r="F9" i="57"/>
  <c r="O43" i="57"/>
  <c r="F116" i="57"/>
  <c r="N102" i="57"/>
  <c r="P68" i="57"/>
  <c r="S93" i="57"/>
  <c r="I101" i="57"/>
  <c r="G97" i="57"/>
  <c r="O65" i="57"/>
  <c r="F45" i="57"/>
  <c r="I14" i="57"/>
  <c r="Q59" i="57"/>
  <c r="B46" i="57"/>
  <c r="H117" i="57"/>
  <c r="D122" i="57"/>
  <c r="I43" i="57"/>
  <c r="C106" i="57"/>
  <c r="I53" i="57"/>
  <c r="S73" i="57"/>
  <c r="T49" i="57"/>
  <c r="P118" i="57"/>
  <c r="J120" i="57"/>
  <c r="R101" i="57"/>
  <c r="F75" i="57"/>
  <c r="K82" i="57"/>
  <c r="O59" i="57"/>
  <c r="B71" i="57"/>
  <c r="T112" i="57"/>
  <c r="S43" i="57"/>
  <c r="O25" i="57"/>
  <c r="M29" i="57"/>
  <c r="Q57" i="57"/>
  <c r="J12" i="57"/>
  <c r="K45" i="57"/>
  <c r="P12" i="57"/>
  <c r="S78" i="57"/>
  <c r="K25" i="57"/>
  <c r="B39" i="57"/>
  <c r="M85" i="57"/>
  <c r="F70" i="57"/>
  <c r="I27" i="57"/>
  <c r="G4" i="57"/>
  <c r="E38" i="57"/>
  <c r="L107" i="57"/>
  <c r="K60" i="57"/>
  <c r="U9" i="57"/>
  <c r="Q99" i="57"/>
  <c r="O31" i="57"/>
  <c r="K98" i="57"/>
  <c r="O7" i="57"/>
  <c r="U68" i="57"/>
  <c r="R86" i="57"/>
  <c r="Q2" i="57"/>
  <c r="J56" i="57"/>
  <c r="H37" i="57"/>
  <c r="D96" i="57"/>
  <c r="Q89" i="57"/>
  <c r="E54" i="57"/>
  <c r="P7" i="57"/>
  <c r="A48" i="57"/>
  <c r="A9" i="57"/>
  <c r="A69" i="57"/>
  <c r="A107" i="57"/>
  <c r="A91" i="57"/>
  <c r="A101" i="57"/>
  <c r="A62" i="57"/>
  <c r="A115" i="57"/>
  <c r="A122" i="57"/>
  <c r="A6" i="57"/>
  <c r="A16" i="57"/>
  <c r="A30" i="57"/>
  <c r="A109" i="57"/>
  <c r="A59" i="57"/>
  <c r="A12" i="57"/>
  <c r="A117" i="57"/>
  <c r="A76" i="57"/>
  <c r="A31" i="57"/>
  <c r="A85" i="57"/>
  <c r="A37" i="57"/>
  <c r="A94" i="57"/>
  <c r="A29" i="57"/>
  <c r="A104" i="57"/>
  <c r="A77" i="57"/>
  <c r="A87" i="57"/>
  <c r="A99" i="57"/>
  <c r="A105" i="57"/>
  <c r="A34" i="57"/>
  <c r="A8" i="57"/>
  <c r="A120" i="57"/>
  <c r="A60" i="57"/>
  <c r="A96" i="57"/>
  <c r="A98" i="57"/>
  <c r="A10" i="57"/>
  <c r="A67" i="57"/>
  <c r="A89" i="57"/>
  <c r="A17" i="57"/>
  <c r="A21" i="57"/>
  <c r="A81" i="57"/>
  <c r="A84" i="57"/>
  <c r="A72" i="57"/>
  <c r="A97" i="57"/>
  <c r="A28" i="57"/>
  <c r="A61" i="57"/>
  <c r="A44" i="57"/>
  <c r="A111" i="57"/>
  <c r="A51" i="57"/>
  <c r="A74" i="57"/>
  <c r="A57" i="57"/>
  <c r="A102" i="57"/>
  <c r="A5" i="57"/>
  <c r="A100" i="57"/>
  <c r="A23" i="57"/>
  <c r="A88" i="57"/>
  <c r="A116" i="57"/>
  <c r="A65" i="57"/>
  <c r="A22" i="57"/>
  <c r="A113" i="57"/>
  <c r="A38" i="57"/>
  <c r="A46" i="57"/>
  <c r="A20" i="57"/>
  <c r="A79" i="57"/>
  <c r="A25" i="57"/>
  <c r="A56" i="57"/>
  <c r="A3" i="57"/>
  <c r="A58" i="57"/>
  <c r="A118" i="57"/>
  <c r="A39" i="57"/>
  <c r="A121" i="57"/>
  <c r="A83" i="57"/>
  <c r="A93" i="57"/>
  <c r="A110" i="57"/>
  <c r="A114" i="57"/>
  <c r="A68" i="57"/>
  <c r="A49" i="57"/>
  <c r="A66" i="57"/>
  <c r="A7" i="57"/>
  <c r="A14" i="57"/>
  <c r="A18" i="57"/>
  <c r="A78" i="57"/>
  <c r="A24" i="57"/>
  <c r="A82" i="57"/>
  <c r="A103" i="57"/>
  <c r="A27" i="57"/>
  <c r="A50" i="57"/>
  <c r="A52" i="57"/>
  <c r="A55" i="57"/>
  <c r="A108" i="57"/>
  <c r="A73" i="57"/>
  <c r="A54" i="57"/>
  <c r="A45" i="57"/>
  <c r="A36" i="57"/>
  <c r="A4" i="57"/>
  <c r="A13" i="57"/>
  <c r="A95" i="57"/>
  <c r="A70" i="57"/>
  <c r="A32" i="57"/>
  <c r="A19" i="57"/>
  <c r="A86" i="57"/>
  <c r="A11" i="57"/>
  <c r="A42" i="57"/>
  <c r="A106" i="57"/>
  <c r="A26" i="57"/>
  <c r="A33" i="57"/>
  <c r="A112" i="57"/>
  <c r="A40" i="57"/>
  <c r="A80" i="57"/>
  <c r="A53" i="57"/>
  <c r="A75" i="57"/>
  <c r="A119" i="57"/>
  <c r="A64" i="57"/>
  <c r="A92" i="57"/>
  <c r="A43" i="57"/>
  <c r="A35" i="57"/>
  <c r="A63" i="57"/>
  <c r="A71" i="57"/>
  <c r="A90" i="57"/>
  <c r="A47" i="57"/>
  <c r="A41" i="57"/>
  <c r="A15" i="57"/>
  <c r="A22" i="55"/>
  <c r="A63" i="55"/>
  <c r="A17" i="55"/>
  <c r="A53" i="55"/>
  <c r="A34" i="55"/>
  <c r="A52" i="55"/>
  <c r="A6" i="55"/>
  <c r="A82" i="55"/>
  <c r="A58" i="55"/>
  <c r="A10" i="55"/>
  <c r="A13" i="55"/>
  <c r="A87" i="55"/>
  <c r="A114" i="55"/>
  <c r="A25" i="55"/>
  <c r="A3" i="55"/>
  <c r="A101" i="55"/>
  <c r="A110" i="55"/>
  <c r="A73" i="55"/>
  <c r="A102" i="55"/>
  <c r="A11" i="55"/>
  <c r="A118" i="55"/>
  <c r="A97" i="55"/>
  <c r="A39" i="55"/>
  <c r="A19" i="55"/>
  <c r="A37" i="55"/>
  <c r="A54" i="55"/>
  <c r="A119" i="55"/>
  <c r="A113" i="55"/>
  <c r="A12" i="55"/>
  <c r="A67" i="55"/>
  <c r="A81" i="55"/>
  <c r="A45" i="55"/>
  <c r="A92" i="55"/>
  <c r="A88" i="55"/>
  <c r="A14" i="55"/>
  <c r="A85" i="55"/>
  <c r="A95" i="55"/>
  <c r="A80" i="55"/>
  <c r="A78" i="55"/>
  <c r="A43" i="55"/>
  <c r="A93" i="55"/>
  <c r="A117" i="55"/>
  <c r="A120" i="55"/>
  <c r="A83" i="55"/>
  <c r="A36" i="55"/>
  <c r="A33" i="55"/>
  <c r="A108" i="55"/>
  <c r="A56" i="55"/>
  <c r="A24" i="55"/>
  <c r="A7" i="55"/>
  <c r="A15" i="55"/>
  <c r="A76" i="55"/>
  <c r="A75" i="55"/>
  <c r="A66" i="55"/>
  <c r="A70" i="55"/>
  <c r="A9" i="55"/>
  <c r="A48" i="55"/>
  <c r="A65" i="55"/>
  <c r="A121" i="55"/>
  <c r="A111" i="55"/>
  <c r="A35" i="55"/>
  <c r="A107" i="55"/>
  <c r="A72" i="55"/>
  <c r="A8" i="55"/>
  <c r="A16" i="55"/>
  <c r="A32" i="55"/>
  <c r="A30" i="55"/>
  <c r="A94" i="55"/>
  <c r="A96" i="55"/>
  <c r="A77" i="55"/>
  <c r="A31" i="55"/>
  <c r="A18" i="55"/>
  <c r="A61" i="55"/>
  <c r="A44" i="55"/>
  <c r="A51" i="55"/>
  <c r="A115" i="55"/>
  <c r="A106" i="55"/>
  <c r="A28" i="55"/>
  <c r="A55" i="55"/>
  <c r="A57" i="55"/>
  <c r="A122" i="55"/>
  <c r="A116" i="55"/>
  <c r="A79" i="55"/>
  <c r="A74" i="55"/>
  <c r="A91" i="55"/>
  <c r="A64" i="55"/>
  <c r="A38" i="55"/>
  <c r="A109" i="55"/>
  <c r="A20" i="55"/>
  <c r="A5" i="55"/>
  <c r="A47" i="55"/>
  <c r="A105" i="55"/>
  <c r="A42" i="55"/>
  <c r="A27" i="55"/>
  <c r="A86" i="55"/>
  <c r="A98" i="55"/>
  <c r="A104" i="55"/>
  <c r="A71" i="55"/>
  <c r="A46" i="55"/>
  <c r="A62" i="55"/>
  <c r="A84" i="55"/>
  <c r="A100" i="55"/>
  <c r="A40" i="55"/>
  <c r="A103" i="55"/>
  <c r="A99" i="55"/>
  <c r="A60" i="55"/>
  <c r="A49" i="55"/>
  <c r="A90" i="55"/>
  <c r="A50" i="55"/>
  <c r="A4" i="55"/>
  <c r="A112" i="55"/>
  <c r="A26" i="55"/>
  <c r="A41" i="55"/>
  <c r="A59" i="55"/>
  <c r="A23" i="55"/>
  <c r="A69" i="55"/>
  <c r="A68" i="55"/>
  <c r="A89" i="55"/>
  <c r="A29" i="55"/>
  <c r="A21" i="55"/>
  <c r="C17" i="55"/>
  <c r="L41" i="55"/>
  <c r="T57" i="55"/>
  <c r="Q78" i="55"/>
  <c r="R41" i="55"/>
  <c r="K45" i="55"/>
  <c r="K122" i="55"/>
  <c r="K74" i="55"/>
  <c r="C37" i="55"/>
  <c r="S53" i="55"/>
  <c r="B35" i="55"/>
  <c r="J28" i="55"/>
  <c r="D68" i="55"/>
  <c r="P34" i="55"/>
  <c r="Q77" i="55"/>
  <c r="G52" i="55"/>
  <c r="C98" i="55"/>
  <c r="D42" i="55"/>
  <c r="N30" i="55"/>
  <c r="C114" i="55"/>
  <c r="E112" i="55"/>
  <c r="D110" i="55"/>
  <c r="Q40" i="55"/>
  <c r="H64" i="55"/>
  <c r="T29" i="55"/>
  <c r="F29" i="55"/>
  <c r="N112" i="55"/>
  <c r="P77" i="55"/>
  <c r="E52" i="55"/>
  <c r="C119" i="55"/>
  <c r="R28" i="55"/>
  <c r="E41" i="55"/>
  <c r="E108" i="55"/>
  <c r="G75" i="55"/>
  <c r="P95" i="55"/>
  <c r="Q85" i="55"/>
  <c r="P86" i="55"/>
  <c r="S21" i="55"/>
  <c r="N71" i="55"/>
  <c r="G34" i="55"/>
  <c r="S107" i="55"/>
  <c r="E38" i="55"/>
  <c r="F73" i="55"/>
  <c r="Q39" i="55"/>
  <c r="G99" i="55"/>
  <c r="J34" i="55"/>
  <c r="Q80" i="55"/>
  <c r="G70" i="55"/>
  <c r="K81" i="55"/>
  <c r="U58" i="55"/>
  <c r="C3" i="55"/>
  <c r="N47" i="55"/>
  <c r="D76" i="55"/>
  <c r="U76" i="55"/>
  <c r="C93" i="55"/>
  <c r="I24" i="55"/>
  <c r="N70" i="55"/>
  <c r="J97" i="55"/>
  <c r="G84" i="55"/>
  <c r="B23" i="55"/>
  <c r="L42" i="55"/>
  <c r="M100" i="55"/>
  <c r="Q74" i="55"/>
  <c r="H80" i="55"/>
  <c r="T38" i="55"/>
  <c r="M39" i="55"/>
  <c r="J13" i="55"/>
  <c r="D35" i="55"/>
  <c r="Q55" i="55"/>
  <c r="L63" i="55"/>
  <c r="J105" i="55"/>
  <c r="P6" i="55"/>
  <c r="R79" i="55"/>
  <c r="S44" i="55"/>
  <c r="E78" i="55"/>
  <c r="R88" i="55"/>
  <c r="R117" i="55"/>
  <c r="N116" i="55"/>
  <c r="B89" i="55"/>
  <c r="T77" i="55"/>
  <c r="B97" i="55"/>
  <c r="J84" i="55"/>
  <c r="N113" i="55"/>
  <c r="R119" i="55"/>
  <c r="F101" i="55"/>
  <c r="M5" i="55"/>
  <c r="O12" i="55"/>
  <c r="R110" i="55"/>
  <c r="L88" i="55"/>
  <c r="Q37" i="55"/>
  <c r="P98" i="55"/>
  <c r="F7" i="55"/>
  <c r="O40" i="55"/>
  <c r="R92" i="55"/>
  <c r="Q90" i="55"/>
  <c r="G100" i="55"/>
  <c r="C102" i="55"/>
  <c r="E72" i="55"/>
  <c r="H57" i="55"/>
  <c r="L27" i="55"/>
  <c r="K39" i="55"/>
  <c r="F75" i="55"/>
  <c r="Q65" i="55"/>
  <c r="O86" i="55"/>
  <c r="J70" i="55"/>
  <c r="L7" i="55"/>
  <c r="T112" i="55"/>
  <c r="D6" i="55"/>
  <c r="M72" i="55"/>
  <c r="R93" i="55"/>
  <c r="J38" i="55"/>
  <c r="T95" i="55"/>
  <c r="Q49" i="55"/>
  <c r="S84" i="55"/>
  <c r="K60" i="55"/>
  <c r="T18" i="55"/>
  <c r="I15" i="55"/>
  <c r="C42" i="55"/>
  <c r="I93" i="55"/>
  <c r="P92" i="55"/>
  <c r="S4" i="55"/>
  <c r="S47" i="55"/>
  <c r="H79" i="55"/>
  <c r="L15" i="55"/>
  <c r="E46" i="55"/>
  <c r="I8" i="55"/>
  <c r="R26" i="55"/>
  <c r="U50" i="55"/>
  <c r="C32" i="55"/>
  <c r="T90" i="55"/>
  <c r="L66" i="55"/>
  <c r="C115" i="55"/>
  <c r="N63" i="55"/>
  <c r="Q99" i="55"/>
  <c r="U109" i="55"/>
  <c r="B4" i="55"/>
  <c r="E101" i="55"/>
  <c r="T113" i="55"/>
  <c r="D79" i="55"/>
  <c r="D62" i="55"/>
  <c r="L115" i="55"/>
  <c r="E69" i="55"/>
  <c r="G67" i="55"/>
  <c r="I20" i="55"/>
  <c r="D89" i="55"/>
  <c r="G21" i="55"/>
  <c r="K25" i="55"/>
  <c r="D84" i="55"/>
  <c r="F85" i="55"/>
  <c r="T80" i="55"/>
  <c r="J122" i="55"/>
  <c r="O78" i="55"/>
  <c r="R27" i="55"/>
  <c r="P36" i="55"/>
  <c r="C75" i="55"/>
  <c r="Q83" i="55"/>
  <c r="M14" i="55"/>
  <c r="F60" i="55"/>
  <c r="S49" i="55"/>
  <c r="I46" i="55"/>
  <c r="T48" i="55"/>
  <c r="G105" i="55"/>
  <c r="E43" i="55"/>
  <c r="T107" i="55"/>
  <c r="P29" i="55"/>
  <c r="C61" i="55"/>
  <c r="U46" i="55"/>
  <c r="H49" i="55"/>
  <c r="M92" i="55"/>
  <c r="C116" i="55"/>
  <c r="H94" i="55"/>
  <c r="N60" i="55"/>
  <c r="G121" i="55"/>
  <c r="P35" i="55"/>
  <c r="E18" i="55"/>
  <c r="Q62" i="55"/>
  <c r="K40" i="55"/>
  <c r="E24" i="55"/>
  <c r="J81" i="55"/>
  <c r="E62" i="55"/>
  <c r="B3" i="55"/>
  <c r="I103" i="55"/>
  <c r="F97" i="55"/>
  <c r="F50" i="55"/>
  <c r="F116" i="55"/>
  <c r="G118" i="55"/>
  <c r="M25" i="55"/>
  <c r="U100" i="55"/>
  <c r="L70" i="55"/>
  <c r="Q122" i="55"/>
  <c r="B75" i="55"/>
  <c r="O66" i="55"/>
  <c r="R69" i="55"/>
  <c r="S75" i="55"/>
  <c r="C51" i="55"/>
  <c r="J114" i="55"/>
  <c r="D18" i="55"/>
  <c r="C60" i="55"/>
  <c r="D19" i="55"/>
  <c r="F67" i="55"/>
  <c r="H41" i="55"/>
  <c r="M53" i="55"/>
  <c r="G96" i="55"/>
  <c r="U31" i="55"/>
  <c r="K101" i="55"/>
  <c r="D43" i="55"/>
  <c r="G73" i="55"/>
  <c r="K8" i="55"/>
  <c r="K66" i="55"/>
  <c r="S111" i="55"/>
  <c r="H55" i="55"/>
  <c r="O49" i="55"/>
  <c r="O39" i="55"/>
  <c r="J93" i="55"/>
  <c r="U42" i="55"/>
  <c r="H20" i="55"/>
  <c r="E119" i="55"/>
  <c r="J88" i="55"/>
  <c r="R34" i="55"/>
  <c r="C87" i="55"/>
  <c r="Q10" i="55"/>
  <c r="L9" i="55"/>
  <c r="B5" i="55"/>
  <c r="K56" i="55"/>
  <c r="N43" i="55"/>
  <c r="P32" i="55"/>
  <c r="K46" i="55"/>
  <c r="F27" i="55"/>
  <c r="P37" i="55"/>
  <c r="F115" i="55"/>
  <c r="R36" i="55"/>
  <c r="S115" i="55"/>
  <c r="F71" i="55"/>
  <c r="N92" i="55"/>
  <c r="M65" i="55"/>
  <c r="L72" i="55"/>
  <c r="J32" i="55"/>
  <c r="P39" i="55"/>
  <c r="B14" i="55"/>
  <c r="E90" i="55"/>
  <c r="L14" i="55"/>
  <c r="B102" i="55"/>
  <c r="U12" i="55"/>
  <c r="Q3" i="55"/>
  <c r="H21" i="55"/>
  <c r="M58" i="55"/>
  <c r="Q88" i="55"/>
  <c r="M43" i="55"/>
  <c r="Q117" i="55"/>
  <c r="U72" i="55"/>
  <c r="J62" i="55"/>
  <c r="O85" i="55"/>
  <c r="S29" i="55"/>
  <c r="O61" i="55"/>
  <c r="F119" i="55"/>
  <c r="M107" i="55"/>
  <c r="R113" i="55"/>
  <c r="T98" i="55"/>
  <c r="J14" i="55"/>
  <c r="U27" i="55"/>
  <c r="M42" i="55"/>
  <c r="L58" i="55"/>
  <c r="U44" i="55"/>
  <c r="T92" i="55"/>
  <c r="R90" i="55"/>
  <c r="Q52" i="55"/>
  <c r="N85" i="55"/>
  <c r="P19" i="55"/>
  <c r="B21" i="55"/>
  <c r="S112" i="55"/>
  <c r="R13" i="55"/>
  <c r="E44" i="55"/>
  <c r="H59" i="55"/>
  <c r="U32" i="55"/>
  <c r="G17" i="55"/>
  <c r="S46" i="55"/>
  <c r="L122" i="55"/>
  <c r="C58" i="55"/>
  <c r="B51" i="55"/>
  <c r="L73" i="55"/>
  <c r="G85" i="55"/>
  <c r="Q50" i="55"/>
  <c r="N41" i="55"/>
  <c r="P121" i="55"/>
  <c r="E29" i="55"/>
  <c r="J72" i="55"/>
  <c r="T27" i="55"/>
  <c r="B106" i="55"/>
  <c r="U35" i="55"/>
  <c r="E21" i="55"/>
  <c r="E5" i="55"/>
  <c r="T117" i="55"/>
  <c r="Q8" i="55"/>
  <c r="K91" i="55"/>
  <c r="T68" i="55"/>
  <c r="U112" i="55"/>
  <c r="E71" i="55"/>
  <c r="H89" i="55"/>
  <c r="H96" i="55"/>
  <c r="O46" i="55"/>
  <c r="M70" i="55"/>
  <c r="U15" i="55"/>
  <c r="N109" i="55"/>
  <c r="J23" i="55"/>
  <c r="O81" i="55"/>
  <c r="H74" i="55"/>
  <c r="O8" i="55"/>
  <c r="J121" i="55"/>
  <c r="G78" i="55"/>
  <c r="C22" i="55"/>
  <c r="P25" i="55"/>
  <c r="T45" i="55"/>
  <c r="C107" i="55"/>
  <c r="D112" i="55"/>
  <c r="J67" i="55"/>
  <c r="I121" i="55"/>
  <c r="E96" i="55"/>
  <c r="P109" i="55"/>
  <c r="R114" i="55"/>
  <c r="E12" i="55"/>
  <c r="Q63" i="55"/>
  <c r="Q38" i="55"/>
  <c r="R5" i="55"/>
  <c r="K85" i="55"/>
  <c r="R51" i="55"/>
  <c r="O88" i="55"/>
  <c r="E73" i="55"/>
  <c r="Q104" i="55"/>
  <c r="J52" i="55"/>
  <c r="I96" i="55"/>
  <c r="C80" i="55"/>
  <c r="S56" i="55"/>
  <c r="N48" i="55"/>
  <c r="I111" i="55"/>
  <c r="K10" i="55"/>
  <c r="B52" i="55"/>
  <c r="Q48" i="55"/>
  <c r="I76" i="55"/>
  <c r="C105" i="55"/>
  <c r="T69" i="55"/>
  <c r="T99" i="55"/>
  <c r="C88" i="55"/>
  <c r="N35" i="55"/>
  <c r="L54" i="55"/>
  <c r="I50" i="55"/>
  <c r="C113" i="55"/>
  <c r="F70" i="55"/>
  <c r="L71" i="55"/>
  <c r="K93" i="55"/>
  <c r="I52" i="55"/>
  <c r="Q44" i="55"/>
  <c r="I107" i="55"/>
  <c r="O10" i="55"/>
  <c r="C108" i="55"/>
  <c r="J89" i="55"/>
  <c r="Q14" i="55"/>
  <c r="N67" i="55"/>
  <c r="D38" i="55"/>
  <c r="O16" i="55"/>
  <c r="G68" i="55"/>
  <c r="R25" i="55"/>
  <c r="J110" i="55"/>
  <c r="M35" i="55"/>
  <c r="G117" i="55"/>
  <c r="U24" i="55"/>
  <c r="T93" i="55"/>
  <c r="G44" i="55"/>
  <c r="K42" i="55"/>
  <c r="O15" i="55"/>
  <c r="Q5" i="55"/>
  <c r="F66" i="55"/>
  <c r="S23" i="55"/>
  <c r="D11" i="55"/>
  <c r="E63" i="55"/>
  <c r="C59" i="55"/>
  <c r="B79" i="55"/>
  <c r="I59" i="55"/>
  <c r="O26" i="55"/>
  <c r="D111" i="55"/>
  <c r="B115" i="55"/>
  <c r="R16" i="55"/>
  <c r="M11" i="55"/>
  <c r="K47" i="55"/>
  <c r="L56" i="55"/>
  <c r="J78" i="55"/>
  <c r="J85" i="55"/>
  <c r="R8" i="55"/>
  <c r="E68" i="55"/>
  <c r="J74" i="55"/>
  <c r="T89" i="55"/>
  <c r="P78" i="55"/>
  <c r="M28" i="55"/>
  <c r="H47" i="55"/>
  <c r="F32" i="55"/>
  <c r="I84" i="55"/>
  <c r="D39" i="55"/>
  <c r="U70" i="55"/>
  <c r="G97" i="55"/>
  <c r="N93" i="55"/>
  <c r="M95" i="55"/>
  <c r="D67" i="55"/>
  <c r="B62" i="55"/>
  <c r="D77" i="55"/>
  <c r="E40" i="55"/>
  <c r="B122" i="55"/>
  <c r="Q93" i="55"/>
  <c r="H56" i="55"/>
  <c r="G14" i="55"/>
  <c r="E115" i="55"/>
  <c r="M32" i="55"/>
  <c r="L51" i="55"/>
  <c r="G92" i="55"/>
  <c r="J54" i="55"/>
  <c r="P119" i="55"/>
  <c r="B7" i="55"/>
  <c r="H85" i="55"/>
  <c r="L40" i="55"/>
  <c r="B32" i="55"/>
  <c r="U105" i="55"/>
  <c r="C91" i="55"/>
  <c r="N11" i="55"/>
  <c r="N29" i="55"/>
  <c r="K21" i="55"/>
  <c r="P73" i="55"/>
  <c r="F86" i="55"/>
  <c r="J33" i="55"/>
  <c r="U106" i="55"/>
  <c r="H37" i="55"/>
  <c r="O22" i="55"/>
  <c r="R96" i="55"/>
  <c r="M24" i="55"/>
  <c r="R57" i="55"/>
  <c r="G98" i="55"/>
  <c r="S54" i="55"/>
  <c r="M104" i="55"/>
  <c r="R98" i="55"/>
  <c r="N14" i="55"/>
  <c r="Q35" i="55"/>
  <c r="G59" i="55"/>
  <c r="H65" i="55"/>
  <c r="U38" i="55"/>
  <c r="B100" i="55"/>
  <c r="F4" i="55"/>
  <c r="L120" i="55"/>
  <c r="G11" i="55"/>
  <c r="R58" i="55"/>
  <c r="B22" i="55"/>
  <c r="C118" i="55"/>
  <c r="D70" i="55"/>
  <c r="O69" i="55"/>
  <c r="D66" i="55"/>
  <c r="M66" i="55"/>
  <c r="F78" i="55"/>
  <c r="P8" i="55"/>
  <c r="I62" i="55"/>
  <c r="J102" i="55"/>
  <c r="E34" i="55"/>
  <c r="K71" i="55"/>
  <c r="O119" i="55"/>
  <c r="M64" i="55"/>
  <c r="O80" i="55"/>
  <c r="G41" i="55"/>
  <c r="S86" i="55"/>
  <c r="J51" i="55"/>
  <c r="M101" i="55"/>
  <c r="F56" i="55"/>
  <c r="M41" i="55"/>
  <c r="E20" i="55"/>
  <c r="J118" i="55"/>
  <c r="T13" i="55"/>
  <c r="P122" i="55"/>
  <c r="N99" i="55"/>
  <c r="I51" i="55"/>
  <c r="N88" i="55"/>
  <c r="C71" i="55"/>
  <c r="D17" i="55"/>
  <c r="C54" i="55"/>
  <c r="J49" i="55"/>
  <c r="G38" i="55"/>
  <c r="D113" i="55"/>
  <c r="D47" i="55"/>
  <c r="J73" i="55"/>
  <c r="N121" i="55"/>
  <c r="N119" i="55"/>
  <c r="J45" i="55"/>
  <c r="F11" i="55"/>
  <c r="R71" i="55"/>
  <c r="B114" i="55"/>
  <c r="T63" i="55"/>
  <c r="M23" i="55"/>
  <c r="T47" i="55"/>
  <c r="O74" i="55"/>
  <c r="F103" i="55"/>
  <c r="M18" i="55"/>
  <c r="D54" i="55"/>
  <c r="N82" i="55"/>
  <c r="C40" i="55"/>
  <c r="K73" i="55"/>
  <c r="N49" i="55"/>
  <c r="N58" i="55"/>
  <c r="F38" i="55"/>
  <c r="I67" i="55"/>
  <c r="M22" i="55"/>
  <c r="E97" i="55"/>
  <c r="F122" i="55"/>
  <c r="N4" i="55"/>
  <c r="D56" i="55"/>
  <c r="L79" i="55"/>
  <c r="P13" i="55"/>
  <c r="I25" i="55"/>
  <c r="E109" i="55"/>
  <c r="I36" i="55"/>
  <c r="O3" i="55"/>
  <c r="E94" i="55"/>
  <c r="H13" i="55"/>
  <c r="S120" i="55"/>
  <c r="D105" i="55"/>
  <c r="T3" i="55"/>
  <c r="O120" i="55"/>
  <c r="H16" i="55"/>
  <c r="M83" i="55"/>
  <c r="F25" i="55"/>
  <c r="U19" i="55"/>
  <c r="I26" i="55"/>
  <c r="Q69" i="55"/>
  <c r="D63" i="55"/>
  <c r="S90" i="55"/>
  <c r="P44" i="55"/>
  <c r="E79" i="55"/>
  <c r="F102" i="55"/>
  <c r="P58" i="55"/>
  <c r="B103" i="55"/>
  <c r="Q106" i="55"/>
  <c r="J113" i="55"/>
  <c r="C38" i="55"/>
  <c r="G110" i="55"/>
  <c r="N84" i="55"/>
  <c r="E75" i="55"/>
  <c r="N108" i="55"/>
  <c r="E89" i="55"/>
  <c r="I17" i="55"/>
  <c r="T110" i="55"/>
  <c r="L107" i="55"/>
  <c r="U68" i="55"/>
  <c r="S92" i="55"/>
  <c r="L68" i="55"/>
  <c r="U3" i="55"/>
  <c r="B120" i="55"/>
  <c r="T25" i="55"/>
  <c r="C81" i="55"/>
  <c r="I118" i="55"/>
  <c r="H46" i="55"/>
  <c r="L113" i="55"/>
  <c r="F26" i="55"/>
  <c r="U75" i="55"/>
  <c r="L28" i="55"/>
  <c r="O50" i="55"/>
  <c r="B112" i="55"/>
  <c r="U117" i="55"/>
  <c r="O57" i="55"/>
  <c r="H22" i="55"/>
  <c r="J12" i="55"/>
  <c r="B65" i="55"/>
  <c r="C11" i="55"/>
  <c r="I34" i="55"/>
  <c r="J24" i="55"/>
  <c r="F40" i="55"/>
  <c r="D121" i="55"/>
  <c r="Q118" i="55"/>
  <c r="O75" i="55"/>
  <c r="H2" i="55"/>
  <c r="S87" i="55"/>
  <c r="D36" i="55"/>
  <c r="U61" i="55"/>
  <c r="M29" i="55"/>
  <c r="G54" i="55"/>
  <c r="P113" i="55"/>
  <c r="I108" i="55"/>
  <c r="Q86" i="55"/>
  <c r="R108" i="55"/>
  <c r="D5" i="55"/>
  <c r="Q108" i="55"/>
  <c r="K62" i="55"/>
  <c r="I77" i="55"/>
  <c r="K84" i="55"/>
  <c r="C10" i="55"/>
  <c r="D45" i="55"/>
  <c r="M88" i="55"/>
  <c r="L82" i="55"/>
  <c r="I117" i="55"/>
  <c r="U43" i="55"/>
  <c r="S72" i="55"/>
  <c r="K95" i="55"/>
  <c r="N83" i="55"/>
  <c r="F87" i="55"/>
  <c r="L86" i="55"/>
  <c r="K33" i="55"/>
  <c r="I61" i="55"/>
  <c r="I3" i="55"/>
  <c r="O91" i="55"/>
  <c r="G2" i="55"/>
  <c r="L95" i="55"/>
  <c r="D31" i="55"/>
  <c r="F99" i="55"/>
  <c r="L64" i="55"/>
  <c r="E66" i="55"/>
  <c r="K14" i="55"/>
  <c r="Q101" i="55"/>
  <c r="P54" i="55"/>
  <c r="K57" i="55"/>
  <c r="S122" i="55"/>
  <c r="F107" i="55"/>
  <c r="J46" i="55"/>
  <c r="N87" i="55"/>
  <c r="N42" i="55"/>
  <c r="R65" i="55"/>
  <c r="P27" i="55"/>
  <c r="S25" i="55"/>
  <c r="H61" i="55"/>
  <c r="S17" i="55"/>
  <c r="M94" i="55"/>
  <c r="I63" i="55"/>
  <c r="R94" i="55"/>
  <c r="R72" i="55"/>
  <c r="R80" i="55"/>
  <c r="S50" i="55"/>
  <c r="B49" i="55"/>
  <c r="S12" i="55"/>
  <c r="S85" i="55"/>
  <c r="K88" i="55"/>
  <c r="R109" i="55"/>
  <c r="F63" i="55"/>
  <c r="E19" i="55"/>
  <c r="M112" i="55"/>
  <c r="N97" i="55"/>
  <c r="T64" i="55"/>
  <c r="S102" i="55"/>
  <c r="P102" i="55"/>
  <c r="T105" i="55"/>
  <c r="S26" i="55"/>
  <c r="O63" i="55"/>
  <c r="G69" i="55"/>
  <c r="M44" i="55"/>
  <c r="T103" i="55"/>
  <c r="O14" i="55"/>
  <c r="R84" i="55"/>
  <c r="O116" i="55"/>
  <c r="K7" i="55"/>
  <c r="R46" i="55"/>
  <c r="Q30" i="55"/>
  <c r="H102" i="55"/>
  <c r="O79" i="55"/>
  <c r="L5" i="55"/>
  <c r="S93" i="55"/>
  <c r="T6" i="55"/>
  <c r="F30" i="55"/>
  <c r="D30" i="55"/>
  <c r="T51" i="55"/>
  <c r="U7" i="55"/>
  <c r="B82" i="55"/>
  <c r="H103" i="55"/>
  <c r="O99" i="55"/>
  <c r="D103" i="55"/>
  <c r="B29" i="55"/>
  <c r="E120" i="55"/>
  <c r="U69" i="55"/>
  <c r="J119" i="55"/>
  <c r="U96" i="55"/>
  <c r="Q70" i="55"/>
  <c r="P69" i="55"/>
  <c r="I60" i="55"/>
  <c r="C47" i="55"/>
  <c r="N27" i="55"/>
  <c r="D91" i="55"/>
  <c r="I122" i="55"/>
  <c r="R11" i="55"/>
  <c r="J25" i="55"/>
  <c r="N96" i="55"/>
  <c r="H91" i="55"/>
  <c r="C109" i="55"/>
  <c r="N50" i="55"/>
  <c r="I102" i="55"/>
  <c r="P116" i="55"/>
  <c r="R21" i="55"/>
  <c r="N110" i="55"/>
  <c r="E59" i="55"/>
  <c r="G8" i="55"/>
  <c r="D58" i="55"/>
  <c r="G16" i="55"/>
  <c r="J26" i="55"/>
  <c r="F6" i="55"/>
  <c r="J77" i="55"/>
  <c r="O19" i="55"/>
  <c r="U93" i="55"/>
  <c r="Q100" i="55"/>
  <c r="L69" i="55"/>
  <c r="N53" i="55"/>
  <c r="K89" i="55"/>
  <c r="Q105" i="55"/>
  <c r="U36" i="55"/>
  <c r="E65" i="55"/>
  <c r="C43" i="55"/>
  <c r="E37" i="55"/>
  <c r="K17" i="55"/>
  <c r="K31" i="55"/>
  <c r="J43" i="55"/>
  <c r="R103" i="55"/>
  <c r="S55" i="55"/>
  <c r="E88" i="55"/>
  <c r="F54" i="55"/>
  <c r="S57" i="55"/>
  <c r="R85" i="55"/>
  <c r="J80" i="55"/>
  <c r="O43" i="55"/>
  <c r="T21" i="55"/>
  <c r="K104" i="55"/>
  <c r="R39" i="55"/>
  <c r="T116" i="55"/>
  <c r="M10" i="55"/>
  <c r="C90" i="55"/>
  <c r="D46" i="55"/>
  <c r="M121" i="55"/>
  <c r="B31" i="55"/>
  <c r="D33" i="55"/>
  <c r="Q81" i="55"/>
  <c r="N10" i="55"/>
  <c r="S101" i="55"/>
  <c r="K121" i="55"/>
  <c r="L62" i="55"/>
  <c r="U77" i="55"/>
  <c r="J19" i="55"/>
  <c r="T59" i="55"/>
  <c r="E85" i="55"/>
  <c r="S114" i="55"/>
  <c r="T111" i="55"/>
  <c r="T12" i="55"/>
  <c r="D101" i="55"/>
  <c r="M73" i="55"/>
  <c r="O58" i="55"/>
  <c r="B90" i="55"/>
  <c r="P41" i="55"/>
  <c r="M90" i="55"/>
  <c r="T81" i="55"/>
  <c r="L17" i="55"/>
  <c r="L97" i="55"/>
  <c r="G89" i="55"/>
  <c r="L78" i="55"/>
  <c r="H115" i="55"/>
  <c r="H31" i="55"/>
  <c r="J106" i="55"/>
  <c r="H82" i="55"/>
  <c r="O53" i="55"/>
  <c r="U66" i="55"/>
  <c r="P24" i="55"/>
  <c r="Q23" i="55"/>
  <c r="C48" i="55"/>
  <c r="P90" i="55"/>
  <c r="J39" i="55"/>
  <c r="C52" i="55"/>
  <c r="F16" i="55"/>
  <c r="L103" i="55"/>
  <c r="C120" i="55"/>
  <c r="M74" i="55"/>
  <c r="Q58" i="55"/>
  <c r="H71" i="55"/>
  <c r="S97" i="55"/>
  <c r="E91" i="55"/>
  <c r="U52" i="55"/>
  <c r="L84" i="55"/>
  <c r="F14" i="55"/>
  <c r="G83" i="55"/>
  <c r="U115" i="55"/>
  <c r="E95" i="55"/>
  <c r="T15" i="55"/>
  <c r="L31" i="55"/>
  <c r="G9" i="55"/>
  <c r="D73" i="55"/>
  <c r="E99" i="55"/>
  <c r="L61" i="55"/>
  <c r="E100" i="55"/>
  <c r="R89" i="55"/>
  <c r="S16" i="55"/>
  <c r="P46" i="55"/>
  <c r="N28" i="55"/>
  <c r="N64" i="55"/>
  <c r="U45" i="55"/>
  <c r="K35" i="55"/>
  <c r="U59" i="55"/>
  <c r="Q73" i="55"/>
  <c r="J41" i="55"/>
  <c r="J4" i="55"/>
  <c r="M60" i="55"/>
  <c r="G43" i="55"/>
  <c r="N56" i="55"/>
  <c r="K54" i="55"/>
  <c r="O11" i="55"/>
  <c r="Q107" i="55"/>
  <c r="D87" i="55"/>
  <c r="B101" i="55"/>
  <c r="N115" i="55"/>
  <c r="U85" i="55"/>
  <c r="U26" i="55"/>
  <c r="I53" i="55"/>
  <c r="K119" i="55"/>
  <c r="H12" i="55"/>
  <c r="D116" i="55"/>
  <c r="D14" i="55"/>
  <c r="R105" i="55"/>
  <c r="L49" i="55"/>
  <c r="J100" i="55"/>
  <c r="D122" i="55"/>
  <c r="M50" i="55"/>
  <c r="D85" i="55"/>
  <c r="F91" i="55"/>
  <c r="N44" i="55"/>
  <c r="H87" i="55"/>
  <c r="H6" i="55"/>
  <c r="N2" i="55"/>
  <c r="B69" i="55"/>
  <c r="L93" i="55"/>
  <c r="U92" i="55"/>
  <c r="C69" i="55"/>
  <c r="B15" i="55"/>
  <c r="B13" i="55"/>
  <c r="J61" i="55"/>
  <c r="J21" i="55"/>
  <c r="I23" i="55"/>
  <c r="F94" i="55"/>
  <c r="P61" i="55"/>
  <c r="D107" i="55"/>
  <c r="F81" i="55"/>
  <c r="R66" i="55"/>
  <c r="K22" i="55"/>
  <c r="U60" i="55"/>
  <c r="T67" i="55"/>
  <c r="I7" i="55"/>
  <c r="M8" i="55"/>
  <c r="Q120" i="55"/>
  <c r="D69" i="55"/>
  <c r="P106" i="55"/>
  <c r="N7" i="55"/>
  <c r="H34" i="55"/>
  <c r="H90" i="55"/>
  <c r="M12" i="55"/>
  <c r="N32" i="55"/>
  <c r="I48" i="55"/>
  <c r="L50" i="55"/>
  <c r="B116" i="55"/>
  <c r="S95" i="55"/>
  <c r="K49" i="55"/>
  <c r="D8" i="55"/>
  <c r="U82" i="55"/>
  <c r="T60" i="55"/>
  <c r="K75" i="55"/>
  <c r="J6" i="55"/>
  <c r="K18" i="55"/>
  <c r="Q28" i="55"/>
  <c r="L85" i="55"/>
  <c r="M56" i="55"/>
  <c r="J86" i="55"/>
  <c r="J112" i="55"/>
  <c r="M62" i="55"/>
  <c r="M81" i="55"/>
  <c r="B27" i="55"/>
  <c r="O90" i="55"/>
  <c r="O89" i="55"/>
  <c r="G3" i="55"/>
  <c r="E56" i="55"/>
  <c r="E31" i="55"/>
  <c r="C68" i="55"/>
  <c r="H35" i="55"/>
  <c r="L81" i="55"/>
  <c r="O115" i="55"/>
  <c r="N100" i="55"/>
  <c r="C101" i="55"/>
  <c r="D86" i="55"/>
  <c r="C65" i="55"/>
  <c r="B11" i="55"/>
  <c r="I101" i="55"/>
  <c r="M80" i="55"/>
  <c r="P66" i="55"/>
  <c r="B86" i="55"/>
  <c r="Q9" i="55"/>
  <c r="U17" i="55"/>
  <c r="M37" i="55"/>
  <c r="Q32" i="55"/>
  <c r="Q29" i="55"/>
  <c r="R77" i="55"/>
  <c r="B66" i="55"/>
  <c r="S6" i="55"/>
  <c r="H84" i="55"/>
  <c r="L16" i="55"/>
  <c r="G7" i="55"/>
  <c r="L39" i="55"/>
  <c r="O13" i="55"/>
  <c r="H95" i="55"/>
  <c r="B73" i="55"/>
  <c r="D12" i="55"/>
  <c r="S61" i="55"/>
  <c r="J8" i="55"/>
  <c r="J37" i="55"/>
  <c r="G15" i="55"/>
  <c r="T19" i="55"/>
  <c r="H109" i="55"/>
  <c r="N75" i="55"/>
  <c r="L10" i="55"/>
  <c r="U79" i="55"/>
  <c r="T52" i="55"/>
  <c r="K106" i="55"/>
  <c r="P117" i="55"/>
  <c r="K51" i="55"/>
  <c r="N25" i="55"/>
  <c r="J115" i="55"/>
  <c r="U87" i="55"/>
  <c r="C94" i="55"/>
  <c r="U28" i="55"/>
  <c r="J11" i="55"/>
  <c r="H5" i="55"/>
  <c r="D106" i="55"/>
  <c r="S70" i="55"/>
  <c r="I89" i="55"/>
  <c r="D57" i="55"/>
  <c r="M3" i="55"/>
  <c r="H28" i="55"/>
  <c r="B55" i="55"/>
  <c r="O31" i="55"/>
  <c r="I72" i="55"/>
  <c r="K72" i="55"/>
  <c r="K116" i="55"/>
  <c r="S10" i="55"/>
  <c r="Q4" i="55"/>
  <c r="G104" i="55"/>
  <c r="F18" i="55"/>
  <c r="H114" i="55"/>
  <c r="U83" i="55"/>
  <c r="M116" i="55"/>
  <c r="G90" i="55"/>
  <c r="T82" i="55"/>
  <c r="E7" i="55"/>
  <c r="Q64" i="55"/>
  <c r="E39" i="55"/>
  <c r="H33" i="55"/>
  <c r="J59" i="55"/>
  <c r="O60" i="55"/>
  <c r="D74" i="55"/>
  <c r="M84" i="55"/>
  <c r="R104" i="55"/>
  <c r="S105" i="55"/>
  <c r="B118" i="55"/>
  <c r="L48" i="55"/>
  <c r="C72" i="55"/>
  <c r="G32" i="55"/>
  <c r="K118" i="55"/>
  <c r="N36" i="55"/>
  <c r="B77" i="55"/>
  <c r="I114" i="55"/>
  <c r="P28" i="55"/>
  <c r="B30" i="55"/>
  <c r="G113" i="55"/>
  <c r="P23" i="55"/>
  <c r="H50" i="55"/>
  <c r="I64" i="55"/>
  <c r="Q18" i="55"/>
  <c r="C28" i="55"/>
  <c r="J29" i="55"/>
  <c r="T88" i="55"/>
  <c r="D41" i="55"/>
  <c r="H75" i="55"/>
  <c r="J92" i="55"/>
  <c r="P76" i="55"/>
  <c r="U118" i="55"/>
  <c r="M55" i="55"/>
  <c r="B76" i="55"/>
  <c r="I95" i="55"/>
  <c r="N39" i="55"/>
  <c r="E33" i="55"/>
  <c r="C76" i="55"/>
  <c r="S74" i="55"/>
  <c r="U81" i="55"/>
  <c r="J44" i="55"/>
  <c r="R81" i="55"/>
  <c r="K13" i="55"/>
  <c r="B50" i="55"/>
  <c r="L23" i="55"/>
  <c r="D22" i="55"/>
  <c r="C55" i="55"/>
  <c r="B48" i="55"/>
  <c r="E47" i="55"/>
  <c r="N117" i="55"/>
  <c r="L32" i="55"/>
  <c r="J87" i="55"/>
  <c r="B26" i="55"/>
  <c r="G47" i="55"/>
  <c r="L83" i="55"/>
  <c r="B117" i="55"/>
  <c r="S15" i="55"/>
  <c r="F72" i="55"/>
  <c r="C95" i="55"/>
  <c r="T108" i="55"/>
  <c r="G58" i="55"/>
  <c r="J53" i="55"/>
  <c r="U8" i="55"/>
  <c r="U90" i="55"/>
  <c r="N8" i="55"/>
  <c r="P83" i="55"/>
  <c r="I74" i="55"/>
  <c r="O71" i="55"/>
  <c r="C122" i="55"/>
  <c r="O55" i="55"/>
  <c r="S103" i="55"/>
  <c r="O70" i="55"/>
  <c r="C27" i="55"/>
  <c r="G25" i="55"/>
  <c r="U74" i="55"/>
  <c r="U116" i="55"/>
  <c r="Q102" i="55"/>
  <c r="F93" i="55"/>
  <c r="U67" i="55"/>
  <c r="R31" i="55"/>
  <c r="T115" i="55"/>
  <c r="O96" i="55"/>
  <c r="C7" i="55"/>
  <c r="R44" i="55"/>
  <c r="U55" i="55"/>
  <c r="B111" i="55"/>
  <c r="F19" i="55"/>
  <c r="S117" i="55"/>
  <c r="C70" i="55"/>
  <c r="T118" i="55"/>
  <c r="C33" i="55"/>
  <c r="C29" i="55"/>
  <c r="K53" i="55"/>
  <c r="C53" i="55"/>
  <c r="O2" i="55"/>
  <c r="U53" i="55"/>
  <c r="R30" i="55"/>
  <c r="O95" i="55"/>
  <c r="Q42" i="55"/>
  <c r="D37" i="55"/>
  <c r="Q26" i="55"/>
  <c r="U2" i="55"/>
  <c r="F13" i="55"/>
  <c r="P31" i="55"/>
  <c r="P112" i="55"/>
  <c r="R38" i="55"/>
  <c r="E45" i="55"/>
  <c r="B108" i="55"/>
  <c r="J10" i="55"/>
  <c r="K113" i="55"/>
  <c r="E35" i="55"/>
  <c r="S52" i="55"/>
  <c r="F15" i="55"/>
  <c r="P82" i="55"/>
  <c r="B34" i="55"/>
  <c r="D64" i="55"/>
  <c r="Q31" i="55"/>
  <c r="I32" i="55"/>
  <c r="E53" i="55"/>
  <c r="F36" i="55"/>
  <c r="P108" i="55"/>
  <c r="I40" i="55"/>
  <c r="J66" i="55"/>
  <c r="S68" i="55"/>
  <c r="M26" i="55"/>
  <c r="B88" i="55"/>
  <c r="T104" i="55"/>
  <c r="M36" i="55"/>
  <c r="B71" i="55"/>
  <c r="P49" i="55"/>
  <c r="U29" i="55"/>
  <c r="Q45" i="55"/>
  <c r="B70" i="55"/>
  <c r="G63" i="55"/>
  <c r="C2" i="55"/>
  <c r="F83" i="55"/>
  <c r="F65" i="55"/>
  <c r="H108" i="55"/>
  <c r="C31" i="55"/>
  <c r="K2" i="55"/>
  <c r="R86" i="55"/>
  <c r="K100" i="55"/>
  <c r="M54" i="55"/>
  <c r="D72" i="55"/>
  <c r="K92" i="55"/>
  <c r="N31" i="55"/>
  <c r="O51" i="55"/>
  <c r="C24" i="55"/>
  <c r="E104" i="55"/>
  <c r="O45" i="55"/>
  <c r="I113" i="55"/>
  <c r="H86" i="55"/>
  <c r="G65" i="55"/>
  <c r="I57" i="55"/>
  <c r="S9" i="55"/>
  <c r="E117" i="55"/>
  <c r="B98" i="55"/>
  <c r="J101" i="55"/>
  <c r="H100" i="55"/>
  <c r="K79" i="55"/>
  <c r="C21" i="55"/>
  <c r="J56" i="55"/>
  <c r="R120" i="55"/>
  <c r="M33" i="55"/>
  <c r="P4" i="55"/>
  <c r="R6" i="55"/>
  <c r="M48" i="55"/>
  <c r="K37" i="55"/>
  <c r="K38" i="55"/>
  <c r="H66" i="55"/>
  <c r="S76" i="55"/>
  <c r="P114" i="55"/>
  <c r="D49" i="55"/>
  <c r="D44" i="55"/>
  <c r="B105" i="55"/>
  <c r="P84" i="55"/>
  <c r="M15" i="55"/>
  <c r="F80" i="55"/>
  <c r="I82" i="55"/>
  <c r="N98" i="55"/>
  <c r="R29" i="55"/>
  <c r="S24" i="55"/>
  <c r="I4" i="55"/>
  <c r="Q67" i="55"/>
  <c r="D92" i="55"/>
  <c r="F113" i="55"/>
  <c r="B40" i="55"/>
  <c r="U14" i="55"/>
  <c r="L65" i="55"/>
  <c r="E103" i="55"/>
  <c r="H29" i="55"/>
  <c r="N16" i="55"/>
  <c r="C78" i="55"/>
  <c r="P65" i="55"/>
  <c r="R68" i="55"/>
  <c r="H97" i="55"/>
  <c r="G39" i="55"/>
  <c r="M118" i="55"/>
  <c r="L118" i="55"/>
  <c r="P101" i="55"/>
  <c r="S34" i="55"/>
  <c r="N94" i="55"/>
  <c r="M45" i="55"/>
  <c r="Q114" i="55"/>
  <c r="T26" i="55"/>
  <c r="E102" i="55"/>
  <c r="F100" i="55"/>
  <c r="C45" i="55"/>
  <c r="Q103" i="55"/>
  <c r="M71" i="55"/>
  <c r="L114" i="55"/>
  <c r="P80" i="55"/>
  <c r="M106" i="55"/>
  <c r="U88" i="55"/>
  <c r="L96" i="55"/>
  <c r="Q51" i="55"/>
  <c r="R56" i="55"/>
  <c r="I16" i="55"/>
  <c r="C77" i="55"/>
  <c r="S119" i="55"/>
  <c r="H92" i="55"/>
  <c r="E55" i="55"/>
  <c r="D82" i="55"/>
  <c r="O36" i="55"/>
  <c r="K52" i="55"/>
  <c r="G101" i="55"/>
  <c r="U65" i="55"/>
  <c r="P75" i="55"/>
  <c r="H88" i="55"/>
  <c r="Q110" i="55"/>
  <c r="O102" i="55"/>
  <c r="C86" i="55"/>
  <c r="M119" i="55"/>
  <c r="D109" i="55"/>
  <c r="O121" i="55"/>
  <c r="L53" i="55"/>
  <c r="U64" i="55"/>
  <c r="B63" i="55"/>
  <c r="J64" i="55"/>
  <c r="T2" i="55"/>
  <c r="K15" i="55"/>
  <c r="C26" i="55"/>
  <c r="F21" i="55"/>
  <c r="E54" i="55"/>
  <c r="M34" i="55"/>
  <c r="T50" i="55"/>
  <c r="Q96" i="55"/>
  <c r="R9" i="55"/>
  <c r="K30" i="55"/>
  <c r="I105" i="55"/>
  <c r="U16" i="55"/>
  <c r="P33" i="55"/>
  <c r="B37" i="55"/>
  <c r="N52" i="55"/>
  <c r="N106" i="55"/>
  <c r="Q33" i="55"/>
  <c r="T70" i="55"/>
  <c r="H68" i="55"/>
  <c r="U54" i="55"/>
  <c r="J27" i="55"/>
  <c r="F31" i="55"/>
  <c r="P5" i="55"/>
  <c r="I116" i="55"/>
  <c r="I2" i="55"/>
  <c r="H51" i="55"/>
  <c r="S98" i="55"/>
  <c r="I33" i="55"/>
  <c r="J69" i="55"/>
  <c r="N23" i="55"/>
  <c r="M68" i="55"/>
  <c r="F34" i="55"/>
  <c r="K109" i="55"/>
  <c r="L109" i="55"/>
  <c r="P21" i="55"/>
  <c r="L2" i="55"/>
  <c r="C121" i="55"/>
  <c r="M61" i="55"/>
  <c r="B56" i="55"/>
  <c r="K90" i="55"/>
  <c r="S100" i="55"/>
  <c r="E83" i="55"/>
  <c r="O98" i="55"/>
  <c r="E74" i="55"/>
  <c r="K68" i="55"/>
  <c r="H58" i="55"/>
  <c r="T106" i="55"/>
  <c r="M117" i="55"/>
  <c r="R3" i="55"/>
  <c r="K103" i="55"/>
  <c r="B68" i="55"/>
  <c r="P111" i="55"/>
  <c r="B93" i="55"/>
  <c r="P60" i="55"/>
  <c r="T20" i="55"/>
  <c r="P30" i="55"/>
  <c r="O67" i="55"/>
  <c r="H62" i="55"/>
  <c r="O97" i="55"/>
  <c r="F47" i="55"/>
  <c r="K76" i="55"/>
  <c r="L59" i="55"/>
  <c r="P72" i="55"/>
  <c r="S51" i="55"/>
  <c r="K63" i="55"/>
  <c r="I91" i="55"/>
  <c r="M47" i="55"/>
  <c r="L18" i="55"/>
  <c r="Q115" i="55"/>
  <c r="F68" i="55"/>
  <c r="S37" i="55"/>
  <c r="J98" i="55"/>
  <c r="H69" i="55"/>
  <c r="K24" i="55"/>
  <c r="D78" i="55"/>
  <c r="U47" i="55"/>
  <c r="D21" i="55"/>
  <c r="D4" i="55"/>
  <c r="R59" i="55"/>
  <c r="C19" i="55"/>
  <c r="F106" i="55"/>
  <c r="R60" i="55"/>
  <c r="L94" i="55"/>
  <c r="I70" i="55"/>
  <c r="L4" i="55"/>
  <c r="H67" i="55"/>
  <c r="L87" i="55"/>
  <c r="I49" i="55"/>
  <c r="E60" i="55"/>
  <c r="Q60" i="55"/>
  <c r="Q20" i="55"/>
  <c r="G20" i="55"/>
  <c r="J15" i="55"/>
  <c r="U91" i="55"/>
  <c r="I109" i="55"/>
  <c r="D90" i="55"/>
  <c r="Q43" i="55"/>
  <c r="E10" i="55"/>
  <c r="F96" i="55"/>
  <c r="S73" i="55"/>
  <c r="F69" i="55"/>
  <c r="N86" i="55"/>
  <c r="N118" i="55"/>
  <c r="E114" i="55"/>
  <c r="L80" i="55"/>
  <c r="I14" i="55"/>
  <c r="H27" i="55"/>
  <c r="G35" i="55"/>
  <c r="J16" i="55"/>
  <c r="F84" i="55"/>
  <c r="G51" i="55"/>
  <c r="P57" i="55"/>
  <c r="C14" i="55"/>
  <c r="O106" i="55"/>
  <c r="L101" i="55"/>
  <c r="H23" i="55"/>
  <c r="E111" i="55"/>
  <c r="K69" i="55"/>
  <c r="H26" i="55"/>
  <c r="U110" i="55"/>
  <c r="O108" i="55"/>
  <c r="F58" i="55"/>
  <c r="T31" i="55"/>
  <c r="C15" i="55"/>
  <c r="U18" i="55"/>
  <c r="S41" i="55"/>
  <c r="P103" i="55"/>
  <c r="J91" i="55"/>
  <c r="J9" i="55"/>
  <c r="P91" i="55"/>
  <c r="J18" i="55"/>
  <c r="F92" i="55"/>
  <c r="O68" i="55"/>
  <c r="Q19" i="55"/>
  <c r="M103" i="55"/>
  <c r="P12" i="55"/>
  <c r="K50" i="55"/>
  <c r="D9" i="55"/>
  <c r="T53" i="55"/>
  <c r="L52" i="55"/>
  <c r="P22" i="55"/>
  <c r="J108" i="55"/>
  <c r="Q121" i="55"/>
  <c r="Q112" i="55"/>
  <c r="O37" i="55"/>
  <c r="L110" i="55"/>
  <c r="L89" i="55"/>
  <c r="R73" i="55"/>
  <c r="I10" i="55"/>
  <c r="K55" i="55"/>
  <c r="E61" i="55"/>
  <c r="H105" i="55"/>
  <c r="T49" i="55"/>
  <c r="P47" i="55"/>
  <c r="S106" i="55"/>
  <c r="D96" i="55"/>
  <c r="N26" i="55"/>
  <c r="M20" i="55"/>
  <c r="B45" i="55"/>
  <c r="O122" i="55"/>
  <c r="P38" i="55"/>
  <c r="O48" i="55"/>
  <c r="N19" i="55"/>
  <c r="R76" i="55"/>
  <c r="H48" i="55"/>
  <c r="D99" i="55"/>
  <c r="D119" i="55"/>
  <c r="F88" i="55"/>
  <c r="O105" i="55"/>
  <c r="S48" i="55"/>
  <c r="J96" i="55"/>
  <c r="N45" i="55"/>
  <c r="N120" i="55"/>
  <c r="K120" i="55"/>
  <c r="C12" i="55"/>
  <c r="T34" i="55"/>
  <c r="N81" i="55"/>
  <c r="M75" i="55"/>
  <c r="D10" i="55"/>
  <c r="P3" i="55"/>
  <c r="N54" i="55"/>
  <c r="O72" i="55"/>
  <c r="C79" i="55"/>
  <c r="C74" i="55"/>
  <c r="P9" i="55"/>
  <c r="S36" i="55"/>
  <c r="S67" i="55"/>
  <c r="M98" i="55"/>
  <c r="L99" i="55"/>
  <c r="I86" i="55"/>
  <c r="S80" i="55"/>
  <c r="J75" i="55"/>
  <c r="L77" i="55"/>
  <c r="I38" i="55"/>
  <c r="C25" i="55"/>
  <c r="E36" i="55"/>
  <c r="O28" i="55"/>
  <c r="B43" i="55"/>
  <c r="P52" i="55"/>
  <c r="K61" i="55"/>
  <c r="N59" i="55"/>
  <c r="E22" i="55"/>
  <c r="O5" i="55"/>
  <c r="D40" i="55"/>
  <c r="B121" i="55"/>
  <c r="U63" i="55"/>
  <c r="E110" i="55"/>
  <c r="M67" i="55"/>
  <c r="I44" i="55"/>
  <c r="N79" i="55"/>
  <c r="M82" i="55"/>
  <c r="U22" i="55"/>
  <c r="S69" i="55"/>
  <c r="T39" i="55"/>
  <c r="N114" i="55"/>
  <c r="H17" i="55"/>
  <c r="H76" i="55"/>
  <c r="O7" i="55"/>
  <c r="L46" i="55"/>
  <c r="O104" i="55"/>
  <c r="L35" i="55"/>
  <c r="F62" i="55"/>
  <c r="D48" i="55"/>
  <c r="G48" i="55"/>
  <c r="U89" i="55"/>
  <c r="Q22" i="55"/>
  <c r="M9" i="55"/>
  <c r="P105" i="55"/>
  <c r="C62" i="55"/>
  <c r="T9" i="55"/>
  <c r="O77" i="55"/>
  <c r="L98" i="55"/>
  <c r="J109" i="55"/>
  <c r="H44" i="55"/>
  <c r="U120" i="55"/>
  <c r="U30" i="55"/>
  <c r="N51" i="55"/>
  <c r="Q98" i="55"/>
  <c r="R102" i="55"/>
  <c r="I12" i="55"/>
  <c r="T30" i="55"/>
  <c r="J68" i="55"/>
  <c r="L19" i="55"/>
  <c r="G19" i="55"/>
  <c r="D55" i="55"/>
  <c r="B67" i="55"/>
  <c r="M52" i="55"/>
  <c r="F90" i="55"/>
  <c r="M16" i="55"/>
  <c r="I78" i="55"/>
  <c r="G109" i="55"/>
  <c r="M59" i="55"/>
  <c r="S30" i="55"/>
  <c r="U114" i="55"/>
  <c r="K83" i="55"/>
  <c r="K58" i="55"/>
  <c r="O54" i="55"/>
  <c r="M2" i="55"/>
  <c r="I66" i="55"/>
  <c r="E77" i="55"/>
  <c r="U51" i="55"/>
  <c r="S59" i="55"/>
  <c r="S78" i="55"/>
  <c r="N111" i="55"/>
  <c r="U95" i="55"/>
  <c r="E105" i="55"/>
  <c r="N77" i="55"/>
  <c r="L116" i="55"/>
  <c r="N104" i="55"/>
  <c r="S113" i="55"/>
  <c r="F44" i="55"/>
  <c r="I30" i="55"/>
  <c r="H43" i="55"/>
  <c r="F42" i="55"/>
  <c r="T55" i="55"/>
  <c r="O44" i="55"/>
  <c r="J30" i="55"/>
  <c r="N68" i="55"/>
  <c r="C4" i="55"/>
  <c r="K111" i="55"/>
  <c r="O100" i="55"/>
  <c r="H81" i="55"/>
  <c r="L57" i="55"/>
  <c r="U10" i="55"/>
  <c r="U56" i="55"/>
  <c r="T84" i="55"/>
  <c r="H113" i="55"/>
  <c r="N6" i="55"/>
  <c r="T109" i="55"/>
  <c r="L76" i="55"/>
  <c r="H93" i="55"/>
  <c r="R97" i="55"/>
  <c r="N107" i="55"/>
  <c r="P88" i="55"/>
  <c r="G94" i="55"/>
  <c r="I31" i="55"/>
  <c r="G72" i="55"/>
  <c r="H119" i="55"/>
  <c r="G40" i="55"/>
  <c r="M93" i="55"/>
  <c r="S40" i="55"/>
  <c r="M63" i="55"/>
  <c r="H25" i="55"/>
  <c r="R12" i="55"/>
  <c r="O118" i="55"/>
  <c r="O94" i="55"/>
  <c r="M111" i="55"/>
  <c r="R47" i="55"/>
  <c r="K34" i="55"/>
  <c r="D115" i="55"/>
  <c r="M91" i="55"/>
  <c r="C41" i="55"/>
  <c r="S99" i="55"/>
  <c r="K67" i="55"/>
  <c r="K115" i="55"/>
  <c r="S60" i="55"/>
  <c r="D34" i="55"/>
  <c r="S63" i="55"/>
  <c r="M51" i="55"/>
  <c r="Q46" i="55"/>
  <c r="N40" i="55"/>
  <c r="B92" i="55"/>
  <c r="C97" i="55"/>
  <c r="T102" i="55"/>
  <c r="C56" i="55"/>
  <c r="H10" i="55"/>
  <c r="M57" i="55"/>
  <c r="R95" i="55"/>
  <c r="T58" i="55"/>
  <c r="U13" i="55"/>
  <c r="H106" i="55"/>
  <c r="K114" i="55"/>
  <c r="F8" i="55"/>
  <c r="R10" i="55"/>
  <c r="R37" i="55"/>
  <c r="C67" i="55"/>
  <c r="N89" i="55"/>
  <c r="M99" i="55"/>
  <c r="R106" i="55"/>
  <c r="T78" i="55"/>
  <c r="Q56" i="55"/>
  <c r="B99" i="55"/>
  <c r="E48" i="55"/>
  <c r="G80" i="55"/>
  <c r="L92" i="55"/>
  <c r="I81" i="55"/>
  <c r="B6" i="55"/>
  <c r="E113" i="55"/>
  <c r="O111" i="55"/>
  <c r="E4" i="55"/>
  <c r="O18" i="55"/>
  <c r="G23" i="55"/>
  <c r="M4" i="55"/>
  <c r="T24" i="55"/>
  <c r="T46" i="55"/>
  <c r="G5" i="55"/>
  <c r="H11" i="55"/>
  <c r="O112" i="55"/>
  <c r="I79" i="55"/>
  <c r="O56" i="55"/>
  <c r="O92" i="55"/>
  <c r="O30" i="55"/>
  <c r="F20" i="55"/>
  <c r="B104" i="55"/>
  <c r="F37" i="55"/>
  <c r="R82" i="55"/>
  <c r="T94" i="55"/>
  <c r="K48" i="55"/>
  <c r="K9" i="55"/>
  <c r="P40" i="55"/>
  <c r="P118" i="55"/>
  <c r="S8" i="55"/>
  <c r="D27" i="55"/>
  <c r="L60" i="55"/>
  <c r="N12" i="55"/>
  <c r="G37" i="55"/>
  <c r="D52" i="55"/>
  <c r="I43" i="55"/>
  <c r="K98" i="55"/>
  <c r="G18" i="55"/>
  <c r="K112" i="55"/>
  <c r="E92" i="55"/>
  <c r="L111" i="55"/>
  <c r="S77" i="55"/>
  <c r="D16" i="55"/>
  <c r="P50" i="55"/>
  <c r="I29" i="55"/>
  <c r="H104" i="55"/>
  <c r="M108" i="55"/>
  <c r="D20" i="55"/>
  <c r="F89" i="55"/>
  <c r="B78" i="55"/>
  <c r="E2" i="55"/>
  <c r="B38" i="55"/>
  <c r="R32" i="55"/>
  <c r="R122" i="55"/>
  <c r="D100" i="55"/>
  <c r="E8" i="55"/>
  <c r="T79" i="55"/>
  <c r="K12" i="55"/>
  <c r="S82" i="55"/>
  <c r="K28" i="55"/>
  <c r="H122" i="55"/>
  <c r="J111" i="55"/>
  <c r="F104" i="55"/>
  <c r="I115" i="55"/>
  <c r="O23" i="55"/>
  <c r="T120" i="55"/>
  <c r="S7" i="55"/>
  <c r="R15" i="55"/>
  <c r="T66" i="55"/>
  <c r="P62" i="55"/>
  <c r="H111" i="55"/>
  <c r="B28" i="55"/>
  <c r="E9" i="55"/>
  <c r="E27" i="55"/>
  <c r="O76" i="55"/>
  <c r="P2" i="55"/>
  <c r="K29" i="55"/>
  <c r="T83" i="55"/>
  <c r="L119" i="55"/>
  <c r="N90" i="55"/>
  <c r="E116" i="55"/>
  <c r="P70" i="55"/>
  <c r="U11" i="55"/>
  <c r="F109" i="55"/>
  <c r="B41" i="55"/>
  <c r="M87" i="55"/>
  <c r="B109" i="55"/>
  <c r="S32" i="55"/>
  <c r="U99" i="55"/>
  <c r="P43" i="55"/>
  <c r="T91" i="55"/>
  <c r="S88" i="55"/>
  <c r="I42" i="55"/>
  <c r="B46" i="55"/>
  <c r="N46" i="55"/>
  <c r="B12" i="55"/>
  <c r="S11" i="55"/>
  <c r="Q16" i="55"/>
  <c r="H24" i="55"/>
  <c r="L11" i="55"/>
  <c r="H39" i="55"/>
  <c r="J42" i="55"/>
  <c r="P7" i="55"/>
  <c r="G86" i="55"/>
  <c r="J104" i="55"/>
  <c r="G114" i="55"/>
  <c r="O113" i="55"/>
  <c r="D93" i="55"/>
  <c r="B25" i="55"/>
  <c r="R112" i="55"/>
  <c r="P17" i="55"/>
  <c r="I58" i="55"/>
  <c r="S43" i="55"/>
  <c r="Q95" i="55"/>
  <c r="O27" i="55"/>
  <c r="O107" i="55"/>
  <c r="C110" i="55"/>
  <c r="R17" i="55"/>
  <c r="J20" i="55"/>
  <c r="U71" i="55"/>
  <c r="L74" i="55"/>
  <c r="M114" i="55"/>
  <c r="Q21" i="55"/>
  <c r="E93" i="55"/>
  <c r="J40" i="55"/>
  <c r="E49" i="55"/>
  <c r="N72" i="55"/>
  <c r="L100" i="55"/>
  <c r="I94" i="55"/>
  <c r="F121" i="55"/>
  <c r="K78" i="55"/>
  <c r="G74" i="55"/>
  <c r="S109" i="55"/>
  <c r="L90" i="55"/>
  <c r="T62" i="55"/>
  <c r="P56" i="55"/>
  <c r="U20" i="55"/>
  <c r="G31" i="55"/>
  <c r="T100" i="55"/>
  <c r="M30" i="55"/>
  <c r="G103" i="55"/>
  <c r="S58" i="55"/>
  <c r="P79" i="55"/>
  <c r="O64" i="55"/>
  <c r="U40" i="55"/>
  <c r="F57" i="55"/>
  <c r="D117" i="55"/>
  <c r="R54" i="55"/>
  <c r="Q7" i="55"/>
  <c r="U25" i="55"/>
  <c r="J95" i="55"/>
  <c r="J31" i="55"/>
  <c r="R121" i="55"/>
  <c r="L38" i="55"/>
  <c r="T87" i="55"/>
  <c r="P107" i="55"/>
  <c r="N65" i="55"/>
  <c r="M86" i="55"/>
  <c r="M96" i="55"/>
  <c r="K80" i="55"/>
  <c r="K65" i="55"/>
  <c r="T16" i="55"/>
  <c r="N3" i="55"/>
  <c r="F45" i="55"/>
  <c r="F77" i="55"/>
  <c r="T8" i="55"/>
  <c r="B44" i="55"/>
  <c r="E107" i="55"/>
  <c r="M40" i="55"/>
  <c r="P67" i="55"/>
  <c r="G30" i="55"/>
  <c r="H45" i="55"/>
  <c r="Q24" i="55"/>
  <c r="B2" i="55"/>
  <c r="S31" i="55"/>
  <c r="M7" i="55"/>
  <c r="G88" i="55"/>
  <c r="C50" i="55"/>
  <c r="T73" i="55"/>
  <c r="C8" i="55"/>
  <c r="K19" i="55"/>
  <c r="S81" i="55"/>
  <c r="Q27" i="55"/>
  <c r="U21" i="55"/>
  <c r="B20" i="55"/>
  <c r="R116" i="55"/>
  <c r="H30" i="55"/>
  <c r="S42" i="55"/>
  <c r="N103" i="55"/>
  <c r="R91" i="55"/>
  <c r="Q6" i="55"/>
  <c r="J65" i="55"/>
  <c r="R4" i="55"/>
  <c r="F5" i="55"/>
  <c r="G56" i="55"/>
  <c r="O114" i="55"/>
  <c r="G71" i="55"/>
  <c r="K41" i="55"/>
  <c r="K26" i="55"/>
  <c r="B110" i="55"/>
  <c r="L44" i="55"/>
  <c r="Q109" i="55"/>
  <c r="E87" i="55"/>
  <c r="R63" i="55"/>
  <c r="G36" i="55"/>
  <c r="H54" i="55"/>
  <c r="L34" i="55"/>
  <c r="I92" i="55"/>
  <c r="F3" i="55"/>
  <c r="E84" i="55"/>
  <c r="E67" i="55"/>
  <c r="B39" i="55"/>
  <c r="G82" i="55"/>
  <c r="R42" i="55"/>
  <c r="N18" i="55"/>
  <c r="H99" i="55"/>
  <c r="G66" i="55"/>
  <c r="T17" i="55"/>
  <c r="J50" i="55"/>
  <c r="S91" i="55"/>
  <c r="N17" i="55"/>
  <c r="U84" i="55"/>
  <c r="G77" i="55"/>
  <c r="L3" i="55"/>
  <c r="D24" i="55"/>
  <c r="Q61" i="55"/>
  <c r="Q94" i="55"/>
  <c r="H14" i="55"/>
  <c r="J35" i="55"/>
  <c r="L121" i="55"/>
  <c r="N91" i="55"/>
  <c r="H18" i="55"/>
  <c r="R35" i="55"/>
  <c r="J5" i="55"/>
  <c r="E76" i="55"/>
  <c r="C64" i="55"/>
  <c r="R48" i="55"/>
  <c r="I39" i="55"/>
  <c r="R50" i="55"/>
  <c r="B83" i="55"/>
  <c r="H53" i="55"/>
  <c r="B119" i="55"/>
  <c r="S83" i="55"/>
  <c r="R19" i="55"/>
  <c r="P89" i="55"/>
  <c r="U4" i="55"/>
  <c r="D59" i="55"/>
  <c r="M115" i="55"/>
  <c r="R43" i="55"/>
  <c r="I56" i="55"/>
  <c r="L47" i="55"/>
  <c r="K117" i="55"/>
  <c r="M85" i="55"/>
  <c r="H38" i="55"/>
  <c r="R52" i="55"/>
  <c r="F95" i="55"/>
  <c r="U108" i="55"/>
  <c r="G45" i="55"/>
  <c r="D13" i="55"/>
  <c r="E86" i="55"/>
  <c r="B64" i="55"/>
  <c r="N73" i="55"/>
  <c r="F61" i="55"/>
  <c r="R7" i="55"/>
  <c r="P63" i="55"/>
  <c r="L75" i="55"/>
  <c r="M27" i="55"/>
  <c r="B113" i="55"/>
  <c r="L67" i="55"/>
  <c r="D28" i="55"/>
  <c r="Q76" i="55"/>
  <c r="T122" i="55"/>
  <c r="B19" i="55"/>
  <c r="M78" i="55"/>
  <c r="S19" i="55"/>
  <c r="C36" i="55"/>
  <c r="R75" i="55"/>
  <c r="U86" i="55"/>
  <c r="S5" i="55"/>
  <c r="F48" i="55"/>
  <c r="C92" i="55"/>
  <c r="P64" i="55"/>
  <c r="R2" i="55"/>
  <c r="F74" i="55"/>
  <c r="P51" i="55"/>
  <c r="M120" i="55"/>
  <c r="B42" i="55"/>
  <c r="I75" i="55"/>
  <c r="Q25" i="55"/>
  <c r="M110" i="55"/>
  <c r="L55" i="55"/>
  <c r="M49" i="55"/>
  <c r="K96" i="55"/>
  <c r="E50" i="55"/>
  <c r="L22" i="55"/>
  <c r="H3" i="55"/>
  <c r="L117" i="55"/>
  <c r="S35" i="55"/>
  <c r="Q57" i="55"/>
  <c r="O82" i="55"/>
  <c r="U49" i="55"/>
  <c r="B53" i="55"/>
  <c r="O52" i="55"/>
  <c r="D81" i="55"/>
  <c r="L37" i="55"/>
  <c r="R107" i="55"/>
  <c r="O33" i="55"/>
  <c r="F49" i="55"/>
  <c r="L45" i="55"/>
  <c r="C23" i="55"/>
  <c r="H70" i="55"/>
  <c r="O38" i="55"/>
  <c r="J57" i="55"/>
  <c r="K59" i="55"/>
  <c r="R118" i="55"/>
  <c r="K86" i="55"/>
  <c r="J83" i="55"/>
  <c r="O117" i="55"/>
  <c r="T37" i="55"/>
  <c r="H40" i="55"/>
  <c r="F108" i="55"/>
  <c r="L36" i="55"/>
  <c r="B80" i="55"/>
  <c r="K87" i="55"/>
  <c r="Q34" i="55"/>
  <c r="E11" i="55"/>
  <c r="K94" i="55"/>
  <c r="Q66" i="55"/>
  <c r="N57" i="55"/>
  <c r="P16" i="55"/>
  <c r="H8" i="55"/>
  <c r="K108" i="55"/>
  <c r="D29" i="55"/>
  <c r="K99" i="55"/>
  <c r="B24" i="55"/>
  <c r="I80" i="55"/>
  <c r="Q116" i="55"/>
  <c r="Q111" i="55"/>
  <c r="I55" i="55"/>
  <c r="S18" i="55"/>
  <c r="O83" i="55"/>
  <c r="B94" i="55"/>
  <c r="R14" i="55"/>
  <c r="J120" i="55"/>
  <c r="Q92" i="55"/>
  <c r="Q75" i="55"/>
  <c r="Q12" i="55"/>
  <c r="N22" i="55"/>
  <c r="F10" i="55"/>
  <c r="C104" i="55"/>
  <c r="K43" i="55"/>
  <c r="R62" i="55"/>
  <c r="H4" i="55"/>
  <c r="D15" i="55"/>
  <c r="I41" i="55"/>
  <c r="Q2" i="55"/>
  <c r="K6" i="55"/>
  <c r="O62" i="55"/>
  <c r="R23" i="55"/>
  <c r="M13" i="55"/>
  <c r="J90" i="55"/>
  <c r="M69" i="55"/>
  <c r="R111" i="55"/>
  <c r="T97" i="55"/>
  <c r="M109" i="55"/>
  <c r="B9" i="55"/>
  <c r="U102" i="55"/>
  <c r="G22" i="55"/>
  <c r="I98" i="55"/>
  <c r="G79" i="55"/>
  <c r="H116" i="55"/>
  <c r="T44" i="55"/>
  <c r="P68" i="55"/>
  <c r="I73" i="55"/>
  <c r="F22" i="55"/>
  <c r="T101" i="55"/>
  <c r="G62" i="55"/>
  <c r="F98" i="55"/>
  <c r="N15" i="55"/>
  <c r="O109" i="55"/>
  <c r="Q97" i="55"/>
  <c r="G4" i="55"/>
  <c r="T33" i="55"/>
  <c r="M21" i="55"/>
  <c r="B57" i="55"/>
  <c r="C82" i="55"/>
  <c r="T43" i="55"/>
  <c r="T71" i="55"/>
  <c r="N9" i="55"/>
  <c r="R67" i="55"/>
  <c r="G55" i="55"/>
  <c r="M89" i="55"/>
  <c r="M17" i="55"/>
  <c r="D108" i="55"/>
  <c r="J17" i="55"/>
  <c r="B60" i="55"/>
  <c r="G33" i="55"/>
  <c r="T119" i="55"/>
  <c r="P26" i="55"/>
  <c r="Q72" i="55"/>
  <c r="G102" i="55"/>
  <c r="N76" i="55"/>
  <c r="F59" i="55"/>
  <c r="O47" i="55"/>
  <c r="F43" i="55"/>
  <c r="Q89" i="55"/>
  <c r="C5" i="55"/>
  <c r="B16" i="55"/>
  <c r="D98" i="55"/>
  <c r="G6" i="55"/>
  <c r="U111" i="55"/>
  <c r="B59" i="55"/>
  <c r="T28" i="55"/>
  <c r="T96" i="55"/>
  <c r="S89" i="55"/>
  <c r="D7" i="55"/>
  <c r="L25" i="55"/>
  <c r="N55" i="55"/>
  <c r="R61" i="55"/>
  <c r="F82" i="55"/>
  <c r="K105" i="55"/>
  <c r="H19" i="55"/>
  <c r="P15" i="55"/>
  <c r="Q11" i="55"/>
  <c r="D95" i="55"/>
  <c r="C46" i="55"/>
  <c r="H78" i="55"/>
  <c r="G122" i="55"/>
  <c r="C85" i="55"/>
  <c r="M19" i="55"/>
  <c r="T14" i="55"/>
  <c r="U57" i="55"/>
  <c r="J22" i="55"/>
  <c r="G61" i="55"/>
  <c r="N33" i="55"/>
  <c r="Q82" i="55"/>
  <c r="F53" i="55"/>
  <c r="Q13" i="55"/>
  <c r="G115" i="55"/>
  <c r="D25" i="55"/>
  <c r="J7" i="55"/>
  <c r="L30" i="55"/>
  <c r="N21" i="55"/>
  <c r="F117" i="55"/>
  <c r="G26" i="55"/>
  <c r="H52" i="55"/>
  <c r="F55" i="55"/>
  <c r="K44" i="55"/>
  <c r="U33" i="55"/>
  <c r="R101" i="55"/>
  <c r="L104" i="55"/>
  <c r="S2" i="55"/>
  <c r="G10" i="55"/>
  <c r="G29" i="55"/>
  <c r="I100" i="55"/>
  <c r="I106" i="55"/>
  <c r="J79" i="55"/>
  <c r="T35" i="55"/>
  <c r="M38" i="55"/>
  <c r="E57" i="55"/>
  <c r="S108" i="55"/>
  <c r="B72" i="55"/>
  <c r="M97" i="55"/>
  <c r="J63" i="55"/>
  <c r="L13" i="55"/>
  <c r="T10" i="55"/>
  <c r="B54" i="55"/>
  <c r="E15" i="55"/>
  <c r="T7" i="55"/>
  <c r="R45" i="55"/>
  <c r="R74" i="55"/>
  <c r="R53" i="55"/>
  <c r="Q84" i="55"/>
  <c r="H110" i="55"/>
  <c r="S13" i="55"/>
  <c r="J55" i="55"/>
  <c r="P53" i="55"/>
  <c r="S94" i="55"/>
  <c r="Q79" i="55"/>
  <c r="J36" i="55"/>
  <c r="L91" i="55"/>
  <c r="J76" i="55"/>
  <c r="N37" i="55"/>
  <c r="P45" i="55"/>
  <c r="I112" i="55"/>
  <c r="K110" i="55"/>
  <c r="U97" i="55"/>
  <c r="C89" i="55"/>
  <c r="H118" i="55"/>
  <c r="B91" i="55"/>
  <c r="S110" i="55"/>
  <c r="M77" i="55"/>
  <c r="F114" i="55"/>
  <c r="I6" i="55"/>
  <c r="D118" i="55"/>
  <c r="C35" i="55"/>
  <c r="H63" i="55"/>
  <c r="O41" i="55"/>
  <c r="Q71" i="55"/>
  <c r="J117" i="55"/>
  <c r="N80" i="55"/>
  <c r="K36" i="55"/>
  <c r="P94" i="55"/>
  <c r="N34" i="55"/>
  <c r="J48" i="55"/>
  <c r="S96" i="55"/>
  <c r="K82" i="55"/>
  <c r="K20" i="55"/>
  <c r="Q47" i="55"/>
  <c r="C83" i="55"/>
  <c r="D75" i="55"/>
  <c r="O84" i="55"/>
  <c r="E30" i="55"/>
  <c r="B36" i="55"/>
  <c r="S65" i="55"/>
  <c r="I13" i="55"/>
  <c r="H72" i="55"/>
  <c r="T41" i="55"/>
  <c r="P110" i="55"/>
  <c r="I97" i="55"/>
  <c r="K16" i="55"/>
  <c r="F112" i="55"/>
  <c r="S121" i="55"/>
  <c r="U121" i="55"/>
  <c r="E14" i="55"/>
  <c r="C49" i="55"/>
  <c r="U98" i="55"/>
  <c r="I54" i="55"/>
  <c r="S27" i="55"/>
  <c r="N62" i="55"/>
  <c r="U39" i="55"/>
  <c r="K23" i="55"/>
  <c r="C44" i="55"/>
  <c r="L6" i="55"/>
  <c r="D53" i="55"/>
  <c r="E64" i="55"/>
  <c r="R83" i="55"/>
  <c r="B10" i="55"/>
  <c r="R20" i="55"/>
  <c r="F105" i="55"/>
  <c r="O6" i="55"/>
  <c r="C20" i="55"/>
  <c r="B107" i="55"/>
  <c r="C16" i="55"/>
  <c r="U94" i="55"/>
  <c r="N78" i="55"/>
  <c r="M102" i="55"/>
  <c r="U5" i="55"/>
  <c r="L112" i="55"/>
  <c r="T22" i="55"/>
  <c r="H121" i="55"/>
  <c r="S28" i="55"/>
  <c r="U101" i="55"/>
  <c r="H9" i="55"/>
  <c r="H112" i="55"/>
  <c r="I18" i="55"/>
  <c r="I19" i="55"/>
  <c r="I9" i="55"/>
  <c r="G57" i="55"/>
  <c r="F24" i="55"/>
  <c r="G108" i="55"/>
  <c r="C13" i="55"/>
  <c r="M46" i="55"/>
  <c r="E17" i="55"/>
  <c r="M122" i="55"/>
  <c r="F120" i="55"/>
  <c r="G24" i="55"/>
  <c r="H83" i="55"/>
  <c r="B8" i="55"/>
  <c r="H120" i="55"/>
  <c r="H73" i="55"/>
  <c r="M76" i="55"/>
  <c r="F39" i="55"/>
  <c r="O35" i="55"/>
  <c r="T86" i="55"/>
  <c r="F41" i="55"/>
  <c r="R40" i="55"/>
  <c r="F28" i="55"/>
  <c r="D2" i="55"/>
  <c r="O59" i="55"/>
  <c r="R55" i="55"/>
  <c r="N5" i="55"/>
  <c r="P59" i="55"/>
  <c r="S14" i="55"/>
  <c r="F79" i="55"/>
  <c r="T42" i="55"/>
  <c r="P81" i="55"/>
  <c r="T40" i="55"/>
  <c r="E6" i="55"/>
  <c r="S62" i="55"/>
  <c r="D102" i="55"/>
  <c r="E13" i="55"/>
  <c r="R24" i="55"/>
  <c r="D104" i="55"/>
  <c r="T72" i="55"/>
  <c r="P10" i="55"/>
  <c r="H15" i="55"/>
  <c r="E16" i="55"/>
  <c r="G46" i="55"/>
  <c r="P55" i="55"/>
  <c r="B84" i="55"/>
  <c r="F17" i="55"/>
  <c r="M113" i="55"/>
  <c r="G13" i="55"/>
  <c r="M6" i="55"/>
  <c r="B96" i="55"/>
  <c r="C63" i="55"/>
  <c r="H42" i="55"/>
  <c r="G42" i="55"/>
  <c r="D88" i="55"/>
  <c r="N105" i="55"/>
  <c r="O103" i="55"/>
  <c r="T23" i="55"/>
  <c r="I68" i="55"/>
  <c r="Q53" i="55"/>
  <c r="B58" i="55"/>
  <c r="Q15" i="55"/>
  <c r="I120" i="55"/>
  <c r="I5" i="55"/>
  <c r="O17" i="55"/>
  <c r="F52" i="55"/>
  <c r="Q87" i="55"/>
  <c r="S45" i="55"/>
  <c r="I37" i="55"/>
  <c r="U37" i="55"/>
  <c r="T4" i="55"/>
  <c r="T76" i="55"/>
  <c r="I28" i="55"/>
  <c r="R70" i="55"/>
  <c r="R99" i="55"/>
  <c r="F110" i="55"/>
  <c r="E28" i="55"/>
  <c r="P20" i="55"/>
  <c r="P97" i="55"/>
  <c r="T114" i="55"/>
  <c r="O4" i="55"/>
  <c r="U104" i="55"/>
  <c r="B85" i="55"/>
  <c r="T121" i="55"/>
  <c r="Q17" i="55"/>
  <c r="K5" i="55"/>
  <c r="Q59" i="55"/>
  <c r="D51" i="55"/>
  <c r="M79" i="55"/>
  <c r="P93" i="55"/>
  <c r="R33" i="55"/>
  <c r="I11" i="55"/>
  <c r="H7" i="55"/>
  <c r="O73" i="55"/>
  <c r="H98" i="55"/>
  <c r="I69" i="55"/>
  <c r="L43" i="55"/>
  <c r="O20" i="55"/>
  <c r="K3" i="55"/>
  <c r="O25" i="55"/>
  <c r="P71" i="55"/>
  <c r="J60" i="55"/>
  <c r="T75" i="55"/>
  <c r="L8" i="55"/>
  <c r="E81" i="55"/>
  <c r="N69" i="55"/>
  <c r="U103" i="55"/>
  <c r="D65" i="55"/>
  <c r="L105" i="55"/>
  <c r="N38" i="55"/>
  <c r="U122" i="55"/>
  <c r="B18" i="55"/>
  <c r="F23" i="55"/>
  <c r="G116" i="55"/>
  <c r="T61" i="55"/>
  <c r="P48" i="55"/>
  <c r="R22" i="55"/>
  <c r="K102" i="55"/>
  <c r="Q54" i="55"/>
  <c r="M105" i="55"/>
  <c r="S64" i="55"/>
  <c r="U23" i="55"/>
  <c r="T11" i="55"/>
  <c r="F111" i="55"/>
  <c r="G91" i="55"/>
  <c r="R18" i="55"/>
  <c r="H60" i="55"/>
  <c r="C84" i="55"/>
  <c r="F46" i="55"/>
  <c r="N74" i="55"/>
  <c r="G12" i="55"/>
  <c r="B17" i="55"/>
  <c r="F33" i="55"/>
  <c r="G107" i="55"/>
  <c r="P115" i="55"/>
  <c r="N61" i="55"/>
  <c r="K11" i="55"/>
  <c r="K107" i="55"/>
  <c r="I65" i="55"/>
  <c r="U107" i="55"/>
  <c r="G87" i="55"/>
  <c r="U113" i="55"/>
  <c r="O24" i="55"/>
  <c r="I21" i="55"/>
  <c r="C103" i="55"/>
  <c r="I22" i="55"/>
  <c r="D114" i="55"/>
  <c r="F12" i="55"/>
  <c r="J99" i="55"/>
  <c r="G119" i="55"/>
  <c r="Q91" i="55"/>
  <c r="F51" i="55"/>
  <c r="F64" i="55"/>
  <c r="C100" i="55"/>
  <c r="S38" i="55"/>
  <c r="O21" i="55"/>
  <c r="I83" i="55"/>
  <c r="I27" i="55"/>
  <c r="U48" i="55"/>
  <c r="N24" i="55"/>
  <c r="J71" i="55"/>
  <c r="U34" i="55"/>
  <c r="L106" i="55"/>
  <c r="G81" i="55"/>
  <c r="I71" i="55"/>
  <c r="P104" i="55"/>
  <c r="I99" i="55"/>
  <c r="B81" i="55"/>
  <c r="L21" i="55"/>
  <c r="I110" i="55"/>
  <c r="P96" i="55"/>
  <c r="I90" i="55"/>
  <c r="C117" i="55"/>
  <c r="L108" i="55"/>
  <c r="T36" i="55"/>
  <c r="E25" i="55"/>
  <c r="D3" i="55"/>
  <c r="S104" i="55"/>
  <c r="Q36" i="55"/>
  <c r="O9" i="55"/>
  <c r="C112" i="55"/>
  <c r="L20" i="55"/>
  <c r="C6" i="55"/>
  <c r="O110" i="55"/>
  <c r="R115" i="55"/>
  <c r="D50" i="55"/>
  <c r="B74" i="55"/>
  <c r="I85" i="55"/>
  <c r="L102" i="55"/>
  <c r="J47" i="55"/>
  <c r="R100" i="55"/>
  <c r="L12" i="55"/>
  <c r="U41" i="55"/>
  <c r="N66" i="55"/>
  <c r="O42" i="55"/>
  <c r="U80" i="55"/>
  <c r="B95" i="55"/>
  <c r="S20" i="55"/>
  <c r="E122" i="55"/>
  <c r="I119" i="55"/>
  <c r="D23" i="55"/>
  <c r="E80" i="55"/>
  <c r="N20" i="55"/>
  <c r="J82" i="55"/>
  <c r="D26" i="55"/>
  <c r="O34" i="55"/>
  <c r="L29" i="55"/>
  <c r="E118" i="55"/>
  <c r="H77" i="55"/>
  <c r="Q41" i="55"/>
  <c r="P11" i="55"/>
  <c r="T56" i="55"/>
  <c r="K32" i="55"/>
  <c r="J107" i="55"/>
  <c r="C106" i="55"/>
  <c r="P74" i="55"/>
  <c r="K77" i="55"/>
  <c r="Q68" i="55"/>
  <c r="E42" i="55"/>
  <c r="G28" i="55"/>
  <c r="E3" i="55"/>
  <c r="S118" i="55"/>
  <c r="P99" i="55"/>
  <c r="U6" i="55"/>
  <c r="J116" i="55"/>
  <c r="D97" i="55"/>
  <c r="I104" i="55"/>
  <c r="U9" i="55"/>
  <c r="D83" i="55"/>
  <c r="C9" i="55"/>
  <c r="S71" i="55"/>
  <c r="N102" i="55"/>
  <c r="K4" i="55"/>
  <c r="U62" i="55"/>
  <c r="P120" i="55"/>
  <c r="U73" i="55"/>
  <c r="D120" i="55"/>
  <c r="R64" i="55"/>
  <c r="C30" i="55"/>
  <c r="H107" i="55"/>
  <c r="E106" i="55"/>
  <c r="J3" i="55"/>
  <c r="G53" i="55"/>
  <c r="Q119" i="55"/>
  <c r="I87" i="55"/>
  <c r="C66" i="55"/>
  <c r="U119" i="55"/>
  <c r="G120" i="55"/>
  <c r="O87" i="55"/>
  <c r="F118" i="55"/>
  <c r="O93" i="55"/>
  <c r="J2" i="55"/>
  <c r="I35" i="55"/>
  <c r="G50" i="55"/>
  <c r="E121" i="55"/>
  <c r="S79" i="55"/>
  <c r="I45" i="55"/>
  <c r="T32" i="55"/>
  <c r="E70" i="55"/>
  <c r="R87" i="55"/>
  <c r="L26" i="55"/>
  <c r="N13" i="55"/>
  <c r="H32" i="55"/>
  <c r="B47" i="55"/>
  <c r="G95" i="55"/>
  <c r="S22" i="55"/>
  <c r="G112" i="55"/>
  <c r="T65" i="55"/>
  <c r="E98" i="55"/>
  <c r="E51" i="55"/>
  <c r="E58" i="55"/>
  <c r="K27" i="55"/>
  <c r="L24" i="55"/>
  <c r="N122" i="55"/>
  <c r="D60" i="55"/>
  <c r="G27" i="55"/>
  <c r="C96" i="55"/>
  <c r="M31" i="55"/>
  <c r="K64" i="55"/>
  <c r="N95" i="55"/>
  <c r="S3" i="55"/>
  <c r="J103" i="55"/>
  <c r="H36" i="55"/>
  <c r="S33" i="55"/>
  <c r="P100" i="55"/>
  <c r="C73" i="55"/>
  <c r="O101" i="55"/>
  <c r="B61" i="55"/>
  <c r="I47" i="55"/>
  <c r="P14" i="55"/>
  <c r="C18" i="55"/>
  <c r="P87" i="55"/>
  <c r="N101" i="55"/>
  <c r="J58" i="55"/>
  <c r="R78" i="55"/>
  <c r="C57" i="55"/>
  <c r="E82" i="55"/>
  <c r="S116" i="55"/>
  <c r="D94" i="55"/>
  <c r="H117" i="55"/>
  <c r="G76" i="55"/>
  <c r="I88" i="55"/>
  <c r="P85" i="55"/>
  <c r="O65" i="55"/>
  <c r="O32" i="55"/>
  <c r="B33" i="55"/>
  <c r="E23" i="55"/>
  <c r="E32" i="55"/>
  <c r="P18" i="55"/>
  <c r="T54" i="55"/>
  <c r="C34" i="55"/>
  <c r="L33" i="55"/>
  <c r="K97" i="55"/>
  <c r="E26" i="55"/>
  <c r="G49" i="55"/>
  <c r="K70" i="55"/>
  <c r="D32" i="55"/>
  <c r="D80" i="55"/>
  <c r="C39" i="55"/>
  <c r="G64" i="55"/>
  <c r="Q113" i="55"/>
  <c r="B87" i="55"/>
  <c r="R49" i="55"/>
  <c r="G60" i="55"/>
  <c r="G111" i="55"/>
  <c r="J94" i="55"/>
  <c r="O29" i="55"/>
  <c r="F2" i="55"/>
  <c r="D71" i="55"/>
  <c r="U78" i="55"/>
  <c r="T85" i="55"/>
  <c r="D61" i="55"/>
  <c r="C111" i="55"/>
  <c r="F76" i="55"/>
  <c r="T74" i="55"/>
  <c r="T5" i="55"/>
  <c r="H101" i="55"/>
  <c r="F9" i="55"/>
  <c r="P42" i="55"/>
  <c r="S66" i="55"/>
  <c r="S39" i="55"/>
  <c r="C99" i="55"/>
  <c r="G106" i="55"/>
  <c r="F35" i="55"/>
  <c r="G93" i="55"/>
  <c r="V19" i="53"/>
  <c r="AH22" i="51"/>
  <c r="V68" i="50"/>
  <c r="V83" i="53"/>
  <c r="M3" i="43"/>
  <c r="N3" i="43"/>
  <c r="O3" i="43"/>
  <c r="V15" i="49"/>
  <c r="H44" i="53"/>
  <c r="I44" i="53"/>
  <c r="V287" i="49"/>
  <c r="K29" i="51"/>
  <c r="M18" i="48"/>
  <c r="V39" i="50"/>
  <c r="V211" i="49"/>
  <c r="V75" i="49"/>
  <c r="H51" i="53"/>
  <c r="I51" i="53"/>
  <c r="V151" i="49"/>
  <c r="V19" i="47"/>
  <c r="V16" i="53"/>
  <c r="V73" i="47"/>
  <c r="V3" i="53"/>
  <c r="D4" i="59"/>
  <c r="C4" i="59" s="1"/>
  <c r="D41" i="59"/>
  <c r="C41" i="59" s="1"/>
  <c r="V44" i="50"/>
  <c r="U27" i="40"/>
  <c r="Y27" i="40" s="1"/>
  <c r="V115" i="50"/>
  <c r="V65" i="49"/>
  <c r="K33" i="51"/>
  <c r="I46" i="53"/>
  <c r="H46" i="53"/>
  <c r="V336" i="49"/>
  <c r="V27" i="53"/>
  <c r="V54" i="50"/>
  <c r="V64" i="53"/>
  <c r="V81" i="53"/>
  <c r="V44" i="49"/>
  <c r="V19" i="48"/>
  <c r="V100" i="49"/>
  <c r="V319" i="49"/>
  <c r="H27" i="50"/>
  <c r="I27" i="50"/>
  <c r="V20" i="49"/>
  <c r="V195" i="49"/>
  <c r="V95" i="50"/>
  <c r="V8" i="49"/>
  <c r="M29" i="48"/>
  <c r="V115" i="49"/>
  <c r="F15" i="51"/>
  <c r="V56" i="49"/>
  <c r="AJ23" i="48"/>
  <c r="V79" i="49"/>
  <c r="M53" i="50"/>
  <c r="V43" i="50"/>
  <c r="V294" i="49"/>
  <c r="Y4" i="42"/>
  <c r="Y3" i="42"/>
  <c r="Y5" i="42"/>
  <c r="AJ18" i="50"/>
  <c r="H31" i="59"/>
  <c r="G31" i="59" s="1"/>
  <c r="M51" i="50"/>
  <c r="AC70" i="53"/>
  <c r="AC23" i="53"/>
  <c r="AC65" i="53"/>
  <c r="AC7" i="53"/>
  <c r="AC39" i="53"/>
  <c r="AC18" i="53"/>
  <c r="AC88" i="53"/>
  <c r="AC22" i="53"/>
  <c r="AC24" i="53"/>
  <c r="AC32" i="53"/>
  <c r="AC5" i="53"/>
  <c r="AC15" i="53"/>
  <c r="AC28" i="53"/>
  <c r="AC36" i="53"/>
  <c r="AC60" i="53"/>
  <c r="AC43" i="53"/>
  <c r="AC85" i="53"/>
  <c r="AC17" i="53"/>
  <c r="AC89" i="53"/>
  <c r="AC86" i="53"/>
  <c r="AC30" i="53"/>
  <c r="AC59" i="53"/>
  <c r="AC29" i="53"/>
  <c r="AC71" i="53"/>
  <c r="AC20" i="53"/>
  <c r="AC80" i="53"/>
  <c r="AC74" i="53"/>
  <c r="AC19" i="53"/>
  <c r="AC47" i="53"/>
  <c r="AC73" i="53"/>
  <c r="AC72" i="53"/>
  <c r="AC51" i="53"/>
  <c r="AC66" i="53"/>
  <c r="AC14" i="53"/>
  <c r="AC37" i="53"/>
  <c r="AC42" i="53"/>
  <c r="AC56" i="53"/>
  <c r="AC6" i="53"/>
  <c r="AC54" i="53"/>
  <c r="AC8" i="53"/>
  <c r="AC33" i="53"/>
  <c r="AC87" i="53"/>
  <c r="AC34" i="53"/>
  <c r="AC41" i="53"/>
  <c r="AC83" i="53"/>
  <c r="AC50" i="53"/>
  <c r="AC2" i="53"/>
  <c r="AC40" i="53"/>
  <c r="AC31" i="53"/>
  <c r="AC84" i="53"/>
  <c r="AC61" i="53"/>
  <c r="AC67" i="53"/>
  <c r="AC62" i="53"/>
  <c r="AC58" i="53"/>
  <c r="AC48" i="53"/>
  <c r="AC57" i="53"/>
  <c r="AC26" i="53"/>
  <c r="AC16" i="53"/>
  <c r="AC52" i="53"/>
  <c r="AC77" i="53"/>
  <c r="AC64" i="53"/>
  <c r="AC46" i="53"/>
  <c r="AC68" i="53"/>
  <c r="AC78" i="53"/>
  <c r="AC55" i="53"/>
  <c r="AC75" i="53"/>
  <c r="AC10" i="53"/>
  <c r="AC25" i="53"/>
  <c r="AC4" i="53"/>
  <c r="AC21" i="53"/>
  <c r="AC53" i="53"/>
  <c r="AC81" i="53"/>
  <c r="AC63" i="53"/>
  <c r="AC44" i="53"/>
  <c r="AC38" i="53"/>
  <c r="AC79" i="53"/>
  <c r="AC11" i="53"/>
  <c r="AC27" i="53"/>
  <c r="AC35" i="53"/>
  <c r="AC12" i="53"/>
  <c r="AC49" i="53"/>
  <c r="AC13" i="53"/>
  <c r="AC45" i="53"/>
  <c r="AC76" i="53"/>
  <c r="AC82" i="53"/>
  <c r="AC69" i="53"/>
  <c r="AC9" i="53"/>
  <c r="AC3" i="53"/>
  <c r="V339" i="49"/>
  <c r="AC113" i="50"/>
  <c r="AC44" i="50"/>
  <c r="AC37" i="50"/>
  <c r="AC96" i="50"/>
  <c r="AC35" i="50"/>
  <c r="AC101" i="50"/>
  <c r="AC26" i="50"/>
  <c r="AC54" i="50"/>
  <c r="AC51" i="50"/>
  <c r="AC5" i="50"/>
  <c r="AC107" i="50"/>
  <c r="AC34" i="50"/>
  <c r="AC80" i="50"/>
  <c r="AC88" i="50"/>
  <c r="AC123" i="50"/>
  <c r="AC21" i="50"/>
  <c r="AC72" i="50"/>
  <c r="AC10" i="50"/>
  <c r="AC17" i="50"/>
  <c r="AC79" i="50"/>
  <c r="AC106" i="50"/>
  <c r="AC29" i="50"/>
  <c r="AC40" i="50"/>
  <c r="AC39" i="50"/>
  <c r="AC16" i="50"/>
  <c r="AC70" i="50"/>
  <c r="AC3" i="50"/>
  <c r="AC74" i="50"/>
  <c r="AC43" i="50"/>
  <c r="AC68" i="50"/>
  <c r="AC9" i="50"/>
  <c r="AC14" i="50"/>
  <c r="AC78" i="50"/>
  <c r="AC47" i="50"/>
  <c r="AC92" i="50"/>
  <c r="AC109" i="50"/>
  <c r="AC58" i="50"/>
  <c r="AC15" i="50"/>
  <c r="AC33" i="50"/>
  <c r="AC62" i="50"/>
  <c r="AC122" i="50"/>
  <c r="AC49" i="50"/>
  <c r="AC24" i="50"/>
  <c r="AC30" i="50"/>
  <c r="AC104" i="50"/>
  <c r="AC112" i="50"/>
  <c r="AC32" i="50"/>
  <c r="AC100" i="50"/>
  <c r="AC118" i="50"/>
  <c r="AC111" i="50"/>
  <c r="AC99" i="50"/>
  <c r="AC19" i="50"/>
  <c r="AC42" i="50"/>
  <c r="AC52" i="50"/>
  <c r="AC23" i="50"/>
  <c r="AC61" i="50"/>
  <c r="AC124" i="50"/>
  <c r="AC65" i="50"/>
  <c r="AC97" i="50"/>
  <c r="AC64" i="50"/>
  <c r="AC76" i="50"/>
  <c r="AC31" i="50"/>
  <c r="AC87" i="50"/>
  <c r="AC75" i="50"/>
  <c r="AC86" i="50"/>
  <c r="AC114" i="50"/>
  <c r="AC102" i="50"/>
  <c r="AC12" i="50"/>
  <c r="AC77" i="50"/>
  <c r="AC60" i="50"/>
  <c r="AC110" i="50"/>
  <c r="AC59" i="50"/>
  <c r="AC121" i="50"/>
  <c r="AC83" i="50"/>
  <c r="AC94" i="50"/>
  <c r="AC46" i="50"/>
  <c r="AC93" i="50"/>
  <c r="AC57" i="50"/>
  <c r="AC55" i="50"/>
  <c r="AC71" i="50"/>
  <c r="AC91" i="50"/>
  <c r="AC103" i="50"/>
  <c r="AC119" i="50"/>
  <c r="AC53" i="50"/>
  <c r="AC25" i="50"/>
  <c r="AC56" i="50"/>
  <c r="AC4" i="50"/>
  <c r="AC66" i="50"/>
  <c r="AC50" i="50"/>
  <c r="AC98" i="50"/>
  <c r="AC22" i="50"/>
  <c r="AC67" i="50"/>
  <c r="AC36" i="50"/>
  <c r="AC90" i="50"/>
  <c r="AC73" i="50"/>
  <c r="AC7" i="50"/>
  <c r="AC13" i="50"/>
  <c r="AC116" i="50"/>
  <c r="AC89" i="50"/>
  <c r="AC95" i="50"/>
  <c r="AC38" i="50"/>
  <c r="AC6" i="50"/>
  <c r="AC108" i="50"/>
  <c r="AC85" i="50"/>
  <c r="AC2" i="50"/>
  <c r="AC48" i="50"/>
  <c r="AC84" i="50"/>
  <c r="AC27" i="50"/>
  <c r="AC45" i="50"/>
  <c r="AC41" i="50"/>
  <c r="AC115" i="50"/>
  <c r="AC105" i="50"/>
  <c r="AC69" i="50"/>
  <c r="AC120" i="50"/>
  <c r="AC28" i="50"/>
  <c r="AC63" i="50"/>
  <c r="AC117" i="50"/>
  <c r="AC81" i="50"/>
  <c r="AC18" i="50"/>
  <c r="AC20" i="50"/>
  <c r="AC8" i="50"/>
  <c r="AC11" i="50"/>
  <c r="AC82" i="50"/>
  <c r="T5" i="51"/>
  <c r="V169" i="49"/>
  <c r="T30" i="51"/>
  <c r="V36" i="50"/>
  <c r="I18" i="45"/>
  <c r="V56" i="50"/>
  <c r="V49" i="48"/>
  <c r="C28" i="59"/>
  <c r="J3" i="59" s="1"/>
  <c r="V143" i="49"/>
  <c r="V188" i="49"/>
  <c r="T20" i="51"/>
  <c r="V353" i="49"/>
  <c r="V4" i="48"/>
  <c r="V59" i="50"/>
  <c r="T34" i="51"/>
  <c r="K16" i="51"/>
  <c r="V251" i="49"/>
  <c r="M33" i="50"/>
  <c r="M54" i="48"/>
  <c r="V123" i="50"/>
  <c r="V71" i="53"/>
  <c r="M40" i="49"/>
  <c r="V35" i="48"/>
  <c r="M8" i="50"/>
  <c r="I34" i="50"/>
  <c r="H34" i="50"/>
  <c r="V77" i="53"/>
  <c r="V278" i="49"/>
  <c r="V310" i="49"/>
  <c r="V69" i="47"/>
  <c r="V10" i="53"/>
  <c r="V63" i="53"/>
  <c r="V91" i="50"/>
  <c r="V243" i="49"/>
  <c r="V363" i="49"/>
  <c r="K25" i="51"/>
  <c r="T18" i="51"/>
  <c r="AJ11" i="49"/>
  <c r="V99" i="49"/>
  <c r="V34" i="53"/>
  <c r="V225" i="49"/>
  <c r="V118" i="50"/>
  <c r="AL19" i="48"/>
  <c r="V17" i="53"/>
  <c r="V368" i="49"/>
  <c r="AJ14" i="48"/>
  <c r="V12" i="48"/>
  <c r="M20" i="49"/>
  <c r="M60" i="47"/>
  <c r="C42" i="59"/>
  <c r="V80" i="49"/>
  <c r="M60" i="53"/>
  <c r="V79" i="47"/>
  <c r="H3" i="59"/>
  <c r="G3" i="59" s="1"/>
  <c r="V73" i="53"/>
  <c r="Y13" i="44"/>
  <c r="V66" i="53"/>
  <c r="V21" i="48"/>
  <c r="V262" i="49"/>
  <c r="V21" i="50"/>
  <c r="I45" i="53"/>
  <c r="H45" i="53"/>
  <c r="V8" i="48"/>
  <c r="V374" i="49"/>
  <c r="V350" i="49"/>
  <c r="V275" i="49"/>
  <c r="V101" i="50"/>
  <c r="M80" i="53"/>
  <c r="V111" i="49"/>
  <c r="M23" i="50"/>
  <c r="AJ13" i="48"/>
  <c r="H40" i="50"/>
  <c r="I40" i="50"/>
  <c r="V65" i="53"/>
  <c r="V316" i="49"/>
  <c r="K36" i="51"/>
  <c r="V10" i="49"/>
  <c r="V136" i="49"/>
  <c r="V11" i="49"/>
  <c r="H49" i="53"/>
  <c r="I49" i="53"/>
  <c r="M30" i="49"/>
  <c r="K23" i="51"/>
  <c r="M67" i="53"/>
  <c r="V77" i="48"/>
  <c r="I6" i="43"/>
  <c r="V111" i="50"/>
  <c r="V147" i="49"/>
  <c r="M22" i="53"/>
  <c r="K46" i="51"/>
  <c r="V325" i="49"/>
  <c r="V18" i="49"/>
  <c r="V60" i="50"/>
  <c r="V66" i="48"/>
  <c r="V10" i="48"/>
  <c r="V221" i="49"/>
  <c r="V191" i="49"/>
  <c r="K57" i="51"/>
  <c r="V68" i="48"/>
  <c r="M26" i="50"/>
  <c r="V174" i="49"/>
  <c r="V212" i="49"/>
  <c r="M71" i="50"/>
  <c r="V24" i="47"/>
  <c r="M17" i="53"/>
  <c r="V312" i="49"/>
  <c r="V142" i="49"/>
  <c r="V32" i="53"/>
  <c r="V11" i="53"/>
  <c r="I53" i="53"/>
  <c r="H53" i="53"/>
  <c r="M29" i="50"/>
  <c r="V14" i="47"/>
  <c r="M9" i="53"/>
  <c r="V48" i="48"/>
  <c r="V114" i="50"/>
  <c r="V20" i="48"/>
  <c r="M67" i="49"/>
  <c r="M78" i="53"/>
  <c r="AL12" i="48"/>
  <c r="V55" i="53"/>
  <c r="V55" i="49"/>
  <c r="F24" i="51"/>
  <c r="AA14" i="51"/>
  <c r="AA11" i="51"/>
  <c r="AA39" i="51"/>
  <c r="AA33" i="51"/>
  <c r="AA40" i="51"/>
  <c r="AA41" i="51"/>
  <c r="AA45" i="51"/>
  <c r="AA20" i="51"/>
  <c r="AA55" i="51"/>
  <c r="AA23" i="51"/>
  <c r="AA52" i="51"/>
  <c r="AA29" i="51"/>
  <c r="AA4" i="51"/>
  <c r="AA6" i="51"/>
  <c r="AA15" i="51"/>
  <c r="AA16" i="51"/>
  <c r="AA8" i="51"/>
  <c r="AA19" i="51"/>
  <c r="AA47" i="51"/>
  <c r="AA32" i="51"/>
  <c r="AA28" i="51"/>
  <c r="AA5" i="51"/>
  <c r="AA27" i="51"/>
  <c r="AA24" i="51"/>
  <c r="AA53" i="51"/>
  <c r="AA54" i="51"/>
  <c r="AA49" i="51"/>
  <c r="AA7" i="51"/>
  <c r="AA21" i="51"/>
  <c r="AA34" i="51"/>
  <c r="AA26" i="51"/>
  <c r="AA44" i="51"/>
  <c r="AA50" i="51"/>
  <c r="AA37" i="51"/>
  <c r="AA13" i="51"/>
  <c r="AA48" i="51"/>
  <c r="AA9" i="51"/>
  <c r="AA31" i="51"/>
  <c r="AA12" i="51"/>
  <c r="AA42" i="51"/>
  <c r="AA18" i="51"/>
  <c r="AA56" i="51"/>
  <c r="AA30" i="51"/>
  <c r="AA17" i="51"/>
  <c r="AA46" i="51"/>
  <c r="AA25" i="51"/>
  <c r="AA10" i="51"/>
  <c r="AA51" i="51"/>
  <c r="AA36" i="51"/>
  <c r="AA43" i="51"/>
  <c r="AA22" i="51"/>
  <c r="AA3" i="51"/>
  <c r="AA57" i="51"/>
  <c r="AA2" i="51"/>
  <c r="AA35" i="51"/>
  <c r="AA38" i="51"/>
  <c r="V69" i="53"/>
  <c r="AJ13" i="49"/>
  <c r="V62" i="50"/>
  <c r="V40" i="53"/>
  <c r="G28" i="59"/>
  <c r="J4" i="59" s="1"/>
  <c r="V348" i="49"/>
  <c r="V189" i="49"/>
  <c r="M62" i="53"/>
  <c r="V6" i="47"/>
  <c r="I42" i="53"/>
  <c r="H42" i="53"/>
  <c r="V63" i="47"/>
  <c r="K12" i="39"/>
  <c r="L12" i="39" s="1"/>
  <c r="O12" i="39" s="1"/>
  <c r="V376" i="49"/>
  <c r="V288" i="49"/>
  <c r="M22" i="50"/>
  <c r="I48" i="53"/>
  <c r="H48" i="53"/>
  <c r="AH18" i="51"/>
  <c r="V269" i="49"/>
  <c r="V180" i="49"/>
  <c r="V220" i="49"/>
  <c r="V255" i="49"/>
  <c r="T41" i="51"/>
  <c r="H9" i="59"/>
  <c r="G9" i="59" s="1"/>
  <c r="V14" i="53"/>
  <c r="V44" i="48"/>
  <c r="M7" i="50"/>
  <c r="M29" i="47"/>
  <c r="V98" i="50"/>
  <c r="V358" i="49"/>
  <c r="V158" i="49"/>
  <c r="V53" i="48"/>
  <c r="V80" i="48"/>
  <c r="AJ20" i="48"/>
  <c r="V107" i="50"/>
  <c r="K8" i="51"/>
  <c r="V216" i="49"/>
  <c r="V38" i="47"/>
  <c r="M82" i="53"/>
  <c r="V50" i="53"/>
  <c r="V272" i="49"/>
  <c r="V149" i="49"/>
  <c r="V73" i="48"/>
  <c r="M39" i="50"/>
  <c r="V33" i="53"/>
  <c r="V33" i="47"/>
  <c r="V72" i="48"/>
  <c r="AL21" i="48"/>
  <c r="V96" i="50"/>
  <c r="V60" i="49"/>
  <c r="M9" i="47"/>
  <c r="V102" i="50"/>
  <c r="V89" i="53"/>
  <c r="V77" i="47"/>
  <c r="I31" i="50"/>
  <c r="H31" i="50"/>
  <c r="V103" i="50"/>
  <c r="V47" i="49"/>
  <c r="AJ21" i="48"/>
  <c r="K31" i="51"/>
  <c r="P14" i="40"/>
  <c r="P17" i="40"/>
  <c r="P16" i="40"/>
  <c r="P13" i="40"/>
  <c r="P15" i="40"/>
  <c r="P19" i="40"/>
  <c r="P21" i="40"/>
  <c r="P18" i="40"/>
  <c r="P20" i="40"/>
  <c r="V88" i="48"/>
  <c r="AL17" i="48"/>
  <c r="V82" i="53"/>
  <c r="V352" i="49"/>
  <c r="V29" i="53"/>
  <c r="M89" i="53"/>
  <c r="U29" i="40"/>
  <c r="X29" i="40" s="1"/>
  <c r="V74" i="48"/>
  <c r="V6" i="50"/>
  <c r="V42" i="48"/>
  <c r="V120" i="50"/>
  <c r="K54" i="51"/>
  <c r="V28" i="49"/>
  <c r="AJ12" i="50"/>
  <c r="V164" i="49"/>
  <c r="V362" i="49"/>
  <c r="V66" i="49"/>
  <c r="M66" i="49"/>
  <c r="V64" i="49"/>
  <c r="V45" i="48"/>
  <c r="V46" i="49"/>
  <c r="C14" i="61"/>
  <c r="C16" i="61"/>
  <c r="C15" i="61"/>
  <c r="C17" i="61"/>
  <c r="V28" i="53"/>
  <c r="M25" i="47"/>
  <c r="I5" i="44"/>
  <c r="V313" i="49"/>
  <c r="V9" i="48"/>
  <c r="V306" i="49"/>
  <c r="V64" i="47"/>
  <c r="V88" i="53"/>
  <c r="V7" i="47"/>
  <c r="V17" i="47"/>
  <c r="M5" i="53"/>
  <c r="M42" i="50"/>
  <c r="V338" i="49"/>
  <c r="V307" i="49"/>
  <c r="AH14" i="51"/>
  <c r="I41" i="50"/>
  <c r="H41" i="50"/>
  <c r="V4" i="50"/>
  <c r="B116" i="56"/>
  <c r="B105" i="56"/>
  <c r="B47" i="56"/>
  <c r="B16" i="56"/>
  <c r="B19" i="56"/>
  <c r="B74" i="56"/>
  <c r="B32" i="56"/>
  <c r="B81" i="56"/>
  <c r="B62" i="56"/>
  <c r="B63" i="56"/>
  <c r="B93" i="56"/>
  <c r="B58" i="56"/>
  <c r="B106" i="56"/>
  <c r="B109" i="56"/>
  <c r="B100" i="56"/>
  <c r="B79" i="56"/>
  <c r="B44" i="56"/>
  <c r="B40" i="56"/>
  <c r="B36" i="56"/>
  <c r="B4" i="56"/>
  <c r="B107" i="56"/>
  <c r="B6" i="56"/>
  <c r="B27" i="56"/>
  <c r="B114" i="56"/>
  <c r="B86" i="56"/>
  <c r="B122" i="56"/>
  <c r="B25" i="56"/>
  <c r="B66" i="56"/>
  <c r="B52" i="56"/>
  <c r="B70" i="56"/>
  <c r="B49" i="56"/>
  <c r="B85" i="56"/>
  <c r="B112" i="56"/>
  <c r="B120" i="56"/>
  <c r="B18" i="56"/>
  <c r="B78" i="56"/>
  <c r="B48" i="56"/>
  <c r="B111" i="56"/>
  <c r="B33" i="56"/>
  <c r="B11" i="56"/>
  <c r="B61" i="56"/>
  <c r="B13" i="56"/>
  <c r="B8" i="56"/>
  <c r="B60" i="56"/>
  <c r="B37" i="56"/>
  <c r="B87" i="56"/>
  <c r="B43" i="56"/>
  <c r="B118" i="56"/>
  <c r="B46" i="56"/>
  <c r="B39" i="56"/>
  <c r="B77" i="56"/>
  <c r="B59" i="56"/>
  <c r="B28" i="56"/>
  <c r="B65" i="56"/>
  <c r="B117" i="56"/>
  <c r="B123" i="56"/>
  <c r="B31" i="56"/>
  <c r="B29" i="56"/>
  <c r="B102" i="56"/>
  <c r="B73" i="56"/>
  <c r="B113" i="56"/>
  <c r="B83" i="56"/>
  <c r="B45" i="56"/>
  <c r="B121" i="56"/>
  <c r="B34" i="56"/>
  <c r="B7" i="56"/>
  <c r="B119" i="56"/>
  <c r="B75" i="56"/>
  <c r="B57" i="56"/>
  <c r="B5" i="56"/>
  <c r="B21" i="56"/>
  <c r="B55" i="56"/>
  <c r="B97" i="56"/>
  <c r="B23" i="56"/>
  <c r="B24" i="56"/>
  <c r="B72" i="56"/>
  <c r="B80" i="56"/>
  <c r="B98" i="56"/>
  <c r="B17" i="56"/>
  <c r="B89" i="56"/>
  <c r="B95" i="56"/>
  <c r="B15" i="56"/>
  <c r="B92" i="56"/>
  <c r="B38" i="56"/>
  <c r="B51" i="56"/>
  <c r="B50" i="56"/>
  <c r="B14" i="56"/>
  <c r="B35" i="56"/>
  <c r="B71" i="56"/>
  <c r="B99" i="56"/>
  <c r="B103" i="56"/>
  <c r="B108" i="56"/>
  <c r="B76" i="56"/>
  <c r="B22" i="56"/>
  <c r="B64" i="56"/>
  <c r="B67" i="56"/>
  <c r="B88" i="56"/>
  <c r="B41" i="56"/>
  <c r="B56" i="56"/>
  <c r="B94" i="56"/>
  <c r="B115" i="56"/>
  <c r="B10" i="56"/>
  <c r="B54" i="56"/>
  <c r="B101" i="56"/>
  <c r="B82" i="56"/>
  <c r="B26" i="56"/>
  <c r="B20" i="56"/>
  <c r="B90" i="56"/>
  <c r="B12" i="56"/>
  <c r="B69" i="56"/>
  <c r="B84" i="56"/>
  <c r="B68" i="56"/>
  <c r="B91" i="56"/>
  <c r="B104" i="56"/>
  <c r="B9" i="56"/>
  <c r="B110" i="56"/>
  <c r="B30" i="56"/>
  <c r="B53" i="56"/>
  <c r="B42" i="56"/>
  <c r="B96" i="56"/>
  <c r="V86" i="53"/>
  <c r="V384" i="49"/>
  <c r="V54" i="48"/>
  <c r="M63" i="49"/>
  <c r="K30" i="51"/>
  <c r="V51" i="50"/>
  <c r="W123" i="50"/>
  <c r="W105" i="50"/>
  <c r="W44" i="50"/>
  <c r="W71" i="50"/>
  <c r="W77" i="50"/>
  <c r="W35" i="50"/>
  <c r="W13" i="50"/>
  <c r="W48" i="50"/>
  <c r="W21" i="50"/>
  <c r="W62" i="50"/>
  <c r="W89" i="50"/>
  <c r="W86" i="50"/>
  <c r="W82" i="50"/>
  <c r="W51" i="50"/>
  <c r="W39" i="50"/>
  <c r="W45" i="50"/>
  <c r="W55" i="50"/>
  <c r="W81" i="50"/>
  <c r="W50" i="50"/>
  <c r="W102" i="50"/>
  <c r="W58" i="50"/>
  <c r="W112" i="50"/>
  <c r="W70" i="50"/>
  <c r="W95" i="50"/>
  <c r="W10" i="50"/>
  <c r="W113" i="50"/>
  <c r="W7" i="50"/>
  <c r="W103" i="50"/>
  <c r="W85" i="50"/>
  <c r="W15" i="50"/>
  <c r="W107" i="50"/>
  <c r="W33" i="50"/>
  <c r="W54" i="50"/>
  <c r="W109" i="50"/>
  <c r="W57" i="50"/>
  <c r="W114" i="50"/>
  <c r="W24" i="50"/>
  <c r="W72" i="50"/>
  <c r="W73" i="50"/>
  <c r="W42" i="50"/>
  <c r="W108" i="50"/>
  <c r="W16" i="50"/>
  <c r="W27" i="50"/>
  <c r="W23" i="50"/>
  <c r="W67" i="50"/>
  <c r="W29" i="50"/>
  <c r="W46" i="50"/>
  <c r="W3" i="50"/>
  <c r="W120" i="50"/>
  <c r="W12" i="50"/>
  <c r="W59" i="50"/>
  <c r="W97" i="50"/>
  <c r="W4" i="50"/>
  <c r="W38" i="50"/>
  <c r="W36" i="50"/>
  <c r="W121" i="50"/>
  <c r="W124" i="50"/>
  <c r="W40" i="50"/>
  <c r="W26" i="50"/>
  <c r="W17" i="50"/>
  <c r="W49" i="50"/>
  <c r="W43" i="50"/>
  <c r="W25" i="50"/>
  <c r="W61" i="50"/>
  <c r="W32" i="50"/>
  <c r="W22" i="50"/>
  <c r="W115" i="50"/>
  <c r="W104" i="50"/>
  <c r="W106" i="50"/>
  <c r="W80" i="50"/>
  <c r="W90" i="50"/>
  <c r="W117" i="50"/>
  <c r="W14" i="50"/>
  <c r="W118" i="50"/>
  <c r="W101" i="50"/>
  <c r="W87" i="50"/>
  <c r="W119" i="50"/>
  <c r="W56" i="50"/>
  <c r="W53" i="50"/>
  <c r="W11" i="50"/>
  <c r="W31" i="50"/>
  <c r="W88" i="50"/>
  <c r="W75" i="50"/>
  <c r="W96" i="50"/>
  <c r="W110" i="50"/>
  <c r="W76" i="50"/>
  <c r="W60" i="50"/>
  <c r="W18" i="50"/>
  <c r="W63" i="50"/>
  <c r="W41" i="50"/>
  <c r="W83" i="50"/>
  <c r="W66" i="50"/>
  <c r="W91" i="50"/>
  <c r="W78" i="50"/>
  <c r="W52" i="50"/>
  <c r="W94" i="50"/>
  <c r="W8" i="50"/>
  <c r="W100" i="50"/>
  <c r="W34" i="50"/>
  <c r="W37" i="50"/>
  <c r="W6" i="50"/>
  <c r="W79" i="50"/>
  <c r="W69" i="50"/>
  <c r="W68" i="50"/>
  <c r="W92" i="50"/>
  <c r="W9" i="50"/>
  <c r="W65" i="50"/>
  <c r="W19" i="50"/>
  <c r="W111" i="50"/>
  <c r="W99" i="50"/>
  <c r="W20" i="50"/>
  <c r="W122" i="50"/>
  <c r="W28" i="50"/>
  <c r="W93" i="50"/>
  <c r="W30" i="50"/>
  <c r="W84" i="50"/>
  <c r="W64" i="50"/>
  <c r="W116" i="50"/>
  <c r="W5" i="50"/>
  <c r="W74" i="50"/>
  <c r="W47" i="50"/>
  <c r="W98" i="50"/>
  <c r="V46" i="47"/>
  <c r="M33" i="48"/>
  <c r="V40" i="48"/>
  <c r="V26" i="47"/>
  <c r="V79" i="48"/>
  <c r="T29" i="51"/>
  <c r="V252" i="49"/>
  <c r="V299" i="49"/>
  <c r="V24" i="49"/>
  <c r="M58" i="49"/>
  <c r="D10" i="59"/>
  <c r="C10" i="59" s="1"/>
  <c r="V76" i="47"/>
  <c r="V104" i="50"/>
  <c r="V76" i="49"/>
  <c r="M26" i="47"/>
  <c r="M53" i="47"/>
  <c r="V173" i="49"/>
  <c r="M84" i="53"/>
  <c r="V231" i="49"/>
  <c r="K51" i="51"/>
  <c r="V25" i="47"/>
  <c r="K32" i="51"/>
  <c r="V172" i="49"/>
  <c r="V30" i="47"/>
  <c r="U18" i="40"/>
  <c r="U15" i="40"/>
  <c r="U20" i="40"/>
  <c r="U16" i="40"/>
  <c r="U19" i="40"/>
  <c r="U12" i="40"/>
  <c r="U17" i="40"/>
  <c r="U14" i="40"/>
  <c r="U13" i="40"/>
  <c r="U21" i="40"/>
  <c r="V135" i="49"/>
  <c r="U15" i="51"/>
  <c r="U29" i="51"/>
  <c r="U43" i="51"/>
  <c r="U17" i="51"/>
  <c r="U21" i="51"/>
  <c r="U23" i="51"/>
  <c r="U32" i="51"/>
  <c r="U36" i="51"/>
  <c r="U50" i="51"/>
  <c r="U51" i="51"/>
  <c r="U20" i="51"/>
  <c r="U54" i="51"/>
  <c r="U3" i="51"/>
  <c r="U37" i="51"/>
  <c r="U49" i="51"/>
  <c r="U57" i="51"/>
  <c r="U22" i="51"/>
  <c r="U18" i="51"/>
  <c r="U28" i="51"/>
  <c r="U44" i="51"/>
  <c r="U33" i="51"/>
  <c r="U55" i="51"/>
  <c r="U13" i="51"/>
  <c r="U53" i="51"/>
  <c r="U14" i="51"/>
  <c r="U7" i="51"/>
  <c r="U47" i="51"/>
  <c r="U56" i="51"/>
  <c r="U48" i="51"/>
  <c r="U9" i="51"/>
  <c r="U40" i="51"/>
  <c r="U52" i="51"/>
  <c r="U38" i="51"/>
  <c r="U26" i="51"/>
  <c r="U41" i="51"/>
  <c r="U16" i="51"/>
  <c r="U19" i="51"/>
  <c r="U39" i="51"/>
  <c r="U6" i="51"/>
  <c r="U27" i="51"/>
  <c r="U12" i="51"/>
  <c r="U8" i="51"/>
  <c r="U34" i="51"/>
  <c r="U5" i="51"/>
  <c r="U25" i="51"/>
  <c r="U35" i="51"/>
  <c r="U30" i="51"/>
  <c r="U4" i="51"/>
  <c r="U45" i="51"/>
  <c r="U46" i="51"/>
  <c r="U10" i="51"/>
  <c r="U31" i="51"/>
  <c r="U11" i="51"/>
  <c r="U24" i="51"/>
  <c r="U42" i="51"/>
  <c r="V57" i="53"/>
  <c r="T38" i="51"/>
  <c r="V213" i="49"/>
  <c r="V322" i="49"/>
  <c r="V110" i="49"/>
  <c r="T54" i="51"/>
  <c r="V127" i="49"/>
  <c r="AH13" i="51"/>
  <c r="M36" i="50"/>
  <c r="M5" i="44"/>
  <c r="O5" i="44"/>
  <c r="N5" i="44"/>
  <c r="V55" i="50"/>
  <c r="V39" i="47"/>
  <c r="AL16" i="48"/>
  <c r="V382" i="49"/>
  <c r="E11" i="35"/>
  <c r="V296" i="49"/>
  <c r="V249" i="49"/>
  <c r="V20" i="53"/>
  <c r="M15" i="48"/>
  <c r="F18" i="51"/>
  <c r="V224" i="49"/>
  <c r="V300" i="49"/>
  <c r="M7" i="53"/>
  <c r="V33" i="48"/>
  <c r="V379" i="49"/>
  <c r="V4" i="47"/>
  <c r="V19" i="50"/>
  <c r="M337" i="49"/>
  <c r="U13" i="42"/>
  <c r="AA13" i="42" s="1"/>
  <c r="V280" i="49"/>
  <c r="C14" i="59"/>
  <c r="B1" i="58" s="1"/>
  <c r="V182" i="49"/>
  <c r="V340" i="49"/>
  <c r="I4" i="42"/>
  <c r="K4" i="51"/>
  <c r="K37" i="51"/>
  <c r="V58" i="53"/>
  <c r="V42" i="53"/>
  <c r="V7" i="50"/>
  <c r="M4" i="53"/>
  <c r="V273" i="49"/>
  <c r="V70" i="48"/>
  <c r="V103" i="49"/>
  <c r="T33" i="51"/>
  <c r="V9" i="53"/>
  <c r="V186" i="49"/>
  <c r="M56" i="53"/>
  <c r="V349" i="49"/>
  <c r="M21" i="49"/>
  <c r="V56" i="47"/>
  <c r="F25" i="51"/>
  <c r="V97" i="49"/>
  <c r="V351" i="49"/>
  <c r="V16" i="47"/>
  <c r="V190" i="49"/>
  <c r="M8" i="48"/>
  <c r="M34" i="50"/>
  <c r="V253" i="49"/>
  <c r="V24" i="48"/>
  <c r="V68" i="49"/>
  <c r="M22" i="47"/>
  <c r="V45" i="50"/>
  <c r="AL20" i="48"/>
  <c r="V22" i="50"/>
  <c r="V33" i="50"/>
  <c r="V9" i="47"/>
  <c r="M85" i="53"/>
  <c r="M23" i="48"/>
  <c r="V58" i="47"/>
  <c r="M27" i="50"/>
  <c r="V61" i="50"/>
  <c r="V133" i="49"/>
  <c r="K3" i="38"/>
  <c r="L3" i="38" s="1"/>
  <c r="O3" i="38" s="1"/>
  <c r="K22" i="51"/>
  <c r="T25" i="51"/>
  <c r="M58" i="53"/>
  <c r="V59" i="47"/>
  <c r="V51" i="53"/>
  <c r="V3" i="48"/>
  <c r="V66" i="47"/>
  <c r="AH21" i="51"/>
  <c r="T50" i="51"/>
  <c r="V210" i="49"/>
  <c r="T40" i="51"/>
  <c r="I43" i="53"/>
  <c r="H43" i="53"/>
  <c r="M40" i="50"/>
  <c r="M76" i="53"/>
  <c r="K39" i="51"/>
  <c r="V12" i="50"/>
  <c r="M55" i="50"/>
  <c r="V78" i="50"/>
  <c r="V105" i="50"/>
  <c r="V37" i="53"/>
  <c r="V41" i="53"/>
  <c r="V52" i="47"/>
  <c r="M64" i="53"/>
  <c r="V365" i="49"/>
  <c r="AJ17" i="49"/>
  <c r="V91" i="48"/>
  <c r="V28" i="48"/>
  <c r="V18" i="48"/>
  <c r="V40" i="47"/>
  <c r="V95" i="49"/>
  <c r="V119" i="49"/>
  <c r="V355" i="49"/>
  <c r="V64" i="48"/>
  <c r="V35" i="47"/>
  <c r="V41" i="49"/>
  <c r="V18" i="50"/>
  <c r="V106" i="49"/>
  <c r="AJ16" i="50"/>
  <c r="AH23" i="51"/>
  <c r="V60" i="47"/>
  <c r="V383" i="49"/>
  <c r="K5" i="37"/>
  <c r="L5" i="37" s="1"/>
  <c r="O5" i="37" s="1"/>
  <c r="H10" i="59"/>
  <c r="G10" i="59" s="1"/>
  <c r="I6" i="56"/>
  <c r="I8" i="56"/>
  <c r="I67" i="56"/>
  <c r="I16" i="56"/>
  <c r="I96" i="56"/>
  <c r="I49" i="56"/>
  <c r="I44" i="56"/>
  <c r="I39" i="56"/>
  <c r="I55" i="56"/>
  <c r="I45" i="56"/>
  <c r="I117" i="56"/>
  <c r="I75" i="56"/>
  <c r="I64" i="56"/>
  <c r="I97" i="56"/>
  <c r="I47" i="56"/>
  <c r="I112" i="56"/>
  <c r="I22" i="56"/>
  <c r="I78" i="56"/>
  <c r="I92" i="56"/>
  <c r="I90" i="56"/>
  <c r="I5" i="56"/>
  <c r="I91" i="56"/>
  <c r="I10" i="56"/>
  <c r="I107" i="56"/>
  <c r="I60" i="56"/>
  <c r="I59" i="56"/>
  <c r="I106" i="56"/>
  <c r="I61" i="56"/>
  <c r="I95" i="56"/>
  <c r="I27" i="56"/>
  <c r="I30" i="56"/>
  <c r="I122" i="56"/>
  <c r="I104" i="56"/>
  <c r="I65" i="56"/>
  <c r="I66" i="56"/>
  <c r="I71" i="56"/>
  <c r="I101" i="56"/>
  <c r="I40" i="56"/>
  <c r="I119" i="56"/>
  <c r="I12" i="56"/>
  <c r="I86" i="56"/>
  <c r="I111" i="56"/>
  <c r="I110" i="56"/>
  <c r="I98" i="56"/>
  <c r="I77" i="56"/>
  <c r="I123" i="56"/>
  <c r="I114" i="56"/>
  <c r="I18" i="56"/>
  <c r="I58" i="56"/>
  <c r="I52" i="56"/>
  <c r="I11" i="56"/>
  <c r="I70" i="56"/>
  <c r="I85" i="56"/>
  <c r="I19" i="56"/>
  <c r="I105" i="56"/>
  <c r="I116" i="56"/>
  <c r="I62" i="56"/>
  <c r="I50" i="56"/>
  <c r="I68" i="56"/>
  <c r="I74" i="56"/>
  <c r="I93" i="56"/>
  <c r="I34" i="56"/>
  <c r="I118" i="56"/>
  <c r="I79" i="56"/>
  <c r="I41" i="56"/>
  <c r="I38" i="56"/>
  <c r="I51" i="56"/>
  <c r="I72" i="56"/>
  <c r="I100" i="56"/>
  <c r="I33" i="56"/>
  <c r="I14" i="56"/>
  <c r="I4" i="56"/>
  <c r="I28" i="56"/>
  <c r="I17" i="56"/>
  <c r="I29" i="56"/>
  <c r="I36" i="56"/>
  <c r="I83" i="56"/>
  <c r="I21" i="56"/>
  <c r="I42" i="56"/>
  <c r="I43" i="56"/>
  <c r="I76" i="56"/>
  <c r="I31" i="56"/>
  <c r="I53" i="56"/>
  <c r="I115" i="56"/>
  <c r="I99" i="56"/>
  <c r="I54" i="56"/>
  <c r="I32" i="56"/>
  <c r="I108" i="56"/>
  <c r="I25" i="56"/>
  <c r="I89" i="56"/>
  <c r="I9" i="56"/>
  <c r="I88" i="56"/>
  <c r="I81" i="56"/>
  <c r="G1" i="56"/>
  <c r="I26" i="56"/>
  <c r="I80" i="56"/>
  <c r="I109" i="56"/>
  <c r="I24" i="56"/>
  <c r="I46" i="56"/>
  <c r="I15" i="56"/>
  <c r="I56" i="56"/>
  <c r="I20" i="56"/>
  <c r="I113" i="56"/>
  <c r="I7" i="56"/>
  <c r="I103" i="56"/>
  <c r="I37" i="56"/>
  <c r="I23" i="56"/>
  <c r="I120" i="56"/>
  <c r="I48" i="56"/>
  <c r="I121" i="56"/>
  <c r="I63" i="56"/>
  <c r="I87" i="56"/>
  <c r="I84" i="56"/>
  <c r="I69" i="56"/>
  <c r="I73" i="56"/>
  <c r="I57" i="56"/>
  <c r="I13" i="56"/>
  <c r="I35" i="56"/>
  <c r="I82" i="56"/>
  <c r="I94" i="56"/>
  <c r="I102" i="56"/>
  <c r="M74" i="53"/>
  <c r="H8" i="59"/>
  <c r="G8" i="59" s="1"/>
  <c r="V45" i="49"/>
  <c r="V342" i="49"/>
  <c r="I38" i="53"/>
  <c r="H38" i="53"/>
  <c r="V67" i="53"/>
  <c r="V50" i="50"/>
  <c r="V88" i="50"/>
  <c r="M53" i="49"/>
  <c r="V52" i="53"/>
  <c r="V87" i="48"/>
  <c r="W86" i="53"/>
  <c r="W4" i="53"/>
  <c r="W6" i="53"/>
  <c r="W65" i="53"/>
  <c r="W19" i="53"/>
  <c r="W35" i="53"/>
  <c r="W75" i="53"/>
  <c r="W50" i="53"/>
  <c r="W31" i="53"/>
  <c r="W83" i="53"/>
  <c r="W36" i="53"/>
  <c r="W46" i="53"/>
  <c r="W10" i="53"/>
  <c r="W18" i="53"/>
  <c r="W24" i="53"/>
  <c r="W42" i="53"/>
  <c r="W17" i="53"/>
  <c r="W79" i="53"/>
  <c r="W60" i="53"/>
  <c r="W51" i="53"/>
  <c r="W49" i="53"/>
  <c r="W52" i="53"/>
  <c r="W76" i="53"/>
  <c r="W29" i="53"/>
  <c r="W69" i="53"/>
  <c r="W16" i="53"/>
  <c r="W8" i="53"/>
  <c r="W45" i="53"/>
  <c r="W47" i="53"/>
  <c r="W63" i="53"/>
  <c r="W39" i="53"/>
  <c r="W43" i="53"/>
  <c r="W20" i="53"/>
  <c r="W70" i="53"/>
  <c r="W25" i="53"/>
  <c r="W9" i="53"/>
  <c r="W41" i="53"/>
  <c r="W32" i="53"/>
  <c r="W13" i="53"/>
  <c r="W73" i="53"/>
  <c r="W61" i="53"/>
  <c r="W28" i="53"/>
  <c r="W57" i="53"/>
  <c r="W55" i="53"/>
  <c r="W22" i="53"/>
  <c r="W38" i="53"/>
  <c r="W26" i="53"/>
  <c r="W5" i="53"/>
  <c r="W48" i="53"/>
  <c r="W85" i="53"/>
  <c r="W23" i="53"/>
  <c r="W59" i="53"/>
  <c r="W15" i="53"/>
  <c r="W74" i="53"/>
  <c r="W89" i="53"/>
  <c r="W64" i="53"/>
  <c r="W33" i="53"/>
  <c r="W84" i="53"/>
  <c r="W40" i="53"/>
  <c r="W53" i="53"/>
  <c r="W62" i="53"/>
  <c r="W67" i="53"/>
  <c r="W27" i="53"/>
  <c r="W54" i="53"/>
  <c r="W44" i="53"/>
  <c r="W66" i="53"/>
  <c r="W34" i="53"/>
  <c r="W14" i="53"/>
  <c r="W11" i="53"/>
  <c r="W58" i="53"/>
  <c r="W88" i="53"/>
  <c r="W80" i="53"/>
  <c r="W37" i="53"/>
  <c r="W7" i="53"/>
  <c r="W87" i="53"/>
  <c r="W30" i="53"/>
  <c r="W21" i="53"/>
  <c r="W3" i="53"/>
  <c r="W81" i="53"/>
  <c r="W82" i="53"/>
  <c r="W72" i="53"/>
  <c r="W78" i="53"/>
  <c r="W56" i="53"/>
  <c r="W71" i="53"/>
  <c r="W68" i="53"/>
  <c r="W12" i="53"/>
  <c r="W77" i="53"/>
  <c r="V72" i="53"/>
  <c r="T16" i="51"/>
  <c r="V18" i="47"/>
  <c r="AC283" i="49"/>
  <c r="AC331" i="49"/>
  <c r="AC371" i="49"/>
  <c r="AC267" i="49"/>
  <c r="AC62" i="49"/>
  <c r="AC58" i="49"/>
  <c r="AC305" i="49"/>
  <c r="AC304" i="49"/>
  <c r="AC377" i="49"/>
  <c r="AC161" i="49"/>
  <c r="AC124" i="49"/>
  <c r="AC81" i="49"/>
  <c r="AC215" i="49"/>
  <c r="AC254" i="49"/>
  <c r="AC297" i="49"/>
  <c r="AC246" i="49"/>
  <c r="AC13" i="49"/>
  <c r="AC88" i="49"/>
  <c r="AC110" i="49"/>
  <c r="AC325" i="49"/>
  <c r="AC53" i="49"/>
  <c r="AC60" i="49"/>
  <c r="AC10" i="49"/>
  <c r="AC347" i="49"/>
  <c r="AC328" i="49"/>
  <c r="AC45" i="49"/>
  <c r="AC309" i="49"/>
  <c r="AC113" i="49"/>
  <c r="AC22" i="49"/>
  <c r="AC357" i="49"/>
  <c r="AC211" i="49"/>
  <c r="AC271" i="49"/>
  <c r="AC107" i="49"/>
  <c r="AC252" i="49"/>
  <c r="AC273" i="49"/>
  <c r="AC289" i="49"/>
  <c r="AC47" i="49"/>
  <c r="AC362" i="49"/>
  <c r="AC137" i="49"/>
  <c r="AC298" i="49"/>
  <c r="AC145" i="49"/>
  <c r="AC99" i="49"/>
  <c r="AC308" i="49"/>
  <c r="AC360" i="49"/>
  <c r="AC140" i="49"/>
  <c r="AC225" i="49"/>
  <c r="AC120" i="49"/>
  <c r="AC104" i="49"/>
  <c r="AC321" i="49"/>
  <c r="AC229" i="49"/>
  <c r="AC75" i="49"/>
  <c r="AC284" i="49"/>
  <c r="AC302" i="49"/>
  <c r="AC344" i="49"/>
  <c r="AC112" i="49"/>
  <c r="AC12" i="49"/>
  <c r="AC134" i="49"/>
  <c r="AC368" i="49"/>
  <c r="AC319" i="49"/>
  <c r="AC223" i="49"/>
  <c r="AC26" i="49"/>
  <c r="AC146" i="49"/>
  <c r="AC132" i="49"/>
  <c r="AC248" i="49"/>
  <c r="AC67" i="49"/>
  <c r="AC296" i="49"/>
  <c r="AC130" i="49"/>
  <c r="AC127" i="49"/>
  <c r="AC187" i="49"/>
  <c r="AC210" i="49"/>
  <c r="AC382" i="49"/>
  <c r="AC272" i="49"/>
  <c r="AC147" i="49"/>
  <c r="AC179" i="49"/>
  <c r="AC350" i="49"/>
  <c r="AC76" i="49"/>
  <c r="AC280" i="49"/>
  <c r="AC119" i="49"/>
  <c r="AC154" i="49"/>
  <c r="AC27" i="49"/>
  <c r="AC249" i="49"/>
  <c r="AC18" i="49"/>
  <c r="AC353" i="49"/>
  <c r="AC212" i="49"/>
  <c r="AC79" i="49"/>
  <c r="AC286" i="49"/>
  <c r="AC5" i="49"/>
  <c r="AC376" i="49"/>
  <c r="AC15" i="49"/>
  <c r="AC258" i="49"/>
  <c r="AC177" i="49"/>
  <c r="AC238" i="49"/>
  <c r="AC175" i="49"/>
  <c r="AC281" i="49"/>
  <c r="AC285" i="49"/>
  <c r="AC268" i="49"/>
  <c r="AC51" i="49"/>
  <c r="AC241" i="49"/>
  <c r="AC32" i="49"/>
  <c r="AC226" i="49"/>
  <c r="AC355" i="49"/>
  <c r="AC270" i="49"/>
  <c r="AC38" i="49"/>
  <c r="AC260" i="49"/>
  <c r="AC153" i="49"/>
  <c r="AC336" i="49"/>
  <c r="AC21" i="49"/>
  <c r="AC324" i="49"/>
  <c r="AC195" i="49"/>
  <c r="AC217" i="49"/>
  <c r="AC208" i="49"/>
  <c r="AC266" i="49"/>
  <c r="AC136" i="49"/>
  <c r="AC348" i="49"/>
  <c r="AC17" i="49"/>
  <c r="AC200" i="49"/>
  <c r="AC334" i="49"/>
  <c r="AC213" i="49"/>
  <c r="AC30" i="49"/>
  <c r="AC293" i="49"/>
  <c r="AC306" i="49"/>
  <c r="AC173" i="49"/>
  <c r="AC181" i="49"/>
  <c r="AC202" i="49"/>
  <c r="AC133" i="49"/>
  <c r="AC138" i="49"/>
  <c r="AC291" i="49"/>
  <c r="AC294" i="49"/>
  <c r="AC247" i="49"/>
  <c r="AC108" i="49"/>
  <c r="AC54" i="49"/>
  <c r="AC141" i="49"/>
  <c r="AC72" i="49"/>
  <c r="AC192" i="49"/>
  <c r="AC370" i="49"/>
  <c r="AC315" i="49"/>
  <c r="AC176" i="49"/>
  <c r="AC388" i="49"/>
  <c r="AC261" i="49"/>
  <c r="AC159" i="49"/>
  <c r="AC73" i="49"/>
  <c r="AC86" i="49"/>
  <c r="AC109" i="49"/>
  <c r="AC383" i="49"/>
  <c r="AC4" i="49"/>
  <c r="AC367" i="49"/>
  <c r="AC389" i="49"/>
  <c r="AC339" i="49"/>
  <c r="AC219" i="49"/>
  <c r="AC288" i="49"/>
  <c r="AC24" i="49"/>
  <c r="AC206" i="49"/>
  <c r="AC349" i="49"/>
  <c r="AC106" i="49"/>
  <c r="AC167" i="49"/>
  <c r="AC341" i="49"/>
  <c r="AC160" i="49"/>
  <c r="AC158" i="49"/>
  <c r="AC279" i="49"/>
  <c r="AC59" i="49"/>
  <c r="AC180" i="49"/>
  <c r="AC129" i="49"/>
  <c r="AC253" i="49"/>
  <c r="AC222" i="49"/>
  <c r="AC49" i="49"/>
  <c r="AC333" i="49"/>
  <c r="AC125" i="49"/>
  <c r="AC8" i="49"/>
  <c r="AC234" i="49"/>
  <c r="AC7" i="49"/>
  <c r="AC193" i="49"/>
  <c r="AC37" i="49"/>
  <c r="AC43" i="49"/>
  <c r="AC152" i="49"/>
  <c r="AC354" i="49"/>
  <c r="AC55" i="49"/>
  <c r="AC23" i="49"/>
  <c r="AC36" i="49"/>
  <c r="AC237" i="49"/>
  <c r="AC89" i="49"/>
  <c r="AC182" i="49"/>
  <c r="AC228" i="49"/>
  <c r="AC16" i="49"/>
  <c r="AC221" i="49"/>
  <c r="AC282" i="49"/>
  <c r="AC9" i="49"/>
  <c r="AC295" i="49"/>
  <c r="AC323" i="49"/>
  <c r="AC278" i="49"/>
  <c r="AC364" i="49"/>
  <c r="AC326" i="49"/>
  <c r="AC307" i="49"/>
  <c r="AC96" i="49"/>
  <c r="AC50" i="49"/>
  <c r="AC194" i="49"/>
  <c r="AC39" i="49"/>
  <c r="AC332" i="49"/>
  <c r="AC197" i="49"/>
  <c r="AC28" i="49"/>
  <c r="AC232" i="49"/>
  <c r="AC52" i="49"/>
  <c r="AC374" i="49"/>
  <c r="AC209" i="49"/>
  <c r="AC218" i="49"/>
  <c r="AC171" i="49"/>
  <c r="AC379" i="49"/>
  <c r="AC184" i="49"/>
  <c r="AC256" i="49"/>
  <c r="AC57" i="49"/>
  <c r="AC345" i="49"/>
  <c r="AC244" i="49"/>
  <c r="AC143" i="49"/>
  <c r="AC93" i="49"/>
  <c r="AC118" i="49"/>
  <c r="AC191" i="49"/>
  <c r="AC14" i="49"/>
  <c r="AC114" i="49"/>
  <c r="AC168" i="49"/>
  <c r="AC251" i="49"/>
  <c r="AC329" i="49"/>
  <c r="AC216" i="49"/>
  <c r="AC318" i="49"/>
  <c r="AC361" i="49"/>
  <c r="AC139" i="49"/>
  <c r="AC205" i="49"/>
  <c r="AC380" i="49"/>
  <c r="AC311" i="49"/>
  <c r="AC235" i="49"/>
  <c r="AC142" i="49"/>
  <c r="AC385" i="49"/>
  <c r="AC189" i="49"/>
  <c r="AC365" i="49"/>
  <c r="AC314" i="49"/>
  <c r="AC121" i="49"/>
  <c r="AC190" i="49"/>
  <c r="AC259" i="49"/>
  <c r="AC391" i="49"/>
  <c r="AC144" i="49"/>
  <c r="AC227" i="49"/>
  <c r="AC131" i="49"/>
  <c r="AC149" i="49"/>
  <c r="AC312" i="49"/>
  <c r="AC97" i="49"/>
  <c r="AC19" i="49"/>
  <c r="AC117" i="49"/>
  <c r="AC166" i="49"/>
  <c r="AC169" i="49"/>
  <c r="AC292" i="49"/>
  <c r="AC172" i="49"/>
  <c r="AC105" i="49"/>
  <c r="AC6" i="49"/>
  <c r="AC390" i="49"/>
  <c r="AC91" i="49"/>
  <c r="AC116" i="49"/>
  <c r="AC269" i="49"/>
  <c r="AC185" i="49"/>
  <c r="AC35" i="49"/>
  <c r="AC29" i="49"/>
  <c r="AC245" i="49"/>
  <c r="AC224" i="49"/>
  <c r="AC207" i="49"/>
  <c r="AC85" i="49"/>
  <c r="AC78" i="49"/>
  <c r="AC95" i="49"/>
  <c r="AC69" i="49"/>
  <c r="AC262" i="49"/>
  <c r="AC363" i="49"/>
  <c r="AC151" i="49"/>
  <c r="AC63" i="49"/>
  <c r="AC111" i="49"/>
  <c r="AC82" i="49"/>
  <c r="AC46" i="49"/>
  <c r="AC11" i="49"/>
  <c r="AC44" i="49"/>
  <c r="AC31" i="49"/>
  <c r="AC186" i="49"/>
  <c r="AC94" i="49"/>
  <c r="AC372" i="49"/>
  <c r="AC375" i="49"/>
  <c r="AC164" i="49"/>
  <c r="AC313" i="49"/>
  <c r="AC20" i="49"/>
  <c r="AC198" i="49"/>
  <c r="AC150" i="49"/>
  <c r="AC337" i="49"/>
  <c r="AC48" i="49"/>
  <c r="AC299" i="49"/>
  <c r="AC378" i="49"/>
  <c r="AC274" i="49"/>
  <c r="AC126" i="49"/>
  <c r="AC3" i="49"/>
  <c r="AC183" i="49"/>
  <c r="AC70" i="49"/>
  <c r="AC381" i="49"/>
  <c r="AC64" i="49"/>
  <c r="AC264" i="49"/>
  <c r="AC239" i="49"/>
  <c r="AC41" i="49"/>
  <c r="AC123" i="49"/>
  <c r="AC214" i="49"/>
  <c r="AC156" i="49"/>
  <c r="AC233" i="49"/>
  <c r="AC343" i="49"/>
  <c r="AC342" i="49"/>
  <c r="AC231" i="49"/>
  <c r="AC101" i="49"/>
  <c r="AC188" i="49"/>
  <c r="AC250" i="49"/>
  <c r="AC373" i="49"/>
  <c r="AC255" i="49"/>
  <c r="AC243" i="49"/>
  <c r="AC65" i="49"/>
  <c r="AC178" i="49"/>
  <c r="AC92" i="49"/>
  <c r="AC387" i="49"/>
  <c r="AC42" i="49"/>
  <c r="AC386" i="49"/>
  <c r="AC155" i="49"/>
  <c r="AC56" i="49"/>
  <c r="AC148" i="49"/>
  <c r="AC369" i="49"/>
  <c r="AC170" i="49"/>
  <c r="AC351" i="49"/>
  <c r="AC240" i="49"/>
  <c r="AC320" i="49"/>
  <c r="AC90" i="49"/>
  <c r="AC135" i="49"/>
  <c r="AC71" i="49"/>
  <c r="AC115" i="49"/>
  <c r="AC316" i="49"/>
  <c r="AC203" i="49"/>
  <c r="AC359" i="49"/>
  <c r="AC384" i="49"/>
  <c r="AC230" i="49"/>
  <c r="AC327" i="49"/>
  <c r="AC87" i="49"/>
  <c r="AC356" i="49"/>
  <c r="AC310" i="49"/>
  <c r="AC162" i="49"/>
  <c r="AC74" i="49"/>
  <c r="AC157" i="49"/>
  <c r="AC340" i="49"/>
  <c r="AC338" i="49"/>
  <c r="AC204" i="49"/>
  <c r="AC100" i="49"/>
  <c r="AC40" i="49"/>
  <c r="AC128" i="49"/>
  <c r="AC242" i="49"/>
  <c r="AC2" i="49"/>
  <c r="AC352" i="49"/>
  <c r="AC358" i="49"/>
  <c r="AC317" i="49"/>
  <c r="AC163" i="49"/>
  <c r="AC80" i="49"/>
  <c r="AC66" i="49"/>
  <c r="AC34" i="49"/>
  <c r="AC330" i="49"/>
  <c r="AC257" i="49"/>
  <c r="AC300" i="49"/>
  <c r="AC301" i="49"/>
  <c r="AC322" i="49"/>
  <c r="AC263" i="49"/>
  <c r="AC199" i="49"/>
  <c r="AC346" i="49"/>
  <c r="AC103" i="49"/>
  <c r="AC303" i="49"/>
  <c r="AC277" i="49"/>
  <c r="AC102" i="49"/>
  <c r="AC236" i="49"/>
  <c r="AC68" i="49"/>
  <c r="AC98" i="49"/>
  <c r="AC33" i="49"/>
  <c r="AC84" i="49"/>
  <c r="AC335" i="49"/>
  <c r="AC276" i="49"/>
  <c r="AC61" i="49"/>
  <c r="AC366" i="49"/>
  <c r="AC220" i="49"/>
  <c r="AC83" i="49"/>
  <c r="AC275" i="49"/>
  <c r="AC122" i="49"/>
  <c r="AC290" i="49"/>
  <c r="AC196" i="49"/>
  <c r="AC77" i="49"/>
  <c r="AC287" i="49"/>
  <c r="AC165" i="49"/>
  <c r="AC25" i="49"/>
  <c r="AC201" i="49"/>
  <c r="AC174" i="49"/>
  <c r="AC265" i="49"/>
  <c r="M81" i="53"/>
  <c r="M80" i="50"/>
  <c r="T43" i="51"/>
  <c r="M59" i="53"/>
  <c r="H44" i="50"/>
  <c r="I44" i="50"/>
  <c r="V18" i="53"/>
  <c r="M11" i="48"/>
  <c r="V69" i="49"/>
  <c r="V311" i="49"/>
  <c r="V121" i="50"/>
  <c r="V388" i="49"/>
  <c r="V81" i="50"/>
  <c r="V106" i="50"/>
  <c r="V83" i="50"/>
  <c r="K10" i="51"/>
  <c r="V113" i="49"/>
  <c r="K48" i="51"/>
  <c r="V83" i="48"/>
  <c r="V124" i="49"/>
  <c r="V92" i="49"/>
  <c r="M35" i="50"/>
  <c r="V194" i="49"/>
  <c r="V375" i="49"/>
  <c r="V57" i="48"/>
  <c r="M37" i="49"/>
  <c r="V241" i="49"/>
  <c r="T23" i="51"/>
  <c r="AJ18" i="48"/>
  <c r="V48" i="47"/>
  <c r="V38" i="48"/>
  <c r="V11" i="47"/>
  <c r="V12" i="47"/>
  <c r="M77" i="53"/>
  <c r="M7" i="48"/>
  <c r="V259" i="49"/>
  <c r="V9" i="49"/>
  <c r="K35" i="51"/>
  <c r="V223" i="49"/>
  <c r="V20" i="50"/>
  <c r="V48" i="53"/>
  <c r="K12" i="51"/>
  <c r="V69" i="50"/>
  <c r="G33" i="59"/>
  <c r="U5" i="45"/>
  <c r="U4" i="45"/>
  <c r="U3" i="45"/>
  <c r="V38" i="50"/>
  <c r="V4" i="53"/>
  <c r="V32" i="47"/>
  <c r="V96" i="49"/>
  <c r="V56" i="48"/>
  <c r="V70" i="53"/>
  <c r="V45" i="53"/>
  <c r="V81" i="49"/>
  <c r="V323" i="49"/>
  <c r="H39" i="50"/>
  <c r="I39" i="50"/>
  <c r="V30" i="50"/>
  <c r="V53" i="53"/>
  <c r="AL22" i="48"/>
  <c r="U13" i="45"/>
  <c r="V266" i="49"/>
  <c r="M6" i="53"/>
  <c r="D19" i="59"/>
  <c r="C19" i="59" s="1"/>
  <c r="AL14" i="48"/>
  <c r="D31" i="59"/>
  <c r="C31" i="59" s="1"/>
  <c r="V24" i="53"/>
  <c r="U9" i="45"/>
  <c r="U10" i="45"/>
  <c r="H46" i="50"/>
  <c r="I46" i="50"/>
  <c r="M7" i="49"/>
  <c r="G34" i="59"/>
  <c r="V82" i="48"/>
  <c r="C34" i="59"/>
  <c r="T15" i="40"/>
  <c r="T13" i="40"/>
  <c r="T21" i="40"/>
  <c r="T19" i="40"/>
  <c r="T16" i="40"/>
  <c r="T20" i="40"/>
  <c r="T18" i="40"/>
  <c r="T17" i="40"/>
  <c r="T14" i="40"/>
  <c r="Q29" i="40"/>
  <c r="H4" i="59"/>
  <c r="G4" i="59" s="1"/>
  <c r="M20" i="53"/>
  <c r="H19" i="59"/>
  <c r="G19" i="59" s="1"/>
  <c r="K44" i="51"/>
  <c r="V5" i="47"/>
  <c r="V22" i="47"/>
  <c r="K3" i="51"/>
  <c r="V23" i="50"/>
  <c r="V6" i="49"/>
  <c r="M49" i="50"/>
  <c r="V90" i="48"/>
  <c r="V39" i="53"/>
  <c r="T24" i="51"/>
  <c r="T57" i="51"/>
  <c r="M66" i="53"/>
  <c r="K52" i="51"/>
  <c r="V15" i="53"/>
  <c r="D4" i="34"/>
  <c r="K4" i="34" s="1"/>
  <c r="M3" i="53"/>
  <c r="M4" i="48"/>
  <c r="V100" i="50"/>
  <c r="V59" i="53"/>
  <c r="K4" i="39"/>
  <c r="L4" i="39" s="1"/>
  <c r="O4" i="39" s="1"/>
  <c r="M23" i="42"/>
  <c r="V12" i="49"/>
  <c r="V356" i="49"/>
  <c r="V49" i="47"/>
  <c r="V264" i="49"/>
  <c r="K15" i="51"/>
  <c r="T31" i="51"/>
  <c r="V97" i="50"/>
  <c r="AJ16" i="48"/>
  <c r="V13" i="47"/>
  <c r="V26" i="53"/>
  <c r="V76" i="53"/>
  <c r="V75" i="48"/>
  <c r="M54" i="50"/>
  <c r="M19" i="47"/>
  <c r="V293" i="49"/>
  <c r="M49" i="47"/>
  <c r="H30" i="50"/>
  <c r="I30" i="50"/>
  <c r="V99" i="50"/>
  <c r="V22" i="53"/>
  <c r="T47" i="51"/>
  <c r="M12" i="48"/>
  <c r="M79" i="53"/>
  <c r="M36" i="48"/>
  <c r="M29" i="42"/>
  <c r="AH20" i="51"/>
  <c r="D8" i="59"/>
  <c r="C8" i="59" s="1"/>
  <c r="M23" i="53"/>
  <c r="T26" i="51"/>
  <c r="H35" i="53"/>
  <c r="I35" i="53"/>
  <c r="I41" i="53"/>
  <c r="H41" i="53"/>
  <c r="V53" i="50"/>
  <c r="I28" i="50"/>
  <c r="H28" i="50"/>
  <c r="V80" i="50"/>
  <c r="M48" i="47"/>
  <c r="M25" i="49"/>
  <c r="V44" i="53"/>
  <c r="M28" i="49"/>
  <c r="V30" i="53"/>
  <c r="AL15" i="48"/>
  <c r="T14" i="51"/>
  <c r="V229" i="49"/>
  <c r="V57" i="47"/>
  <c r="V38" i="53"/>
  <c r="I52" i="53"/>
  <c r="H52" i="53"/>
  <c r="H50" i="53"/>
  <c r="I50" i="53"/>
  <c r="M83" i="53"/>
  <c r="T46" i="51"/>
  <c r="V7" i="49"/>
  <c r="T36" i="51"/>
  <c r="K41" i="51"/>
  <c r="V23" i="49"/>
  <c r="G14" i="59"/>
  <c r="B1" i="56" s="1"/>
  <c r="H11" i="59"/>
  <c r="G11" i="59" s="1"/>
  <c r="V84" i="50"/>
  <c r="V308" i="49"/>
  <c r="V36" i="53"/>
  <c r="K42" i="51"/>
  <c r="V116" i="49"/>
  <c r="V58" i="48"/>
  <c r="V53" i="47"/>
  <c r="F17" i="51"/>
  <c r="D3" i="59"/>
  <c r="C3" i="59" s="1"/>
  <c r="M86" i="53"/>
  <c r="M14" i="48"/>
  <c r="V361" i="49"/>
  <c r="V65" i="48"/>
  <c r="F91" i="34"/>
  <c r="K91" i="34"/>
  <c r="V68" i="47"/>
  <c r="V39" i="48"/>
  <c r="V54" i="49"/>
  <c r="V25" i="50"/>
  <c r="V144" i="49"/>
  <c r="H37" i="53"/>
  <c r="I37" i="53"/>
  <c r="V75" i="53"/>
  <c r="V122" i="50"/>
  <c r="V377" i="49"/>
  <c r="T22" i="51"/>
  <c r="V184" i="49"/>
  <c r="V76" i="50"/>
  <c r="H35" i="50"/>
  <c r="I35" i="50"/>
  <c r="M9" i="50"/>
  <c r="M38" i="50"/>
  <c r="D18" i="39"/>
  <c r="V179" i="49"/>
  <c r="V31" i="48"/>
  <c r="U28" i="40"/>
  <c r="X28" i="40" s="1"/>
  <c r="T11" i="51"/>
  <c r="V389" i="49"/>
  <c r="V61" i="49"/>
  <c r="M5" i="42"/>
  <c r="O5" i="42"/>
  <c r="N5" i="42"/>
  <c r="K8" i="38"/>
  <c r="P8" i="38" s="1"/>
  <c r="V17" i="48"/>
  <c r="T19" i="51"/>
  <c r="V83" i="49"/>
  <c r="V12" i="53"/>
  <c r="M53" i="48"/>
  <c r="V31" i="53"/>
  <c r="V67" i="48"/>
  <c r="V69" i="48"/>
  <c r="V73" i="49"/>
  <c r="V64" i="50"/>
  <c r="V36" i="49"/>
  <c r="V10" i="47"/>
  <c r="AH11" i="51"/>
  <c r="V63" i="50"/>
  <c r="V9" i="50"/>
  <c r="M8" i="49"/>
  <c r="V207" i="49"/>
  <c r="V3" i="49"/>
  <c r="V274" i="49"/>
  <c r="V85" i="48"/>
  <c r="V360" i="49"/>
  <c r="V27" i="49"/>
  <c r="V321" i="49"/>
  <c r="V52" i="50"/>
  <c r="V16" i="50"/>
  <c r="V62" i="47"/>
  <c r="V34" i="50"/>
  <c r="V367" i="49"/>
  <c r="V45" i="47"/>
  <c r="K24" i="51"/>
  <c r="K38" i="51"/>
  <c r="V108" i="50"/>
  <c r="V163" i="49"/>
  <c r="V6" i="48"/>
  <c r="V386" i="49"/>
  <c r="M52" i="50"/>
  <c r="V25" i="49"/>
  <c r="V329" i="49"/>
  <c r="H29" i="50"/>
  <c r="I29" i="50"/>
  <c r="AC29" i="47"/>
  <c r="AC22" i="47"/>
  <c r="AC42" i="47"/>
  <c r="AC43" i="47"/>
  <c r="AC46" i="47"/>
  <c r="AC71" i="47"/>
  <c r="AC26" i="47"/>
  <c r="AC20" i="47"/>
  <c r="AC70" i="47"/>
  <c r="AC67" i="47"/>
  <c r="AC77" i="47"/>
  <c r="AC57" i="47"/>
  <c r="AC72" i="47"/>
  <c r="AC14" i="47"/>
  <c r="AC33" i="47"/>
  <c r="AC76" i="47"/>
  <c r="AC54" i="47"/>
  <c r="AC79" i="47"/>
  <c r="AC27" i="47"/>
  <c r="AC58" i="47"/>
  <c r="AC9" i="47"/>
  <c r="AC37" i="47"/>
  <c r="AC52" i="47"/>
  <c r="AC44" i="47"/>
  <c r="AC34" i="47"/>
  <c r="AC75" i="47"/>
  <c r="AC78" i="47"/>
  <c r="AC49" i="47"/>
  <c r="AC47" i="47"/>
  <c r="AC5" i="47"/>
  <c r="AC60" i="47"/>
  <c r="AC12" i="47"/>
  <c r="AC69" i="47"/>
  <c r="AC56" i="47"/>
  <c r="AC8" i="47"/>
  <c r="AC28" i="47"/>
  <c r="AC7" i="47"/>
  <c r="AC45" i="47"/>
  <c r="AC3" i="47"/>
  <c r="AC19" i="47"/>
  <c r="AC68" i="47"/>
  <c r="AC16" i="47"/>
  <c r="AC6" i="47"/>
  <c r="AC15" i="47"/>
  <c r="AC53" i="47"/>
  <c r="AC64" i="47"/>
  <c r="AC74" i="47"/>
  <c r="AC31" i="47"/>
  <c r="AC36" i="47"/>
  <c r="AC73" i="47"/>
  <c r="AC48" i="47"/>
  <c r="AC2" i="47"/>
  <c r="AC41" i="47"/>
  <c r="AC35" i="47"/>
  <c r="AC4" i="47"/>
  <c r="AC61" i="47"/>
  <c r="AC65" i="47"/>
  <c r="AC38" i="47"/>
  <c r="AC51" i="47"/>
  <c r="AC32" i="47"/>
  <c r="AC24" i="47"/>
  <c r="AC17" i="47"/>
  <c r="AC11" i="47"/>
  <c r="AC18" i="47"/>
  <c r="AC25" i="47"/>
  <c r="AC62" i="47"/>
  <c r="AC23" i="47"/>
  <c r="AC13" i="47"/>
  <c r="AC59" i="47"/>
  <c r="AC55" i="47"/>
  <c r="AC66" i="47"/>
  <c r="AC40" i="47"/>
  <c r="AC63" i="47"/>
  <c r="AC50" i="47"/>
  <c r="AC30" i="47"/>
  <c r="AC10" i="47"/>
  <c r="AC39" i="47"/>
  <c r="AC21" i="47"/>
  <c r="V107" i="49"/>
  <c r="T44" i="51"/>
  <c r="V63" i="48"/>
  <c r="V168" i="49"/>
  <c r="V46" i="53"/>
  <c r="C33" i="59"/>
  <c r="M69" i="53"/>
  <c r="V7" i="53"/>
  <c r="V47" i="48"/>
  <c r="V62" i="48"/>
  <c r="V70" i="49"/>
  <c r="V49" i="50"/>
  <c r="M50" i="47"/>
  <c r="V4" i="49"/>
  <c r="V117" i="50"/>
  <c r="V79" i="53"/>
  <c r="M68" i="53"/>
  <c r="T56" i="51"/>
  <c r="V145" i="49"/>
  <c r="V93" i="50"/>
  <c r="M17" i="48"/>
  <c r="V165" i="49"/>
  <c r="V201" i="49"/>
  <c r="AJ13" i="50"/>
  <c r="D40" i="59"/>
  <c r="C40" i="59" s="1"/>
  <c r="L3" i="59"/>
  <c r="T39" i="51"/>
  <c r="V208" i="49"/>
  <c r="V357" i="49"/>
  <c r="I3" i="43"/>
  <c r="V238" i="49"/>
  <c r="V58" i="49"/>
  <c r="F22" i="51"/>
  <c r="F13" i="51"/>
  <c r="V381" i="49"/>
  <c r="V47" i="53"/>
  <c r="M72" i="53"/>
  <c r="K26" i="51"/>
  <c r="M88" i="53"/>
  <c r="V119" i="50"/>
  <c r="V5" i="53"/>
  <c r="V31" i="49"/>
  <c r="T52" i="51"/>
  <c r="V26" i="48"/>
  <c r="V199" i="49"/>
  <c r="V71" i="49"/>
  <c r="V70" i="50"/>
  <c r="K43" i="51"/>
  <c r="A5" i="44"/>
  <c r="V317" i="49"/>
  <c r="V289" i="49"/>
  <c r="M15" i="47"/>
  <c r="V27" i="48"/>
  <c r="V31" i="47"/>
  <c r="V32" i="48"/>
  <c r="K53" i="51"/>
  <c r="V330" i="49"/>
  <c r="V121" i="49"/>
  <c r="AL23" i="48"/>
  <c r="V204" i="49"/>
  <c r="T12" i="51"/>
  <c r="M28" i="59"/>
  <c r="J5" i="59" s="1"/>
  <c r="V51" i="47"/>
  <c r="T13" i="51"/>
  <c r="V270" i="49"/>
  <c r="V198" i="49"/>
  <c r="V390" i="49"/>
  <c r="V77" i="50"/>
  <c r="H45" i="50"/>
  <c r="I45" i="50"/>
  <c r="V239" i="49"/>
  <c r="T21" i="51"/>
  <c r="K9" i="51"/>
  <c r="AJ20" i="50"/>
  <c r="M30" i="48"/>
  <c r="V21" i="47"/>
  <c r="V8" i="53"/>
  <c r="V27" i="47"/>
  <c r="V159" i="49"/>
  <c r="V67" i="49"/>
  <c r="V281" i="49"/>
  <c r="V43" i="47"/>
  <c r="V113" i="50"/>
  <c r="I32" i="50"/>
  <c r="H32" i="50"/>
  <c r="AL18" i="48"/>
  <c r="AC41" i="48"/>
  <c r="AC6" i="48"/>
  <c r="AC63" i="48"/>
  <c r="AC67" i="48"/>
  <c r="AC88" i="48"/>
  <c r="AC49" i="48"/>
  <c r="AC43" i="48"/>
  <c r="AC73" i="48"/>
  <c r="AC29" i="48"/>
  <c r="AC19" i="48"/>
  <c r="AC20" i="48"/>
  <c r="AC15" i="48"/>
  <c r="AC57" i="48"/>
  <c r="AC85" i="48"/>
  <c r="AC31" i="48"/>
  <c r="AC3" i="48"/>
  <c r="AC21" i="48"/>
  <c r="AC42" i="48"/>
  <c r="AC26" i="48"/>
  <c r="AC77" i="48"/>
  <c r="AC25" i="48"/>
  <c r="AC37" i="48"/>
  <c r="AC5" i="48"/>
  <c r="AC23" i="48"/>
  <c r="AC24" i="48"/>
  <c r="AC56" i="48"/>
  <c r="AC66" i="48"/>
  <c r="AC40" i="48"/>
  <c r="AC7" i="48"/>
  <c r="AC17" i="48"/>
  <c r="AC33" i="48"/>
  <c r="AC71" i="48"/>
  <c r="AC12" i="48"/>
  <c r="AC14" i="48"/>
  <c r="AC76" i="48"/>
  <c r="AC61" i="48"/>
  <c r="AC50" i="48"/>
  <c r="AC55" i="48"/>
  <c r="AC81" i="48"/>
  <c r="AC91" i="48"/>
  <c r="AC9" i="48"/>
  <c r="AC89" i="48"/>
  <c r="AC44" i="48"/>
  <c r="AC60" i="48"/>
  <c r="AC75" i="48"/>
  <c r="AC18" i="48"/>
  <c r="AC54" i="48"/>
  <c r="AC8" i="48"/>
  <c r="AC84" i="48"/>
  <c r="AC82" i="48"/>
  <c r="AC16" i="48"/>
  <c r="AC48" i="48"/>
  <c r="AC58" i="48"/>
  <c r="AC46" i="48"/>
  <c r="AC80" i="48"/>
  <c r="AC90" i="48"/>
  <c r="AC52" i="48"/>
  <c r="AC78" i="48"/>
  <c r="AC2" i="48"/>
  <c r="AC38" i="48"/>
  <c r="AC4" i="48"/>
  <c r="AC68" i="48"/>
  <c r="AC27" i="48"/>
  <c r="AC51" i="48"/>
  <c r="AC35" i="48"/>
  <c r="AC47" i="48"/>
  <c r="AC62" i="48"/>
  <c r="AC53" i="48"/>
  <c r="AC36" i="48"/>
  <c r="AC86" i="48"/>
  <c r="AC72" i="48"/>
  <c r="AC59" i="48"/>
  <c r="AC45" i="48"/>
  <c r="AC69" i="48"/>
  <c r="AC70" i="48"/>
  <c r="AC34" i="48"/>
  <c r="AC83" i="48"/>
  <c r="AC87" i="48"/>
  <c r="AC11" i="48"/>
  <c r="AC22" i="48"/>
  <c r="AC64" i="48"/>
  <c r="AC32" i="48"/>
  <c r="AC28" i="48"/>
  <c r="AC39" i="48"/>
  <c r="AC79" i="48"/>
  <c r="AC13" i="48"/>
  <c r="AC92" i="48"/>
  <c r="AC30" i="48"/>
  <c r="AC10" i="48"/>
  <c r="AC74" i="48"/>
  <c r="AC65" i="48"/>
  <c r="D16" i="61"/>
  <c r="D17" i="61"/>
  <c r="D14" i="61"/>
  <c r="K6" i="61" s="1"/>
  <c r="D15" i="61"/>
  <c r="H21" i="59"/>
  <c r="G21" i="59" s="1"/>
  <c r="V59" i="48"/>
  <c r="V303" i="49"/>
  <c r="V3" i="47"/>
  <c r="V14" i="50"/>
  <c r="F11" i="51"/>
  <c r="V59" i="49"/>
  <c r="M19" i="53"/>
  <c r="AJ20" i="49"/>
  <c r="V61" i="47"/>
  <c r="V327" i="49"/>
  <c r="V61" i="48"/>
  <c r="AJ21" i="50"/>
  <c r="V20" i="47"/>
  <c r="AH12" i="51"/>
  <c r="V55" i="48"/>
  <c r="V77" i="49"/>
  <c r="V50" i="49"/>
  <c r="M25" i="48"/>
  <c r="V78" i="47"/>
  <c r="V39" i="49"/>
  <c r="V75" i="47"/>
  <c r="M71" i="53"/>
  <c r="M43" i="50"/>
  <c r="M65" i="53"/>
  <c r="V72" i="50"/>
  <c r="V94" i="50"/>
  <c r="K40" i="51"/>
  <c r="M22" i="42"/>
  <c r="M41" i="48"/>
  <c r="F8" i="51"/>
  <c r="V230" i="49"/>
  <c r="T45" i="51"/>
  <c r="T3" i="51"/>
  <c r="V54" i="47"/>
  <c r="M51" i="47"/>
  <c r="V21" i="53"/>
  <c r="V44" i="47"/>
  <c r="V13" i="53"/>
  <c r="M16" i="48"/>
  <c r="T4" i="51"/>
  <c r="V46" i="48"/>
  <c r="V60" i="53"/>
  <c r="M21" i="44"/>
  <c r="V68" i="53"/>
  <c r="M37" i="50"/>
  <c r="V23" i="53"/>
  <c r="V75" i="50"/>
  <c r="M27" i="42"/>
  <c r="K8" i="39"/>
  <c r="P8" i="39" s="1"/>
  <c r="V232" i="49"/>
  <c r="M50" i="50"/>
  <c r="V5" i="49"/>
  <c r="AJ19" i="48"/>
  <c r="V318" i="49"/>
  <c r="V15" i="48"/>
  <c r="V268" i="49"/>
  <c r="V78" i="48"/>
  <c r="I36" i="50"/>
  <c r="H36" i="50"/>
  <c r="V15" i="50"/>
  <c r="D11" i="59"/>
  <c r="C11" i="59" s="1"/>
  <c r="V302" i="49"/>
  <c r="AJ22" i="50"/>
  <c r="V65" i="47"/>
  <c r="AJ22" i="48"/>
  <c r="K11" i="51"/>
  <c r="V43" i="53"/>
  <c r="V90" i="50"/>
  <c r="K27" i="51"/>
  <c r="V185" i="49"/>
  <c r="V29" i="47"/>
  <c r="V101" i="49"/>
  <c r="V346" i="49"/>
  <c r="V80" i="53"/>
  <c r="M10" i="53"/>
  <c r="H54" i="53"/>
  <c r="I54" i="53"/>
  <c r="M54" i="47"/>
  <c r="M31" i="48"/>
  <c r="V30" i="49"/>
  <c r="V37" i="47"/>
  <c r="V23" i="48"/>
  <c r="V91" i="49"/>
  <c r="V196" i="49"/>
  <c r="T27" i="51"/>
  <c r="T32" i="51"/>
  <c r="AJ23" i="50"/>
  <c r="V8" i="50"/>
  <c r="V48" i="49"/>
  <c r="V160" i="49"/>
  <c r="V47" i="47"/>
  <c r="V35" i="50"/>
  <c r="V132" i="49"/>
  <c r="V52" i="48"/>
  <c r="V335" i="49"/>
  <c r="V129" i="49"/>
  <c r="V50" i="47"/>
  <c r="V218" i="49"/>
  <c r="M32" i="50"/>
  <c r="M58" i="50"/>
  <c r="I36" i="53"/>
  <c r="H36" i="53"/>
  <c r="AH17" i="51"/>
  <c r="H33" i="50"/>
  <c r="I33" i="50"/>
  <c r="M73" i="53"/>
  <c r="V36" i="47"/>
  <c r="V85" i="49"/>
  <c r="V391" i="49"/>
  <c r="AJ19" i="50"/>
  <c r="V28" i="50"/>
  <c r="V148" i="49"/>
  <c r="V244" i="49"/>
  <c r="V205" i="49"/>
  <c r="V176" i="49"/>
  <c r="V28" i="47"/>
  <c r="V41" i="47"/>
  <c r="M18" i="53"/>
  <c r="AJ19" i="49"/>
  <c r="M51" i="48"/>
  <c r="V41" i="48"/>
  <c r="T53" i="51"/>
  <c r="V88" i="49"/>
  <c r="I37" i="50"/>
  <c r="H37" i="50"/>
  <c r="V370" i="49"/>
  <c r="V29" i="48"/>
  <c r="V58" i="50"/>
  <c r="V222" i="49"/>
  <c r="V15" i="47"/>
  <c r="V110" i="50"/>
  <c r="T51" i="51"/>
  <c r="M55" i="48"/>
  <c r="V54" i="53"/>
  <c r="F10" i="51"/>
  <c r="V305" i="49"/>
  <c r="V43" i="49"/>
  <c r="V84" i="49"/>
  <c r="V23" i="47"/>
  <c r="V85" i="53"/>
  <c r="M24" i="50"/>
  <c r="V209" i="49"/>
  <c r="V76" i="48"/>
  <c r="V92" i="48"/>
  <c r="V34" i="47"/>
  <c r="V331" i="49"/>
  <c r="V13" i="50"/>
  <c r="V187" i="49"/>
  <c r="M24" i="48"/>
  <c r="M23" i="49"/>
  <c r="AH19" i="51"/>
  <c r="V51" i="48"/>
  <c r="V71" i="47"/>
  <c r="V246" i="49"/>
  <c r="M63" i="53"/>
  <c r="AJ14" i="49"/>
  <c r="V56" i="53"/>
  <c r="V79" i="50"/>
  <c r="V155" i="49"/>
  <c r="M30" i="50"/>
  <c r="M13" i="48"/>
  <c r="V324" i="49"/>
  <c r="Q28" i="40"/>
  <c r="T17" i="51"/>
  <c r="V286" i="49"/>
  <c r="V372" i="49"/>
  <c r="V120" i="49"/>
  <c r="V55" i="47"/>
  <c r="V170" i="49"/>
  <c r="T28" i="51"/>
  <c r="V94" i="49"/>
  <c r="AJ11" i="48"/>
  <c r="K5" i="34"/>
  <c r="F5" i="34"/>
  <c r="I39" i="53"/>
  <c r="H39" i="53"/>
  <c r="V25" i="53"/>
  <c r="V193" i="49"/>
  <c r="M75" i="53"/>
  <c r="V48" i="50"/>
  <c r="I47" i="53"/>
  <c r="H47" i="53"/>
  <c r="V89" i="50"/>
  <c r="V46" i="50"/>
  <c r="B18" i="58"/>
  <c r="B16" i="58"/>
  <c r="B62" i="58"/>
  <c r="B74" i="58"/>
  <c r="B97" i="58"/>
  <c r="B36" i="58"/>
  <c r="B77" i="58"/>
  <c r="B112" i="58"/>
  <c r="B4" i="58"/>
  <c r="B113" i="58"/>
  <c r="B64" i="58"/>
  <c r="B39" i="58"/>
  <c r="B53" i="58"/>
  <c r="B66" i="58"/>
  <c r="B15" i="58"/>
  <c r="B67" i="58"/>
  <c r="B73" i="58"/>
  <c r="B76" i="58"/>
  <c r="B93" i="58"/>
  <c r="B12" i="58"/>
  <c r="B88" i="58"/>
  <c r="B98" i="58"/>
  <c r="B14" i="58"/>
  <c r="B96" i="58"/>
  <c r="B102" i="58"/>
  <c r="B94" i="58"/>
  <c r="B75" i="58"/>
  <c r="B10" i="58"/>
  <c r="B41" i="58"/>
  <c r="B11" i="58"/>
  <c r="B56" i="58"/>
  <c r="B105" i="58"/>
  <c r="B28" i="58"/>
  <c r="B34" i="58"/>
  <c r="B37" i="58"/>
  <c r="B60" i="58"/>
  <c r="B86" i="58"/>
  <c r="B116" i="58"/>
  <c r="B106" i="58"/>
  <c r="B107" i="58"/>
  <c r="B57" i="58"/>
  <c r="B122" i="58"/>
  <c r="B123" i="58"/>
  <c r="B90" i="58"/>
  <c r="B81" i="58"/>
  <c r="B85" i="58"/>
  <c r="B43" i="58"/>
  <c r="B95" i="58"/>
  <c r="B65" i="58"/>
  <c r="B79" i="58"/>
  <c r="B59" i="58"/>
  <c r="B101" i="58"/>
  <c r="B48" i="58"/>
  <c r="B9" i="58"/>
  <c r="B109" i="58"/>
  <c r="B5" i="58"/>
  <c r="B72" i="58"/>
  <c r="B71" i="58"/>
  <c r="B87" i="58"/>
  <c r="B21" i="58"/>
  <c r="B19" i="58"/>
  <c r="B31" i="58"/>
  <c r="B99" i="58"/>
  <c r="B119" i="58"/>
  <c r="B40" i="58"/>
  <c r="B114" i="58"/>
  <c r="B51" i="58"/>
  <c r="B91" i="58"/>
  <c r="B120" i="58"/>
  <c r="B92" i="58"/>
  <c r="B54" i="58"/>
  <c r="B26" i="58"/>
  <c r="B78" i="58"/>
  <c r="B25" i="58"/>
  <c r="B33" i="58"/>
  <c r="B58" i="58"/>
  <c r="B6" i="58"/>
  <c r="B27" i="58"/>
  <c r="B42" i="58"/>
  <c r="B118" i="58"/>
  <c r="B52" i="58"/>
  <c r="B121" i="58"/>
  <c r="B82" i="58"/>
  <c r="B44" i="58"/>
  <c r="B108" i="58"/>
  <c r="B17" i="58"/>
  <c r="B8" i="58"/>
  <c r="B7" i="58"/>
  <c r="B20" i="58"/>
  <c r="B13" i="58"/>
  <c r="B30" i="58"/>
  <c r="B29" i="58"/>
  <c r="B24" i="58"/>
  <c r="B55" i="58"/>
  <c r="B47" i="58"/>
  <c r="B70" i="58"/>
  <c r="B45" i="58"/>
  <c r="B69" i="58"/>
  <c r="B63" i="58"/>
  <c r="B50" i="58"/>
  <c r="B117" i="58"/>
  <c r="B110" i="58"/>
  <c r="B32" i="58"/>
  <c r="B80" i="58"/>
  <c r="B23" i="58"/>
  <c r="B38" i="58"/>
  <c r="B22" i="58"/>
  <c r="B68" i="58"/>
  <c r="B83" i="58"/>
  <c r="B84" i="58"/>
  <c r="B111" i="58"/>
  <c r="B49" i="58"/>
  <c r="B35" i="58"/>
  <c r="B100" i="58"/>
  <c r="B89" i="58"/>
  <c r="B61" i="58"/>
  <c r="B115" i="58"/>
  <c r="B46" i="58"/>
  <c r="B103" i="58"/>
  <c r="B104" i="58"/>
  <c r="V242" i="49"/>
  <c r="V74" i="47"/>
  <c r="M8" i="53"/>
  <c r="AL13" i="48"/>
  <c r="V34" i="49"/>
  <c r="V5" i="50"/>
  <c r="M26" i="48"/>
  <c r="M28" i="50"/>
  <c r="I28" i="58"/>
  <c r="I44" i="58"/>
  <c r="I78" i="58"/>
  <c r="I105" i="58"/>
  <c r="I20" i="58"/>
  <c r="I33" i="58"/>
  <c r="I13" i="58"/>
  <c r="I35" i="58"/>
  <c r="I30" i="58"/>
  <c r="I55" i="58"/>
  <c r="I119" i="58"/>
  <c r="I66" i="58"/>
  <c r="I102" i="58"/>
  <c r="I25" i="58"/>
  <c r="I94" i="58"/>
  <c r="I98" i="58"/>
  <c r="I14" i="58"/>
  <c r="I31" i="58"/>
  <c r="I111" i="58"/>
  <c r="I108" i="58"/>
  <c r="I77" i="58"/>
  <c r="I54" i="58"/>
  <c r="I71" i="58"/>
  <c r="I69" i="58"/>
  <c r="I9" i="58"/>
  <c r="I34" i="58"/>
  <c r="I109" i="58"/>
  <c r="I65" i="58"/>
  <c r="I79" i="58"/>
  <c r="I6" i="58"/>
  <c r="I17" i="58"/>
  <c r="I38" i="58"/>
  <c r="I39" i="58"/>
  <c r="I106" i="58"/>
  <c r="I117" i="58"/>
  <c r="I92" i="58"/>
  <c r="I8" i="58"/>
  <c r="I60" i="58"/>
  <c r="I62" i="58"/>
  <c r="I118" i="58"/>
  <c r="I48" i="58"/>
  <c r="I10" i="58"/>
  <c r="I29" i="58"/>
  <c r="I27" i="58"/>
  <c r="I84" i="58"/>
  <c r="I83" i="58"/>
  <c r="I61" i="58"/>
  <c r="I85" i="58"/>
  <c r="I49" i="58"/>
  <c r="I16" i="58"/>
  <c r="I68" i="58"/>
  <c r="I81" i="58"/>
  <c r="I51" i="58"/>
  <c r="I72" i="58"/>
  <c r="I70" i="58"/>
  <c r="I90" i="58"/>
  <c r="I86" i="58"/>
  <c r="I50" i="58"/>
  <c r="I80" i="58"/>
  <c r="I96" i="58"/>
  <c r="I115" i="58"/>
  <c r="I36" i="58"/>
  <c r="I5" i="58"/>
  <c r="I87" i="58"/>
  <c r="I123" i="58"/>
  <c r="I37" i="58"/>
  <c r="I46" i="58"/>
  <c r="I99" i="58"/>
  <c r="G1" i="58"/>
  <c r="I7" i="58"/>
  <c r="I67" i="58"/>
  <c r="I107" i="58"/>
  <c r="I53" i="58"/>
  <c r="I21" i="58"/>
  <c r="I75" i="58"/>
  <c r="I110" i="58"/>
  <c r="I4" i="58"/>
  <c r="I11" i="58"/>
  <c r="I114" i="58"/>
  <c r="I74" i="58"/>
  <c r="I40" i="58"/>
  <c r="I23" i="58"/>
  <c r="I52" i="58"/>
  <c r="I93" i="58"/>
  <c r="I59" i="58"/>
  <c r="I12" i="58"/>
  <c r="I56" i="58"/>
  <c r="I22" i="58"/>
  <c r="I82" i="58"/>
  <c r="I103" i="58"/>
  <c r="I121" i="58"/>
  <c r="I113" i="58"/>
  <c r="I101" i="58"/>
  <c r="I19" i="58"/>
  <c r="I41" i="58"/>
  <c r="I95" i="58"/>
  <c r="I32" i="58"/>
  <c r="I15" i="58"/>
  <c r="I45" i="58"/>
  <c r="I76" i="58"/>
  <c r="I43" i="58"/>
  <c r="I88" i="58"/>
  <c r="I58" i="58"/>
  <c r="I116" i="58"/>
  <c r="I42" i="58"/>
  <c r="I18" i="58"/>
  <c r="I63" i="58"/>
  <c r="I104" i="58"/>
  <c r="I73" i="58"/>
  <c r="I24" i="58"/>
  <c r="I26" i="58"/>
  <c r="I47" i="58"/>
  <c r="I91" i="58"/>
  <c r="I57" i="58"/>
  <c r="I122" i="58"/>
  <c r="I100" i="58"/>
  <c r="I120" i="58"/>
  <c r="I112" i="58"/>
  <c r="I89" i="58"/>
  <c r="I97" i="58"/>
  <c r="I64" i="58"/>
  <c r="AJ17" i="50"/>
  <c r="M57" i="53"/>
  <c r="K6" i="51"/>
  <c r="V16" i="49"/>
  <c r="K49" i="51"/>
  <c r="K56" i="51"/>
  <c r="T49" i="51"/>
  <c r="V50" i="48"/>
  <c r="F14" i="51"/>
  <c r="V258" i="49"/>
  <c r="V297" i="49"/>
  <c r="V6" i="53"/>
  <c r="V131" i="49"/>
  <c r="M27" i="48"/>
  <c r="V41" i="50"/>
  <c r="V290" i="49"/>
  <c r="M13" i="49"/>
  <c r="T42" i="51"/>
  <c r="T8" i="51"/>
  <c r="V197" i="49"/>
  <c r="V72" i="47"/>
  <c r="V137" i="49"/>
  <c r="V285" i="49"/>
  <c r="V364" i="49"/>
  <c r="V245" i="49"/>
  <c r="V87" i="53"/>
  <c r="K28" i="51"/>
  <c r="V112" i="50"/>
  <c r="V71" i="48"/>
  <c r="V65" i="50"/>
  <c r="V24" i="50"/>
  <c r="M29" i="49"/>
  <c r="V84" i="53"/>
  <c r="V228" i="49"/>
  <c r="V52" i="49"/>
  <c r="V43" i="48"/>
  <c r="M6" i="48"/>
  <c r="V214" i="49"/>
  <c r="W70" i="47"/>
  <c r="W50" i="47"/>
  <c r="W52" i="47"/>
  <c r="W7" i="47"/>
  <c r="W49" i="47"/>
  <c r="W59" i="47"/>
  <c r="W29" i="47"/>
  <c r="W71" i="47"/>
  <c r="W9" i="47"/>
  <c r="W36" i="47"/>
  <c r="W35" i="47"/>
  <c r="W44" i="47"/>
  <c r="W61" i="47"/>
  <c r="W46" i="47"/>
  <c r="W79" i="47"/>
  <c r="W32" i="47"/>
  <c r="W53" i="47"/>
  <c r="W6" i="47"/>
  <c r="W34" i="47"/>
  <c r="W20" i="47"/>
  <c r="W78" i="47"/>
  <c r="W57" i="47"/>
  <c r="W16" i="47"/>
  <c r="W73" i="47"/>
  <c r="W75" i="47"/>
  <c r="W17" i="47"/>
  <c r="W68" i="47"/>
  <c r="W12" i="47"/>
  <c r="W38" i="47"/>
  <c r="W66" i="47"/>
  <c r="W56" i="47"/>
  <c r="W51" i="47"/>
  <c r="W72" i="47"/>
  <c r="W47" i="47"/>
  <c r="W43" i="47"/>
  <c r="W64" i="47"/>
  <c r="W65" i="47"/>
  <c r="W23" i="47"/>
  <c r="W37" i="47"/>
  <c r="W10" i="47"/>
  <c r="W63" i="47"/>
  <c r="W22" i="47"/>
  <c r="W5" i="47"/>
  <c r="W48" i="47"/>
  <c r="W42" i="47"/>
  <c r="W31" i="47"/>
  <c r="W11" i="47"/>
  <c r="W40" i="47"/>
  <c r="W18" i="47"/>
  <c r="W45" i="47"/>
  <c r="W77" i="47"/>
  <c r="W74" i="47"/>
  <c r="W25" i="47"/>
  <c r="W13" i="47"/>
  <c r="W27" i="47"/>
  <c r="W28" i="47"/>
  <c r="W60" i="47"/>
  <c r="W55" i="47"/>
  <c r="W69" i="47"/>
  <c r="W30" i="47"/>
  <c r="W3" i="47"/>
  <c r="W67" i="47"/>
  <c r="W54" i="47"/>
  <c r="W76" i="47"/>
  <c r="W4" i="47"/>
  <c r="W24" i="47"/>
  <c r="W8" i="47"/>
  <c r="W19" i="47"/>
  <c r="W21" i="47"/>
  <c r="W41" i="47"/>
  <c r="W58" i="47"/>
  <c r="W39" i="47"/>
  <c r="W33" i="47"/>
  <c r="W62" i="47"/>
  <c r="W14" i="47"/>
  <c r="W15" i="47"/>
  <c r="W26" i="47"/>
  <c r="V279" i="49"/>
  <c r="V309" i="49"/>
  <c r="V219" i="49"/>
  <c r="F96" i="34"/>
  <c r="K96" i="34"/>
  <c r="M18" i="47"/>
  <c r="M19" i="42"/>
  <c r="M28" i="48"/>
  <c r="M22" i="49"/>
  <c r="K6" i="37"/>
  <c r="P6" i="37" s="1"/>
  <c r="V14" i="48"/>
  <c r="V116" i="50"/>
  <c r="I4" i="43"/>
  <c r="M45" i="49"/>
  <c r="V276" i="49"/>
  <c r="M373" i="49"/>
  <c r="V7" i="48"/>
  <c r="V175" i="49"/>
  <c r="AJ21" i="49"/>
  <c r="K50" i="51"/>
  <c r="V70" i="47"/>
  <c r="AH16" i="51"/>
  <c r="AJ16" i="49"/>
  <c r="AL11" i="48"/>
  <c r="V37" i="49"/>
  <c r="V292" i="49"/>
  <c r="M66" i="50"/>
  <c r="V13" i="48"/>
  <c r="M16" i="42"/>
  <c r="M21" i="53"/>
  <c r="AJ17" i="48"/>
  <c r="H38" i="50"/>
  <c r="I38" i="50"/>
  <c r="V74" i="50"/>
  <c r="P3" i="38"/>
  <c r="K13" i="51"/>
  <c r="V36" i="48"/>
  <c r="M17" i="49"/>
  <c r="M41" i="50"/>
  <c r="M19" i="49"/>
  <c r="V98" i="49"/>
  <c r="V125" i="49"/>
  <c r="M7" i="43"/>
  <c r="O7" i="43"/>
  <c r="N7" i="43"/>
  <c r="K15" i="37"/>
  <c r="L15" i="37" s="1"/>
  <c r="O15" i="37" s="1"/>
  <c r="N6" i="44"/>
  <c r="O6" i="44"/>
  <c r="M6" i="44"/>
  <c r="M5" i="48"/>
  <c r="V86" i="50"/>
  <c r="M11" i="49"/>
  <c r="V81" i="48"/>
  <c r="V139" i="49"/>
  <c r="V337" i="49"/>
  <c r="V30" i="48"/>
  <c r="V138" i="49"/>
  <c r="V82" i="49"/>
  <c r="V40" i="50"/>
  <c r="M61" i="50"/>
  <c r="V150" i="49"/>
  <c r="V42" i="47"/>
  <c r="AJ22" i="49"/>
  <c r="H55" i="53"/>
  <c r="I55" i="53"/>
  <c r="F23" i="51"/>
  <c r="V183" i="49"/>
  <c r="D21" i="39"/>
  <c r="V84" i="48"/>
  <c r="V49" i="53"/>
  <c r="V66" i="50"/>
  <c r="F9" i="51"/>
  <c r="AJ23" i="49"/>
  <c r="V265" i="49"/>
  <c r="V32" i="50"/>
  <c r="V22" i="49"/>
  <c r="Q27" i="40"/>
  <c r="H42" i="50"/>
  <c r="I42" i="50"/>
  <c r="T37" i="51"/>
  <c r="K47" i="51"/>
  <c r="V122" i="49"/>
  <c r="T9" i="51"/>
  <c r="V181" i="49"/>
  <c r="V235" i="49"/>
  <c r="V141" i="49"/>
  <c r="D17" i="39"/>
  <c r="K17" i="51"/>
  <c r="K7" i="51"/>
  <c r="V3" i="50"/>
  <c r="M6" i="43"/>
  <c r="N6" i="43"/>
  <c r="O6" i="43"/>
  <c r="V277" i="49"/>
  <c r="V21" i="49"/>
  <c r="V250" i="49"/>
  <c r="V167" i="49"/>
  <c r="V19" i="49"/>
  <c r="V117" i="49"/>
  <c r="I3" i="42"/>
  <c r="K18" i="38"/>
  <c r="L18" i="38" s="1"/>
  <c r="O18" i="38" s="1"/>
  <c r="S5" i="43"/>
  <c r="S3" i="43"/>
  <c r="AA3" i="43" s="1" a="1"/>
  <c r="S4" i="43"/>
  <c r="N5" i="43"/>
  <c r="O5" i="43"/>
  <c r="M5" i="43"/>
  <c r="M46" i="48"/>
  <c r="M27" i="47"/>
  <c r="V233" i="49"/>
  <c r="T48" i="51"/>
  <c r="M9" i="48"/>
  <c r="V123" i="49"/>
  <c r="V192" i="49"/>
  <c r="M76" i="50"/>
  <c r="V35" i="53"/>
  <c r="T10" i="51"/>
  <c r="K55" i="51"/>
  <c r="V334" i="49"/>
  <c r="V157" i="49"/>
  <c r="V161" i="49"/>
  <c r="T7" i="51"/>
  <c r="H40" i="53"/>
  <c r="I40" i="53"/>
  <c r="K34" i="51"/>
  <c r="V156" i="49"/>
  <c r="V226" i="49"/>
  <c r="V89" i="49"/>
  <c r="V11" i="50"/>
  <c r="V234" i="49"/>
  <c r="V89" i="48"/>
  <c r="AJ11" i="50"/>
  <c r="V261" i="49"/>
  <c r="Y9" i="42"/>
  <c r="Y10" i="42"/>
  <c r="V162" i="49"/>
  <c r="V291" i="49"/>
  <c r="V267" i="49"/>
  <c r="V26" i="50"/>
  <c r="M70" i="47"/>
  <c r="M24" i="49"/>
  <c r="T55" i="51"/>
  <c r="V344" i="49"/>
  <c r="V152" i="49"/>
  <c r="V61" i="53"/>
  <c r="F12" i="51"/>
  <c r="T35" i="51"/>
  <c r="V16" i="48"/>
  <c r="V34" i="48"/>
  <c r="V60" i="48"/>
  <c r="V22" i="48"/>
  <c r="AJ12" i="48"/>
  <c r="V74" i="49"/>
  <c r="M27" i="49"/>
  <c r="M79" i="50"/>
  <c r="V86" i="48"/>
  <c r="V304" i="49"/>
  <c r="V371" i="49"/>
  <c r="V27" i="50"/>
  <c r="I43" i="50"/>
  <c r="H43" i="50"/>
  <c r="V282" i="49"/>
  <c r="M6" i="42"/>
  <c r="N6" i="42"/>
  <c r="O6" i="42"/>
  <c r="I5" i="43"/>
  <c r="V90" i="49"/>
  <c r="M21" i="47"/>
  <c r="Y13" i="42"/>
  <c r="M17" i="42"/>
  <c r="K10" i="38"/>
  <c r="L10" i="38" s="1"/>
  <c r="O10" i="38" s="1"/>
  <c r="V62" i="53"/>
  <c r="K14" i="51"/>
  <c r="V124" i="50"/>
  <c r="V14" i="49"/>
  <c r="M56" i="50"/>
  <c r="AJ15" i="50"/>
  <c r="V74" i="53"/>
  <c r="V10" i="50"/>
  <c r="M10" i="48"/>
  <c r="K45" i="51"/>
  <c r="V40" i="49"/>
  <c r="Y9" i="44"/>
  <c r="Y10" i="44"/>
  <c r="V78" i="49"/>
  <c r="V217" i="49"/>
  <c r="M24" i="42"/>
  <c r="AH15" i="51"/>
  <c r="V67" i="50"/>
  <c r="V78" i="53"/>
  <c r="V298" i="49"/>
  <c r="V42" i="50"/>
  <c r="V284" i="49"/>
  <c r="AJ15" i="48"/>
  <c r="I47" i="50"/>
  <c r="H47" i="50"/>
  <c r="M31" i="50"/>
  <c r="V283" i="49"/>
  <c r="V295" i="49"/>
  <c r="V328" i="49"/>
  <c r="V341" i="49"/>
  <c r="V166" i="49"/>
  <c r="V102" i="49"/>
  <c r="V373" i="49"/>
  <c r="V257" i="49"/>
  <c r="V248" i="49"/>
  <c r="K6" i="39"/>
  <c r="L6" i="39" s="1"/>
  <c r="O6" i="39" s="1"/>
  <c r="K15" i="38"/>
  <c r="P15" i="38" s="1"/>
  <c r="V200" i="49"/>
  <c r="V73" i="50"/>
  <c r="M78" i="50"/>
  <c r="V105" i="49"/>
  <c r="AJ18" i="49"/>
  <c r="O7" i="42"/>
  <c r="N7" i="42"/>
  <c r="M7" i="42"/>
  <c r="V92" i="50"/>
  <c r="O3" i="44"/>
  <c r="N3" i="44"/>
  <c r="M3" i="44"/>
  <c r="M78" i="47"/>
  <c r="M19" i="44"/>
  <c r="W67" i="48"/>
  <c r="W77" i="48"/>
  <c r="W73" i="48"/>
  <c r="W31" i="48"/>
  <c r="W30" i="48"/>
  <c r="W83" i="48"/>
  <c r="W22" i="48"/>
  <c r="W70" i="48"/>
  <c r="W44" i="48"/>
  <c r="W8" i="48"/>
  <c r="W89" i="48"/>
  <c r="W68" i="48"/>
  <c r="W52" i="48"/>
  <c r="W79" i="48"/>
  <c r="W63" i="48"/>
  <c r="W80" i="48"/>
  <c r="W53" i="48"/>
  <c r="W11" i="48"/>
  <c r="W14" i="48"/>
  <c r="W69" i="48"/>
  <c r="W87" i="48"/>
  <c r="W42" i="48"/>
  <c r="W40" i="48"/>
  <c r="W54" i="48"/>
  <c r="W65" i="48"/>
  <c r="W60" i="48"/>
  <c r="W58" i="48"/>
  <c r="W90" i="48"/>
  <c r="W18" i="48"/>
  <c r="W56" i="48"/>
  <c r="W38" i="48"/>
  <c r="W61" i="48"/>
  <c r="W78" i="48"/>
  <c r="W43" i="48"/>
  <c r="W57" i="48"/>
  <c r="W21" i="48"/>
  <c r="W17" i="48"/>
  <c r="W5" i="48"/>
  <c r="W47" i="48"/>
  <c r="W36" i="48"/>
  <c r="W49" i="48"/>
  <c r="W45" i="48"/>
  <c r="W88" i="48"/>
  <c r="W23" i="48"/>
  <c r="W92" i="48"/>
  <c r="W86" i="48"/>
  <c r="W19" i="48"/>
  <c r="W62" i="48"/>
  <c r="W59" i="48"/>
  <c r="W71" i="48"/>
  <c r="W32" i="48"/>
  <c r="W82" i="48"/>
  <c r="W24" i="48"/>
  <c r="W15" i="48"/>
  <c r="W41" i="48"/>
  <c r="W48" i="48"/>
  <c r="W35" i="48"/>
  <c r="W39" i="48"/>
  <c r="W16" i="48"/>
  <c r="W37" i="48"/>
  <c r="W75" i="48"/>
  <c r="W33" i="48"/>
  <c r="W51" i="48"/>
  <c r="W9" i="48"/>
  <c r="W76" i="48"/>
  <c r="W3" i="48"/>
  <c r="W25" i="48"/>
  <c r="W29" i="48"/>
  <c r="W50" i="48"/>
  <c r="W34" i="48"/>
  <c r="W4" i="48"/>
  <c r="W12" i="48"/>
  <c r="W26" i="48"/>
  <c r="W85" i="48"/>
  <c r="W84" i="48"/>
  <c r="W72" i="48"/>
  <c r="W7" i="48"/>
  <c r="W91" i="48"/>
  <c r="W28" i="48"/>
  <c r="W46" i="48"/>
  <c r="W27" i="48"/>
  <c r="W55" i="48"/>
  <c r="W64" i="48"/>
  <c r="W10" i="48"/>
  <c r="W74" i="48"/>
  <c r="W13" i="48"/>
  <c r="W66" i="48"/>
  <c r="W20" i="48"/>
  <c r="W6" i="48"/>
  <c r="W81" i="48"/>
  <c r="V13" i="49"/>
  <c r="V118" i="49"/>
  <c r="V47" i="50"/>
  <c r="V31" i="50"/>
  <c r="V332" i="49"/>
  <c r="M79" i="47"/>
  <c r="V326" i="49"/>
  <c r="P9" i="45"/>
  <c r="W9" i="45" s="1" a="1"/>
  <c r="P10" i="45"/>
  <c r="M38" i="49"/>
  <c r="M65" i="49"/>
  <c r="V247" i="49"/>
  <c r="V347" i="49"/>
  <c r="V26" i="49"/>
  <c r="M30" i="47"/>
  <c r="I5" i="42"/>
  <c r="V67" i="47"/>
  <c r="T15" i="51"/>
  <c r="V85" i="50"/>
  <c r="V37" i="48"/>
  <c r="F16" i="51"/>
  <c r="V17" i="49"/>
  <c r="U4" i="43"/>
  <c r="U3" i="43"/>
  <c r="U5" i="43"/>
  <c r="AJ14" i="50"/>
  <c r="V37" i="50"/>
  <c r="V256" i="49"/>
  <c r="V72" i="49"/>
  <c r="V51" i="49"/>
  <c r="U10" i="44"/>
  <c r="U9" i="44"/>
  <c r="V108" i="49"/>
  <c r="V109" i="50"/>
  <c r="V366" i="49"/>
  <c r="V93" i="49"/>
  <c r="V126" i="49"/>
  <c r="M12" i="49"/>
  <c r="M64" i="49"/>
  <c r="C7" i="33"/>
  <c r="T3" i="42"/>
  <c r="T5" i="42"/>
  <c r="T4" i="42"/>
  <c r="I7" i="42"/>
  <c r="J6" i="45"/>
  <c r="K6" i="45"/>
  <c r="I6" i="45"/>
  <c r="V236" i="49"/>
  <c r="AJ15" i="49"/>
  <c r="P4" i="39"/>
  <c r="K79" i="34"/>
  <c r="F79" i="34"/>
  <c r="V8" i="47"/>
  <c r="V71" i="50"/>
  <c r="V57" i="49"/>
  <c r="V87" i="50"/>
  <c r="V5" i="48"/>
  <c r="V25" i="48"/>
  <c r="V203" i="49"/>
  <c r="M61" i="53"/>
  <c r="V17" i="50"/>
  <c r="V380" i="49"/>
  <c r="S5" i="42"/>
  <c r="S3" i="42"/>
  <c r="AA3" i="42" s="1" a="1"/>
  <c r="S4" i="42"/>
  <c r="V53" i="49"/>
  <c r="M23" i="47"/>
  <c r="M25" i="42"/>
  <c r="M15" i="49"/>
  <c r="K19" i="39"/>
  <c r="M52" i="47"/>
  <c r="N7" i="44"/>
  <c r="M7" i="44"/>
  <c r="O7" i="44"/>
  <c r="K17" i="39"/>
  <c r="Y9" i="43"/>
  <c r="Y10" i="43"/>
  <c r="V32" i="49"/>
  <c r="V178" i="49"/>
  <c r="V57" i="50"/>
  <c r="V82" i="50"/>
  <c r="V202" i="49"/>
  <c r="M18" i="43"/>
  <c r="V314" i="49"/>
  <c r="M70" i="53"/>
  <c r="T6" i="51"/>
  <c r="M26" i="53"/>
  <c r="V215" i="49"/>
  <c r="M25" i="50"/>
  <c r="V29" i="50"/>
  <c r="V206" i="49"/>
  <c r="M36" i="49"/>
  <c r="M20" i="42"/>
  <c r="V260" i="49"/>
  <c r="V254" i="49"/>
  <c r="M48" i="49"/>
  <c r="V114" i="49"/>
  <c r="F48" i="34"/>
  <c r="K48" i="34"/>
  <c r="V29" i="49"/>
  <c r="V345" i="49"/>
  <c r="M19" i="43"/>
  <c r="K9" i="37"/>
  <c r="L9" i="37" s="1"/>
  <c r="O9" i="37" s="1"/>
  <c r="K13" i="38"/>
  <c r="L13" i="38" s="1"/>
  <c r="O13" i="38" s="1"/>
  <c r="M39" i="49"/>
  <c r="V11" i="48"/>
  <c r="M55" i="47"/>
  <c r="C6" i="33"/>
  <c r="V33" i="49"/>
  <c r="M16" i="43"/>
  <c r="V369" i="49"/>
  <c r="V154" i="49"/>
  <c r="M24" i="47"/>
  <c r="M77" i="47"/>
  <c r="M14" i="40"/>
  <c r="M15" i="40"/>
  <c r="M21" i="40"/>
  <c r="M16" i="40"/>
  <c r="M17" i="40"/>
  <c r="M20" i="40"/>
  <c r="M13" i="40"/>
  <c r="M19" i="40"/>
  <c r="M18" i="40"/>
  <c r="Y3" i="43"/>
  <c r="Y4" i="43"/>
  <c r="Y5" i="43"/>
  <c r="K8" i="37"/>
  <c r="L8" i="37" s="1"/>
  <c r="O8" i="37" s="1"/>
  <c r="V263" i="49"/>
  <c r="K59" i="34"/>
  <c r="F59" i="34"/>
  <c r="V354" i="49"/>
  <c r="M18" i="42"/>
  <c r="U10" i="43"/>
  <c r="U9" i="43"/>
  <c r="U13" i="44"/>
  <c r="AA13" i="44" s="1"/>
  <c r="V109" i="49"/>
  <c r="M75" i="47"/>
  <c r="K13" i="39"/>
  <c r="L13" i="39" s="1"/>
  <c r="O13" i="39" s="1"/>
  <c r="W352" i="49"/>
  <c r="W41" i="49"/>
  <c r="W211" i="49"/>
  <c r="W196" i="49"/>
  <c r="W58" i="49"/>
  <c r="W301" i="49"/>
  <c r="W73" i="49"/>
  <c r="W68" i="49"/>
  <c r="W163" i="49"/>
  <c r="W82" i="49"/>
  <c r="W145" i="49"/>
  <c r="W234" i="49"/>
  <c r="W10" i="49"/>
  <c r="W272" i="49"/>
  <c r="W276" i="49"/>
  <c r="W385" i="49"/>
  <c r="W42" i="49"/>
  <c r="W149" i="49"/>
  <c r="W300" i="49"/>
  <c r="W35" i="49"/>
  <c r="W271" i="49"/>
  <c r="W387" i="49"/>
  <c r="W161" i="49"/>
  <c r="W93" i="49"/>
  <c r="W368" i="49"/>
  <c r="W53" i="49"/>
  <c r="W289" i="49"/>
  <c r="W303" i="49"/>
  <c r="W177" i="49"/>
  <c r="W356" i="49"/>
  <c r="W147" i="49"/>
  <c r="W343" i="49"/>
  <c r="W336" i="49"/>
  <c r="W179" i="49"/>
  <c r="W245" i="49"/>
  <c r="W37" i="49"/>
  <c r="W324" i="49"/>
  <c r="W38" i="49"/>
  <c r="W89" i="49"/>
  <c r="W135" i="49"/>
  <c r="W364" i="49"/>
  <c r="W62" i="49"/>
  <c r="W237" i="49"/>
  <c r="W326" i="49"/>
  <c r="W260" i="49"/>
  <c r="W266" i="49"/>
  <c r="W377" i="49"/>
  <c r="W291" i="49"/>
  <c r="W373" i="49"/>
  <c r="W274" i="49"/>
  <c r="W306" i="49"/>
  <c r="W362" i="49"/>
  <c r="W20" i="49"/>
  <c r="W341" i="49"/>
  <c r="W100" i="49"/>
  <c r="W296" i="49"/>
  <c r="W3" i="49"/>
  <c r="W39" i="49"/>
  <c r="W74" i="49"/>
  <c r="W162" i="49"/>
  <c r="W250" i="49"/>
  <c r="W67" i="49"/>
  <c r="W202" i="49"/>
  <c r="W360" i="49"/>
  <c r="W214" i="49"/>
  <c r="W185" i="49"/>
  <c r="W298" i="49"/>
  <c r="W146" i="49"/>
  <c r="W71" i="49"/>
  <c r="W113" i="49"/>
  <c r="W46" i="49"/>
  <c r="W142" i="49"/>
  <c r="W130" i="49"/>
  <c r="W219" i="49"/>
  <c r="W31" i="49"/>
  <c r="W126" i="49"/>
  <c r="W358" i="49"/>
  <c r="W337" i="49"/>
  <c r="W116" i="49"/>
  <c r="W331" i="49"/>
  <c r="W54" i="49"/>
  <c r="W14" i="49"/>
  <c r="W88" i="49"/>
  <c r="W48" i="49"/>
  <c r="W222" i="49"/>
  <c r="W263" i="49"/>
  <c r="W332" i="49"/>
  <c r="W131" i="49"/>
  <c r="W125" i="49"/>
  <c r="W238" i="49"/>
  <c r="W154" i="49"/>
  <c r="W230" i="49"/>
  <c r="W56" i="49"/>
  <c r="W256" i="49"/>
  <c r="W114" i="49"/>
  <c r="W109" i="49"/>
  <c r="W148" i="49"/>
  <c r="W101" i="49"/>
  <c r="W17" i="49"/>
  <c r="W151" i="49"/>
  <c r="W315" i="49"/>
  <c r="W137" i="49"/>
  <c r="W280" i="49"/>
  <c r="W26" i="49"/>
  <c r="W9" i="49"/>
  <c r="W257" i="49"/>
  <c r="W314" i="49"/>
  <c r="W94" i="49"/>
  <c r="W45" i="49"/>
  <c r="W320" i="49"/>
  <c r="W194" i="49"/>
  <c r="W344" i="49"/>
  <c r="W178" i="49"/>
  <c r="W61" i="49"/>
  <c r="W19" i="49"/>
  <c r="W278" i="49"/>
  <c r="W192" i="49"/>
  <c r="W11" i="49"/>
  <c r="W186" i="49"/>
  <c r="W284" i="49"/>
  <c r="W91" i="49"/>
  <c r="W81" i="49"/>
  <c r="W242" i="49"/>
  <c r="W297" i="49"/>
  <c r="W229" i="49"/>
  <c r="W205" i="49"/>
  <c r="W97" i="49"/>
  <c r="W302" i="49"/>
  <c r="W129" i="49"/>
  <c r="W52" i="49"/>
  <c r="W249" i="49"/>
  <c r="W193" i="49"/>
  <c r="W270" i="49"/>
  <c r="W363" i="49"/>
  <c r="W133" i="49"/>
  <c r="W164" i="49"/>
  <c r="W75" i="49"/>
  <c r="W254" i="49"/>
  <c r="W295" i="49"/>
  <c r="W181" i="49"/>
  <c r="W290" i="49"/>
  <c r="W127" i="49"/>
  <c r="W159" i="49"/>
  <c r="W367" i="49"/>
  <c r="W255" i="49"/>
  <c r="W102" i="49"/>
  <c r="W206" i="49"/>
  <c r="W174" i="49"/>
  <c r="W210" i="49"/>
  <c r="W348" i="49"/>
  <c r="W132" i="49"/>
  <c r="W390" i="49"/>
  <c r="W265" i="49"/>
  <c r="W95" i="49"/>
  <c r="W40" i="49"/>
  <c r="W220" i="49"/>
  <c r="W361" i="49"/>
  <c r="W98" i="49"/>
  <c r="W96" i="49"/>
  <c r="W198" i="49"/>
  <c r="W5" i="49"/>
  <c r="W13" i="49"/>
  <c r="W8" i="49"/>
  <c r="W78" i="49"/>
  <c r="W21" i="49"/>
  <c r="W110" i="49"/>
  <c r="W349" i="49"/>
  <c r="W36" i="49"/>
  <c r="W340" i="49"/>
  <c r="W144" i="49"/>
  <c r="W90" i="49"/>
  <c r="W44" i="49"/>
  <c r="W168" i="49"/>
  <c r="W330" i="49"/>
  <c r="W72" i="49"/>
  <c r="W207" i="49"/>
  <c r="W338" i="49"/>
  <c r="W63" i="49"/>
  <c r="W353" i="49"/>
  <c r="W173" i="49"/>
  <c r="W370" i="49"/>
  <c r="W309" i="49"/>
  <c r="W201" i="49"/>
  <c r="W80" i="49"/>
  <c r="W197" i="49"/>
  <c r="W388" i="49"/>
  <c r="W321" i="49"/>
  <c r="W382" i="49"/>
  <c r="W216" i="49"/>
  <c r="W227" i="49"/>
  <c r="W153" i="49"/>
  <c r="W285" i="49"/>
  <c r="W224" i="49"/>
  <c r="W119" i="49"/>
  <c r="W316" i="49"/>
  <c r="W199" i="49"/>
  <c r="W391" i="49"/>
  <c r="W34" i="49"/>
  <c r="W25" i="49"/>
  <c r="W365" i="49"/>
  <c r="W281" i="49"/>
  <c r="W99" i="49"/>
  <c r="W143" i="49"/>
  <c r="W190" i="49"/>
  <c r="W83" i="49"/>
  <c r="W339" i="49"/>
  <c r="W209" i="49"/>
  <c r="W236" i="49"/>
  <c r="W345" i="49"/>
  <c r="W243" i="49"/>
  <c r="W389" i="49"/>
  <c r="W246" i="49"/>
  <c r="W375" i="49"/>
  <c r="W251" i="49"/>
  <c r="W166" i="49"/>
  <c r="W217" i="49"/>
  <c r="W180" i="49"/>
  <c r="W269" i="49"/>
  <c r="W134" i="49"/>
  <c r="W64" i="49"/>
  <c r="W117" i="49"/>
  <c r="W172" i="49"/>
  <c r="W292" i="49"/>
  <c r="W121" i="49"/>
  <c r="W167" i="49"/>
  <c r="W215" i="49"/>
  <c r="W139" i="49"/>
  <c r="W30" i="49"/>
  <c r="W212" i="49"/>
  <c r="W203" i="49"/>
  <c r="W279" i="49"/>
  <c r="W85" i="49"/>
  <c r="W240" i="49"/>
  <c r="W33" i="49"/>
  <c r="W120" i="49"/>
  <c r="W371" i="49"/>
  <c r="W122" i="49"/>
  <c r="W288" i="49"/>
  <c r="W233" i="49"/>
  <c r="W267" i="49"/>
  <c r="W77" i="49"/>
  <c r="W247" i="49"/>
  <c r="W374" i="49"/>
  <c r="W187" i="49"/>
  <c r="W79" i="49"/>
  <c r="W66" i="49"/>
  <c r="W359" i="49"/>
  <c r="W152" i="49"/>
  <c r="W183" i="49"/>
  <c r="W107" i="49"/>
  <c r="W355" i="49"/>
  <c r="W317" i="49"/>
  <c r="W369" i="49"/>
  <c r="W150" i="49"/>
  <c r="W106" i="49"/>
  <c r="W322" i="49"/>
  <c r="W47" i="49"/>
  <c r="W213" i="49"/>
  <c r="W381" i="49"/>
  <c r="W346" i="49"/>
  <c r="W232" i="49"/>
  <c r="W350" i="49"/>
  <c r="W157" i="49"/>
  <c r="W354" i="49"/>
  <c r="W380" i="49"/>
  <c r="W7" i="49"/>
  <c r="W12" i="49"/>
  <c r="W165" i="49"/>
  <c r="W299" i="49"/>
  <c r="W50" i="49"/>
  <c r="W329" i="49"/>
  <c r="W273" i="49"/>
  <c r="W318" i="49"/>
  <c r="W218" i="49"/>
  <c r="W268" i="49"/>
  <c r="W189" i="49"/>
  <c r="W223" i="49"/>
  <c r="W51" i="49"/>
  <c r="W176" i="49"/>
  <c r="W262" i="49"/>
  <c r="W294" i="49"/>
  <c r="W357" i="49"/>
  <c r="W112" i="49"/>
  <c r="W28" i="49"/>
  <c r="W327" i="49"/>
  <c r="W313" i="49"/>
  <c r="W57" i="49"/>
  <c r="W293" i="49"/>
  <c r="W60" i="49"/>
  <c r="W169" i="49"/>
  <c r="W105" i="49"/>
  <c r="W241" i="49"/>
  <c r="W69" i="49"/>
  <c r="W277" i="49"/>
  <c r="W235" i="49"/>
  <c r="W239" i="49"/>
  <c r="W204" i="49"/>
  <c r="W55" i="49"/>
  <c r="W384" i="49"/>
  <c r="W351" i="49"/>
  <c r="W4" i="49"/>
  <c r="W287" i="49"/>
  <c r="W252" i="49"/>
  <c r="W275" i="49"/>
  <c r="W372" i="49"/>
  <c r="W311" i="49"/>
  <c r="W155" i="49"/>
  <c r="W226" i="49"/>
  <c r="W138" i="49"/>
  <c r="W160" i="49"/>
  <c r="W308" i="49"/>
  <c r="W24" i="49"/>
  <c r="W18" i="49"/>
  <c r="W65" i="49"/>
  <c r="W376" i="49"/>
  <c r="W118" i="49"/>
  <c r="W259" i="49"/>
  <c r="W325" i="49"/>
  <c r="W170" i="49"/>
  <c r="W59" i="49"/>
  <c r="W188" i="49"/>
  <c r="W304" i="49"/>
  <c r="W221" i="49"/>
  <c r="W208" i="49"/>
  <c r="W16" i="49"/>
  <c r="W310" i="49"/>
  <c r="W175" i="49"/>
  <c r="W29" i="49"/>
  <c r="W378" i="49"/>
  <c r="W43" i="49"/>
  <c r="W231" i="49"/>
  <c r="W86" i="49"/>
  <c r="W195" i="49"/>
  <c r="W328" i="49"/>
  <c r="W111" i="49"/>
  <c r="W264" i="49"/>
  <c r="W386" i="49"/>
  <c r="W191" i="49"/>
  <c r="W334" i="49"/>
  <c r="W32" i="49"/>
  <c r="W84" i="49"/>
  <c r="W136" i="49"/>
  <c r="W307" i="49"/>
  <c r="W228" i="49"/>
  <c r="W253" i="49"/>
  <c r="W200" i="49"/>
  <c r="W171" i="49"/>
  <c r="W108" i="49"/>
  <c r="W286" i="49"/>
  <c r="W49" i="49"/>
  <c r="W342" i="49"/>
  <c r="W319" i="49"/>
  <c r="W115" i="49"/>
  <c r="W76" i="49"/>
  <c r="W124" i="49"/>
  <c r="W323" i="49"/>
  <c r="W283" i="49"/>
  <c r="W248" i="49"/>
  <c r="W182" i="49"/>
  <c r="W282" i="49"/>
  <c r="W123" i="49"/>
  <c r="W258" i="49"/>
  <c r="W335" i="49"/>
  <c r="W244" i="49"/>
  <c r="W158" i="49"/>
  <c r="W261" i="49"/>
  <c r="W305" i="49"/>
  <c r="W104" i="49"/>
  <c r="W312" i="49"/>
  <c r="W140" i="49"/>
  <c r="W128" i="49"/>
  <c r="W379" i="49"/>
  <c r="W225" i="49"/>
  <c r="W70" i="49"/>
  <c r="W92" i="49"/>
  <c r="W156" i="49"/>
  <c r="W333" i="49"/>
  <c r="W27" i="49"/>
  <c r="W6" i="49"/>
  <c r="W366" i="49"/>
  <c r="W22" i="49"/>
  <c r="W184" i="49"/>
  <c r="W383" i="49"/>
  <c r="W103" i="49"/>
  <c r="W87" i="49"/>
  <c r="W23" i="49"/>
  <c r="W347" i="49"/>
  <c r="W141" i="49"/>
  <c r="W15" i="49"/>
  <c r="V63" i="49"/>
  <c r="V343" i="49"/>
  <c r="V153" i="49"/>
  <c r="K100" i="34"/>
  <c r="F100" i="34"/>
  <c r="M43" i="49"/>
  <c r="M18" i="49"/>
  <c r="M24" i="43"/>
  <c r="K6" i="38"/>
  <c r="L6" i="38" s="1"/>
  <c r="O6" i="38" s="1"/>
  <c r="K22" i="39"/>
  <c r="K12" i="38"/>
  <c r="P12" i="38" s="1"/>
  <c r="K3" i="37"/>
  <c r="L3" i="37" s="1"/>
  <c r="O3" i="37" s="1"/>
  <c r="V301" i="49"/>
  <c r="B7" i="44"/>
  <c r="V128" i="49"/>
  <c r="M20" i="47"/>
  <c r="V171" i="49"/>
  <c r="V385" i="49"/>
  <c r="AJ12" i="49"/>
  <c r="D16" i="39"/>
  <c r="V87" i="49"/>
  <c r="M28" i="42"/>
  <c r="V378" i="49"/>
  <c r="V134" i="49"/>
  <c r="I16" i="45"/>
  <c r="O4" i="43"/>
  <c r="N4" i="43"/>
  <c r="M4" i="43"/>
  <c r="F125" i="34"/>
  <c r="K125" i="34"/>
  <c r="V315" i="49"/>
  <c r="K16" i="38"/>
  <c r="L16" i="38" s="1"/>
  <c r="O16" i="38" s="1"/>
  <c r="O3" i="42"/>
  <c r="N3" i="42"/>
  <c r="M3" i="42"/>
  <c r="K9" i="34"/>
  <c r="F9" i="34"/>
  <c r="M21" i="43"/>
  <c r="F49" i="34"/>
  <c r="K49" i="34"/>
  <c r="F111" i="34"/>
  <c r="K111" i="34"/>
  <c r="O5" i="45"/>
  <c r="O3" i="45"/>
  <c r="W3" i="45" s="1" a="1"/>
  <c r="O4" i="45"/>
  <c r="V104" i="49"/>
  <c r="V42" i="49"/>
  <c r="V271" i="49"/>
  <c r="K101" i="34"/>
  <c r="F101" i="34"/>
  <c r="V240" i="49"/>
  <c r="I7" i="44"/>
  <c r="I4" i="44"/>
  <c r="T5" i="44"/>
  <c r="T4" i="44"/>
  <c r="T3" i="44"/>
  <c r="V49" i="49"/>
  <c r="M41" i="49"/>
  <c r="F85" i="34"/>
  <c r="K85" i="34"/>
  <c r="V140" i="49"/>
  <c r="K5" i="45"/>
  <c r="J5" i="45"/>
  <c r="I5" i="45"/>
  <c r="K11" i="38"/>
  <c r="P11" i="38" s="1"/>
  <c r="M28" i="47"/>
  <c r="K23" i="39"/>
  <c r="V86" i="49"/>
  <c r="K19" i="38"/>
  <c r="P19" i="38" s="1"/>
  <c r="V387" i="49"/>
  <c r="T9" i="42"/>
  <c r="AA9" i="42" s="1" a="1"/>
  <c r="T10" i="42"/>
  <c r="D20" i="39"/>
  <c r="K4" i="45"/>
  <c r="J4" i="45"/>
  <c r="I4" i="45"/>
  <c r="D5" i="24"/>
  <c r="D13" i="24"/>
  <c r="D35" i="24"/>
  <c r="D38" i="24"/>
  <c r="D28" i="24"/>
  <c r="D46" i="24"/>
  <c r="D36" i="24"/>
  <c r="D24" i="24"/>
  <c r="D14" i="24"/>
  <c r="D7" i="24"/>
  <c r="D30" i="24"/>
  <c r="D39" i="24"/>
  <c r="D43" i="24"/>
  <c r="D31" i="24"/>
  <c r="D18" i="24"/>
  <c r="D12" i="24"/>
  <c r="D25" i="24"/>
  <c r="D27" i="24"/>
  <c r="D44" i="24"/>
  <c r="D10" i="24"/>
  <c r="D42" i="24"/>
  <c r="D37" i="24"/>
  <c r="D34" i="24"/>
  <c r="D45" i="24"/>
  <c r="D29" i="24"/>
  <c r="D23" i="24"/>
  <c r="D22" i="24"/>
  <c r="D20" i="24"/>
  <c r="D41" i="24"/>
  <c r="D9" i="24"/>
  <c r="D33" i="24"/>
  <c r="D16" i="24"/>
  <c r="D6" i="24"/>
  <c r="D21" i="24"/>
  <c r="D40" i="24"/>
  <c r="D17" i="24"/>
  <c r="D32" i="24"/>
  <c r="D11" i="24"/>
  <c r="D8" i="24"/>
  <c r="D26" i="24"/>
  <c r="D19" i="24"/>
  <c r="D15" i="24"/>
  <c r="V38" i="49"/>
  <c r="V177" i="49"/>
  <c r="V35" i="49"/>
  <c r="V237" i="49"/>
  <c r="V146" i="49"/>
  <c r="V130" i="49"/>
  <c r="D22" i="39"/>
  <c r="K9" i="39"/>
  <c r="L9" i="39" s="1"/>
  <c r="O9" i="39" s="1"/>
  <c r="K17" i="38"/>
  <c r="L17" i="38" s="1"/>
  <c r="O17" i="38" s="1"/>
  <c r="F68" i="34"/>
  <c r="K68" i="34"/>
  <c r="P3" i="45"/>
  <c r="P5" i="45"/>
  <c r="P4" i="45"/>
  <c r="K7" i="38"/>
  <c r="L7" i="38" s="1"/>
  <c r="O7" i="38" s="1"/>
  <c r="K11" i="37"/>
  <c r="L11" i="37" s="1"/>
  <c r="O11" i="37" s="1"/>
  <c r="M15" i="43"/>
  <c r="K67" i="34"/>
  <c r="F67" i="34"/>
  <c r="V359" i="49"/>
  <c r="D23" i="39"/>
  <c r="K20" i="39"/>
  <c r="I15" i="45"/>
  <c r="M16" i="49"/>
  <c r="M20" i="44"/>
  <c r="K14" i="39"/>
  <c r="P14" i="39" s="1"/>
  <c r="K104" i="34"/>
  <c r="F104" i="34"/>
  <c r="F73" i="34"/>
  <c r="K73" i="34"/>
  <c r="U3" i="44"/>
  <c r="U5" i="44"/>
  <c r="U4" i="44"/>
  <c r="U13" i="43"/>
  <c r="AA13" i="43" s="1"/>
  <c r="I3" i="44"/>
  <c r="K21" i="38"/>
  <c r="L21" i="38" s="1"/>
  <c r="O21" i="38" s="1"/>
  <c r="K5" i="38"/>
  <c r="L5" i="38" s="1"/>
  <c r="O5" i="38" s="1"/>
  <c r="A6" i="44"/>
  <c r="V320" i="49"/>
  <c r="T10" i="43"/>
  <c r="T9" i="43"/>
  <c r="AA9" i="43" s="1" a="1"/>
  <c r="M65" i="47"/>
  <c r="V227" i="49"/>
  <c r="M26" i="49"/>
  <c r="M18" i="44"/>
  <c r="M22" i="43"/>
  <c r="Q5" i="45"/>
  <c r="Q4" i="45"/>
  <c r="Q3" i="45"/>
  <c r="V112" i="49"/>
  <c r="K16" i="39"/>
  <c r="I6" i="42"/>
  <c r="U9" i="42"/>
  <c r="U10" i="42"/>
  <c r="K10" i="37"/>
  <c r="L10" i="37" s="1"/>
  <c r="O10" i="37" s="1"/>
  <c r="C12" i="33"/>
  <c r="F120" i="34"/>
  <c r="K120" i="34"/>
  <c r="K107" i="34"/>
  <c r="F107" i="34"/>
  <c r="F97" i="34"/>
  <c r="K97" i="34"/>
  <c r="T9" i="44"/>
  <c r="AA9" i="44" s="1" a="1"/>
  <c r="T10" i="44"/>
  <c r="M12" i="47"/>
  <c r="D19" i="39"/>
  <c r="M20" i="43"/>
  <c r="B4" i="44"/>
  <c r="C4" i="44" s="1"/>
  <c r="Q19" i="40"/>
  <c r="Q20" i="40"/>
  <c r="Q13" i="40"/>
  <c r="Q14" i="40"/>
  <c r="Q16" i="40"/>
  <c r="Q15" i="40"/>
  <c r="Q21" i="40"/>
  <c r="Q17" i="40"/>
  <c r="Q18" i="40"/>
  <c r="M42" i="49"/>
  <c r="K9" i="38"/>
  <c r="L9" i="38" s="1"/>
  <c r="O9" i="38" s="1"/>
  <c r="M9" i="49"/>
  <c r="K106" i="34"/>
  <c r="F106" i="34"/>
  <c r="T5" i="43"/>
  <c r="T4" i="43"/>
  <c r="T3" i="43"/>
  <c r="F119" i="34"/>
  <c r="K119" i="34"/>
  <c r="U3" i="42"/>
  <c r="U4" i="42"/>
  <c r="U5" i="42"/>
  <c r="K14" i="37"/>
  <c r="L14" i="37" s="1"/>
  <c r="O14" i="37" s="1"/>
  <c r="K12" i="37"/>
  <c r="L12" i="37" s="1"/>
  <c r="O12" i="37" s="1"/>
  <c r="K4" i="38"/>
  <c r="P4" i="38" s="1"/>
  <c r="K47" i="34"/>
  <c r="F47" i="34"/>
  <c r="F62" i="34"/>
  <c r="K62" i="34"/>
  <c r="K74" i="34"/>
  <c r="F74" i="34"/>
  <c r="F102" i="34"/>
  <c r="K102" i="34"/>
  <c r="M14" i="49"/>
  <c r="M10" i="49"/>
  <c r="K45" i="34"/>
  <c r="F45" i="34"/>
  <c r="K15" i="39"/>
  <c r="L15" i="39" s="1"/>
  <c r="O15" i="39" s="1"/>
  <c r="K4" i="37"/>
  <c r="P4" i="37" s="1"/>
  <c r="A76" i="34"/>
  <c r="A114" i="34"/>
  <c r="A73" i="34"/>
  <c r="A59" i="34"/>
  <c r="A53" i="34"/>
  <c r="A19" i="34"/>
  <c r="A28" i="34"/>
  <c r="A6" i="34"/>
  <c r="A122" i="34"/>
  <c r="A119" i="34"/>
  <c r="A52" i="34"/>
  <c r="A5" i="34"/>
  <c r="A20" i="34"/>
  <c r="A7" i="34"/>
  <c r="A12" i="34"/>
  <c r="A21" i="34"/>
  <c r="A104" i="34"/>
  <c r="A103" i="34"/>
  <c r="A47" i="34"/>
  <c r="A43" i="34"/>
  <c r="A71" i="34"/>
  <c r="A112" i="34"/>
  <c r="A35" i="34"/>
  <c r="A128" i="34"/>
  <c r="A38" i="34"/>
  <c r="A82" i="34"/>
  <c r="A101" i="34"/>
  <c r="A34" i="34"/>
  <c r="A105" i="34"/>
  <c r="A58" i="34"/>
  <c r="A63" i="34"/>
  <c r="A108" i="34"/>
  <c r="A99" i="34"/>
  <c r="A93" i="34"/>
  <c r="A90" i="34"/>
  <c r="A83" i="34"/>
  <c r="A106" i="34"/>
  <c r="A100" i="34"/>
  <c r="A10" i="34"/>
  <c r="A81" i="34"/>
  <c r="A24" i="34"/>
  <c r="A125" i="34"/>
  <c r="A92" i="34"/>
  <c r="A116" i="34"/>
  <c r="A11" i="34"/>
  <c r="A69" i="34"/>
  <c r="A88" i="34"/>
  <c r="A67" i="34"/>
  <c r="A117" i="34"/>
  <c r="A18" i="34"/>
  <c r="A27" i="34"/>
  <c r="A80" i="34"/>
  <c r="A22" i="34"/>
  <c r="A51" i="34"/>
  <c r="A26" i="34"/>
  <c r="A75" i="34"/>
  <c r="A31" i="34"/>
  <c r="A74" i="34"/>
  <c r="A45" i="34"/>
  <c r="A79" i="34"/>
  <c r="A14" i="34"/>
  <c r="A87" i="34"/>
  <c r="A37" i="34"/>
  <c r="A44" i="34"/>
  <c r="A36" i="34"/>
  <c r="A66" i="34"/>
  <c r="A56" i="34"/>
  <c r="A124" i="34"/>
  <c r="A48" i="34"/>
  <c r="A123" i="34"/>
  <c r="A121" i="34"/>
  <c r="A85" i="34"/>
  <c r="A15" i="34"/>
  <c r="A57" i="34"/>
  <c r="A33" i="34"/>
  <c r="A98" i="34"/>
  <c r="A111" i="34"/>
  <c r="A115" i="34"/>
  <c r="A17" i="34"/>
  <c r="A109" i="34"/>
  <c r="A65" i="34"/>
  <c r="A42" i="34"/>
  <c r="A29" i="34"/>
  <c r="A55" i="34"/>
  <c r="A113" i="34"/>
  <c r="A64" i="34"/>
  <c r="A94" i="34"/>
  <c r="A62" i="34"/>
  <c r="A95" i="34"/>
  <c r="A96" i="34"/>
  <c r="A78" i="34"/>
  <c r="A9" i="34"/>
  <c r="A30" i="34"/>
  <c r="A89" i="34"/>
  <c r="A97" i="34"/>
  <c r="A107" i="34"/>
  <c r="A23" i="34"/>
  <c r="A60" i="34"/>
  <c r="A46" i="34"/>
  <c r="A126" i="34"/>
  <c r="A127" i="34"/>
  <c r="A110" i="34"/>
  <c r="A129" i="34"/>
  <c r="A41" i="34"/>
  <c r="A102" i="34"/>
  <c r="A16" i="34"/>
  <c r="A25" i="34"/>
  <c r="A118" i="34"/>
  <c r="A40" i="34"/>
  <c r="A8" i="34"/>
  <c r="A49" i="34"/>
  <c r="A77" i="34"/>
  <c r="A120" i="34"/>
  <c r="A72" i="34"/>
  <c r="A39" i="34"/>
  <c r="A86" i="34"/>
  <c r="A61" i="34"/>
  <c r="A91" i="34"/>
  <c r="A84" i="34"/>
  <c r="A50" i="34"/>
  <c r="A54" i="34"/>
  <c r="A68" i="34"/>
  <c r="A70" i="34"/>
  <c r="A32" i="34"/>
  <c r="A13" i="34"/>
  <c r="M57" i="47"/>
  <c r="K14" i="38"/>
  <c r="L14" i="38" s="1"/>
  <c r="O14" i="38" s="1"/>
  <c r="K118" i="34"/>
  <c r="F118" i="34"/>
  <c r="F113" i="34"/>
  <c r="K113" i="34"/>
  <c r="F52" i="34"/>
  <c r="K52" i="34"/>
  <c r="K56" i="34"/>
  <c r="F56" i="34"/>
  <c r="C10" i="33"/>
  <c r="M17" i="43"/>
  <c r="V62" i="49"/>
  <c r="K121" i="34"/>
  <c r="F121" i="34"/>
  <c r="V333" i="49"/>
  <c r="F54" i="34"/>
  <c r="K54" i="34"/>
  <c r="M26" i="42"/>
  <c r="F21" i="34"/>
  <c r="K21" i="34"/>
  <c r="K13" i="37"/>
  <c r="L13" i="37" s="1"/>
  <c r="O13" i="37" s="1"/>
  <c r="K16" i="34"/>
  <c r="F16" i="34"/>
  <c r="F8" i="34"/>
  <c r="K8" i="34"/>
  <c r="B5" i="44"/>
  <c r="I7" i="43"/>
  <c r="D24" i="39"/>
  <c r="J7" i="45"/>
  <c r="I7" i="45"/>
  <c r="K7" i="45"/>
  <c r="F65" i="34"/>
  <c r="K65" i="34"/>
  <c r="M23" i="43"/>
  <c r="K18" i="39"/>
  <c r="K81" i="34"/>
  <c r="F81" i="34"/>
  <c r="M21" i="42"/>
  <c r="K32" i="34"/>
  <c r="F32" i="34"/>
  <c r="U26" i="40"/>
  <c r="Y26" i="40" s="1"/>
  <c r="B6" i="44"/>
  <c r="K80" i="34"/>
  <c r="F80" i="34"/>
  <c r="M16" i="44"/>
  <c r="O4" i="44"/>
  <c r="N4" i="44"/>
  <c r="M4" i="44"/>
  <c r="M17" i="44"/>
  <c r="D6" i="12"/>
  <c r="E6" i="12" s="1"/>
  <c r="D5" i="12"/>
  <c r="E5" i="12" s="1"/>
  <c r="D8" i="12"/>
  <c r="E8" i="12" s="1"/>
  <c r="D7" i="12"/>
  <c r="E7" i="12" s="1"/>
  <c r="P26" i="24"/>
  <c r="P39" i="24"/>
  <c r="P33" i="24"/>
  <c r="P40" i="24"/>
  <c r="P34" i="24"/>
  <c r="P21" i="24"/>
  <c r="P12" i="24"/>
  <c r="P29" i="24"/>
  <c r="P46" i="24"/>
  <c r="P11" i="24"/>
  <c r="P38" i="24"/>
  <c r="P14" i="24"/>
  <c r="P22" i="24"/>
  <c r="P8" i="24"/>
  <c r="P17" i="24"/>
  <c r="P15" i="24"/>
  <c r="P20" i="24"/>
  <c r="P18" i="24"/>
  <c r="P16" i="24"/>
  <c r="P31" i="24"/>
  <c r="P13" i="24"/>
  <c r="P32" i="24"/>
  <c r="P30" i="24"/>
  <c r="P36" i="24"/>
  <c r="P24" i="24"/>
  <c r="P43" i="24"/>
  <c r="P45" i="24"/>
  <c r="P9" i="24"/>
  <c r="P41" i="24"/>
  <c r="P19" i="24"/>
  <c r="P37" i="24"/>
  <c r="P28" i="24"/>
  <c r="P23" i="24"/>
  <c r="P5" i="24"/>
  <c r="P42" i="24"/>
  <c r="P27" i="24"/>
  <c r="P44" i="24"/>
  <c r="P35" i="24"/>
  <c r="P25" i="24"/>
  <c r="P7" i="24"/>
  <c r="P6" i="24"/>
  <c r="P10" i="24"/>
  <c r="K64" i="34"/>
  <c r="F64" i="34"/>
  <c r="J99" i="34"/>
  <c r="J63" i="34"/>
  <c r="J61" i="34"/>
  <c r="J24" i="34"/>
  <c r="J89" i="34"/>
  <c r="J59" i="34"/>
  <c r="J64" i="34"/>
  <c r="J38" i="34"/>
  <c r="J32" i="34"/>
  <c r="J112" i="34"/>
  <c r="J113" i="34"/>
  <c r="J53" i="34"/>
  <c r="J23" i="34"/>
  <c r="J28" i="34"/>
  <c r="J83" i="34"/>
  <c r="J25" i="34"/>
  <c r="J115" i="34"/>
  <c r="J10" i="34"/>
  <c r="J104" i="34"/>
  <c r="J128" i="34"/>
  <c r="J22" i="34"/>
  <c r="J106" i="34"/>
  <c r="J52" i="34"/>
  <c r="J118" i="34"/>
  <c r="J90" i="34"/>
  <c r="J67" i="34"/>
  <c r="J116" i="34"/>
  <c r="J122" i="34"/>
  <c r="J77" i="34"/>
  <c r="J100" i="34"/>
  <c r="J87" i="34"/>
  <c r="J102" i="34"/>
  <c r="J129" i="34"/>
  <c r="J85" i="34"/>
  <c r="J103" i="34"/>
  <c r="J66" i="34"/>
  <c r="J121" i="34"/>
  <c r="J105" i="34"/>
  <c r="J6" i="34"/>
  <c r="J18" i="34"/>
  <c r="J39" i="34"/>
  <c r="J93" i="34"/>
  <c r="J44" i="34"/>
  <c r="J48" i="34"/>
  <c r="J86" i="34"/>
  <c r="J41" i="34"/>
  <c r="J29" i="34"/>
  <c r="J46" i="34"/>
  <c r="J120" i="34"/>
  <c r="J119" i="34"/>
  <c r="J56" i="34"/>
  <c r="J40" i="34"/>
  <c r="J125" i="34"/>
  <c r="J21" i="34"/>
  <c r="J96" i="34"/>
  <c r="J31" i="34"/>
  <c r="J79" i="34"/>
  <c r="J71" i="34"/>
  <c r="J13" i="34"/>
  <c r="J47" i="34"/>
  <c r="J49" i="34"/>
  <c r="J68" i="34"/>
  <c r="J15" i="34"/>
  <c r="J69" i="34"/>
  <c r="J73" i="34"/>
  <c r="J74" i="34"/>
  <c r="J91" i="34"/>
  <c r="J54" i="34"/>
  <c r="J78" i="34"/>
  <c r="J95" i="34"/>
  <c r="J8" i="34"/>
  <c r="J111" i="34"/>
  <c r="J123" i="34"/>
  <c r="J36" i="34"/>
  <c r="J5" i="34"/>
  <c r="J107" i="34"/>
  <c r="J16" i="34"/>
  <c r="J12" i="34"/>
  <c r="J60" i="34"/>
  <c r="J26" i="34"/>
  <c r="J50" i="34"/>
  <c r="J45" i="34"/>
  <c r="J101" i="34"/>
  <c r="J98" i="34"/>
  <c r="J33" i="34"/>
  <c r="J9" i="34"/>
  <c r="J81" i="34"/>
  <c r="J108" i="34"/>
  <c r="J82" i="34"/>
  <c r="J127" i="34"/>
  <c r="J55" i="34"/>
  <c r="J75" i="34"/>
  <c r="J51" i="34"/>
  <c r="J84" i="34"/>
  <c r="J4" i="34"/>
  <c r="J92" i="34"/>
  <c r="J57" i="34"/>
  <c r="J126" i="34"/>
  <c r="J7" i="34"/>
  <c r="J58" i="34"/>
  <c r="J70" i="34"/>
  <c r="J124" i="34"/>
  <c r="J17" i="34"/>
  <c r="J35" i="34"/>
  <c r="J117" i="34"/>
  <c r="J27" i="34"/>
  <c r="J114" i="34"/>
  <c r="J42" i="34"/>
  <c r="J62" i="34"/>
  <c r="J94" i="34"/>
  <c r="J43" i="34"/>
  <c r="J80" i="34"/>
  <c r="J72" i="34"/>
  <c r="J88" i="34"/>
  <c r="J97" i="34"/>
  <c r="J30" i="34"/>
  <c r="J37" i="34"/>
  <c r="J14" i="34"/>
  <c r="J11" i="34"/>
  <c r="J65" i="34"/>
  <c r="J19" i="34"/>
  <c r="J20" i="34"/>
  <c r="J76" i="34"/>
  <c r="J110" i="34"/>
  <c r="J109" i="34"/>
  <c r="J34" i="34"/>
  <c r="C3" i="33"/>
  <c r="F37" i="34"/>
  <c r="K37" i="34"/>
  <c r="C4" i="33"/>
  <c r="I19" i="45"/>
  <c r="K10" i="39"/>
  <c r="P10" i="39" s="1"/>
  <c r="E8" i="35"/>
  <c r="F98" i="34"/>
  <c r="K98" i="34"/>
  <c r="I17" i="45"/>
  <c r="K5" i="39"/>
  <c r="L5" i="39" s="1"/>
  <c r="O5" i="39" s="1"/>
  <c r="M15" i="42"/>
  <c r="Q10" i="45"/>
  <c r="Q9" i="45"/>
  <c r="K126" i="34"/>
  <c r="F126" i="34"/>
  <c r="C8" i="33"/>
  <c r="K24" i="34"/>
  <c r="F24" i="34"/>
  <c r="E5" i="35"/>
  <c r="I6" i="44"/>
  <c r="K24" i="39"/>
  <c r="N4" i="42"/>
  <c r="O4" i="42"/>
  <c r="M4" i="42"/>
  <c r="E12" i="35"/>
  <c r="Y4" i="44"/>
  <c r="Y3" i="44"/>
  <c r="Y5" i="44"/>
  <c r="F87" i="34"/>
  <c r="K87" i="34"/>
  <c r="K3" i="39"/>
  <c r="L3" i="39" s="1"/>
  <c r="O3" i="39" s="1"/>
  <c r="K11" i="39"/>
  <c r="L11" i="39" s="1"/>
  <c r="O11" i="39" s="1"/>
  <c r="K7" i="39"/>
  <c r="P7" i="39" s="1"/>
  <c r="K75" i="34"/>
  <c r="F75" i="34"/>
  <c r="Y13" i="43"/>
  <c r="M30" i="42"/>
  <c r="S3" i="44"/>
  <c r="AA3" i="44" s="1" a="1"/>
  <c r="S5" i="44"/>
  <c r="S4" i="44"/>
  <c r="P11" i="39"/>
  <c r="R18" i="40"/>
  <c r="R13" i="40"/>
  <c r="R20" i="40"/>
  <c r="R19" i="40"/>
  <c r="R15" i="40"/>
  <c r="R14" i="40"/>
  <c r="R21" i="40"/>
  <c r="R16" i="40"/>
  <c r="R17" i="40"/>
  <c r="F53" i="34"/>
  <c r="K53" i="34"/>
  <c r="F122" i="34"/>
  <c r="K122" i="34"/>
  <c r="K108" i="34"/>
  <c r="F108" i="34"/>
  <c r="F57" i="34"/>
  <c r="K57" i="34"/>
  <c r="K21" i="39"/>
  <c r="K89" i="34"/>
  <c r="F89" i="34"/>
  <c r="F61" i="34"/>
  <c r="K61" i="34"/>
  <c r="S15" i="40"/>
  <c r="S20" i="40"/>
  <c r="S21" i="40"/>
  <c r="S16" i="40"/>
  <c r="S13" i="40"/>
  <c r="S19" i="40"/>
  <c r="S14" i="40"/>
  <c r="S18" i="40"/>
  <c r="S17" i="40"/>
  <c r="M5" i="12"/>
  <c r="M6" i="12"/>
  <c r="M8" i="12"/>
  <c r="M7" i="12"/>
  <c r="F123" i="34"/>
  <c r="K123" i="34"/>
  <c r="E3" i="35"/>
  <c r="F34" i="34"/>
  <c r="K34" i="34"/>
  <c r="F33" i="34"/>
  <c r="K33" i="34"/>
  <c r="AB3" i="45"/>
  <c r="AF3" i="44"/>
  <c r="D15" i="42"/>
  <c r="D19" i="45"/>
  <c r="D15" i="44"/>
  <c r="D17" i="42"/>
  <c r="D16" i="44"/>
  <c r="D15" i="45"/>
  <c r="D19" i="43"/>
  <c r="D20" i="43"/>
  <c r="AF3" i="43"/>
  <c r="E3" i="38"/>
  <c r="R3" i="38" s="1"/>
  <c r="D20" i="42"/>
  <c r="D18" i="44"/>
  <c r="D26" i="42"/>
  <c r="D17" i="44"/>
  <c r="D24" i="43"/>
  <c r="D16" i="45"/>
  <c r="D4" i="43"/>
  <c r="E3" i="39"/>
  <c r="R3" i="39" s="1"/>
  <c r="D28" i="42"/>
  <c r="D22" i="42"/>
  <c r="D24" i="42"/>
  <c r="D23" i="42"/>
  <c r="D18" i="42"/>
  <c r="D23" i="43"/>
  <c r="D15" i="43"/>
  <c r="Q26" i="40"/>
  <c r="D17" i="45"/>
  <c r="D21" i="43"/>
  <c r="E3" i="37"/>
  <c r="R3" i="37" s="1"/>
  <c r="D21" i="42"/>
  <c r="D18" i="45"/>
  <c r="D4" i="45"/>
  <c r="D22" i="43"/>
  <c r="D25" i="42"/>
  <c r="D18" i="43"/>
  <c r="D17" i="43"/>
  <c r="D30" i="42"/>
  <c r="D29" i="42"/>
  <c r="D4" i="42"/>
  <c r="D21" i="44"/>
  <c r="D16" i="43"/>
  <c r="D27" i="42"/>
  <c r="D19" i="42"/>
  <c r="D19" i="44"/>
  <c r="AF3" i="42"/>
  <c r="D16" i="42"/>
  <c r="D20" i="44"/>
  <c r="K84" i="34"/>
  <c r="F84" i="34"/>
  <c r="Q13" i="45"/>
  <c r="W13" i="45" s="1"/>
  <c r="M15" i="44"/>
  <c r="F105" i="34"/>
  <c r="K105" i="34"/>
  <c r="K129" i="34"/>
  <c r="F129" i="34"/>
  <c r="F39" i="34"/>
  <c r="K39" i="34"/>
  <c r="K127" i="34"/>
  <c r="F127" i="34"/>
  <c r="F15" i="34"/>
  <c r="K15" i="34"/>
  <c r="F19" i="34"/>
  <c r="K19" i="34"/>
  <c r="K60" i="34"/>
  <c r="F60" i="34"/>
  <c r="K117" i="34"/>
  <c r="F117" i="34"/>
  <c r="F109" i="34"/>
  <c r="K109" i="34"/>
  <c r="K3" i="45"/>
  <c r="J3" i="45"/>
  <c r="I3" i="45"/>
  <c r="F23" i="34"/>
  <c r="K23" i="34"/>
  <c r="C13" i="33"/>
  <c r="A7" i="44"/>
  <c r="K7" i="37"/>
  <c r="L7" i="37" s="1"/>
  <c r="O7" i="37" s="1"/>
  <c r="F46" i="34"/>
  <c r="K46" i="34"/>
  <c r="E10" i="35"/>
  <c r="Q3" i="33"/>
  <c r="F66" i="34"/>
  <c r="K66" i="34"/>
  <c r="C9" i="33"/>
  <c r="K55" i="34"/>
  <c r="F55" i="34"/>
  <c r="F42" i="34"/>
  <c r="K42" i="34"/>
  <c r="K94" i="34"/>
  <c r="F94" i="34"/>
  <c r="D16" i="35"/>
  <c r="D15" i="35"/>
  <c r="D14" i="35"/>
  <c r="D17" i="35"/>
  <c r="D13" i="35"/>
  <c r="K13" i="34"/>
  <c r="F13" i="34"/>
  <c r="K35" i="34"/>
  <c r="F35" i="34"/>
  <c r="F41" i="34"/>
  <c r="K41" i="34"/>
  <c r="F50" i="34"/>
  <c r="K50" i="34"/>
  <c r="C5" i="33"/>
  <c r="K38" i="34"/>
  <c r="F38" i="34"/>
  <c r="F70" i="34"/>
  <c r="K70" i="34"/>
  <c r="K124" i="34"/>
  <c r="F124" i="34"/>
  <c r="K20" i="38"/>
  <c r="P20" i="38" s="1"/>
  <c r="C14" i="33"/>
  <c r="K6" i="34"/>
  <c r="F6" i="34"/>
  <c r="K58" i="34"/>
  <c r="F58" i="34"/>
  <c r="E9" i="35"/>
  <c r="F76" i="34"/>
  <c r="K76" i="34"/>
  <c r="F30" i="34"/>
  <c r="K30" i="34"/>
  <c r="K25" i="34"/>
  <c r="F25" i="34"/>
  <c r="F128" i="34"/>
  <c r="K128" i="34"/>
  <c r="K27" i="34"/>
  <c r="F27" i="34"/>
  <c r="E7" i="35"/>
  <c r="F82" i="34"/>
  <c r="K82" i="34"/>
  <c r="F99" i="34"/>
  <c r="K99" i="34"/>
  <c r="K43" i="34"/>
  <c r="F43" i="34"/>
  <c r="F86" i="34"/>
  <c r="K86" i="34"/>
  <c r="F95" i="34"/>
  <c r="K95" i="34"/>
  <c r="K72" i="34"/>
  <c r="F72" i="34"/>
  <c r="B4" i="5"/>
  <c r="E4" i="35"/>
  <c r="F40" i="34"/>
  <c r="K40" i="34"/>
  <c r="E6" i="35"/>
  <c r="K103" i="34"/>
  <c r="F103" i="34"/>
  <c r="F14" i="34"/>
  <c r="K14" i="34"/>
  <c r="C11" i="33"/>
  <c r="K78" i="34"/>
  <c r="F78" i="34"/>
  <c r="K26" i="34"/>
  <c r="F26" i="34"/>
  <c r="F114" i="34"/>
  <c r="K114" i="34"/>
  <c r="F90" i="34"/>
  <c r="K90" i="34"/>
  <c r="K110" i="34"/>
  <c r="F110" i="34"/>
  <c r="K29" i="34"/>
  <c r="F29" i="34"/>
  <c r="F10" i="34"/>
  <c r="K10" i="34"/>
  <c r="K51" i="34"/>
  <c r="F51" i="34"/>
  <c r="K20" i="34"/>
  <c r="F20" i="34"/>
  <c r="K92" i="34"/>
  <c r="F92" i="34"/>
  <c r="F31" i="34"/>
  <c r="K31" i="34"/>
  <c r="K36" i="34"/>
  <c r="F36" i="34"/>
  <c r="K116" i="34"/>
  <c r="F116" i="34"/>
  <c r="K22" i="34"/>
  <c r="F22" i="34"/>
  <c r="K18" i="34"/>
  <c r="F18" i="34"/>
  <c r="B5" i="4"/>
  <c r="K12" i="34"/>
  <c r="F12" i="34"/>
  <c r="F88" i="34"/>
  <c r="K88" i="34"/>
  <c r="N8" i="12"/>
  <c r="N7" i="12"/>
  <c r="N6" i="12"/>
  <c r="N5" i="12"/>
  <c r="B4" i="6"/>
  <c r="F17" i="34"/>
  <c r="K17" i="34"/>
  <c r="K77" i="34"/>
  <c r="F77" i="34"/>
  <c r="K7" i="34"/>
  <c r="F7" i="34"/>
  <c r="F44" i="34"/>
  <c r="K44" i="34"/>
  <c r="K11" i="34"/>
  <c r="F11" i="34"/>
  <c r="F112" i="34"/>
  <c r="K112" i="34"/>
  <c r="F69" i="34"/>
  <c r="K69" i="34"/>
  <c r="F28" i="34"/>
  <c r="K28" i="34"/>
  <c r="F93" i="34"/>
  <c r="K93" i="34"/>
  <c r="F63" i="34"/>
  <c r="K63" i="34"/>
  <c r="K83" i="34"/>
  <c r="F83" i="34"/>
  <c r="K115" i="34"/>
  <c r="F115" i="34"/>
  <c r="K71" i="34"/>
  <c r="F71" i="34"/>
  <c r="J6" i="43"/>
  <c r="J5" i="44"/>
  <c r="AD23" i="51"/>
  <c r="J4" i="42"/>
  <c r="AF23" i="50"/>
  <c r="J6" i="44"/>
  <c r="F7" i="35"/>
  <c r="BI2" i="34"/>
  <c r="F4" i="35"/>
  <c r="Q11" i="61"/>
  <c r="Q15" i="61"/>
  <c r="AF23" i="49"/>
  <c r="Q18" i="61"/>
  <c r="F3" i="35"/>
  <c r="C34" i="53"/>
  <c r="J4" i="43"/>
  <c r="H17" i="39"/>
  <c r="J7" i="42"/>
  <c r="H22" i="39"/>
  <c r="F12" i="35"/>
  <c r="H8" i="25"/>
  <c r="J5" i="43"/>
  <c r="J7" i="43"/>
  <c r="H21" i="39"/>
  <c r="H24" i="39"/>
  <c r="D4" i="44"/>
  <c r="H5" i="25"/>
  <c r="B21" i="51"/>
  <c r="J7" i="44"/>
  <c r="H20" i="39"/>
  <c r="H9" i="25"/>
  <c r="F8" i="35"/>
  <c r="H6" i="25"/>
  <c r="F9" i="35"/>
  <c r="H23" i="39"/>
  <c r="H18" i="39"/>
  <c r="H16" i="39"/>
  <c r="F6" i="35"/>
  <c r="Q10" i="61"/>
  <c r="F11" i="35"/>
  <c r="Q14" i="61"/>
  <c r="F10" i="35"/>
  <c r="Q19" i="61"/>
  <c r="Q12" i="61"/>
  <c r="C26" i="50"/>
  <c r="J4" i="44"/>
  <c r="F5" i="35"/>
  <c r="J6" i="42"/>
  <c r="H19" i="39"/>
  <c r="I2" i="34"/>
  <c r="Q17" i="61"/>
  <c r="AF23" i="48"/>
  <c r="J5" i="42"/>
  <c r="H7" i="25"/>
  <c r="C45" i="59"/>
  <c r="Q13" i="61"/>
  <c r="Q16" i="61"/>
  <c r="P5" i="38" l="1"/>
  <c r="P15" i="37"/>
  <c r="P8" i="37"/>
  <c r="P5" i="37"/>
  <c r="L19" i="38"/>
  <c r="O19" i="38" s="1"/>
  <c r="P9" i="38"/>
  <c r="L8" i="39"/>
  <c r="O8" i="39" s="1"/>
  <c r="C6" i="44"/>
  <c r="L15" i="38"/>
  <c r="O15" i="38" s="1"/>
  <c r="S13" i="45"/>
  <c r="AD24" i="45" s="1"/>
  <c r="P16" i="38"/>
  <c r="P12" i="39"/>
  <c r="P14" i="38"/>
  <c r="P6" i="39"/>
  <c r="P7" i="38"/>
  <c r="P12" i="37"/>
  <c r="P10" i="38"/>
  <c r="P21" i="38"/>
  <c r="P3" i="37"/>
  <c r="L12" i="38"/>
  <c r="O12" i="38" s="1"/>
  <c r="L4" i="37"/>
  <c r="O4" i="37" s="1"/>
  <c r="P13" i="39"/>
  <c r="W13" i="44"/>
  <c r="N20" i="44" s="1"/>
  <c r="H5" i="56"/>
  <c r="H6" i="56" s="1"/>
  <c r="H7" i="56" s="1"/>
  <c r="H8" i="56" s="1"/>
  <c r="H9" i="56" s="1"/>
  <c r="H10" i="56" s="1"/>
  <c r="H11" i="56" s="1"/>
  <c r="H12" i="56" s="1"/>
  <c r="H13" i="56" s="1"/>
  <c r="H14" i="56" s="1"/>
  <c r="H15" i="56" s="1"/>
  <c r="H16" i="56" s="1"/>
  <c r="H17" i="56" s="1"/>
  <c r="H18" i="56" s="1"/>
  <c r="H19" i="56" s="1"/>
  <c r="H20" i="56" s="1"/>
  <c r="H21" i="56" s="1"/>
  <c r="H22" i="56" s="1"/>
  <c r="H23" i="56" s="1"/>
  <c r="H24" i="56" s="1"/>
  <c r="H25" i="56" s="1"/>
  <c r="H26" i="56" s="1"/>
  <c r="H27" i="56" s="1"/>
  <c r="H28" i="56" s="1"/>
  <c r="H29" i="56" s="1"/>
  <c r="H30" i="56" s="1"/>
  <c r="H31" i="56" s="1"/>
  <c r="H32" i="56" s="1"/>
  <c r="H33" i="56" s="1"/>
  <c r="H34" i="56" s="1"/>
  <c r="H35" i="56" s="1"/>
  <c r="H36" i="56" s="1"/>
  <c r="H37" i="56" s="1"/>
  <c r="H38" i="56" s="1"/>
  <c r="H39" i="56" s="1"/>
  <c r="H40" i="56" s="1"/>
  <c r="H41" i="56" s="1"/>
  <c r="H42" i="56" s="1"/>
  <c r="H43" i="56" s="1"/>
  <c r="H44" i="56" s="1"/>
  <c r="H45" i="56" s="1"/>
  <c r="H46" i="56" s="1"/>
  <c r="H47" i="56" s="1"/>
  <c r="H48" i="56" s="1"/>
  <c r="H49" i="56" s="1"/>
  <c r="H50" i="56" s="1"/>
  <c r="H51" i="56" s="1"/>
  <c r="H52" i="56" s="1"/>
  <c r="H53" i="56" s="1"/>
  <c r="H54" i="56" s="1"/>
  <c r="H55" i="56" s="1"/>
  <c r="H56" i="56" s="1"/>
  <c r="H57" i="56" s="1"/>
  <c r="H58" i="56" s="1"/>
  <c r="H59" i="56" s="1"/>
  <c r="H60" i="56" s="1"/>
  <c r="H61" i="56" s="1"/>
  <c r="H62" i="56" s="1"/>
  <c r="H63" i="56" s="1"/>
  <c r="H64" i="56" s="1"/>
  <c r="H65" i="56" s="1"/>
  <c r="H66" i="56" s="1"/>
  <c r="H67" i="56" s="1"/>
  <c r="H68" i="56" s="1"/>
  <c r="H69" i="56" s="1"/>
  <c r="H70" i="56" s="1"/>
  <c r="H71" i="56" s="1"/>
  <c r="H72" i="56" s="1"/>
  <c r="H73" i="56" s="1"/>
  <c r="H74" i="56" s="1"/>
  <c r="H75" i="56" s="1"/>
  <c r="H76" i="56" s="1"/>
  <c r="H77" i="56" s="1"/>
  <c r="H78" i="56" s="1"/>
  <c r="H79" i="56" s="1"/>
  <c r="H80" i="56" s="1"/>
  <c r="H81" i="56" s="1"/>
  <c r="H82" i="56" s="1"/>
  <c r="H83" i="56" s="1"/>
  <c r="H84" i="56" s="1"/>
  <c r="H85" i="56" s="1"/>
  <c r="H86" i="56" s="1"/>
  <c r="H87" i="56" s="1"/>
  <c r="H88" i="56" s="1"/>
  <c r="H89" i="56" s="1"/>
  <c r="H90" i="56" s="1"/>
  <c r="H91" i="56" s="1"/>
  <c r="H92" i="56" s="1"/>
  <c r="H93" i="56" s="1"/>
  <c r="H94" i="56" s="1"/>
  <c r="H95" i="56" s="1"/>
  <c r="H96" i="56" s="1"/>
  <c r="H97" i="56" s="1"/>
  <c r="H98" i="56" s="1"/>
  <c r="H99" i="56" s="1"/>
  <c r="H100" i="56" s="1"/>
  <c r="H101" i="56" s="1"/>
  <c r="H102" i="56" s="1"/>
  <c r="H103" i="56" s="1"/>
  <c r="H104" i="56" s="1"/>
  <c r="H105" i="56" s="1"/>
  <c r="H106" i="56" s="1"/>
  <c r="H107" i="56" s="1"/>
  <c r="H108" i="56" s="1"/>
  <c r="H109" i="56" s="1"/>
  <c r="H110" i="56" s="1"/>
  <c r="H111" i="56" s="1"/>
  <c r="H112" i="56" s="1"/>
  <c r="H113" i="56" s="1"/>
  <c r="H114" i="56" s="1"/>
  <c r="H115" i="56" s="1"/>
  <c r="H116" i="56" s="1"/>
  <c r="H117" i="56" s="1"/>
  <c r="H118" i="56" s="1"/>
  <c r="H119" i="56" s="1"/>
  <c r="H120" i="56" s="1"/>
  <c r="H121" i="56" s="1"/>
  <c r="H122" i="56" s="1"/>
  <c r="H123" i="56" s="1"/>
  <c r="P19" i="39"/>
  <c r="L19" i="39"/>
  <c r="O19" i="39" s="1"/>
  <c r="G5" i="35"/>
  <c r="H26" i="50"/>
  <c r="I26" i="50"/>
  <c r="G10" i="35"/>
  <c r="G11" i="35"/>
  <c r="G6" i="35"/>
  <c r="P16" i="39"/>
  <c r="L16" i="39"/>
  <c r="O16" i="39" s="1"/>
  <c r="L18" i="39"/>
  <c r="O18" i="39" s="1"/>
  <c r="P18" i="39"/>
  <c r="P23" i="39"/>
  <c r="L23" i="39"/>
  <c r="O23" i="39" s="1"/>
  <c r="G9" i="35"/>
  <c r="G8" i="35"/>
  <c r="L20" i="39"/>
  <c r="O20" i="39" s="1"/>
  <c r="P20" i="39"/>
  <c r="F21" i="51"/>
  <c r="L24" i="39"/>
  <c r="O24" i="39" s="1"/>
  <c r="P24" i="39"/>
  <c r="L21" i="39"/>
  <c r="O21" i="39" s="1"/>
  <c r="P21" i="39"/>
  <c r="G12" i="35"/>
  <c r="L22" i="39"/>
  <c r="O22" i="39" s="1"/>
  <c r="P22" i="39"/>
  <c r="L17" i="39"/>
  <c r="O17" i="39" s="1"/>
  <c r="P17" i="39"/>
  <c r="H34" i="53"/>
  <c r="I34" i="53"/>
  <c r="G3" i="35"/>
  <c r="G4" i="35"/>
  <c r="C15" i="33"/>
  <c r="G7" i="35"/>
  <c r="BI115" i="34"/>
  <c r="I115" i="34"/>
  <c r="BI37" i="34"/>
  <c r="I37" i="34"/>
  <c r="F121" i="58"/>
  <c r="D121" i="58"/>
  <c r="C121" i="58" s="1"/>
  <c r="F83" i="56"/>
  <c r="D83" i="56"/>
  <c r="C83" i="56" s="1"/>
  <c r="I27" i="34"/>
  <c r="BI27" i="34"/>
  <c r="BI6" i="34"/>
  <c r="I6" i="34"/>
  <c r="BI35" i="34"/>
  <c r="I35" i="34"/>
  <c r="BI46" i="34"/>
  <c r="I46" i="34"/>
  <c r="BI61" i="34"/>
  <c r="I61" i="34"/>
  <c r="I21" i="34"/>
  <c r="BI21" i="34"/>
  <c r="E4" i="58" a="1"/>
  <c r="F17" i="58"/>
  <c r="D17" i="58"/>
  <c r="C17" i="58" s="1"/>
  <c r="I90" i="34"/>
  <c r="BI90" i="34"/>
  <c r="BI99" i="34"/>
  <c r="I99" i="34"/>
  <c r="I38" i="34"/>
  <c r="BI38" i="34"/>
  <c r="I24" i="34"/>
  <c r="BI24" i="34"/>
  <c r="D48" i="58"/>
  <c r="C48" i="58" s="1"/>
  <c r="F48" i="58"/>
  <c r="F69" i="58"/>
  <c r="D69" i="58"/>
  <c r="C69" i="58" s="1"/>
  <c r="F117" i="58"/>
  <c r="D117" i="58"/>
  <c r="C117" i="58" s="1"/>
  <c r="F118" i="58"/>
  <c r="D118" i="58"/>
  <c r="C118" i="58" s="1"/>
  <c r="F94" i="58"/>
  <c r="D94" i="58"/>
  <c r="C94" i="58" s="1"/>
  <c r="F104" i="58"/>
  <c r="D104" i="58"/>
  <c r="C104" i="58" s="1"/>
  <c r="F66" i="58"/>
  <c r="D66" i="58"/>
  <c r="C66" i="58" s="1"/>
  <c r="D29" i="56"/>
  <c r="C29" i="56" s="1"/>
  <c r="F29" i="56"/>
  <c r="D11" i="56"/>
  <c r="C11" i="56" s="1"/>
  <c r="F11" i="56"/>
  <c r="F114" i="56"/>
  <c r="D114" i="56"/>
  <c r="C114" i="56" s="1"/>
  <c r="D75" i="56"/>
  <c r="C75" i="56" s="1"/>
  <c r="F75" i="56"/>
  <c r="F50" i="56"/>
  <c r="D50" i="56"/>
  <c r="C50" i="56" s="1"/>
  <c r="F79" i="56"/>
  <c r="D79" i="56"/>
  <c r="C79" i="56" s="1"/>
  <c r="F56" i="56"/>
  <c r="D56" i="56"/>
  <c r="C56" i="56" s="1"/>
  <c r="F112" i="56"/>
  <c r="D112" i="56"/>
  <c r="C112" i="56" s="1"/>
  <c r="D27" i="56"/>
  <c r="C27" i="56" s="1"/>
  <c r="F27" i="56"/>
  <c r="F36" i="56"/>
  <c r="D36" i="56"/>
  <c r="C36" i="56" s="1"/>
  <c r="D47" i="56"/>
  <c r="C47" i="56" s="1"/>
  <c r="F47" i="56"/>
  <c r="F51" i="56"/>
  <c r="D51" i="56"/>
  <c r="C51" i="56" s="1"/>
  <c r="D106" i="56"/>
  <c r="C106" i="56" s="1"/>
  <c r="F106" i="56"/>
  <c r="F105" i="56"/>
  <c r="D105" i="56"/>
  <c r="C105" i="56" s="1"/>
  <c r="D18" i="56"/>
  <c r="C18" i="56" s="1"/>
  <c r="F18" i="56"/>
  <c r="I51" i="34"/>
  <c r="BI51" i="34"/>
  <c r="I32" i="34"/>
  <c r="BI32" i="34"/>
  <c r="BI121" i="34"/>
  <c r="I121" i="34"/>
  <c r="BI113" i="34"/>
  <c r="I113" i="34"/>
  <c r="BI74" i="34"/>
  <c r="I74" i="34"/>
  <c r="I107" i="34"/>
  <c r="BI107" i="34"/>
  <c r="E9" i="24"/>
  <c r="H9" i="24"/>
  <c r="I101" i="34"/>
  <c r="BI101" i="34"/>
  <c r="C5" i="44"/>
  <c r="F109" i="56"/>
  <c r="D109" i="56"/>
  <c r="C109" i="56" s="1"/>
  <c r="D89" i="56"/>
  <c r="C89" i="56" s="1"/>
  <c r="F89" i="56"/>
  <c r="F107" i="56"/>
  <c r="D107" i="56"/>
  <c r="C107" i="56" s="1"/>
  <c r="D37" i="56"/>
  <c r="C37" i="56" s="1"/>
  <c r="F37" i="56"/>
  <c r="F71" i="56"/>
  <c r="D71" i="56"/>
  <c r="C71" i="56" s="1"/>
  <c r="D74" i="56"/>
  <c r="C74" i="56" s="1"/>
  <c r="F74" i="56"/>
  <c r="D72" i="56"/>
  <c r="C72" i="56" s="1"/>
  <c r="F72" i="56"/>
  <c r="F58" i="56"/>
  <c r="D58" i="56"/>
  <c r="C58" i="56" s="1"/>
  <c r="F59" i="56"/>
  <c r="D59" i="56"/>
  <c r="C59" i="56" s="1"/>
  <c r="D65" i="56"/>
  <c r="C65" i="56" s="1"/>
  <c r="F65" i="56"/>
  <c r="BI114" i="34"/>
  <c r="I114" i="34"/>
  <c r="I14" i="34"/>
  <c r="BI14" i="34"/>
  <c r="I86" i="34"/>
  <c r="BI86" i="34"/>
  <c r="I11" i="34"/>
  <c r="BI11" i="34"/>
  <c r="I17" i="34"/>
  <c r="BI17" i="34"/>
  <c r="I22" i="34"/>
  <c r="BI22" i="34"/>
  <c r="I92" i="34"/>
  <c r="BI92" i="34"/>
  <c r="BI29" i="34"/>
  <c r="I29" i="34"/>
  <c r="L4" i="38"/>
  <c r="O4" i="38" s="1"/>
  <c r="I30" i="34"/>
  <c r="BI30" i="34"/>
  <c r="BI58" i="34"/>
  <c r="I58" i="34"/>
  <c r="I70" i="34"/>
  <c r="BI70" i="34"/>
  <c r="E17" i="35"/>
  <c r="I23" i="34"/>
  <c r="BI23" i="34"/>
  <c r="I117" i="34"/>
  <c r="BI117" i="34"/>
  <c r="BI127" i="34"/>
  <c r="I127" i="34"/>
  <c r="I53" i="34"/>
  <c r="BI53" i="34"/>
  <c r="P17" i="38"/>
  <c r="P9" i="37"/>
  <c r="R5" i="24" a="1"/>
  <c r="BI16" i="34"/>
  <c r="I16" i="34"/>
  <c r="I54" i="34"/>
  <c r="BI54" i="34"/>
  <c r="I45" i="34"/>
  <c r="BI45" i="34"/>
  <c r="P13" i="37"/>
  <c r="BI47" i="34"/>
  <c r="I47" i="34"/>
  <c r="AA10" i="44"/>
  <c r="AB9" i="44"/>
  <c r="AB10" i="44"/>
  <c r="AA9" i="44"/>
  <c r="W9" i="44" s="1" a="1"/>
  <c r="BI67" i="34"/>
  <c r="I67" i="34"/>
  <c r="H15" i="24"/>
  <c r="E15" i="24"/>
  <c r="E21" i="24"/>
  <c r="H21" i="24"/>
  <c r="H23" i="24"/>
  <c r="E23" i="24"/>
  <c r="E27" i="24"/>
  <c r="H27" i="24"/>
  <c r="H7" i="24"/>
  <c r="E7" i="24"/>
  <c r="H13" i="24"/>
  <c r="E13" i="24"/>
  <c r="P15" i="39"/>
  <c r="F88" i="58"/>
  <c r="D88" i="58"/>
  <c r="C88" i="58" s="1"/>
  <c r="F21" i="58"/>
  <c r="D21" i="58"/>
  <c r="C21" i="58" s="1"/>
  <c r="F62" i="58"/>
  <c r="D62" i="58"/>
  <c r="C62" i="58" s="1"/>
  <c r="D29" i="58"/>
  <c r="C29" i="58" s="1"/>
  <c r="F29" i="58"/>
  <c r="F81" i="58"/>
  <c r="D81" i="58"/>
  <c r="C81" i="58" s="1"/>
  <c r="D32" i="58"/>
  <c r="C32" i="58" s="1"/>
  <c r="F32" i="58"/>
  <c r="D50" i="58"/>
  <c r="C50" i="58" s="1"/>
  <c r="F50" i="58"/>
  <c r="D86" i="58"/>
  <c r="C86" i="58" s="1"/>
  <c r="F86" i="58"/>
  <c r="F58" i="58"/>
  <c r="D58" i="58"/>
  <c r="C58" i="58" s="1"/>
  <c r="D122" i="58"/>
  <c r="C122" i="58" s="1"/>
  <c r="F122" i="58"/>
  <c r="F36" i="58"/>
  <c r="D36" i="58"/>
  <c r="C36" i="58" s="1"/>
  <c r="F74" i="58"/>
  <c r="D74" i="58"/>
  <c r="C74" i="58" s="1"/>
  <c r="F92" i="58"/>
  <c r="D92" i="58"/>
  <c r="C92" i="58" s="1"/>
  <c r="F63" i="58"/>
  <c r="D63" i="58"/>
  <c r="C63" i="58" s="1"/>
  <c r="D61" i="58"/>
  <c r="C61" i="58" s="1"/>
  <c r="F61" i="58"/>
  <c r="Y29" i="40"/>
  <c r="X27" i="40"/>
  <c r="F95" i="56"/>
  <c r="D95" i="56"/>
  <c r="C95" i="56" s="1"/>
  <c r="F67" i="56"/>
  <c r="D67" i="56"/>
  <c r="C67" i="56" s="1"/>
  <c r="F100" i="56"/>
  <c r="D100" i="56"/>
  <c r="C100" i="56" s="1"/>
  <c r="D66" i="56"/>
  <c r="C66" i="56" s="1"/>
  <c r="F66" i="56"/>
  <c r="F34" i="56"/>
  <c r="D34" i="56"/>
  <c r="C34" i="56" s="1"/>
  <c r="D88" i="56"/>
  <c r="C88" i="56" s="1"/>
  <c r="F88" i="56"/>
  <c r="F54" i="56"/>
  <c r="D54" i="56"/>
  <c r="C54" i="56" s="1"/>
  <c r="D120" i="56"/>
  <c r="C120" i="56" s="1"/>
  <c r="F120" i="56"/>
  <c r="F122" i="56"/>
  <c r="D122" i="56"/>
  <c r="C122" i="56" s="1"/>
  <c r="D117" i="56"/>
  <c r="C117" i="56" s="1"/>
  <c r="F117" i="56"/>
  <c r="F10" i="56"/>
  <c r="D10" i="56"/>
  <c r="C10" i="56" s="1"/>
  <c r="F84" i="56"/>
  <c r="D84" i="56"/>
  <c r="C84" i="56" s="1"/>
  <c r="F113" i="56"/>
  <c r="D113" i="56"/>
  <c r="C113" i="56" s="1"/>
  <c r="F78" i="56"/>
  <c r="D78" i="56"/>
  <c r="C78" i="56" s="1"/>
  <c r="D80" i="56"/>
  <c r="C80" i="56" s="1"/>
  <c r="F80" i="56"/>
  <c r="BI44" i="34"/>
  <c r="I44" i="34"/>
  <c r="BI39" i="34"/>
  <c r="I39" i="34"/>
  <c r="H19" i="24"/>
  <c r="E19" i="24"/>
  <c r="E6" i="24"/>
  <c r="H6" i="24"/>
  <c r="H29" i="24"/>
  <c r="E29" i="24"/>
  <c r="H25" i="24"/>
  <c r="E25" i="24"/>
  <c r="H14" i="24"/>
  <c r="E14" i="24"/>
  <c r="H5" i="24"/>
  <c r="E5" i="24"/>
  <c r="Y5" i="45"/>
  <c r="W3" i="45"/>
  <c r="S3" i="45" s="1" a="1"/>
  <c r="X3" i="45"/>
  <c r="Y3" i="45"/>
  <c r="W5" i="45"/>
  <c r="X4" i="45"/>
  <c r="Y4" i="45"/>
  <c r="X5" i="45"/>
  <c r="W4" i="45"/>
  <c r="BI125" i="34"/>
  <c r="I125" i="34"/>
  <c r="F99" i="58"/>
  <c r="D99" i="58"/>
  <c r="C99" i="58" s="1"/>
  <c r="F37" i="58"/>
  <c r="D37" i="58"/>
  <c r="C37" i="58" s="1"/>
  <c r="D68" i="58"/>
  <c r="C68" i="58" s="1"/>
  <c r="F68" i="58"/>
  <c r="D12" i="58"/>
  <c r="C12" i="58" s="1"/>
  <c r="F12" i="58"/>
  <c r="F120" i="58"/>
  <c r="D120" i="58"/>
  <c r="C120" i="58" s="1"/>
  <c r="D24" i="58"/>
  <c r="C24" i="58" s="1"/>
  <c r="F24" i="58"/>
  <c r="D70" i="58"/>
  <c r="C70" i="58" s="1"/>
  <c r="F70" i="58"/>
  <c r="F78" i="58"/>
  <c r="D78" i="58"/>
  <c r="C78" i="58" s="1"/>
  <c r="D33" i="58"/>
  <c r="C33" i="58" s="1"/>
  <c r="F33" i="58"/>
  <c r="F93" i="58"/>
  <c r="D93" i="58"/>
  <c r="C93" i="58" s="1"/>
  <c r="F75" i="58"/>
  <c r="D75" i="58"/>
  <c r="C75" i="58" s="1"/>
  <c r="F112" i="58"/>
  <c r="D112" i="58"/>
  <c r="C112" i="58" s="1"/>
  <c r="D15" i="58"/>
  <c r="C15" i="58" s="1"/>
  <c r="F15" i="58"/>
  <c r="D32" i="56"/>
  <c r="C32" i="56" s="1"/>
  <c r="F32" i="56"/>
  <c r="L6" i="37"/>
  <c r="O6" i="37" s="1"/>
  <c r="BI12" i="34"/>
  <c r="I12" i="34"/>
  <c r="I116" i="34"/>
  <c r="BI116" i="34"/>
  <c r="BI20" i="34"/>
  <c r="I20" i="34"/>
  <c r="I110" i="34"/>
  <c r="BI110" i="34"/>
  <c r="BI72" i="34"/>
  <c r="I72" i="34"/>
  <c r="I55" i="34"/>
  <c r="BI55" i="34"/>
  <c r="BI60" i="34"/>
  <c r="I60" i="34"/>
  <c r="BI84" i="34"/>
  <c r="I84" i="34"/>
  <c r="E26" i="24"/>
  <c r="H26" i="24"/>
  <c r="H16" i="24"/>
  <c r="E16" i="24"/>
  <c r="E45" i="24"/>
  <c r="H45" i="24"/>
  <c r="E12" i="24"/>
  <c r="H12" i="24"/>
  <c r="E24" i="24"/>
  <c r="H24" i="24"/>
  <c r="AA10" i="42"/>
  <c r="AA9" i="42"/>
  <c r="W9" i="42" s="1" a="1"/>
  <c r="AB9" i="42"/>
  <c r="AB10" i="42"/>
  <c r="I69" i="34"/>
  <c r="BI69" i="34"/>
  <c r="BI128" i="34"/>
  <c r="I128" i="34"/>
  <c r="E16" i="35"/>
  <c r="BI75" i="34"/>
  <c r="I75" i="34"/>
  <c r="H8" i="24"/>
  <c r="E8" i="24"/>
  <c r="H33" i="24"/>
  <c r="E33" i="24"/>
  <c r="H34" i="24"/>
  <c r="E34" i="24"/>
  <c r="H18" i="24"/>
  <c r="E18" i="24"/>
  <c r="E36" i="24"/>
  <c r="H36" i="24"/>
  <c r="I111" i="34"/>
  <c r="BI111" i="34"/>
  <c r="BI78" i="34"/>
  <c r="I78" i="34"/>
  <c r="BI129" i="34"/>
  <c r="I129" i="34"/>
  <c r="I65" i="34"/>
  <c r="BI65" i="34"/>
  <c r="F102" i="58"/>
  <c r="D102" i="58"/>
  <c r="C102" i="58" s="1"/>
  <c r="D110" i="58"/>
  <c r="C110" i="58" s="1"/>
  <c r="F110" i="58"/>
  <c r="F31" i="58"/>
  <c r="D31" i="58"/>
  <c r="C31" i="58" s="1"/>
  <c r="F46" i="58"/>
  <c r="D46" i="58"/>
  <c r="C46" i="58" s="1"/>
  <c r="F7" i="58"/>
  <c r="D7" i="58"/>
  <c r="C7" i="58" s="1"/>
  <c r="F41" i="58"/>
  <c r="D41" i="58"/>
  <c r="C41" i="58" s="1"/>
  <c r="F53" i="58"/>
  <c r="D53" i="58"/>
  <c r="C53" i="58" s="1"/>
  <c r="F98" i="58"/>
  <c r="D98" i="58"/>
  <c r="C98" i="58" s="1"/>
  <c r="D108" i="58"/>
  <c r="C108" i="58" s="1"/>
  <c r="F108" i="58"/>
  <c r="F42" i="58"/>
  <c r="D42" i="58"/>
  <c r="C42" i="58" s="1"/>
  <c r="F105" i="58"/>
  <c r="D105" i="58"/>
  <c r="C105" i="58" s="1"/>
  <c r="D55" i="58"/>
  <c r="C55" i="58" s="1"/>
  <c r="F55" i="58"/>
  <c r="F13" i="58"/>
  <c r="D13" i="58"/>
  <c r="C13" i="58" s="1"/>
  <c r="F14" i="58"/>
  <c r="D14" i="58"/>
  <c r="C14" i="58" s="1"/>
  <c r="D76" i="58"/>
  <c r="C76" i="58" s="1"/>
  <c r="F76" i="58"/>
  <c r="W13" i="42"/>
  <c r="N19" i="42" s="1"/>
  <c r="BI63" i="34"/>
  <c r="I63" i="34"/>
  <c r="I112" i="34"/>
  <c r="BI112" i="34"/>
  <c r="BI7" i="34"/>
  <c r="I7" i="34"/>
  <c r="BI31" i="34"/>
  <c r="I31" i="34"/>
  <c r="I10" i="34"/>
  <c r="BI10" i="34"/>
  <c r="L14" i="39"/>
  <c r="O14" i="39" s="1"/>
  <c r="I82" i="34"/>
  <c r="BI82" i="34"/>
  <c r="BI50" i="34"/>
  <c r="I50" i="34"/>
  <c r="BI109" i="34"/>
  <c r="I109" i="34"/>
  <c r="I15" i="34"/>
  <c r="BI15" i="34"/>
  <c r="BI105" i="34"/>
  <c r="I105" i="34"/>
  <c r="BI33" i="34"/>
  <c r="I33" i="34"/>
  <c r="BI89" i="34"/>
  <c r="I89" i="34"/>
  <c r="I108" i="34"/>
  <c r="BI108" i="34"/>
  <c r="L7" i="39"/>
  <c r="O7" i="39" s="1"/>
  <c r="BI8" i="34"/>
  <c r="I8" i="34"/>
  <c r="BI62" i="34"/>
  <c r="I62" i="34"/>
  <c r="BI106" i="34"/>
  <c r="I106" i="34"/>
  <c r="I120" i="34"/>
  <c r="BI120" i="34"/>
  <c r="E32" i="24"/>
  <c r="H32" i="24"/>
  <c r="H41" i="24"/>
  <c r="E41" i="24"/>
  <c r="E42" i="24"/>
  <c r="H42" i="24"/>
  <c r="H43" i="24"/>
  <c r="E43" i="24"/>
  <c r="H28" i="24"/>
  <c r="E28" i="24"/>
  <c r="P3" i="39"/>
  <c r="J3" i="44" s="1"/>
  <c r="I59" i="34"/>
  <c r="BI59" i="34"/>
  <c r="L11" i="38"/>
  <c r="O11" i="38" s="1"/>
  <c r="L10" i="39"/>
  <c r="O10" i="39" s="1"/>
  <c r="F45" i="58"/>
  <c r="D45" i="58"/>
  <c r="C45" i="58" s="1"/>
  <c r="D83" i="58"/>
  <c r="C83" i="58" s="1"/>
  <c r="F83" i="58"/>
  <c r="F109" i="58"/>
  <c r="D109" i="58"/>
  <c r="C109" i="58" s="1"/>
  <c r="D54" i="58"/>
  <c r="C54" i="58" s="1"/>
  <c r="F54" i="58"/>
  <c r="F16" i="58"/>
  <c r="D16" i="58"/>
  <c r="C16" i="58" s="1"/>
  <c r="F26" i="58"/>
  <c r="D26" i="58"/>
  <c r="C26" i="58" s="1"/>
  <c r="F91" i="58"/>
  <c r="D91" i="58"/>
  <c r="C91" i="58" s="1"/>
  <c r="F30" i="58"/>
  <c r="D30" i="58"/>
  <c r="C30" i="58" s="1"/>
  <c r="F8" i="58"/>
  <c r="D8" i="58"/>
  <c r="C8" i="58" s="1"/>
  <c r="F84" i="58"/>
  <c r="D84" i="58"/>
  <c r="C84" i="58" s="1"/>
  <c r="F115" i="58"/>
  <c r="D115" i="58"/>
  <c r="C115" i="58" s="1"/>
  <c r="D10" i="58"/>
  <c r="C10" i="58" s="1"/>
  <c r="F10" i="58"/>
  <c r="F97" i="58"/>
  <c r="D97" i="58"/>
  <c r="C97" i="58" s="1"/>
  <c r="F65" i="58"/>
  <c r="D65" i="58"/>
  <c r="C65" i="58" s="1"/>
  <c r="F35" i="58"/>
  <c r="D35" i="58"/>
  <c r="C35" i="58" s="1"/>
  <c r="P13" i="38"/>
  <c r="F8" i="56"/>
  <c r="D8" i="56"/>
  <c r="C8" i="56" s="1"/>
  <c r="D19" i="56"/>
  <c r="C19" i="56" s="1"/>
  <c r="F19" i="56"/>
  <c r="D55" i="56"/>
  <c r="C55" i="56" s="1"/>
  <c r="F55" i="56"/>
  <c r="D102" i="56"/>
  <c r="C102" i="56" s="1"/>
  <c r="F102" i="56"/>
  <c r="F91" i="56"/>
  <c r="D91" i="56"/>
  <c r="C91" i="56" s="1"/>
  <c r="D23" i="56"/>
  <c r="C23" i="56" s="1"/>
  <c r="F23" i="56"/>
  <c r="F118" i="56"/>
  <c r="D118" i="56"/>
  <c r="C118" i="56" s="1"/>
  <c r="F101" i="56"/>
  <c r="D101" i="56"/>
  <c r="C101" i="56" s="1"/>
  <c r="D76" i="56"/>
  <c r="C76" i="56" s="1"/>
  <c r="F76" i="56"/>
  <c r="F7" i="56"/>
  <c r="D7" i="56"/>
  <c r="C7" i="56" s="1"/>
  <c r="F17" i="56"/>
  <c r="D17" i="56"/>
  <c r="C17" i="56" s="1"/>
  <c r="D24" i="56"/>
  <c r="C24" i="56" s="1"/>
  <c r="F24" i="56"/>
  <c r="D35" i="56"/>
  <c r="C35" i="56" s="1"/>
  <c r="F35" i="56"/>
  <c r="D92" i="56"/>
  <c r="C92" i="56" s="1"/>
  <c r="F92" i="56"/>
  <c r="D46" i="56"/>
  <c r="C46" i="56" s="1"/>
  <c r="F46" i="56"/>
  <c r="Y28" i="40"/>
  <c r="I103" i="34"/>
  <c r="BI103" i="34"/>
  <c r="E14" i="35"/>
  <c r="I57" i="34"/>
  <c r="BI57" i="34"/>
  <c r="BI98" i="34"/>
  <c r="I98" i="34"/>
  <c r="BI102" i="34"/>
  <c r="I102" i="34"/>
  <c r="D26" i="56"/>
  <c r="C26" i="56" s="1"/>
  <c r="F26" i="56"/>
  <c r="BI43" i="34"/>
  <c r="I43" i="34"/>
  <c r="E15" i="35"/>
  <c r="BI52" i="34"/>
  <c r="I52" i="34"/>
  <c r="W13" i="43"/>
  <c r="N16" i="43" s="1"/>
  <c r="BI9" i="34"/>
  <c r="I9" i="34"/>
  <c r="F34" i="58"/>
  <c r="D34" i="58"/>
  <c r="C34" i="58" s="1"/>
  <c r="F22" i="58"/>
  <c r="D22" i="58"/>
  <c r="C22" i="58" s="1"/>
  <c r="F44" i="58"/>
  <c r="D44" i="58"/>
  <c r="C44" i="58" s="1"/>
  <c r="D19" i="58"/>
  <c r="C19" i="58" s="1"/>
  <c r="F19" i="58"/>
  <c r="F51" i="58"/>
  <c r="D51" i="58"/>
  <c r="C51" i="58" s="1"/>
  <c r="F77" i="58"/>
  <c r="D77" i="58"/>
  <c r="C77" i="58" s="1"/>
  <c r="F39" i="58"/>
  <c r="D39" i="58"/>
  <c r="C39" i="58" s="1"/>
  <c r="F71" i="58"/>
  <c r="D71" i="58"/>
  <c r="C71" i="58" s="1"/>
  <c r="F64" i="58"/>
  <c r="D64" i="58"/>
  <c r="C64" i="58" s="1"/>
  <c r="F56" i="58"/>
  <c r="D56" i="58"/>
  <c r="C56" i="58" s="1"/>
  <c r="D27" i="58"/>
  <c r="C27" i="58" s="1"/>
  <c r="F27" i="58"/>
  <c r="F101" i="58"/>
  <c r="D101" i="58"/>
  <c r="C101" i="58" s="1"/>
  <c r="D72" i="58"/>
  <c r="C72" i="58" s="1"/>
  <c r="F72" i="58"/>
  <c r="F21" i="56"/>
  <c r="D21" i="56"/>
  <c r="C21" i="56" s="1"/>
  <c r="D64" i="56"/>
  <c r="C64" i="56" s="1"/>
  <c r="F64" i="56"/>
  <c r="F5" i="56"/>
  <c r="D5" i="56"/>
  <c r="C5" i="56" s="1"/>
  <c r="I66" i="34"/>
  <c r="BI66" i="34"/>
  <c r="J3" i="42"/>
  <c r="J3" i="43"/>
  <c r="F93" i="56"/>
  <c r="D93" i="56"/>
  <c r="C93" i="56" s="1"/>
  <c r="F77" i="56"/>
  <c r="D77" i="56"/>
  <c r="C77" i="56" s="1"/>
  <c r="BI18" i="34"/>
  <c r="I18" i="34"/>
  <c r="BI13" i="34"/>
  <c r="I13" i="34"/>
  <c r="I94" i="34"/>
  <c r="BI94" i="34"/>
  <c r="C7" i="44"/>
  <c r="I122" i="34"/>
  <c r="BI122" i="34"/>
  <c r="I80" i="34"/>
  <c r="BI80" i="34"/>
  <c r="I49" i="34"/>
  <c r="BI49" i="34"/>
  <c r="P18" i="38"/>
  <c r="W10" i="45"/>
  <c r="X10" i="45"/>
  <c r="X9" i="45"/>
  <c r="W9" i="45"/>
  <c r="S9" i="45" s="1" a="1"/>
  <c r="P5" i="39"/>
  <c r="I96" i="34"/>
  <c r="BI96" i="34"/>
  <c r="F114" i="58"/>
  <c r="D114" i="58"/>
  <c r="C114" i="58" s="1"/>
  <c r="D82" i="58"/>
  <c r="C82" i="58" s="1"/>
  <c r="F82" i="58"/>
  <c r="F116" i="58"/>
  <c r="D116" i="58"/>
  <c r="C116" i="58" s="1"/>
  <c r="D23" i="58"/>
  <c r="C23" i="58" s="1"/>
  <c r="F23" i="58"/>
  <c r="F107" i="58"/>
  <c r="D107" i="58"/>
  <c r="C107" i="58" s="1"/>
  <c r="F5" i="58"/>
  <c r="H5" i="58"/>
  <c r="H6" i="58" s="1"/>
  <c r="H7" i="58" s="1"/>
  <c r="H8" i="58" s="1"/>
  <c r="H9" i="58" s="1"/>
  <c r="H10" i="58" s="1"/>
  <c r="H11" i="58" s="1"/>
  <c r="H12" i="58" s="1"/>
  <c r="H13" i="58" s="1"/>
  <c r="H14" i="58" s="1"/>
  <c r="H15" i="58" s="1"/>
  <c r="H16" i="58" s="1"/>
  <c r="H17" i="58" s="1"/>
  <c r="H18" i="58" s="1"/>
  <c r="H19" i="58" s="1"/>
  <c r="H20" i="58" s="1"/>
  <c r="H21" i="58" s="1"/>
  <c r="H22" i="58" s="1"/>
  <c r="H23" i="58" s="1"/>
  <c r="H24" i="58" s="1"/>
  <c r="H25" i="58" s="1"/>
  <c r="H26" i="58" s="1"/>
  <c r="H27" i="58" s="1"/>
  <c r="H28" i="58" s="1"/>
  <c r="H29" i="58" s="1"/>
  <c r="H30" i="58" s="1"/>
  <c r="H31" i="58" s="1"/>
  <c r="H32" i="58" s="1"/>
  <c r="H33" i="58" s="1"/>
  <c r="H34" i="58" s="1"/>
  <c r="H35" i="58" s="1"/>
  <c r="H36" i="58" s="1"/>
  <c r="H37" i="58" s="1"/>
  <c r="H38" i="58" s="1"/>
  <c r="H39" i="58" s="1"/>
  <c r="H40" i="58" s="1"/>
  <c r="H41" i="58" s="1"/>
  <c r="H42" i="58" s="1"/>
  <c r="H43" i="58" s="1"/>
  <c r="H44" i="58" s="1"/>
  <c r="H45" i="58" s="1"/>
  <c r="H46" i="58" s="1"/>
  <c r="H47" i="58" s="1"/>
  <c r="H48" i="58" s="1"/>
  <c r="H49" i="58" s="1"/>
  <c r="H50" i="58" s="1"/>
  <c r="H51" i="58" s="1"/>
  <c r="H52" i="58" s="1"/>
  <c r="H53" i="58" s="1"/>
  <c r="H54" i="58" s="1"/>
  <c r="H55" i="58" s="1"/>
  <c r="H56" i="58" s="1"/>
  <c r="H57" i="58" s="1"/>
  <c r="H58" i="58" s="1"/>
  <c r="H59" i="58" s="1"/>
  <c r="H60" i="58" s="1"/>
  <c r="H61" i="58" s="1"/>
  <c r="H62" i="58" s="1"/>
  <c r="H63" i="58" s="1"/>
  <c r="H64" i="58" s="1"/>
  <c r="H65" i="58" s="1"/>
  <c r="H66" i="58" s="1"/>
  <c r="H67" i="58" s="1"/>
  <c r="H68" i="58" s="1"/>
  <c r="H69" i="58" s="1"/>
  <c r="H70" i="58" s="1"/>
  <c r="H71" i="58" s="1"/>
  <c r="H72" i="58" s="1"/>
  <c r="H73" i="58" s="1"/>
  <c r="H74" i="58" s="1"/>
  <c r="H75" i="58" s="1"/>
  <c r="H76" i="58" s="1"/>
  <c r="H77" i="58" s="1"/>
  <c r="H78" i="58" s="1"/>
  <c r="H79" i="58" s="1"/>
  <c r="H80" i="58" s="1"/>
  <c r="H81" i="58" s="1"/>
  <c r="H82" i="58" s="1"/>
  <c r="H83" i="58" s="1"/>
  <c r="H84" i="58" s="1"/>
  <c r="H85" i="58" s="1"/>
  <c r="H86" i="58" s="1"/>
  <c r="H87" i="58" s="1"/>
  <c r="H88" i="58" s="1"/>
  <c r="H89" i="58" s="1"/>
  <c r="H90" i="58" s="1"/>
  <c r="H91" i="58" s="1"/>
  <c r="H92" i="58" s="1"/>
  <c r="H93" i="58" s="1"/>
  <c r="H94" i="58" s="1"/>
  <c r="H95" i="58" s="1"/>
  <c r="H96" i="58" s="1"/>
  <c r="H97" i="58" s="1"/>
  <c r="H98" i="58" s="1"/>
  <c r="H99" i="58" s="1"/>
  <c r="H100" i="58" s="1"/>
  <c r="H101" i="58" s="1"/>
  <c r="H102" i="58" s="1"/>
  <c r="H103" i="58" s="1"/>
  <c r="H104" i="58" s="1"/>
  <c r="H105" i="58" s="1"/>
  <c r="H106" i="58" s="1"/>
  <c r="H107" i="58" s="1"/>
  <c r="H108" i="58" s="1"/>
  <c r="H109" i="58" s="1"/>
  <c r="H110" i="58" s="1"/>
  <c r="H111" i="58" s="1"/>
  <c r="H112" i="58" s="1"/>
  <c r="H113" i="58" s="1"/>
  <c r="H114" i="58" s="1"/>
  <c r="H115" i="58" s="1"/>
  <c r="H116" i="58" s="1"/>
  <c r="H117" i="58" s="1"/>
  <c r="H118" i="58" s="1"/>
  <c r="H119" i="58" s="1"/>
  <c r="H120" i="58" s="1"/>
  <c r="H121" i="58" s="1"/>
  <c r="H122" i="58" s="1"/>
  <c r="H123" i="58" s="1"/>
  <c r="G5" i="58"/>
  <c r="G6" i="58" s="1"/>
  <c r="G7" i="58" s="1"/>
  <c r="G8" i="58" s="1"/>
  <c r="G9" i="58" s="1"/>
  <c r="G10" i="58" s="1"/>
  <c r="G11" i="58" s="1"/>
  <c r="G12" i="58" s="1"/>
  <c r="G13" i="58" s="1"/>
  <c r="G14" i="58" s="1"/>
  <c r="G15" i="58" s="1"/>
  <c r="G16" i="58" s="1"/>
  <c r="G17" i="58" s="1"/>
  <c r="G18" i="58" s="1"/>
  <c r="G19" i="58" s="1"/>
  <c r="G20" i="58" s="1"/>
  <c r="G21" i="58" s="1"/>
  <c r="G22" i="58" s="1"/>
  <c r="G23" i="58" s="1"/>
  <c r="G24" i="58" s="1"/>
  <c r="G25" i="58" s="1"/>
  <c r="G26" i="58" s="1"/>
  <c r="G27" i="58" s="1"/>
  <c r="G28" i="58" s="1"/>
  <c r="G29" i="58" s="1"/>
  <c r="G30" i="58" s="1"/>
  <c r="G31" i="58" s="1"/>
  <c r="G32" i="58" s="1"/>
  <c r="G33" i="58" s="1"/>
  <c r="G34" i="58" s="1"/>
  <c r="G35" i="58" s="1"/>
  <c r="G36" i="58" s="1"/>
  <c r="G37" i="58" s="1"/>
  <c r="G38" i="58" s="1"/>
  <c r="G39" i="58" s="1"/>
  <c r="G40" i="58" s="1"/>
  <c r="G41" i="58" s="1"/>
  <c r="G42" i="58" s="1"/>
  <c r="G43" i="58" s="1"/>
  <c r="G44" i="58" s="1"/>
  <c r="G45" i="58" s="1"/>
  <c r="G46" i="58" s="1"/>
  <c r="G47" i="58" s="1"/>
  <c r="G48" i="58" s="1"/>
  <c r="G49" i="58" s="1"/>
  <c r="G50" i="58" s="1"/>
  <c r="G51" i="58" s="1"/>
  <c r="G52" i="58" s="1"/>
  <c r="G53" i="58" s="1"/>
  <c r="G54" i="58" s="1"/>
  <c r="G55" i="58" s="1"/>
  <c r="G56" i="58" s="1"/>
  <c r="G57" i="58" s="1"/>
  <c r="G58" i="58" s="1"/>
  <c r="G59" i="58" s="1"/>
  <c r="G60" i="58" s="1"/>
  <c r="G61" i="58" s="1"/>
  <c r="G62" i="58" s="1"/>
  <c r="G63" i="58" s="1"/>
  <c r="G64" i="58" s="1"/>
  <c r="G65" i="58" s="1"/>
  <c r="G66" i="58" s="1"/>
  <c r="G67" i="58" s="1"/>
  <c r="G68" i="58" s="1"/>
  <c r="G69" i="58" s="1"/>
  <c r="G70" i="58" s="1"/>
  <c r="G71" i="58" s="1"/>
  <c r="G72" i="58" s="1"/>
  <c r="G73" i="58" s="1"/>
  <c r="G74" i="58" s="1"/>
  <c r="G75" i="58" s="1"/>
  <c r="G76" i="58" s="1"/>
  <c r="G77" i="58" s="1"/>
  <c r="G78" i="58" s="1"/>
  <c r="G79" i="58" s="1"/>
  <c r="G80" i="58" s="1"/>
  <c r="G81" i="58" s="1"/>
  <c r="G82" i="58" s="1"/>
  <c r="G83" i="58" s="1"/>
  <c r="G84" i="58" s="1"/>
  <c r="G85" i="58" s="1"/>
  <c r="G86" i="58" s="1"/>
  <c r="G87" i="58" s="1"/>
  <c r="G88" i="58" s="1"/>
  <c r="G89" i="58" s="1"/>
  <c r="G90" i="58" s="1"/>
  <c r="G91" i="58" s="1"/>
  <c r="G92" i="58" s="1"/>
  <c r="G93" i="58" s="1"/>
  <c r="G94" i="58" s="1"/>
  <c r="G95" i="58" s="1"/>
  <c r="G96" i="58" s="1"/>
  <c r="G97" i="58" s="1"/>
  <c r="G98" i="58" s="1"/>
  <c r="G99" i="58" s="1"/>
  <c r="G100" i="58" s="1"/>
  <c r="G101" i="58" s="1"/>
  <c r="G102" i="58" s="1"/>
  <c r="G103" i="58" s="1"/>
  <c r="G104" i="58" s="1"/>
  <c r="G105" i="58" s="1"/>
  <c r="G106" i="58" s="1"/>
  <c r="G107" i="58" s="1"/>
  <c r="G108" i="58" s="1"/>
  <c r="G109" i="58" s="1"/>
  <c r="G110" i="58" s="1"/>
  <c r="G111" i="58" s="1"/>
  <c r="G112" i="58" s="1"/>
  <c r="G113" i="58" s="1"/>
  <c r="G114" i="58" s="1"/>
  <c r="G115" i="58" s="1"/>
  <c r="G116" i="58" s="1"/>
  <c r="G117" i="58" s="1"/>
  <c r="G118" i="58" s="1"/>
  <c r="G119" i="58" s="1"/>
  <c r="G120" i="58" s="1"/>
  <c r="G121" i="58" s="1"/>
  <c r="G122" i="58" s="1"/>
  <c r="G123" i="58" s="1"/>
  <c r="D5" i="58"/>
  <c r="C5" i="58" s="1"/>
  <c r="D119" i="58"/>
  <c r="C119" i="58" s="1"/>
  <c r="F119" i="58"/>
  <c r="F18" i="58"/>
  <c r="D18" i="58"/>
  <c r="C18" i="58" s="1"/>
  <c r="F47" i="58"/>
  <c r="D47" i="58"/>
  <c r="C47" i="58" s="1"/>
  <c r="D80" i="58"/>
  <c r="C80" i="58" s="1"/>
  <c r="F80" i="58"/>
  <c r="F85" i="58"/>
  <c r="D85" i="58"/>
  <c r="C85" i="58" s="1"/>
  <c r="D40" i="58"/>
  <c r="C40" i="58" s="1"/>
  <c r="F40" i="58"/>
  <c r="F87" i="58"/>
  <c r="D87" i="58"/>
  <c r="C87" i="58" s="1"/>
  <c r="F52" i="58"/>
  <c r="D52" i="58"/>
  <c r="C52" i="58" s="1"/>
  <c r="D96" i="58"/>
  <c r="C96" i="58" s="1"/>
  <c r="F96" i="58"/>
  <c r="I5" i="34"/>
  <c r="M5" i="34" s="1"/>
  <c r="BI5" i="34"/>
  <c r="BJ5" i="34" s="1"/>
  <c r="BK5" i="34" s="1"/>
  <c r="BI91" i="34"/>
  <c r="I91" i="34"/>
  <c r="D103" i="56"/>
  <c r="C103" i="56" s="1"/>
  <c r="F103" i="56"/>
  <c r="F25" i="56"/>
  <c r="D25" i="56"/>
  <c r="C25" i="56" s="1"/>
  <c r="D40" i="56"/>
  <c r="C40" i="56" s="1"/>
  <c r="F40" i="56"/>
  <c r="F98" i="56"/>
  <c r="D98" i="56"/>
  <c r="C98" i="56" s="1"/>
  <c r="D14" i="56"/>
  <c r="C14" i="56" s="1"/>
  <c r="F14" i="56"/>
  <c r="D22" i="56"/>
  <c r="C22" i="56" s="1"/>
  <c r="F22" i="56"/>
  <c r="F6" i="56"/>
  <c r="D6" i="56"/>
  <c r="C6" i="56" s="1"/>
  <c r="D28" i="56"/>
  <c r="C28" i="56" s="1"/>
  <c r="F28" i="56"/>
  <c r="D38" i="56"/>
  <c r="C38" i="56" s="1"/>
  <c r="F38" i="56"/>
  <c r="F12" i="56"/>
  <c r="D12" i="56"/>
  <c r="C12" i="56" s="1"/>
  <c r="F119" i="56"/>
  <c r="D119" i="56"/>
  <c r="C119" i="56" s="1"/>
  <c r="D121" i="56"/>
  <c r="C121" i="56" s="1"/>
  <c r="F121" i="56"/>
  <c r="D39" i="56"/>
  <c r="C39" i="56" s="1"/>
  <c r="F39" i="56"/>
  <c r="D62" i="56"/>
  <c r="C62" i="56" s="1"/>
  <c r="F62" i="56"/>
  <c r="D104" i="56"/>
  <c r="C104" i="56" s="1"/>
  <c r="F104" i="56"/>
  <c r="I28" i="34"/>
  <c r="BI28" i="34"/>
  <c r="BI26" i="34"/>
  <c r="I26" i="34"/>
  <c r="BI56" i="34"/>
  <c r="I56" i="34"/>
  <c r="I97" i="34"/>
  <c r="BI97" i="34"/>
  <c r="I104" i="34"/>
  <c r="BI104" i="34"/>
  <c r="F113" i="58"/>
  <c r="D113" i="58"/>
  <c r="C113" i="58" s="1"/>
  <c r="F41" i="56"/>
  <c r="D41" i="56"/>
  <c r="C41" i="56" s="1"/>
  <c r="D53" i="56"/>
  <c r="C53" i="56" s="1"/>
  <c r="F53" i="56"/>
  <c r="D63" i="56"/>
  <c r="C63" i="56" s="1"/>
  <c r="F63" i="56"/>
  <c r="D13" i="56"/>
  <c r="C13" i="56" s="1"/>
  <c r="F13" i="56"/>
  <c r="D16" i="56"/>
  <c r="C16" i="56" s="1"/>
  <c r="F16" i="56"/>
  <c r="F20" i="56"/>
  <c r="D20" i="56"/>
  <c r="C20" i="56" s="1"/>
  <c r="D44" i="56"/>
  <c r="C44" i="56" s="1"/>
  <c r="F44" i="56"/>
  <c r="D116" i="56"/>
  <c r="C116" i="56" s="1"/>
  <c r="F116" i="56"/>
  <c r="D42" i="56"/>
  <c r="C42" i="56" s="1"/>
  <c r="F42" i="56"/>
  <c r="F48" i="56"/>
  <c r="D48" i="56"/>
  <c r="C48" i="56" s="1"/>
  <c r="D99" i="56"/>
  <c r="C99" i="56" s="1"/>
  <c r="F99" i="56"/>
  <c r="F31" i="56"/>
  <c r="D31" i="56"/>
  <c r="C31" i="56" s="1"/>
  <c r="I76" i="34"/>
  <c r="BI76" i="34"/>
  <c r="AB9" i="43"/>
  <c r="AA10" i="43"/>
  <c r="AB10" i="43"/>
  <c r="AA9" i="43"/>
  <c r="W9" i="43" s="1" a="1"/>
  <c r="BI68" i="34"/>
  <c r="I68" i="34"/>
  <c r="AA5" i="43"/>
  <c r="AB4" i="43"/>
  <c r="AA4" i="43"/>
  <c r="AB3" i="43"/>
  <c r="AA3" i="43"/>
  <c r="W3" i="43" s="1" a="1"/>
  <c r="AB5" i="43"/>
  <c r="AC5" i="43"/>
  <c r="AC3" i="43"/>
  <c r="AC4" i="43"/>
  <c r="D52" i="56"/>
  <c r="C52" i="56" s="1"/>
  <c r="F52" i="56"/>
  <c r="D68" i="56"/>
  <c r="C68" i="56" s="1"/>
  <c r="F68" i="56"/>
  <c r="D9" i="56"/>
  <c r="C9" i="56" s="1"/>
  <c r="F9" i="56"/>
  <c r="D49" i="56"/>
  <c r="C49" i="56" s="1"/>
  <c r="F49" i="56"/>
  <c r="F97" i="56"/>
  <c r="D97" i="56"/>
  <c r="C97" i="56" s="1"/>
  <c r="F4" i="56"/>
  <c r="D4" i="56"/>
  <c r="C4" i="56" s="1"/>
  <c r="D82" i="56"/>
  <c r="C82" i="56" s="1"/>
  <c r="F82" i="56"/>
  <c r="F86" i="56"/>
  <c r="D86" i="56"/>
  <c r="C86" i="56" s="1"/>
  <c r="D110" i="56"/>
  <c r="C110" i="56" s="1"/>
  <c r="F110" i="56"/>
  <c r="F69" i="56"/>
  <c r="D69" i="56"/>
  <c r="C69" i="56" s="1"/>
  <c r="F108" i="56"/>
  <c r="D108" i="56"/>
  <c r="C108" i="56" s="1"/>
  <c r="D73" i="56"/>
  <c r="C73" i="56" s="1"/>
  <c r="F73" i="56"/>
  <c r="I95" i="34"/>
  <c r="BI95" i="34"/>
  <c r="I19" i="34"/>
  <c r="BI19" i="34"/>
  <c r="I123" i="34"/>
  <c r="BI123" i="34"/>
  <c r="P11" i="37"/>
  <c r="F103" i="58"/>
  <c r="D103" i="58"/>
  <c r="C103" i="58" s="1"/>
  <c r="F79" i="58"/>
  <c r="D79" i="58"/>
  <c r="C79" i="58" s="1"/>
  <c r="D6" i="58"/>
  <c r="C6" i="58" s="1"/>
  <c r="F6" i="58"/>
  <c r="F25" i="58"/>
  <c r="D25" i="58"/>
  <c r="C25" i="58" s="1"/>
  <c r="F4" i="58"/>
  <c r="D4" i="58"/>
  <c r="C4" i="58" s="1"/>
  <c r="F106" i="58"/>
  <c r="D106" i="58"/>
  <c r="C106" i="58" s="1"/>
  <c r="F95" i="58"/>
  <c r="D95" i="58"/>
  <c r="C95" i="58" s="1"/>
  <c r="F111" i="58"/>
  <c r="D111" i="58"/>
  <c r="C111" i="58" s="1"/>
  <c r="BI83" i="34"/>
  <c r="I83" i="34"/>
  <c r="I36" i="34"/>
  <c r="BI36" i="34"/>
  <c r="I40" i="34"/>
  <c r="BI40" i="34"/>
  <c r="E11" i="24"/>
  <c r="H11" i="24"/>
  <c r="H37" i="24"/>
  <c r="E37" i="24"/>
  <c r="E31" i="24"/>
  <c r="H31" i="24"/>
  <c r="H46" i="24"/>
  <c r="E46" i="24"/>
  <c r="AA3" i="42"/>
  <c r="W3" i="42" s="1" a="1"/>
  <c r="AB5" i="42"/>
  <c r="AA5" i="42"/>
  <c r="AB4" i="42"/>
  <c r="AB3" i="42"/>
  <c r="AA4" i="42"/>
  <c r="AC4" i="42"/>
  <c r="AC5" i="42"/>
  <c r="AC3" i="42"/>
  <c r="I79" i="34"/>
  <c r="BI79" i="34"/>
  <c r="G5" i="56"/>
  <c r="G6" i="56" s="1"/>
  <c r="G7" i="56" s="1"/>
  <c r="G8" i="56" s="1"/>
  <c r="G9" i="56" s="1"/>
  <c r="G10" i="56" s="1"/>
  <c r="G11" i="56" s="1"/>
  <c r="G12" i="56" s="1"/>
  <c r="G13" i="56" s="1"/>
  <c r="G14" i="56" s="1"/>
  <c r="G15" i="56" s="1"/>
  <c r="G16" i="56" s="1"/>
  <c r="G17" i="56" s="1"/>
  <c r="G18" i="56" s="1"/>
  <c r="G19" i="56" s="1"/>
  <c r="G20" i="56" s="1"/>
  <c r="G21" i="56" s="1"/>
  <c r="G22" i="56" s="1"/>
  <c r="G23" i="56" s="1"/>
  <c r="G24" i="56" s="1"/>
  <c r="G25" i="56" s="1"/>
  <c r="G26" i="56" s="1"/>
  <c r="G27" i="56" s="1"/>
  <c r="G28" i="56" s="1"/>
  <c r="G29" i="56" s="1"/>
  <c r="G30" i="56" s="1"/>
  <c r="G31" i="56" s="1"/>
  <c r="G32" i="56" s="1"/>
  <c r="G33" i="56" s="1"/>
  <c r="G34" i="56" s="1"/>
  <c r="G35" i="56" s="1"/>
  <c r="G36" i="56" s="1"/>
  <c r="G37" i="56" s="1"/>
  <c r="G38" i="56" s="1"/>
  <c r="G39" i="56" s="1"/>
  <c r="G40" i="56" s="1"/>
  <c r="G41" i="56" s="1"/>
  <c r="G42" i="56" s="1"/>
  <c r="G43" i="56" s="1"/>
  <c r="G44" i="56" s="1"/>
  <c r="G45" i="56" s="1"/>
  <c r="G46" i="56" s="1"/>
  <c r="G47" i="56" s="1"/>
  <c r="G48" i="56" s="1"/>
  <c r="G49" i="56" s="1"/>
  <c r="G50" i="56" s="1"/>
  <c r="G51" i="56" s="1"/>
  <c r="G52" i="56" s="1"/>
  <c r="G53" i="56" s="1"/>
  <c r="G54" i="56" s="1"/>
  <c r="G55" i="56" s="1"/>
  <c r="G56" i="56" s="1"/>
  <c r="G57" i="56" s="1"/>
  <c r="G58" i="56" s="1"/>
  <c r="G59" i="56" s="1"/>
  <c r="G60" i="56" s="1"/>
  <c r="G61" i="56" s="1"/>
  <c r="G62" i="56" s="1"/>
  <c r="G63" i="56" s="1"/>
  <c r="G64" i="56" s="1"/>
  <c r="G65" i="56" s="1"/>
  <c r="G66" i="56" s="1"/>
  <c r="G67" i="56" s="1"/>
  <c r="G68" i="56" s="1"/>
  <c r="G69" i="56" s="1"/>
  <c r="G70" i="56" s="1"/>
  <c r="G71" i="56" s="1"/>
  <c r="G72" i="56" s="1"/>
  <c r="G73" i="56" s="1"/>
  <c r="G74" i="56" s="1"/>
  <c r="G75" i="56" s="1"/>
  <c r="G76" i="56" s="1"/>
  <c r="G77" i="56" s="1"/>
  <c r="G78" i="56" s="1"/>
  <c r="G79" i="56" s="1"/>
  <c r="G80" i="56" s="1"/>
  <c r="G81" i="56" s="1"/>
  <c r="G82" i="56" s="1"/>
  <c r="G83" i="56" s="1"/>
  <c r="G84" i="56" s="1"/>
  <c r="G85" i="56" s="1"/>
  <c r="G86" i="56" s="1"/>
  <c r="G87" i="56" s="1"/>
  <c r="G88" i="56" s="1"/>
  <c r="G89" i="56" s="1"/>
  <c r="G90" i="56" s="1"/>
  <c r="G91" i="56" s="1"/>
  <c r="G92" i="56" s="1"/>
  <c r="G93" i="56" s="1"/>
  <c r="G94" i="56" s="1"/>
  <c r="G95" i="56" s="1"/>
  <c r="G96" i="56" s="1"/>
  <c r="G97" i="56" s="1"/>
  <c r="G98" i="56" s="1"/>
  <c r="G99" i="56" s="1"/>
  <c r="G100" i="56" s="1"/>
  <c r="G101" i="56" s="1"/>
  <c r="G102" i="56" s="1"/>
  <c r="G103" i="56" s="1"/>
  <c r="G104" i="56" s="1"/>
  <c r="G105" i="56" s="1"/>
  <c r="G106" i="56" s="1"/>
  <c r="G107" i="56" s="1"/>
  <c r="G108" i="56" s="1"/>
  <c r="G109" i="56" s="1"/>
  <c r="G110" i="56" s="1"/>
  <c r="G111" i="56" s="1"/>
  <c r="G112" i="56" s="1"/>
  <c r="G113" i="56" s="1"/>
  <c r="G114" i="56" s="1"/>
  <c r="G115" i="56" s="1"/>
  <c r="G116" i="56" s="1"/>
  <c r="G117" i="56" s="1"/>
  <c r="G118" i="56" s="1"/>
  <c r="G119" i="56" s="1"/>
  <c r="G120" i="56" s="1"/>
  <c r="G121" i="56" s="1"/>
  <c r="G122" i="56" s="1"/>
  <c r="G123" i="56" s="1"/>
  <c r="E4" i="56" a="1"/>
  <c r="F57" i="56"/>
  <c r="D57" i="56"/>
  <c r="C57" i="56" s="1"/>
  <c r="D15" i="56"/>
  <c r="C15" i="56" s="1"/>
  <c r="F15" i="56"/>
  <c r="I124" i="34"/>
  <c r="BI124" i="34"/>
  <c r="BI73" i="34"/>
  <c r="I73" i="34"/>
  <c r="H17" i="24"/>
  <c r="E17" i="24"/>
  <c r="H20" i="24"/>
  <c r="E20" i="24"/>
  <c r="H10" i="24"/>
  <c r="E10" i="24"/>
  <c r="H39" i="24"/>
  <c r="E39" i="24"/>
  <c r="E38" i="24"/>
  <c r="H38" i="24"/>
  <c r="BI100" i="34"/>
  <c r="I100" i="34"/>
  <c r="I48" i="34"/>
  <c r="BI48" i="34"/>
  <c r="BI71" i="34"/>
  <c r="I71" i="34"/>
  <c r="BI93" i="34"/>
  <c r="I93" i="34"/>
  <c r="I77" i="34"/>
  <c r="BI77" i="34"/>
  <c r="BI88" i="34"/>
  <c r="I88" i="34"/>
  <c r="I25" i="34"/>
  <c r="BI25" i="34"/>
  <c r="L20" i="38"/>
  <c r="O20" i="38" s="1"/>
  <c r="I41" i="34"/>
  <c r="BI41" i="34"/>
  <c r="E13" i="35"/>
  <c r="I42" i="34"/>
  <c r="BI42" i="34"/>
  <c r="BI34" i="34"/>
  <c r="I34" i="34"/>
  <c r="AC3" i="44"/>
  <c r="AC5" i="44"/>
  <c r="AB5" i="44"/>
  <c r="AA3" i="44"/>
  <c r="W3" i="44" s="1" a="1"/>
  <c r="AC4" i="44"/>
  <c r="AB4" i="44"/>
  <c r="AA5" i="44"/>
  <c r="AA4" i="44"/>
  <c r="AB3" i="44"/>
  <c r="BI87" i="34"/>
  <c r="I87" i="34"/>
  <c r="I126" i="34"/>
  <c r="BI126" i="34"/>
  <c r="I64" i="34"/>
  <c r="BI64" i="34"/>
  <c r="I81" i="34"/>
  <c r="BI81" i="34"/>
  <c r="P6" i="38"/>
  <c r="I118" i="34"/>
  <c r="BI118" i="34"/>
  <c r="I119" i="34"/>
  <c r="BI119" i="34"/>
  <c r="P7" i="37"/>
  <c r="H40" i="24"/>
  <c r="E40" i="24"/>
  <c r="E22" i="24"/>
  <c r="H22" i="24"/>
  <c r="E44" i="24"/>
  <c r="H44" i="24"/>
  <c r="E30" i="24"/>
  <c r="H30" i="24"/>
  <c r="H35" i="24"/>
  <c r="E35" i="24"/>
  <c r="L8" i="38"/>
  <c r="O8" i="38" s="1"/>
  <c r="BI85" i="34"/>
  <c r="I85" i="34"/>
  <c r="X26" i="40"/>
  <c r="P9" i="39"/>
  <c r="F60" i="58"/>
  <c r="D60" i="58"/>
  <c r="C60" i="58" s="1"/>
  <c r="F67" i="58"/>
  <c r="D67" i="58"/>
  <c r="C67" i="58" s="1"/>
  <c r="F49" i="58"/>
  <c r="D49" i="58"/>
  <c r="C49" i="58" s="1"/>
  <c r="D28" i="58"/>
  <c r="C28" i="58" s="1"/>
  <c r="F28" i="58"/>
  <c r="D43" i="58"/>
  <c r="C43" i="58" s="1"/>
  <c r="F43" i="58"/>
  <c r="F57" i="58"/>
  <c r="D57" i="58"/>
  <c r="C57" i="58" s="1"/>
  <c r="F90" i="58"/>
  <c r="D90" i="58"/>
  <c r="C90" i="58" s="1"/>
  <c r="D20" i="58"/>
  <c r="C20" i="58" s="1"/>
  <c r="F20" i="58"/>
  <c r="D100" i="58"/>
  <c r="C100" i="58" s="1"/>
  <c r="F100" i="58"/>
  <c r="F89" i="58"/>
  <c r="D89" i="58"/>
  <c r="C89" i="58" s="1"/>
  <c r="F59" i="58"/>
  <c r="D59" i="58"/>
  <c r="C59" i="58" s="1"/>
  <c r="D9" i="58"/>
  <c r="C9" i="58" s="1"/>
  <c r="F9" i="58"/>
  <c r="F11" i="58"/>
  <c r="D11" i="58"/>
  <c r="C11" i="58" s="1"/>
  <c r="D38" i="58"/>
  <c r="C38" i="58" s="1"/>
  <c r="F38" i="58"/>
  <c r="D73" i="58"/>
  <c r="C73" i="58" s="1"/>
  <c r="F73" i="58"/>
  <c r="P14" i="37"/>
  <c r="D90" i="56"/>
  <c r="C90" i="56" s="1"/>
  <c r="F90" i="56"/>
  <c r="D81" i="56"/>
  <c r="C81" i="56" s="1"/>
  <c r="F81" i="56"/>
  <c r="D87" i="56"/>
  <c r="C87" i="56" s="1"/>
  <c r="F87" i="56"/>
  <c r="D70" i="56"/>
  <c r="C70" i="56" s="1"/>
  <c r="F70" i="56"/>
  <c r="F94" i="56"/>
  <c r="D94" i="56"/>
  <c r="C94" i="56" s="1"/>
  <c r="D96" i="56"/>
  <c r="C96" i="56" s="1"/>
  <c r="F96" i="56"/>
  <c r="D33" i="56"/>
  <c r="C33" i="56" s="1"/>
  <c r="F33" i="56"/>
  <c r="F30" i="56"/>
  <c r="D30" i="56"/>
  <c r="C30" i="56" s="1"/>
  <c r="F45" i="56"/>
  <c r="D45" i="56"/>
  <c r="C45" i="56" s="1"/>
  <c r="D60" i="56"/>
  <c r="C60" i="56" s="1"/>
  <c r="F60" i="56"/>
  <c r="F111" i="56"/>
  <c r="D111" i="56"/>
  <c r="C111" i="56" s="1"/>
  <c r="F85" i="56"/>
  <c r="D85" i="56"/>
  <c r="C85" i="56" s="1"/>
  <c r="F43" i="56"/>
  <c r="D43" i="56"/>
  <c r="C43" i="56" s="1"/>
  <c r="F61" i="56"/>
  <c r="D61" i="56"/>
  <c r="C61" i="56" s="1"/>
  <c r="D115" i="56"/>
  <c r="C115" i="56" s="1"/>
  <c r="F115" i="56"/>
  <c r="P10" i="37"/>
  <c r="F13" i="35"/>
  <c r="F14" i="35"/>
  <c r="F17" i="35"/>
  <c r="F16" i="35"/>
  <c r="F15" i="35"/>
  <c r="N17" i="43" l="1"/>
  <c r="N17" i="44"/>
  <c r="N16" i="44"/>
  <c r="AH44" i="44"/>
  <c r="AH24" i="44"/>
  <c r="AH12" i="44"/>
  <c r="N26" i="42"/>
  <c r="N23" i="42"/>
  <c r="AH31" i="44"/>
  <c r="AH30" i="44"/>
  <c r="AH56" i="44"/>
  <c r="AH33" i="44"/>
  <c r="AH63" i="44"/>
  <c r="AH36" i="44"/>
  <c r="AH53" i="44"/>
  <c r="AH51" i="44"/>
  <c r="AH23" i="44"/>
  <c r="N15" i="42"/>
  <c r="AD26" i="45"/>
  <c r="J18" i="45"/>
  <c r="N24" i="42"/>
  <c r="N20" i="42"/>
  <c r="N29" i="42"/>
  <c r="N18" i="43"/>
  <c r="J16" i="45"/>
  <c r="AD13" i="45"/>
  <c r="AH37" i="44"/>
  <c r="AH45" i="44"/>
  <c r="AH8" i="44"/>
  <c r="AD6" i="45"/>
  <c r="N18" i="44"/>
  <c r="AD3" i="45"/>
  <c r="AD7" i="45"/>
  <c r="AH46" i="44"/>
  <c r="AH19" i="44"/>
  <c r="AH55" i="44"/>
  <c r="AD12" i="45"/>
  <c r="J17" i="45"/>
  <c r="AH20" i="44"/>
  <c r="AH58" i="44"/>
  <c r="AH21" i="44"/>
  <c r="AD15" i="45"/>
  <c r="AH35" i="44"/>
  <c r="AH4" i="44"/>
  <c r="AH41" i="44"/>
  <c r="AD21" i="45"/>
  <c r="AD23" i="45"/>
  <c r="AH49" i="44"/>
  <c r="AH26" i="44"/>
  <c r="AH9" i="44"/>
  <c r="AD20" i="45"/>
  <c r="J15" i="45"/>
  <c r="N20" i="43"/>
  <c r="AH13" i="44"/>
  <c r="AH6" i="44"/>
  <c r="AH28" i="44"/>
  <c r="AH47" i="44"/>
  <c r="AH32" i="44"/>
  <c r="AH54" i="44"/>
  <c r="AH29" i="44"/>
  <c r="AH14" i="44"/>
  <c r="AD11" i="45"/>
  <c r="AD4" i="45"/>
  <c r="AD22" i="45"/>
  <c r="J19" i="45"/>
  <c r="N15" i="44"/>
  <c r="AH25" i="44"/>
  <c r="AD10" i="45"/>
  <c r="AH52" i="44"/>
  <c r="AH34" i="44"/>
  <c r="AH64" i="44"/>
  <c r="AH22" i="44"/>
  <c r="AH57" i="44"/>
  <c r="AH60" i="44"/>
  <c r="AH10" i="44"/>
  <c r="AH42" i="44"/>
  <c r="AD25" i="45"/>
  <c r="AD17" i="45"/>
  <c r="AD16" i="45"/>
  <c r="AH59" i="44"/>
  <c r="AH50" i="44"/>
  <c r="AH39" i="44"/>
  <c r="N19" i="44"/>
  <c r="AD18" i="45"/>
  <c r="N21" i="44"/>
  <c r="AH15" i="44"/>
  <c r="AH17" i="44"/>
  <c r="AH5" i="44"/>
  <c r="AH3" i="44"/>
  <c r="AH65" i="44"/>
  <c r="AH11" i="44"/>
  <c r="AH62" i="44"/>
  <c r="AH16" i="44"/>
  <c r="AD19" i="45"/>
  <c r="AD8" i="45"/>
  <c r="AD14" i="45"/>
  <c r="AH40" i="44"/>
  <c r="AH48" i="44"/>
  <c r="AH18" i="44"/>
  <c r="AH38" i="44"/>
  <c r="AH61" i="44"/>
  <c r="AH43" i="44"/>
  <c r="AH7" i="44"/>
  <c r="AH27" i="44"/>
  <c r="AD9" i="45"/>
  <c r="AD5" i="45"/>
  <c r="M44" i="34"/>
  <c r="N17" i="42"/>
  <c r="M30" i="34"/>
  <c r="N23" i="43"/>
  <c r="N30" i="42"/>
  <c r="M23" i="34"/>
  <c r="M48" i="34"/>
  <c r="BK4" i="34"/>
  <c r="E15" i="33" s="1"/>
  <c r="BK1" i="34"/>
  <c r="D15" i="33" s="1"/>
  <c r="M103" i="34"/>
  <c r="BK106" i="34"/>
  <c r="S3" i="45"/>
  <c r="S5" i="45"/>
  <c r="S4" i="45"/>
  <c r="BK17" i="34"/>
  <c r="BK74" i="34"/>
  <c r="F3" i="45"/>
  <c r="F4" i="45" a="1"/>
  <c r="M36" i="34"/>
  <c r="M13" i="34"/>
  <c r="M98" i="34"/>
  <c r="BK78" i="34"/>
  <c r="BK44" i="34"/>
  <c r="M54" i="34"/>
  <c r="M17" i="34"/>
  <c r="M100" i="34"/>
  <c r="M19" i="34"/>
  <c r="M28" i="34"/>
  <c r="BK80" i="34"/>
  <c r="M9" i="34"/>
  <c r="BK62" i="34"/>
  <c r="M60" i="34"/>
  <c r="M41" i="34"/>
  <c r="M18" i="34"/>
  <c r="M89" i="34"/>
  <c r="M127" i="34"/>
  <c r="BK29" i="34"/>
  <c r="W4" i="44"/>
  <c r="W5" i="44"/>
  <c r="W3" i="44"/>
  <c r="M25" i="34"/>
  <c r="BK71" i="34"/>
  <c r="M76" i="34"/>
  <c r="BK56" i="34"/>
  <c r="BK91" i="34"/>
  <c r="M49" i="34"/>
  <c r="M81" i="34"/>
  <c r="M87" i="34"/>
  <c r="M42" i="34"/>
  <c r="M88" i="34"/>
  <c r="BK48" i="34"/>
  <c r="M73" i="34"/>
  <c r="E56" i="56"/>
  <c r="E39" i="56"/>
  <c r="E40" i="56"/>
  <c r="E123" i="56"/>
  <c r="E114" i="56"/>
  <c r="E51" i="56"/>
  <c r="E88" i="56"/>
  <c r="E62" i="56"/>
  <c r="E53" i="56"/>
  <c r="E107" i="56"/>
  <c r="E41" i="56"/>
  <c r="E20" i="56"/>
  <c r="E15" i="56"/>
  <c r="E13" i="56"/>
  <c r="E64" i="56"/>
  <c r="E105" i="56"/>
  <c r="E46" i="56"/>
  <c r="E74" i="56"/>
  <c r="E45" i="56"/>
  <c r="E99" i="56"/>
  <c r="E120" i="56"/>
  <c r="E10" i="56"/>
  <c r="E78" i="56"/>
  <c r="E109" i="56"/>
  <c r="E117" i="56"/>
  <c r="E11" i="56"/>
  <c r="E69" i="56"/>
  <c r="E32" i="56"/>
  <c r="E82" i="56"/>
  <c r="E111" i="56"/>
  <c r="E67" i="56"/>
  <c r="E17" i="56"/>
  <c r="E6" i="56"/>
  <c r="E115" i="56"/>
  <c r="E96" i="56"/>
  <c r="E75" i="56"/>
  <c r="E33" i="56"/>
  <c r="E35" i="56"/>
  <c r="E31" i="56"/>
  <c r="E116" i="56"/>
  <c r="E36" i="56"/>
  <c r="E81" i="56"/>
  <c r="E7" i="56"/>
  <c r="E25" i="56"/>
  <c r="E80" i="56"/>
  <c r="E95" i="56"/>
  <c r="E66" i="56"/>
  <c r="E29" i="56"/>
  <c r="E38" i="56"/>
  <c r="E76" i="56"/>
  <c r="E73" i="56"/>
  <c r="E44" i="56"/>
  <c r="E48" i="56"/>
  <c r="E65" i="56"/>
  <c r="E119" i="56"/>
  <c r="E9" i="56"/>
  <c r="E23" i="56"/>
  <c r="E112" i="56"/>
  <c r="E84" i="56"/>
  <c r="E86" i="56"/>
  <c r="E30" i="56"/>
  <c r="E71" i="56"/>
  <c r="E106" i="56"/>
  <c r="E79" i="56"/>
  <c r="E93" i="56"/>
  <c r="E21" i="56"/>
  <c r="E14" i="56"/>
  <c r="E26" i="56"/>
  <c r="E52" i="56"/>
  <c r="E37" i="56"/>
  <c r="E68" i="56"/>
  <c r="E42" i="56"/>
  <c r="E57" i="56"/>
  <c r="E91" i="56"/>
  <c r="E70" i="56"/>
  <c r="E97" i="56"/>
  <c r="E47" i="56"/>
  <c r="E28" i="56"/>
  <c r="E55" i="56"/>
  <c r="E54" i="56"/>
  <c r="E19" i="56"/>
  <c r="E18" i="56"/>
  <c r="E87" i="56"/>
  <c r="E100" i="56"/>
  <c r="E58" i="56"/>
  <c r="E98" i="56"/>
  <c r="E92" i="56"/>
  <c r="E24" i="56"/>
  <c r="E102" i="56"/>
  <c r="E4" i="56"/>
  <c r="E94" i="56"/>
  <c r="E16" i="56"/>
  <c r="E83" i="56"/>
  <c r="E34" i="56"/>
  <c r="E113" i="56"/>
  <c r="E50" i="56"/>
  <c r="E49" i="56"/>
  <c r="E85" i="56"/>
  <c r="E43" i="56"/>
  <c r="E118" i="56"/>
  <c r="E8" i="56"/>
  <c r="E72" i="56"/>
  <c r="E122" i="56"/>
  <c r="E89" i="56"/>
  <c r="E60" i="56"/>
  <c r="E12" i="56"/>
  <c r="E61" i="56"/>
  <c r="E101" i="56"/>
  <c r="E90" i="56"/>
  <c r="E63" i="56"/>
  <c r="E59" i="56"/>
  <c r="E27" i="56"/>
  <c r="E110" i="56"/>
  <c r="E108" i="56"/>
  <c r="E77" i="56"/>
  <c r="E5" i="56"/>
  <c r="E104" i="56"/>
  <c r="E103" i="56"/>
  <c r="E121" i="56"/>
  <c r="E22" i="56"/>
  <c r="M40" i="34"/>
  <c r="BK123" i="34"/>
  <c r="M68" i="34"/>
  <c r="M26" i="34"/>
  <c r="BK94" i="34"/>
  <c r="BK66" i="34"/>
  <c r="M52" i="34"/>
  <c r="M102" i="34"/>
  <c r="BK103" i="34"/>
  <c r="M106" i="34"/>
  <c r="M105" i="34"/>
  <c r="BK82" i="34"/>
  <c r="BK7" i="34"/>
  <c r="BK129" i="34"/>
  <c r="BK128" i="34"/>
  <c r="BK72" i="34"/>
  <c r="BK12" i="34"/>
  <c r="M125" i="34"/>
  <c r="BK39" i="34"/>
  <c r="W9" i="44"/>
  <c r="W10" i="44"/>
  <c r="M45" i="34"/>
  <c r="BK23" i="34"/>
  <c r="BK30" i="34"/>
  <c r="M22" i="34"/>
  <c r="M14" i="34"/>
  <c r="M74" i="34"/>
  <c r="M32" i="34"/>
  <c r="BK90" i="34"/>
  <c r="M21" i="34"/>
  <c r="BK6" i="34"/>
  <c r="BK73" i="34"/>
  <c r="M123" i="34"/>
  <c r="M66" i="34"/>
  <c r="BK52" i="34"/>
  <c r="BK105" i="34"/>
  <c r="BK69" i="34"/>
  <c r="M90" i="34"/>
  <c r="BK119" i="34"/>
  <c r="BK77" i="34"/>
  <c r="M62" i="34"/>
  <c r="M112" i="34"/>
  <c r="BK84" i="34"/>
  <c r="BK53" i="34"/>
  <c r="BK114" i="34"/>
  <c r="BK101" i="34"/>
  <c r="BK51" i="34"/>
  <c r="BK24" i="34"/>
  <c r="BK61" i="34"/>
  <c r="M119" i="34"/>
  <c r="BK79" i="34"/>
  <c r="M83" i="34"/>
  <c r="BK98" i="34"/>
  <c r="M15" i="34"/>
  <c r="M63" i="34"/>
  <c r="M20" i="34"/>
  <c r="M53" i="34"/>
  <c r="M29" i="34"/>
  <c r="M113" i="34"/>
  <c r="M24" i="34"/>
  <c r="BK37" i="34"/>
  <c r="M93" i="34"/>
  <c r="M79" i="34"/>
  <c r="BK83" i="34"/>
  <c r="BK95" i="34"/>
  <c r="M80" i="34"/>
  <c r="M43" i="34"/>
  <c r="M109" i="34"/>
  <c r="BK63" i="34"/>
  <c r="BK75" i="34"/>
  <c r="BK60" i="34"/>
  <c r="M47" i="34"/>
  <c r="M11" i="34"/>
  <c r="BK113" i="34"/>
  <c r="BK38" i="34"/>
  <c r="BK46" i="34"/>
  <c r="M118" i="34"/>
  <c r="BK34" i="34"/>
  <c r="BK93" i="34"/>
  <c r="W4" i="42"/>
  <c r="W3" i="42"/>
  <c r="W5" i="42"/>
  <c r="M95" i="34"/>
  <c r="M97" i="34"/>
  <c r="BK122" i="34"/>
  <c r="BK18" i="34"/>
  <c r="N15" i="43"/>
  <c r="BK43" i="34"/>
  <c r="M57" i="34"/>
  <c r="M8" i="34"/>
  <c r="BK89" i="34"/>
  <c r="BK109" i="34"/>
  <c r="M31" i="34"/>
  <c r="N25" i="42"/>
  <c r="AH26" i="42"/>
  <c r="AH152" i="42"/>
  <c r="AH166" i="42"/>
  <c r="AH102" i="42"/>
  <c r="AH22" i="42"/>
  <c r="AH240" i="42"/>
  <c r="AH143" i="42"/>
  <c r="AH180" i="42"/>
  <c r="AH58" i="42"/>
  <c r="AH124" i="42"/>
  <c r="AH80" i="42"/>
  <c r="AH51" i="42"/>
  <c r="AH148" i="42"/>
  <c r="AH47" i="42"/>
  <c r="AH42" i="42"/>
  <c r="AH255" i="42"/>
  <c r="AH246" i="42"/>
  <c r="AH158" i="42"/>
  <c r="AH173" i="42"/>
  <c r="AH104" i="42"/>
  <c r="AH19" i="42"/>
  <c r="AH149" i="42"/>
  <c r="AH108" i="42"/>
  <c r="AH258" i="42"/>
  <c r="AH227" i="42"/>
  <c r="AH225" i="42"/>
  <c r="AH57" i="42"/>
  <c r="AH175" i="42"/>
  <c r="AH188" i="42"/>
  <c r="AH135" i="42"/>
  <c r="AH56" i="42"/>
  <c r="AH109" i="42"/>
  <c r="AH118" i="42"/>
  <c r="AH243" i="42"/>
  <c r="AH212" i="42"/>
  <c r="AH198" i="42"/>
  <c r="AH259" i="42"/>
  <c r="AH151" i="42"/>
  <c r="AH133" i="42"/>
  <c r="AH146" i="42"/>
  <c r="AH232" i="42"/>
  <c r="AH54" i="42"/>
  <c r="AH164" i="42"/>
  <c r="AH210" i="42"/>
  <c r="AH177" i="42"/>
  <c r="AH11" i="42"/>
  <c r="AH87" i="42"/>
  <c r="AH38" i="42"/>
  <c r="AH106" i="42"/>
  <c r="AH9" i="42"/>
  <c r="AH93" i="42"/>
  <c r="AH75" i="42"/>
  <c r="AH211" i="42"/>
  <c r="AH79" i="42"/>
  <c r="AH189" i="42"/>
  <c r="AH37" i="42"/>
  <c r="AH245" i="42"/>
  <c r="AH43" i="42"/>
  <c r="AH154" i="42"/>
  <c r="AH96" i="42"/>
  <c r="AH201" i="42"/>
  <c r="AH21" i="42"/>
  <c r="AH110" i="42"/>
  <c r="AH70" i="42"/>
  <c r="AH94" i="42"/>
  <c r="AH28" i="42"/>
  <c r="AH171" i="42"/>
  <c r="AH209" i="42"/>
  <c r="AH30" i="42"/>
  <c r="AH252" i="42"/>
  <c r="AH229" i="42"/>
  <c r="AH92" i="42"/>
  <c r="AH23" i="42"/>
  <c r="AH12" i="42"/>
  <c r="AH200" i="42"/>
  <c r="AH223" i="42"/>
  <c r="AH231" i="42"/>
  <c r="AH157" i="42"/>
  <c r="AH77" i="42"/>
  <c r="AH25" i="42"/>
  <c r="AH116" i="42"/>
  <c r="AH249" i="42"/>
  <c r="AH90" i="42"/>
  <c r="AH84" i="42"/>
  <c r="AH165" i="42"/>
  <c r="AH216" i="42"/>
  <c r="AH101" i="42"/>
  <c r="AH40" i="42"/>
  <c r="AH226" i="42"/>
  <c r="AH132" i="42"/>
  <c r="AH257" i="42"/>
  <c r="AH113" i="42"/>
  <c r="AH230" i="42"/>
  <c r="AH31" i="42"/>
  <c r="AH76" i="42"/>
  <c r="AH163" i="42"/>
  <c r="AH18" i="42"/>
  <c r="AH14" i="42"/>
  <c r="AH122" i="42"/>
  <c r="AH3" i="42"/>
  <c r="AH140" i="42"/>
  <c r="AH59" i="42"/>
  <c r="AH237" i="42"/>
  <c r="AH161" i="42"/>
  <c r="AH15" i="42"/>
  <c r="AH95" i="42"/>
  <c r="AH49" i="42"/>
  <c r="AH44" i="42"/>
  <c r="AH217" i="42"/>
  <c r="AH169" i="42"/>
  <c r="AH238" i="42"/>
  <c r="AH224" i="42"/>
  <c r="AH100" i="42"/>
  <c r="AH162" i="42"/>
  <c r="AH13" i="42"/>
  <c r="AH218" i="42"/>
  <c r="AH186" i="42"/>
  <c r="AH219" i="42"/>
  <c r="AH55" i="42"/>
  <c r="AH111" i="42"/>
  <c r="AH98" i="42"/>
  <c r="AH236" i="42"/>
  <c r="AH191" i="42"/>
  <c r="AH195" i="42"/>
  <c r="AH183" i="42"/>
  <c r="AH6" i="42"/>
  <c r="AH85" i="42"/>
  <c r="AH8" i="42"/>
  <c r="AH86" i="42"/>
  <c r="AH97" i="42"/>
  <c r="AH156" i="42"/>
  <c r="AH214" i="42"/>
  <c r="AH215" i="42"/>
  <c r="AH41" i="42"/>
  <c r="AH241" i="42"/>
  <c r="AH242" i="42"/>
  <c r="AH254" i="42"/>
  <c r="AH206" i="42"/>
  <c r="AH114" i="42"/>
  <c r="AH130" i="42"/>
  <c r="AH88" i="42"/>
  <c r="AH63" i="42"/>
  <c r="AH82" i="42"/>
  <c r="AH247" i="42"/>
  <c r="AH208" i="42"/>
  <c r="AH202" i="42"/>
  <c r="AH32" i="42"/>
  <c r="AH153" i="42"/>
  <c r="AH174" i="42"/>
  <c r="AH193" i="42"/>
  <c r="AH160" i="42"/>
  <c r="AH147" i="42"/>
  <c r="AH167" i="42"/>
  <c r="AH115" i="42"/>
  <c r="AH81" i="42"/>
  <c r="AH105" i="42"/>
  <c r="AH221" i="42"/>
  <c r="AH192" i="42"/>
  <c r="AH194" i="42"/>
  <c r="AH60" i="42"/>
  <c r="AH74" i="42"/>
  <c r="AH52" i="42"/>
  <c r="AH176" i="42"/>
  <c r="AH36" i="42"/>
  <c r="AH134" i="42"/>
  <c r="AH83" i="42"/>
  <c r="AH228" i="42"/>
  <c r="AH172" i="42"/>
  <c r="AH35" i="42"/>
  <c r="AH196" i="42"/>
  <c r="AH220" i="42"/>
  <c r="AH204" i="42"/>
  <c r="AH27" i="42"/>
  <c r="AH20" i="42"/>
  <c r="AH125" i="42"/>
  <c r="AH68" i="42"/>
  <c r="AH159" i="42"/>
  <c r="AH168" i="42"/>
  <c r="AH16" i="42"/>
  <c r="AH39" i="42"/>
  <c r="AH123" i="42"/>
  <c r="AH61" i="42"/>
  <c r="AH181" i="42"/>
  <c r="AH131" i="42"/>
  <c r="AH66" i="42"/>
  <c r="AH256" i="42"/>
  <c r="AH17" i="42"/>
  <c r="AH251" i="42"/>
  <c r="AH253" i="42"/>
  <c r="AH129" i="42"/>
  <c r="AH7" i="42"/>
  <c r="AH239" i="42"/>
  <c r="AH29" i="42"/>
  <c r="AH4" i="42"/>
  <c r="AH199" i="42"/>
  <c r="AH197" i="42"/>
  <c r="AH65" i="42"/>
  <c r="AH67" i="42"/>
  <c r="AH120" i="42"/>
  <c r="AH34" i="42"/>
  <c r="AH78" i="42"/>
  <c r="AH112" i="42"/>
  <c r="AH179" i="42"/>
  <c r="AH248" i="42"/>
  <c r="AH155" i="42"/>
  <c r="AH126" i="42"/>
  <c r="AH117" i="42"/>
  <c r="AH222" i="42"/>
  <c r="AH121" i="42"/>
  <c r="AH182" i="42"/>
  <c r="AH50" i="42"/>
  <c r="AH136" i="42"/>
  <c r="AH213" i="42"/>
  <c r="AH234" i="42"/>
  <c r="AH244" i="42"/>
  <c r="AH91" i="42"/>
  <c r="AH48" i="42"/>
  <c r="AH62" i="42"/>
  <c r="AH73" i="42"/>
  <c r="AH10" i="42"/>
  <c r="AH187" i="42"/>
  <c r="AH69" i="42"/>
  <c r="AH205" i="42"/>
  <c r="AH45" i="42"/>
  <c r="AH142" i="42"/>
  <c r="AH119" i="42"/>
  <c r="AH89" i="42"/>
  <c r="AH71" i="42"/>
  <c r="AH138" i="42"/>
  <c r="AH190" i="42"/>
  <c r="AH145" i="42"/>
  <c r="AH144" i="42"/>
  <c r="AH250" i="42"/>
  <c r="AH185" i="42"/>
  <c r="AH107" i="42"/>
  <c r="AH233" i="42"/>
  <c r="AH64" i="42"/>
  <c r="AH46" i="42"/>
  <c r="AH72" i="42"/>
  <c r="AH5" i="42"/>
  <c r="AH99" i="42"/>
  <c r="AH33" i="42"/>
  <c r="AH24" i="42"/>
  <c r="AH103" i="42"/>
  <c r="AH141" i="42"/>
  <c r="AH137" i="42"/>
  <c r="AH170" i="42"/>
  <c r="AH207" i="42"/>
  <c r="AH178" i="42"/>
  <c r="AH203" i="42"/>
  <c r="AH128" i="42"/>
  <c r="AH184" i="42"/>
  <c r="AH150" i="42"/>
  <c r="AH235" i="42"/>
  <c r="AH127" i="42"/>
  <c r="AH53" i="42"/>
  <c r="AH139" i="42"/>
  <c r="BK65" i="34"/>
  <c r="N19" i="43"/>
  <c r="W9" i="42"/>
  <c r="W10" i="42"/>
  <c r="BK55" i="34"/>
  <c r="BK116" i="34"/>
  <c r="BK47" i="34"/>
  <c r="BK127" i="34"/>
  <c r="M70" i="34"/>
  <c r="BK92" i="34"/>
  <c r="BK86" i="34"/>
  <c r="M121" i="34"/>
  <c r="M38" i="34"/>
  <c r="M35" i="34"/>
  <c r="N22" i="42"/>
  <c r="BK115" i="34"/>
  <c r="BK87" i="34"/>
  <c r="BK88" i="34"/>
  <c r="BK36" i="34"/>
  <c r="BK26" i="34"/>
  <c r="M94" i="34"/>
  <c r="BK112" i="34"/>
  <c r="M78" i="34"/>
  <c r="M84" i="34"/>
  <c r="BK27" i="34"/>
  <c r="BK64" i="34"/>
  <c r="BK124" i="34"/>
  <c r="BK19" i="34"/>
  <c r="BK28" i="34"/>
  <c r="Q5" i="34"/>
  <c r="BK15" i="34"/>
  <c r="M110" i="34"/>
  <c r="M37" i="34"/>
  <c r="M64" i="34"/>
  <c r="BK41" i="34"/>
  <c r="M124" i="34"/>
  <c r="BK13" i="34"/>
  <c r="BK10" i="34"/>
  <c r="M75" i="34"/>
  <c r="M51" i="34"/>
  <c r="M46" i="34"/>
  <c r="BK85" i="34"/>
  <c r="M34" i="34"/>
  <c r="BK100" i="34"/>
  <c r="BK97" i="34"/>
  <c r="M96" i="34"/>
  <c r="E112" i="58"/>
  <c r="E84" i="58"/>
  <c r="E67" i="58"/>
  <c r="E108" i="58"/>
  <c r="E51" i="58"/>
  <c r="E120" i="58"/>
  <c r="E7" i="58"/>
  <c r="E72" i="58"/>
  <c r="E73" i="58"/>
  <c r="E76" i="58"/>
  <c r="E50" i="58"/>
  <c r="E123" i="58"/>
  <c r="E100" i="58"/>
  <c r="E59" i="58"/>
  <c r="E35" i="58"/>
  <c r="E27" i="58"/>
  <c r="E95" i="58"/>
  <c r="E6" i="58"/>
  <c r="E55" i="58"/>
  <c r="E14" i="58"/>
  <c r="E37" i="58"/>
  <c r="E4" i="58"/>
  <c r="E74" i="58"/>
  <c r="E75" i="58"/>
  <c r="E17" i="58"/>
  <c r="E119" i="58"/>
  <c r="E68" i="58"/>
  <c r="E86" i="58"/>
  <c r="E106" i="58"/>
  <c r="E90" i="58"/>
  <c r="E97" i="58"/>
  <c r="E15" i="58"/>
  <c r="E42" i="58"/>
  <c r="E30" i="58"/>
  <c r="E109" i="58"/>
  <c r="E114" i="58"/>
  <c r="E53" i="58"/>
  <c r="E111" i="58"/>
  <c r="E96" i="58"/>
  <c r="E103" i="58"/>
  <c r="E39" i="58"/>
  <c r="E92" i="58"/>
  <c r="E45" i="58"/>
  <c r="E20" i="58"/>
  <c r="E110" i="58"/>
  <c r="E88" i="58"/>
  <c r="E54" i="58"/>
  <c r="E99" i="58"/>
  <c r="E11" i="58"/>
  <c r="E61" i="58"/>
  <c r="E80" i="58"/>
  <c r="E40" i="58"/>
  <c r="E78" i="58"/>
  <c r="E26" i="58"/>
  <c r="E115" i="58"/>
  <c r="E58" i="58"/>
  <c r="E77" i="58"/>
  <c r="E101" i="58"/>
  <c r="E71" i="58"/>
  <c r="E12" i="58"/>
  <c r="E117" i="58"/>
  <c r="E60" i="58"/>
  <c r="E47" i="58"/>
  <c r="E98" i="58"/>
  <c r="E83" i="58"/>
  <c r="E49" i="58"/>
  <c r="E93" i="58"/>
  <c r="E43" i="58"/>
  <c r="E8" i="58"/>
  <c r="E105" i="58"/>
  <c r="E56" i="58"/>
  <c r="E44" i="58"/>
  <c r="E19" i="58"/>
  <c r="E13" i="58"/>
  <c r="E121" i="58"/>
  <c r="E113" i="58"/>
  <c r="E38" i="58"/>
  <c r="E28" i="58"/>
  <c r="E34" i="58"/>
  <c r="E36" i="58"/>
  <c r="E52" i="58"/>
  <c r="E79" i="58"/>
  <c r="E31" i="58"/>
  <c r="E32" i="58"/>
  <c r="E41" i="58"/>
  <c r="E9" i="58"/>
  <c r="E85" i="58"/>
  <c r="E81" i="58"/>
  <c r="E89" i="58"/>
  <c r="E62" i="58"/>
  <c r="E18" i="58"/>
  <c r="E94" i="58"/>
  <c r="E69" i="58"/>
  <c r="E16" i="58"/>
  <c r="E66" i="58"/>
  <c r="E25" i="58"/>
  <c r="E70" i="58"/>
  <c r="E64" i="58"/>
  <c r="E24" i="58"/>
  <c r="E57" i="58"/>
  <c r="E82" i="58"/>
  <c r="E107" i="58"/>
  <c r="E104" i="58"/>
  <c r="E22" i="58"/>
  <c r="E116" i="58"/>
  <c r="E10" i="58"/>
  <c r="E63" i="58"/>
  <c r="E48" i="58"/>
  <c r="E87" i="58"/>
  <c r="E102" i="58"/>
  <c r="E122" i="58"/>
  <c r="E91" i="58"/>
  <c r="E46" i="58"/>
  <c r="E29" i="58"/>
  <c r="E5" i="58"/>
  <c r="E33" i="58"/>
  <c r="E65" i="58"/>
  <c r="E23" i="58"/>
  <c r="E21" i="58"/>
  <c r="E118" i="58"/>
  <c r="M115" i="34"/>
  <c r="BK126" i="34"/>
  <c r="BK25" i="34"/>
  <c r="M71" i="34"/>
  <c r="BK76" i="34"/>
  <c r="M56" i="34"/>
  <c r="M91" i="34"/>
  <c r="S10" i="45"/>
  <c r="S9" i="45"/>
  <c r="BK49" i="34"/>
  <c r="M122" i="34"/>
  <c r="AH23" i="43"/>
  <c r="AH8" i="43"/>
  <c r="AH36" i="43"/>
  <c r="AH49" i="43"/>
  <c r="AH96" i="43"/>
  <c r="AH127" i="43"/>
  <c r="AH43" i="43"/>
  <c r="AH131" i="43"/>
  <c r="AH121" i="43"/>
  <c r="AH66" i="43"/>
  <c r="AH123" i="43"/>
  <c r="AH84" i="43"/>
  <c r="AH13" i="43"/>
  <c r="AH48" i="43"/>
  <c r="AH77" i="43"/>
  <c r="AH58" i="43"/>
  <c r="AH34" i="43"/>
  <c r="AH83" i="43"/>
  <c r="AH89" i="43"/>
  <c r="AH35" i="43"/>
  <c r="AH27" i="43"/>
  <c r="AH122" i="43"/>
  <c r="AH73" i="43"/>
  <c r="AH126" i="43"/>
  <c r="AH124" i="43"/>
  <c r="AH22" i="43"/>
  <c r="AH78" i="43"/>
  <c r="AH69" i="43"/>
  <c r="AH14" i="43"/>
  <c r="AH103" i="43"/>
  <c r="AH105" i="43"/>
  <c r="AH128" i="43"/>
  <c r="AH100" i="43"/>
  <c r="AH18" i="43"/>
  <c r="AH16" i="43"/>
  <c r="AH132" i="43"/>
  <c r="AH75" i="43"/>
  <c r="AH26" i="43"/>
  <c r="AH94" i="43"/>
  <c r="AH30" i="43"/>
  <c r="AH55" i="43"/>
  <c r="AH62" i="43"/>
  <c r="AH52" i="43"/>
  <c r="AH130" i="43"/>
  <c r="AH85" i="43"/>
  <c r="AH37" i="43"/>
  <c r="AH112" i="43"/>
  <c r="AH9" i="43"/>
  <c r="AH24" i="43"/>
  <c r="AH74" i="43"/>
  <c r="AH51" i="43"/>
  <c r="AH6" i="43"/>
  <c r="AH20" i="43"/>
  <c r="AH70" i="43"/>
  <c r="AH3" i="43"/>
  <c r="AH116" i="43"/>
  <c r="AH56" i="43"/>
  <c r="AH71" i="43"/>
  <c r="AH60" i="43"/>
  <c r="AH120" i="43"/>
  <c r="AH59" i="43"/>
  <c r="AH106" i="43"/>
  <c r="AH81" i="43"/>
  <c r="AH93" i="43"/>
  <c r="AH90" i="43"/>
  <c r="AH109" i="43"/>
  <c r="AH108" i="43"/>
  <c r="AH11" i="43"/>
  <c r="AH38" i="43"/>
  <c r="AH45" i="43"/>
  <c r="AH125" i="43"/>
  <c r="AH40" i="43"/>
  <c r="AH119" i="43"/>
  <c r="AH67" i="43"/>
  <c r="AH95" i="43"/>
  <c r="AH65" i="43"/>
  <c r="AH110" i="43"/>
  <c r="AH46" i="43"/>
  <c r="AH61" i="43"/>
  <c r="AH57" i="43"/>
  <c r="AH98" i="43"/>
  <c r="AH42" i="43"/>
  <c r="AH32" i="43"/>
  <c r="AH17" i="43"/>
  <c r="AH101" i="43"/>
  <c r="AH97" i="43"/>
  <c r="AH68" i="43"/>
  <c r="AH115" i="43"/>
  <c r="AH117" i="43"/>
  <c r="AH7" i="43"/>
  <c r="AH99" i="43"/>
  <c r="AH86" i="43"/>
  <c r="AH118" i="43"/>
  <c r="AH19" i="43"/>
  <c r="AH28" i="43"/>
  <c r="AH41" i="43"/>
  <c r="AH4" i="43"/>
  <c r="AH31" i="43"/>
  <c r="AH10" i="43"/>
  <c r="AH29" i="43"/>
  <c r="AH54" i="43"/>
  <c r="AH114" i="43"/>
  <c r="AH53" i="43"/>
  <c r="AH39" i="43"/>
  <c r="AH79" i="43"/>
  <c r="AH76" i="43"/>
  <c r="AH91" i="43"/>
  <c r="AH12" i="43"/>
  <c r="AH50" i="43"/>
  <c r="AH33" i="43"/>
  <c r="AH82" i="43"/>
  <c r="AH111" i="43"/>
  <c r="AH21" i="43"/>
  <c r="AH129" i="43"/>
  <c r="AH15" i="43"/>
  <c r="AH88" i="43"/>
  <c r="AH44" i="43"/>
  <c r="AH102" i="43"/>
  <c r="AH113" i="43"/>
  <c r="AH25" i="43"/>
  <c r="AH87" i="43"/>
  <c r="AH92" i="43"/>
  <c r="AH64" i="43"/>
  <c r="AH5" i="43"/>
  <c r="AH47" i="43"/>
  <c r="AH80" i="43"/>
  <c r="AH72" i="43"/>
  <c r="AH63" i="43"/>
  <c r="AH104" i="43"/>
  <c r="AH107" i="43"/>
  <c r="BK59" i="34"/>
  <c r="BK120" i="34"/>
  <c r="BK8" i="34"/>
  <c r="M33" i="34"/>
  <c r="M50" i="34"/>
  <c r="BK31" i="34"/>
  <c r="M65" i="34"/>
  <c r="BK111" i="34"/>
  <c r="M55" i="34"/>
  <c r="M116" i="34"/>
  <c r="N24" i="43"/>
  <c r="N18" i="42"/>
  <c r="M67" i="34"/>
  <c r="R15" i="24"/>
  <c r="R23" i="24"/>
  <c r="R25" i="24"/>
  <c r="R13" i="24"/>
  <c r="R8" i="24"/>
  <c r="R30" i="24"/>
  <c r="R28" i="24"/>
  <c r="R22" i="24"/>
  <c r="R20" i="24"/>
  <c r="R46" i="24"/>
  <c r="R41" i="24"/>
  <c r="R14" i="24"/>
  <c r="R31" i="24"/>
  <c r="R18" i="24"/>
  <c r="R7" i="24"/>
  <c r="R39" i="24"/>
  <c r="R10" i="24"/>
  <c r="R33" i="24"/>
  <c r="R37" i="24"/>
  <c r="R45" i="24"/>
  <c r="R16" i="24"/>
  <c r="R32" i="24"/>
  <c r="R26" i="24"/>
  <c r="R24" i="24"/>
  <c r="R11" i="24"/>
  <c r="R40" i="24"/>
  <c r="R43" i="24"/>
  <c r="R36" i="24"/>
  <c r="R38" i="24"/>
  <c r="R21" i="24"/>
  <c r="R34" i="24"/>
  <c r="R44" i="24"/>
  <c r="R35" i="24"/>
  <c r="R42" i="24"/>
  <c r="R29" i="24"/>
  <c r="R9" i="24"/>
  <c r="R27" i="24"/>
  <c r="R5" i="24"/>
  <c r="R6" i="24"/>
  <c r="R17" i="24"/>
  <c r="R12" i="24"/>
  <c r="R19" i="24"/>
  <c r="BK117" i="34"/>
  <c r="M58" i="34"/>
  <c r="M92" i="34"/>
  <c r="M86" i="34"/>
  <c r="BK107" i="34"/>
  <c r="BK121" i="34"/>
  <c r="M99" i="34"/>
  <c r="N16" i="42"/>
  <c r="BK35" i="34"/>
  <c r="N27" i="42"/>
  <c r="BK68" i="34"/>
  <c r="BK102" i="34"/>
  <c r="M82" i="34"/>
  <c r="BK110" i="34"/>
  <c r="BK125" i="34"/>
  <c r="BK54" i="34"/>
  <c r="M114" i="34"/>
  <c r="M61" i="34"/>
  <c r="W9" i="43"/>
  <c r="W10" i="43"/>
  <c r="BK104" i="34"/>
  <c r="BK108" i="34"/>
  <c r="M69" i="34"/>
  <c r="M27" i="34"/>
  <c r="M85" i="34"/>
  <c r="M77" i="34"/>
  <c r="W5" i="43"/>
  <c r="W4" i="43"/>
  <c r="W3" i="43"/>
  <c r="M104" i="34"/>
  <c r="BK96" i="34"/>
  <c r="M108" i="34"/>
  <c r="M16" i="34"/>
  <c r="BK11" i="34"/>
  <c r="M101" i="34"/>
  <c r="BK118" i="34"/>
  <c r="BK9" i="34"/>
  <c r="BK57" i="34"/>
  <c r="M10" i="34"/>
  <c r="BK20" i="34"/>
  <c r="BK16" i="34"/>
  <c r="BK70" i="34"/>
  <c r="BK81" i="34"/>
  <c r="M126" i="34"/>
  <c r="BK42" i="34"/>
  <c r="BK40" i="34"/>
  <c r="N22" i="43"/>
  <c r="M59" i="34"/>
  <c r="M120" i="34"/>
  <c r="N21" i="42"/>
  <c r="BK33" i="34"/>
  <c r="BK50" i="34"/>
  <c r="M7" i="34"/>
  <c r="M129" i="34"/>
  <c r="M111" i="34"/>
  <c r="M128" i="34"/>
  <c r="M72" i="34"/>
  <c r="M12" i="34"/>
  <c r="N28" i="42"/>
  <c r="M39" i="34"/>
  <c r="N21" i="43"/>
  <c r="BK67" i="34"/>
  <c r="BK45" i="34"/>
  <c r="M117" i="34"/>
  <c r="BK58" i="34"/>
  <c r="BK22" i="34"/>
  <c r="BK14" i="34"/>
  <c r="M107" i="34"/>
  <c r="BK32" i="34"/>
  <c r="BK99" i="34"/>
  <c r="BK21" i="34"/>
  <c r="M6" i="34"/>
  <c r="BJ80" i="34"/>
  <c r="BJ71" i="34"/>
  <c r="BJ123" i="34"/>
  <c r="BJ53" i="34"/>
  <c r="BJ98" i="34"/>
  <c r="BJ60" i="34"/>
  <c r="BJ127" i="34"/>
  <c r="BJ36" i="34"/>
  <c r="BJ27" i="34"/>
  <c r="BJ28" i="34"/>
  <c r="BJ111" i="34"/>
  <c r="BJ117" i="34"/>
  <c r="BJ121" i="34"/>
  <c r="BJ108" i="34"/>
  <c r="BJ118" i="34"/>
  <c r="BJ42" i="34"/>
  <c r="BJ45" i="34"/>
  <c r="BJ105" i="34"/>
  <c r="BJ115" i="34"/>
  <c r="BJ70" i="34"/>
  <c r="BJ65" i="34"/>
  <c r="BJ13" i="34"/>
  <c r="BJ104" i="34"/>
  <c r="BJ106" i="34"/>
  <c r="BJ38" i="34"/>
  <c r="BJ18" i="34"/>
  <c r="BJ54" i="34"/>
  <c r="BJ20" i="34"/>
  <c r="BJ74" i="34"/>
  <c r="BJ44" i="34"/>
  <c r="BJ7" i="34"/>
  <c r="BJ12" i="34"/>
  <c r="BJ23" i="34"/>
  <c r="BJ90" i="34"/>
  <c r="BJ119" i="34"/>
  <c r="BJ24" i="34"/>
  <c r="BJ46" i="34"/>
  <c r="BJ43" i="34"/>
  <c r="BJ55" i="34"/>
  <c r="BJ64" i="34"/>
  <c r="BJ41" i="34"/>
  <c r="BJ97" i="34"/>
  <c r="BJ8" i="34"/>
  <c r="BJ102" i="34"/>
  <c r="BJ96" i="34"/>
  <c r="BJ33" i="34"/>
  <c r="BJ32" i="34"/>
  <c r="BJ40" i="34"/>
  <c r="BJ62" i="34"/>
  <c r="BJ129" i="34"/>
  <c r="BJ30" i="34"/>
  <c r="BJ77" i="34"/>
  <c r="BJ61" i="34"/>
  <c r="BJ116" i="34"/>
  <c r="BJ85" i="34"/>
  <c r="BJ99" i="34"/>
  <c r="BJ87" i="34"/>
  <c r="BJ15" i="34"/>
  <c r="BJ81" i="34"/>
  <c r="BJ72" i="34"/>
  <c r="BJ51" i="34"/>
  <c r="BJ75" i="34"/>
  <c r="BJ100" i="34"/>
  <c r="BJ120" i="34"/>
  <c r="BJ11" i="34"/>
  <c r="BJ78" i="34"/>
  <c r="BJ82" i="34"/>
  <c r="BJ95" i="34"/>
  <c r="BJ88" i="34"/>
  <c r="BJ29" i="34"/>
  <c r="BJ103" i="34"/>
  <c r="BJ52" i="34"/>
  <c r="BJ114" i="34"/>
  <c r="BJ37" i="34"/>
  <c r="BJ26" i="34"/>
  <c r="N5" i="34"/>
  <c r="BJ76" i="34"/>
  <c r="BJ9" i="34"/>
  <c r="BJ16" i="34"/>
  <c r="BJ50" i="34"/>
  <c r="BJ6" i="34"/>
  <c r="BJ34" i="34"/>
  <c r="BJ92" i="34"/>
  <c r="BJ58" i="34"/>
  <c r="BJ86" i="34"/>
  <c r="BJ19" i="34"/>
  <c r="BJ107" i="34"/>
  <c r="BJ57" i="34"/>
  <c r="BJ17" i="34"/>
  <c r="BJ66" i="34"/>
  <c r="BJ73" i="34"/>
  <c r="BJ93" i="34"/>
  <c r="BJ125" i="34"/>
  <c r="BJ21" i="34"/>
  <c r="BJ109" i="34"/>
  <c r="BJ49" i="34"/>
  <c r="BJ68" i="34"/>
  <c r="BJ56" i="34"/>
  <c r="BJ94" i="34"/>
  <c r="BJ39" i="34"/>
  <c r="BJ101" i="34"/>
  <c r="BJ63" i="34"/>
  <c r="BJ122" i="34"/>
  <c r="BJ124" i="34"/>
  <c r="BJ126" i="34"/>
  <c r="BJ59" i="34"/>
  <c r="BJ31" i="34"/>
  <c r="BJ35" i="34"/>
  <c r="BJ110" i="34"/>
  <c r="BJ22" i="34"/>
  <c r="BJ91" i="34"/>
  <c r="BJ48" i="34"/>
  <c r="BJ128" i="34"/>
  <c r="BJ69" i="34"/>
  <c r="BJ79" i="34"/>
  <c r="BJ113" i="34"/>
  <c r="BJ89" i="34"/>
  <c r="BJ47" i="34"/>
  <c r="BJ112" i="34"/>
  <c r="BJ67" i="34"/>
  <c r="BJ84" i="34"/>
  <c r="BJ83" i="34"/>
  <c r="BJ10" i="34"/>
  <c r="BJ25" i="34"/>
  <c r="BJ14" i="34"/>
  <c r="AJ71" i="43" l="1"/>
  <c r="AJ30" i="44"/>
  <c r="Q48" i="34"/>
  <c r="O5" i="34"/>
  <c r="Q78" i="34"/>
  <c r="O78" i="34"/>
  <c r="O113" i="34"/>
  <c r="Q113" i="34"/>
  <c r="Q123" i="34"/>
  <c r="O123" i="34"/>
  <c r="O45" i="34"/>
  <c r="Q45" i="34"/>
  <c r="Q40" i="34"/>
  <c r="O40" i="34"/>
  <c r="O10" i="34"/>
  <c r="Q10" i="34"/>
  <c r="Q74" i="34"/>
  <c r="O74" i="34"/>
  <c r="AI24" i="44"/>
  <c r="AI44" i="44"/>
  <c r="AI14" i="44"/>
  <c r="AI46" i="44"/>
  <c r="AI56" i="44"/>
  <c r="AI20" i="44"/>
  <c r="AI65" i="44"/>
  <c r="AI53" i="44"/>
  <c r="AI32" i="44"/>
  <c r="AI13" i="44"/>
  <c r="AI17" i="44"/>
  <c r="AI25" i="44"/>
  <c r="AI31" i="44"/>
  <c r="AI10" i="44"/>
  <c r="AI43" i="44"/>
  <c r="AI34" i="44"/>
  <c r="AI52" i="44"/>
  <c r="AI23" i="44"/>
  <c r="AI11" i="44"/>
  <c r="AI33" i="44"/>
  <c r="AI39" i="44"/>
  <c r="AI19" i="44"/>
  <c r="AI35" i="44"/>
  <c r="AI40" i="44"/>
  <c r="AI41" i="44"/>
  <c r="AI54" i="44"/>
  <c r="AI21" i="44"/>
  <c r="AI58" i="44"/>
  <c r="AI60" i="44"/>
  <c r="AI6" i="44"/>
  <c r="AI59" i="44"/>
  <c r="AI42" i="44"/>
  <c r="AI49" i="44"/>
  <c r="AI22" i="44"/>
  <c r="AI45" i="44"/>
  <c r="AI61" i="44"/>
  <c r="AI7" i="44"/>
  <c r="AI27" i="44"/>
  <c r="AI64" i="44"/>
  <c r="AI28" i="44"/>
  <c r="AI12" i="44"/>
  <c r="AI50" i="44"/>
  <c r="AI8" i="44"/>
  <c r="AI5" i="44"/>
  <c r="AI57" i="44"/>
  <c r="AI47" i="44"/>
  <c r="AI29" i="44"/>
  <c r="AI9" i="44"/>
  <c r="AI51" i="44"/>
  <c r="AI62" i="44"/>
  <c r="AI63" i="44"/>
  <c r="AI37" i="44"/>
  <c r="AI15" i="44"/>
  <c r="AI48" i="44"/>
  <c r="AI16" i="44"/>
  <c r="AI4" i="44"/>
  <c r="AI18" i="44"/>
  <c r="AI38" i="44"/>
  <c r="AI36" i="44"/>
  <c r="AI3" i="44"/>
  <c r="AI30" i="44"/>
  <c r="AI55" i="44"/>
  <c r="AI26" i="44"/>
  <c r="O15" i="44"/>
  <c r="O20" i="44"/>
  <c r="O21" i="44"/>
  <c r="O19" i="44"/>
  <c r="O16" i="44"/>
  <c r="O18" i="44"/>
  <c r="O17" i="44"/>
  <c r="O98" i="34"/>
  <c r="Q98" i="34"/>
  <c r="Q59" i="34"/>
  <c r="O59" i="34"/>
  <c r="AJ107" i="43"/>
  <c r="AJ64" i="43"/>
  <c r="AJ67" i="43"/>
  <c r="AJ94" i="43"/>
  <c r="AJ16" i="43"/>
  <c r="AJ80" i="43"/>
  <c r="AJ11" i="43"/>
  <c r="AJ115" i="43"/>
  <c r="AJ108" i="43"/>
  <c r="AJ14" i="43"/>
  <c r="AJ7" i="43"/>
  <c r="AJ85" i="43"/>
  <c r="AJ39" i="43"/>
  <c r="AJ90" i="43"/>
  <c r="AJ50" i="43"/>
  <c r="AJ49" i="43"/>
  <c r="AJ24" i="43"/>
  <c r="AJ3" i="43"/>
  <c r="AJ25" i="43"/>
  <c r="AJ62" i="43"/>
  <c r="AJ111" i="43"/>
  <c r="AJ114" i="43"/>
  <c r="AJ112" i="43"/>
  <c r="AJ128" i="43"/>
  <c r="AJ21" i="43"/>
  <c r="AJ19" i="43"/>
  <c r="AJ106" i="43"/>
  <c r="AJ99" i="43"/>
  <c r="AJ89" i="43"/>
  <c r="AJ104" i="43"/>
  <c r="AJ10" i="43"/>
  <c r="AJ31" i="43"/>
  <c r="AJ52" i="43"/>
  <c r="AJ55" i="43"/>
  <c r="AJ86" i="43"/>
  <c r="AJ69" i="43"/>
  <c r="AJ110" i="43"/>
  <c r="AJ109" i="43"/>
  <c r="AJ92" i="43"/>
  <c r="AJ15" i="43"/>
  <c r="AJ102" i="43"/>
  <c r="AJ35" i="43"/>
  <c r="AJ79" i="43"/>
  <c r="AJ47" i="43"/>
  <c r="AJ127" i="43"/>
  <c r="AJ72" i="43"/>
  <c r="AJ17" i="43"/>
  <c r="AJ66" i="43"/>
  <c r="AJ91" i="43"/>
  <c r="AJ100" i="43"/>
  <c r="AJ38" i="43"/>
  <c r="AJ119" i="43"/>
  <c r="AJ68" i="43"/>
  <c r="AJ23" i="43"/>
  <c r="AJ87" i="43"/>
  <c r="AJ8" i="43"/>
  <c r="AJ13" i="43"/>
  <c r="AJ96" i="43"/>
  <c r="AJ81" i="43"/>
  <c r="AJ56" i="43"/>
  <c r="AJ54" i="43"/>
  <c r="AJ101" i="43"/>
  <c r="AJ88" i="43"/>
  <c r="AJ28" i="43"/>
  <c r="AJ97" i="43"/>
  <c r="AJ121" i="43"/>
  <c r="AJ48" i="43"/>
  <c r="AJ84" i="43"/>
  <c r="AJ132" i="43"/>
  <c r="AJ78" i="43"/>
  <c r="AJ32" i="43"/>
  <c r="AJ22" i="43"/>
  <c r="AJ44" i="43"/>
  <c r="AJ60" i="43"/>
  <c r="AJ116" i="43"/>
  <c r="AJ73" i="43"/>
  <c r="AJ40" i="43"/>
  <c r="AJ83" i="43"/>
  <c r="AJ41" i="43"/>
  <c r="AJ36" i="43"/>
  <c r="AJ59" i="43"/>
  <c r="AJ95" i="43"/>
  <c r="AJ29" i="43"/>
  <c r="AJ61" i="43"/>
  <c r="AJ46" i="43"/>
  <c r="AJ33" i="43"/>
  <c r="AJ77" i="43"/>
  <c r="AJ26" i="43"/>
  <c r="AJ131" i="43"/>
  <c r="AJ30" i="43"/>
  <c r="AJ123" i="43"/>
  <c r="AJ6" i="43"/>
  <c r="AJ93" i="43"/>
  <c r="AJ5" i="43"/>
  <c r="AJ82" i="43"/>
  <c r="AJ63" i="43"/>
  <c r="AJ103" i="43"/>
  <c r="AJ98" i="43"/>
  <c r="AJ113" i="43"/>
  <c r="AJ76" i="43"/>
  <c r="AJ118" i="43"/>
  <c r="AJ75" i="43"/>
  <c r="AJ9" i="43"/>
  <c r="AJ117" i="43"/>
  <c r="AJ34" i="43"/>
  <c r="AJ130" i="43"/>
  <c r="AJ65" i="43"/>
  <c r="AJ37" i="43"/>
  <c r="AJ126" i="43"/>
  <c r="AJ53" i="43"/>
  <c r="AJ27" i="43"/>
  <c r="AJ20" i="43"/>
  <c r="AJ42" i="43"/>
  <c r="AJ125" i="43"/>
  <c r="AJ74" i="43"/>
  <c r="AJ12" i="43"/>
  <c r="AJ122" i="43"/>
  <c r="AJ120" i="43"/>
  <c r="AJ57" i="43"/>
  <c r="AJ105" i="43"/>
  <c r="AJ45" i="43"/>
  <c r="AJ70" i="43"/>
  <c r="AJ4" i="43"/>
  <c r="AJ51" i="43"/>
  <c r="AJ124" i="43"/>
  <c r="AJ18" i="43"/>
  <c r="AJ58" i="43"/>
  <c r="AJ129" i="43"/>
  <c r="AJ43" i="43"/>
  <c r="P16" i="43"/>
  <c r="P18" i="43"/>
  <c r="P17" i="43"/>
  <c r="P22" i="43"/>
  <c r="P21" i="43"/>
  <c r="P19" i="43"/>
  <c r="P24" i="43"/>
  <c r="P23" i="43"/>
  <c r="P15" i="43"/>
  <c r="P20" i="43"/>
  <c r="Q34" i="34"/>
  <c r="O34" i="34"/>
  <c r="Q53" i="34"/>
  <c r="O53" i="34"/>
  <c r="Q112" i="34"/>
  <c r="O112" i="34"/>
  <c r="Q14" i="34"/>
  <c r="O14" i="34"/>
  <c r="Q105" i="34"/>
  <c r="O105" i="34"/>
  <c r="AJ4" i="44"/>
  <c r="AJ18" i="44"/>
  <c r="AJ57" i="44"/>
  <c r="AJ25" i="44"/>
  <c r="AJ10" i="44"/>
  <c r="AJ6" i="44"/>
  <c r="AJ22" i="44"/>
  <c r="AJ31" i="44"/>
  <c r="AJ34" i="44"/>
  <c r="AJ55" i="44"/>
  <c r="AJ28" i="44"/>
  <c r="AJ60" i="44"/>
  <c r="AJ47" i="44"/>
  <c r="AJ7" i="44"/>
  <c r="AJ13" i="44"/>
  <c r="AJ11" i="44"/>
  <c r="AJ3" i="44"/>
  <c r="AJ5" i="44"/>
  <c r="AJ9" i="44"/>
  <c r="AJ26" i="44"/>
  <c r="AJ62" i="44"/>
  <c r="AJ54" i="44"/>
  <c r="AJ14" i="44"/>
  <c r="AJ24" i="44"/>
  <c r="AJ21" i="44"/>
  <c r="AJ58" i="44"/>
  <c r="AJ40" i="44"/>
  <c r="AJ29" i="44"/>
  <c r="AJ38" i="44"/>
  <c r="AJ52" i="44"/>
  <c r="AJ37" i="44"/>
  <c r="AJ15" i="44"/>
  <c r="AJ42" i="44"/>
  <c r="AJ19" i="44"/>
  <c r="AJ51" i="44"/>
  <c r="AJ46" i="44"/>
  <c r="AJ17" i="44"/>
  <c r="AJ33" i="44"/>
  <c r="AJ20" i="44"/>
  <c r="AJ41" i="44"/>
  <c r="AJ53" i="44"/>
  <c r="AJ27" i="44"/>
  <c r="AJ8" i="44"/>
  <c r="AJ61" i="44"/>
  <c r="AJ12" i="44"/>
  <c r="AJ16" i="44"/>
  <c r="AJ49" i="44"/>
  <c r="AJ65" i="44"/>
  <c r="AJ32" i="44"/>
  <c r="AJ56" i="44"/>
  <c r="AJ59" i="44"/>
  <c r="AJ39" i="44"/>
  <c r="AJ63" i="44"/>
  <c r="AJ48" i="44"/>
  <c r="AJ50" i="44"/>
  <c r="AJ43" i="44"/>
  <c r="AJ64" i="44"/>
  <c r="AJ45" i="44"/>
  <c r="AJ35" i="44"/>
  <c r="AJ36" i="44"/>
  <c r="AJ44" i="44"/>
  <c r="AJ23" i="44"/>
  <c r="P17" i="44"/>
  <c r="C27" i="44" s="1"/>
  <c r="H10" i="41" s="1"/>
  <c r="P19" i="44"/>
  <c r="C29" i="44" s="1"/>
  <c r="H12" i="41" s="1"/>
  <c r="P21" i="44"/>
  <c r="C31" i="44" s="1"/>
  <c r="H14" i="41" s="1"/>
  <c r="P18" i="44"/>
  <c r="C28" i="44" s="1"/>
  <c r="H11" i="41" s="1"/>
  <c r="P16" i="44"/>
  <c r="C26" i="44" s="1"/>
  <c r="H9" i="41" s="1"/>
  <c r="P15" i="44"/>
  <c r="C25" i="44" s="1"/>
  <c r="H8" i="41" s="1"/>
  <c r="P20" i="44"/>
  <c r="C30" i="44" s="1"/>
  <c r="H13" i="41" s="1"/>
  <c r="Q60" i="34"/>
  <c r="O60" i="34"/>
  <c r="Q100" i="34"/>
  <c r="O100" i="34"/>
  <c r="O13" i="34"/>
  <c r="Q13" i="34"/>
  <c r="Q103" i="34"/>
  <c r="O103" i="34"/>
  <c r="O7" i="34"/>
  <c r="Q7" i="34"/>
  <c r="O16" i="34"/>
  <c r="Q16" i="34"/>
  <c r="Q77" i="34"/>
  <c r="O77" i="34"/>
  <c r="AI96" i="43"/>
  <c r="AI128" i="43"/>
  <c r="AI73" i="43"/>
  <c r="AI86" i="43"/>
  <c r="AI107" i="43"/>
  <c r="AI53" i="43"/>
  <c r="AI68" i="43"/>
  <c r="AI77" i="43"/>
  <c r="AI52" i="43"/>
  <c r="AI6" i="43"/>
  <c r="AI82" i="43"/>
  <c r="AI60" i="43"/>
  <c r="AI58" i="43"/>
  <c r="AI40" i="43"/>
  <c r="AI9" i="43"/>
  <c r="AI90" i="43"/>
  <c r="AI14" i="43"/>
  <c r="AI66" i="43"/>
  <c r="AI30" i="43"/>
  <c r="AI16" i="43"/>
  <c r="AI118" i="43"/>
  <c r="AI101" i="43"/>
  <c r="AI37" i="43"/>
  <c r="AI71" i="43"/>
  <c r="AI43" i="43"/>
  <c r="AI29" i="43"/>
  <c r="AI116" i="43"/>
  <c r="AI79" i="43"/>
  <c r="AI85" i="43"/>
  <c r="AI35" i="43"/>
  <c r="AI15" i="43"/>
  <c r="AI64" i="43"/>
  <c r="AI123" i="43"/>
  <c r="AI63" i="43"/>
  <c r="AI83" i="43"/>
  <c r="AI65" i="43"/>
  <c r="AI74" i="43"/>
  <c r="AI10" i="43"/>
  <c r="AI124" i="43"/>
  <c r="AI125" i="43"/>
  <c r="AI98" i="43"/>
  <c r="AI41" i="43"/>
  <c r="AI36" i="43"/>
  <c r="AI21" i="43"/>
  <c r="AI99" i="43"/>
  <c r="AI93" i="43"/>
  <c r="AI50" i="43"/>
  <c r="AI88" i="43"/>
  <c r="AI103" i="43"/>
  <c r="AI113" i="43"/>
  <c r="AI22" i="43"/>
  <c r="AI18" i="43"/>
  <c r="AI84" i="43"/>
  <c r="AI110" i="43"/>
  <c r="AI23" i="43"/>
  <c r="AI126" i="43"/>
  <c r="AI54" i="43"/>
  <c r="AI72" i="43"/>
  <c r="AI7" i="43"/>
  <c r="AI56" i="43"/>
  <c r="AI91" i="43"/>
  <c r="AI5" i="43"/>
  <c r="AI12" i="43"/>
  <c r="AI87" i="43"/>
  <c r="AI132" i="43"/>
  <c r="AI106" i="43"/>
  <c r="AI26" i="43"/>
  <c r="AI47" i="43"/>
  <c r="AI129" i="43"/>
  <c r="AI39" i="43"/>
  <c r="AI115" i="43"/>
  <c r="AI11" i="43"/>
  <c r="AI44" i="43"/>
  <c r="AI75" i="43"/>
  <c r="AI78" i="43"/>
  <c r="AI57" i="43"/>
  <c r="AI46" i="43"/>
  <c r="AI104" i="43"/>
  <c r="AI28" i="43"/>
  <c r="AI13" i="43"/>
  <c r="AI97" i="43"/>
  <c r="AI122" i="43"/>
  <c r="AI127" i="43"/>
  <c r="AI20" i="43"/>
  <c r="AI114" i="43"/>
  <c r="AI4" i="43"/>
  <c r="AI117" i="43"/>
  <c r="AI24" i="43"/>
  <c r="AI112" i="43"/>
  <c r="AI34" i="43"/>
  <c r="AI27" i="43"/>
  <c r="AI76" i="43"/>
  <c r="AI67" i="43"/>
  <c r="AI109" i="43"/>
  <c r="AI42" i="43"/>
  <c r="AI102" i="43"/>
  <c r="AI111" i="43"/>
  <c r="AI38" i="43"/>
  <c r="AI120" i="43"/>
  <c r="AI81" i="43"/>
  <c r="AI3" i="43"/>
  <c r="AI33" i="43"/>
  <c r="AI55" i="43"/>
  <c r="AI48" i="43"/>
  <c r="AI100" i="43"/>
  <c r="AI19" i="43"/>
  <c r="AI62" i="43"/>
  <c r="AI89" i="43"/>
  <c r="AI61" i="43"/>
  <c r="AI69" i="43"/>
  <c r="AI17" i="43"/>
  <c r="AI105" i="43"/>
  <c r="AI92" i="43"/>
  <c r="AI31" i="43"/>
  <c r="AI95" i="43"/>
  <c r="AI25" i="43"/>
  <c r="AI130" i="43"/>
  <c r="AI94" i="43"/>
  <c r="AI119" i="43"/>
  <c r="AI80" i="43"/>
  <c r="AI131" i="43"/>
  <c r="AI70" i="43"/>
  <c r="AI32" i="43"/>
  <c r="AI121" i="43"/>
  <c r="AI49" i="43"/>
  <c r="AI51" i="43"/>
  <c r="AI108" i="43"/>
  <c r="AI45" i="43"/>
  <c r="AI59" i="43"/>
  <c r="AI8" i="43"/>
  <c r="O18" i="43"/>
  <c r="C31" i="43" s="1"/>
  <c r="H18" i="41" s="1"/>
  <c r="O16" i="43"/>
  <c r="C29" i="43" s="1"/>
  <c r="H16" i="41" s="1"/>
  <c r="O22" i="43"/>
  <c r="C35" i="43" s="1"/>
  <c r="H22" i="41" s="1"/>
  <c r="O24" i="43"/>
  <c r="C37" i="43" s="1"/>
  <c r="H24" i="41" s="1"/>
  <c r="O20" i="43"/>
  <c r="C33" i="43" s="1"/>
  <c r="H20" i="41" s="1"/>
  <c r="O23" i="43"/>
  <c r="C36" i="43" s="1"/>
  <c r="H23" i="41" s="1"/>
  <c r="O15" i="43"/>
  <c r="C28" i="43" s="1"/>
  <c r="H15" i="41" s="1"/>
  <c r="O21" i="43"/>
  <c r="C34" i="43" s="1"/>
  <c r="H21" i="41" s="1"/>
  <c r="O19" i="43"/>
  <c r="C32" i="43" s="1"/>
  <c r="H19" i="41" s="1"/>
  <c r="O17" i="43"/>
  <c r="C30" i="43" s="1"/>
  <c r="H17" i="41" s="1"/>
  <c r="Q86" i="34"/>
  <c r="O86" i="34"/>
  <c r="Q91" i="34"/>
  <c r="O91" i="34"/>
  <c r="Q23" i="34"/>
  <c r="Q94" i="34"/>
  <c r="O94" i="34"/>
  <c r="O8" i="34"/>
  <c r="Q8" i="34"/>
  <c r="Q79" i="34"/>
  <c r="O79" i="34"/>
  <c r="O20" i="34"/>
  <c r="Q20" i="34"/>
  <c r="O119" i="34"/>
  <c r="Q119" i="34"/>
  <c r="Q62" i="34"/>
  <c r="O62" i="34"/>
  <c r="Q22" i="34"/>
  <c r="O22" i="34"/>
  <c r="Q106" i="34"/>
  <c r="O106" i="34"/>
  <c r="O17" i="34"/>
  <c r="Q17" i="34"/>
  <c r="Q36" i="34"/>
  <c r="O36" i="34"/>
  <c r="Q30" i="34"/>
  <c r="O128" i="34"/>
  <c r="Q128" i="34"/>
  <c r="Q101" i="34"/>
  <c r="O101" i="34"/>
  <c r="Q38" i="34"/>
  <c r="O38" i="34"/>
  <c r="O32" i="34"/>
  <c r="Q32" i="34"/>
  <c r="O28" i="34"/>
  <c r="Q28" i="34"/>
  <c r="O120" i="34"/>
  <c r="Q120" i="34"/>
  <c r="O65" i="34"/>
  <c r="Q65" i="34"/>
  <c r="O110" i="34"/>
  <c r="Q110" i="34"/>
  <c r="O121" i="34"/>
  <c r="Q121" i="34"/>
  <c r="AE18" i="45"/>
  <c r="AE13" i="45"/>
  <c r="AE15" i="45"/>
  <c r="AE20" i="45"/>
  <c r="AE3" i="45"/>
  <c r="AE16" i="45"/>
  <c r="AE23" i="45"/>
  <c r="AE17" i="45"/>
  <c r="AE6" i="45"/>
  <c r="AE7" i="45"/>
  <c r="AE12" i="45"/>
  <c r="AE22" i="45"/>
  <c r="AE14" i="45"/>
  <c r="AE11" i="45"/>
  <c r="AE26" i="45"/>
  <c r="AE21" i="45"/>
  <c r="AE24" i="45"/>
  <c r="AE5" i="45"/>
  <c r="AE25" i="45"/>
  <c r="AE4" i="45"/>
  <c r="AE10" i="45"/>
  <c r="AE8" i="45"/>
  <c r="AE9" i="45"/>
  <c r="AE19" i="45"/>
  <c r="K16" i="45"/>
  <c r="K15" i="45"/>
  <c r="K17" i="45"/>
  <c r="K19" i="45"/>
  <c r="K18" i="45"/>
  <c r="Q85" i="34"/>
  <c r="O85" i="34"/>
  <c r="Q92" i="34"/>
  <c r="O92" i="34"/>
  <c r="O56" i="34"/>
  <c r="Q56" i="34"/>
  <c r="O124" i="34"/>
  <c r="Q124" i="34"/>
  <c r="Q57" i="34"/>
  <c r="O57" i="34"/>
  <c r="O109" i="34"/>
  <c r="Q109" i="34"/>
  <c r="Q63" i="34"/>
  <c r="O63" i="34"/>
  <c r="O88" i="34"/>
  <c r="Q88" i="34"/>
  <c r="F4" i="45"/>
  <c r="F5" i="45"/>
  <c r="F7" i="45"/>
  <c r="F6" i="45"/>
  <c r="O30" i="34"/>
  <c r="O27" i="34"/>
  <c r="Q27" i="34"/>
  <c r="O82" i="34"/>
  <c r="Q82" i="34"/>
  <c r="Q116" i="34"/>
  <c r="O116" i="34"/>
  <c r="Q96" i="34"/>
  <c r="O96" i="34"/>
  <c r="Q46" i="34"/>
  <c r="O46" i="34"/>
  <c r="O44" i="34"/>
  <c r="Q95" i="34"/>
  <c r="O95" i="34"/>
  <c r="O118" i="34"/>
  <c r="Q118" i="34"/>
  <c r="O47" i="34"/>
  <c r="Q47" i="34"/>
  <c r="O43" i="34"/>
  <c r="Q43" i="34"/>
  <c r="O15" i="34"/>
  <c r="Q15" i="34"/>
  <c r="O21" i="34"/>
  <c r="Q21" i="34"/>
  <c r="O125" i="34"/>
  <c r="Q125" i="34"/>
  <c r="O68" i="34"/>
  <c r="Q68" i="34"/>
  <c r="Q42" i="34"/>
  <c r="O42" i="34"/>
  <c r="Q76" i="34"/>
  <c r="O76" i="34"/>
  <c r="O9" i="34"/>
  <c r="Q9" i="34"/>
  <c r="Q6" i="34"/>
  <c r="O6" i="34"/>
  <c r="Q126" i="34"/>
  <c r="O126" i="34"/>
  <c r="O37" i="34"/>
  <c r="Q37" i="34"/>
  <c r="O49" i="34"/>
  <c r="Q49" i="34"/>
  <c r="O23" i="34"/>
  <c r="O73" i="34"/>
  <c r="Q73" i="34"/>
  <c r="O41" i="34"/>
  <c r="Q41" i="34"/>
  <c r="O19" i="34"/>
  <c r="Q19" i="34"/>
  <c r="O67" i="34"/>
  <c r="Q67" i="34"/>
  <c r="Q108" i="34"/>
  <c r="O108" i="34"/>
  <c r="Q44" i="34"/>
  <c r="O97" i="34"/>
  <c r="Q97" i="34"/>
  <c r="Q11" i="34"/>
  <c r="O11" i="34"/>
  <c r="Q93" i="34"/>
  <c r="O93" i="34"/>
  <c r="Q26" i="34"/>
  <c r="O26" i="34"/>
  <c r="Q54" i="34"/>
  <c r="O54" i="34"/>
  <c r="Q61" i="34"/>
  <c r="O61" i="34"/>
  <c r="Q58" i="34"/>
  <c r="O58" i="34"/>
  <c r="Q33" i="34"/>
  <c r="O33" i="34"/>
  <c r="Q117" i="34"/>
  <c r="O117" i="34"/>
  <c r="O12" i="34"/>
  <c r="Q12" i="34"/>
  <c r="Q69" i="34"/>
  <c r="O69" i="34"/>
  <c r="O114" i="34"/>
  <c r="Q114" i="34"/>
  <c r="Q99" i="34"/>
  <c r="O99" i="34"/>
  <c r="Q55" i="34"/>
  <c r="O55" i="34"/>
  <c r="O122" i="34"/>
  <c r="Q122" i="34"/>
  <c r="O51" i="34"/>
  <c r="Q51" i="34"/>
  <c r="S5" i="34"/>
  <c r="U5" i="34"/>
  <c r="Q70" i="34"/>
  <c r="O70" i="34"/>
  <c r="O31" i="34"/>
  <c r="Q31" i="34"/>
  <c r="AJ176" i="42"/>
  <c r="AJ25" i="42"/>
  <c r="AJ241" i="42"/>
  <c r="AJ208" i="42"/>
  <c r="AJ17" i="42"/>
  <c r="AJ163" i="42"/>
  <c r="AJ99" i="42"/>
  <c r="AJ150" i="42"/>
  <c r="AJ235" i="42"/>
  <c r="AJ144" i="42"/>
  <c r="AJ205" i="42"/>
  <c r="AJ257" i="42"/>
  <c r="AJ159" i="42"/>
  <c r="AJ68" i="42"/>
  <c r="AJ73" i="42"/>
  <c r="AJ39" i="42"/>
  <c r="AJ113" i="42"/>
  <c r="AJ140" i="42"/>
  <c r="AJ23" i="42"/>
  <c r="AJ91" i="42"/>
  <c r="AJ80" i="42"/>
  <c r="AJ149" i="42"/>
  <c r="AJ124" i="42"/>
  <c r="AJ217" i="42"/>
  <c r="AJ70" i="42"/>
  <c r="AJ125" i="42"/>
  <c r="AJ30" i="42"/>
  <c r="AJ75" i="42"/>
  <c r="AJ245" i="42"/>
  <c r="AJ43" i="42"/>
  <c r="AJ44" i="42"/>
  <c r="AJ226" i="42"/>
  <c r="AJ121" i="42"/>
  <c r="AJ147" i="42"/>
  <c r="AJ229" i="42"/>
  <c r="AJ137" i="42"/>
  <c r="AJ186" i="42"/>
  <c r="AJ32" i="42"/>
  <c r="AJ236" i="42"/>
  <c r="AJ211" i="42"/>
  <c r="AJ64" i="42"/>
  <c r="AJ47" i="42"/>
  <c r="AJ216" i="42"/>
  <c r="AJ9" i="42"/>
  <c r="AJ21" i="42"/>
  <c r="AJ222" i="42"/>
  <c r="AJ178" i="42"/>
  <c r="AJ27" i="42"/>
  <c r="AJ40" i="42"/>
  <c r="AJ54" i="42"/>
  <c r="AJ8" i="42"/>
  <c r="AJ251" i="42"/>
  <c r="AJ215" i="42"/>
  <c r="AJ62" i="42"/>
  <c r="AJ180" i="42"/>
  <c r="AJ253" i="42"/>
  <c r="AJ19" i="42"/>
  <c r="AJ55" i="42"/>
  <c r="AJ189" i="42"/>
  <c r="AJ214" i="42"/>
  <c r="AJ103" i="42"/>
  <c r="AJ134" i="42"/>
  <c r="AJ105" i="42"/>
  <c r="AJ170" i="42"/>
  <c r="AJ237" i="42"/>
  <c r="AJ200" i="42"/>
  <c r="AJ5" i="42"/>
  <c r="AJ120" i="42"/>
  <c r="AJ233" i="42"/>
  <c r="AJ202" i="42"/>
  <c r="AJ247" i="42"/>
  <c r="AJ212" i="42"/>
  <c r="AJ249" i="42"/>
  <c r="AJ57" i="42"/>
  <c r="AJ254" i="42"/>
  <c r="AJ131" i="42"/>
  <c r="AJ184" i="42"/>
  <c r="AJ58" i="42"/>
  <c r="AJ116" i="42"/>
  <c r="AJ96" i="42"/>
  <c r="AJ83" i="42"/>
  <c r="AJ20" i="42"/>
  <c r="AJ59" i="42"/>
  <c r="AJ138" i="42"/>
  <c r="AJ72" i="42"/>
  <c r="AJ173" i="42"/>
  <c r="AJ41" i="42"/>
  <c r="AJ10" i="42"/>
  <c r="AJ11" i="42"/>
  <c r="AJ77" i="42"/>
  <c r="AJ51" i="42"/>
  <c r="AJ71" i="42"/>
  <c r="AJ196" i="42"/>
  <c r="AJ204" i="42"/>
  <c r="AJ36" i="42"/>
  <c r="AJ227" i="42"/>
  <c r="AJ240" i="42"/>
  <c r="AJ7" i="42"/>
  <c r="AJ153" i="42"/>
  <c r="AJ207" i="42"/>
  <c r="AJ248" i="42"/>
  <c r="AJ238" i="42"/>
  <c r="AJ218" i="42"/>
  <c r="AJ172" i="42"/>
  <c r="AJ177" i="42"/>
  <c r="AJ92" i="42"/>
  <c r="AJ255" i="42"/>
  <c r="AJ63" i="42"/>
  <c r="AJ115" i="42"/>
  <c r="AJ219" i="42"/>
  <c r="AJ239" i="42"/>
  <c r="AJ146" i="42"/>
  <c r="AJ69" i="42"/>
  <c r="AJ98" i="42"/>
  <c r="AJ76" i="42"/>
  <c r="AJ89" i="42"/>
  <c r="AJ187" i="42"/>
  <c r="AJ128" i="42"/>
  <c r="AJ66" i="42"/>
  <c r="AJ85" i="42"/>
  <c r="AJ22" i="42"/>
  <c r="AJ87" i="42"/>
  <c r="AJ74" i="42"/>
  <c r="AJ175" i="42"/>
  <c r="AJ13" i="42"/>
  <c r="AJ110" i="42"/>
  <c r="AJ81" i="42"/>
  <c r="AJ45" i="42"/>
  <c r="AJ152" i="42"/>
  <c r="AJ106" i="42"/>
  <c r="AJ34" i="42"/>
  <c r="AJ33" i="42"/>
  <c r="AJ79" i="42"/>
  <c r="AJ88" i="42"/>
  <c r="AJ18" i="42"/>
  <c r="AJ193" i="42"/>
  <c r="AJ231" i="42"/>
  <c r="AJ259" i="42"/>
  <c r="AJ133" i="42"/>
  <c r="AJ250" i="42"/>
  <c r="AJ188" i="42"/>
  <c r="AJ160" i="42"/>
  <c r="AJ252" i="42"/>
  <c r="AJ126" i="42"/>
  <c r="AJ228" i="42"/>
  <c r="AJ109" i="42"/>
  <c r="AJ136" i="42"/>
  <c r="AJ192" i="42"/>
  <c r="AJ145" i="42"/>
  <c r="AJ156" i="42"/>
  <c r="AJ94" i="42"/>
  <c r="AJ24" i="42"/>
  <c r="AJ179" i="42"/>
  <c r="AJ209" i="42"/>
  <c r="AJ129" i="42"/>
  <c r="AJ232" i="42"/>
  <c r="AJ162" i="42"/>
  <c r="AJ141" i="42"/>
  <c r="AJ122" i="42"/>
  <c r="AJ61" i="42"/>
  <c r="AJ28" i="42"/>
  <c r="AJ165" i="42"/>
  <c r="AJ49" i="42"/>
  <c r="AJ48" i="42"/>
  <c r="AJ52" i="42"/>
  <c r="AJ142" i="42"/>
  <c r="AJ46" i="42"/>
  <c r="AJ100" i="42"/>
  <c r="AJ168" i="42"/>
  <c r="AJ256" i="42"/>
  <c r="AJ190" i="42"/>
  <c r="AJ258" i="42"/>
  <c r="AJ84" i="42"/>
  <c r="AJ195" i="42"/>
  <c r="AJ198" i="42"/>
  <c r="AJ167" i="42"/>
  <c r="AJ221" i="42"/>
  <c r="AJ6" i="42"/>
  <c r="AJ101" i="42"/>
  <c r="AJ37" i="42"/>
  <c r="AJ119" i="42"/>
  <c r="AJ14" i="42"/>
  <c r="AJ151" i="42"/>
  <c r="AJ206" i="42"/>
  <c r="AJ157" i="42"/>
  <c r="AJ242" i="42"/>
  <c r="AJ158" i="42"/>
  <c r="AJ191" i="42"/>
  <c r="AJ155" i="42"/>
  <c r="AJ181" i="42"/>
  <c r="AJ108" i="42"/>
  <c r="AJ201" i="42"/>
  <c r="AJ42" i="42"/>
  <c r="AJ174" i="42"/>
  <c r="AJ117" i="42"/>
  <c r="AJ107" i="42"/>
  <c r="AJ3" i="42"/>
  <c r="AJ15" i="42"/>
  <c r="AJ166" i="42"/>
  <c r="AJ139" i="42"/>
  <c r="AJ31" i="42"/>
  <c r="AJ183" i="42"/>
  <c r="AJ194" i="42"/>
  <c r="AJ53" i="42"/>
  <c r="AJ123" i="42"/>
  <c r="AJ65" i="42"/>
  <c r="AJ104" i="42"/>
  <c r="AJ223" i="42"/>
  <c r="AJ224" i="42"/>
  <c r="AJ35" i="42"/>
  <c r="AJ197" i="42"/>
  <c r="AJ199" i="42"/>
  <c r="AJ246" i="42"/>
  <c r="AJ78" i="42"/>
  <c r="AJ67" i="42"/>
  <c r="AJ90" i="42"/>
  <c r="AJ161" i="42"/>
  <c r="AJ203" i="42"/>
  <c r="AJ60" i="42"/>
  <c r="AJ182" i="42"/>
  <c r="AJ95" i="42"/>
  <c r="AJ4" i="42"/>
  <c r="AJ12" i="42"/>
  <c r="AJ213" i="42"/>
  <c r="AJ118" i="42"/>
  <c r="AJ82" i="42"/>
  <c r="AJ244" i="42"/>
  <c r="AJ93" i="42"/>
  <c r="AJ97" i="42"/>
  <c r="AJ169" i="42"/>
  <c r="AJ114" i="42"/>
  <c r="AJ164" i="42"/>
  <c r="AJ86" i="42"/>
  <c r="AJ16" i="42"/>
  <c r="AJ26" i="42"/>
  <c r="AJ38" i="42"/>
  <c r="AJ230" i="42"/>
  <c r="AJ112" i="42"/>
  <c r="AJ154" i="42"/>
  <c r="AJ243" i="42"/>
  <c r="AJ135" i="42"/>
  <c r="AJ148" i="42"/>
  <c r="AJ171" i="42"/>
  <c r="AJ50" i="42"/>
  <c r="AJ185" i="42"/>
  <c r="AJ132" i="42"/>
  <c r="AJ143" i="42"/>
  <c r="AJ130" i="42"/>
  <c r="AJ102" i="42"/>
  <c r="AJ56" i="42"/>
  <c r="AJ234" i="42"/>
  <c r="AJ127" i="42"/>
  <c r="AJ220" i="42"/>
  <c r="AJ111" i="42"/>
  <c r="AJ225" i="42"/>
  <c r="AJ29" i="42"/>
  <c r="AJ210" i="42"/>
  <c r="P24" i="42"/>
  <c r="P25" i="42"/>
  <c r="P21" i="42"/>
  <c r="P20" i="42"/>
  <c r="P30" i="42"/>
  <c r="P28" i="42"/>
  <c r="P29" i="42"/>
  <c r="P16" i="42"/>
  <c r="P15" i="42"/>
  <c r="P18" i="42"/>
  <c r="P22" i="42"/>
  <c r="P17" i="42"/>
  <c r="P26" i="42"/>
  <c r="P27" i="42"/>
  <c r="P19" i="42"/>
  <c r="P23" i="42"/>
  <c r="Q80" i="34"/>
  <c r="O80" i="34"/>
  <c r="O102" i="34"/>
  <c r="Q102" i="34"/>
  <c r="O87" i="34"/>
  <c r="Q87" i="34"/>
  <c r="Q127" i="34"/>
  <c r="O127" i="34"/>
  <c r="AF5" i="45"/>
  <c r="AF18" i="45"/>
  <c r="AF24" i="45"/>
  <c r="AF12" i="45"/>
  <c r="AF8" i="45"/>
  <c r="AF13" i="45"/>
  <c r="AF21" i="45"/>
  <c r="AF17" i="45"/>
  <c r="AF7" i="45"/>
  <c r="AF16" i="45"/>
  <c r="AF22" i="45"/>
  <c r="AF14" i="45"/>
  <c r="AF10" i="45"/>
  <c r="AF3" i="45"/>
  <c r="AF6" i="45"/>
  <c r="AF26" i="45"/>
  <c r="AF20" i="45"/>
  <c r="AF15" i="45"/>
  <c r="AF11" i="45"/>
  <c r="AF4" i="45"/>
  <c r="AF9" i="45"/>
  <c r="AF19" i="45"/>
  <c r="AF23" i="45"/>
  <c r="AF25" i="45"/>
  <c r="L15" i="45"/>
  <c r="C23" i="45" s="1"/>
  <c r="H3" i="41" s="1"/>
  <c r="L16" i="45"/>
  <c r="C24" i="45" s="1"/>
  <c r="H4" i="41" s="1"/>
  <c r="L18" i="45"/>
  <c r="C26" i="45" s="1"/>
  <c r="H6" i="41" s="1"/>
  <c r="L19" i="45"/>
  <c r="C27" i="45" s="1"/>
  <c r="H7" i="41" s="1"/>
  <c r="L17" i="45"/>
  <c r="C25" i="45" s="1"/>
  <c r="H5" i="41" s="1"/>
  <c r="O83" i="34"/>
  <c r="Q83" i="34"/>
  <c r="Q90" i="34"/>
  <c r="O90" i="34"/>
  <c r="O25" i="34"/>
  <c r="Q25" i="34"/>
  <c r="Q18" i="34"/>
  <c r="O18" i="34"/>
  <c r="O111" i="34"/>
  <c r="Q111" i="34"/>
  <c r="Q29" i="34"/>
  <c r="O29" i="34"/>
  <c r="Q129" i="34"/>
  <c r="O129" i="34"/>
  <c r="Q39" i="34"/>
  <c r="O39" i="34"/>
  <c r="Q50" i="34"/>
  <c r="O50" i="34"/>
  <c r="O115" i="34"/>
  <c r="Q115" i="34"/>
  <c r="O107" i="34"/>
  <c r="Q107" i="34"/>
  <c r="O72" i="34"/>
  <c r="Q72" i="34"/>
  <c r="Q104" i="34"/>
  <c r="O104" i="34"/>
  <c r="Q71" i="34"/>
  <c r="O71" i="34"/>
  <c r="Q75" i="34"/>
  <c r="O75" i="34"/>
  <c r="Q64" i="34"/>
  <c r="O64" i="34"/>
  <c r="O84" i="34"/>
  <c r="Q84" i="34"/>
  <c r="Q35" i="34"/>
  <c r="O35" i="34"/>
  <c r="AI26" i="42"/>
  <c r="AI70" i="42"/>
  <c r="AI250" i="42"/>
  <c r="AI90" i="42"/>
  <c r="AI59" i="42"/>
  <c r="AI148" i="42"/>
  <c r="AI157" i="42"/>
  <c r="AI179" i="42"/>
  <c r="AI111" i="42"/>
  <c r="AI183" i="42"/>
  <c r="AI89" i="42"/>
  <c r="AI135" i="42"/>
  <c r="AI256" i="42"/>
  <c r="AI101" i="42"/>
  <c r="AI240" i="42"/>
  <c r="AI244" i="42"/>
  <c r="AI60" i="42"/>
  <c r="AI215" i="42"/>
  <c r="AI113" i="42"/>
  <c r="AI48" i="42"/>
  <c r="AI81" i="42"/>
  <c r="AI62" i="42"/>
  <c r="AI80" i="42"/>
  <c r="AI18" i="42"/>
  <c r="AI106" i="42"/>
  <c r="AI220" i="42"/>
  <c r="AI115" i="42"/>
  <c r="AI141" i="42"/>
  <c r="AI191" i="42"/>
  <c r="AI121" i="42"/>
  <c r="AI35" i="42"/>
  <c r="AI188" i="42"/>
  <c r="AI91" i="42"/>
  <c r="AI69" i="42"/>
  <c r="AI88" i="42"/>
  <c r="AI36" i="42"/>
  <c r="AI208" i="42"/>
  <c r="AI143" i="42"/>
  <c r="AI254" i="42"/>
  <c r="AI138" i="42"/>
  <c r="AI180" i="42"/>
  <c r="AI249" i="42"/>
  <c r="AI128" i="42"/>
  <c r="AI251" i="42"/>
  <c r="AI201" i="42"/>
  <c r="AI149" i="42"/>
  <c r="AI198" i="42"/>
  <c r="AI199" i="42"/>
  <c r="AI221" i="42"/>
  <c r="AI39" i="42"/>
  <c r="AI226" i="42"/>
  <c r="AI182" i="42"/>
  <c r="AI55" i="42"/>
  <c r="AI7" i="42"/>
  <c r="AI92" i="42"/>
  <c r="AI222" i="42"/>
  <c r="AI14" i="42"/>
  <c r="AI109" i="42"/>
  <c r="AI193" i="42"/>
  <c r="AI84" i="42"/>
  <c r="AI72" i="42"/>
  <c r="AI44" i="42"/>
  <c r="AI151" i="42"/>
  <c r="AI61" i="42"/>
  <c r="AI177" i="42"/>
  <c r="AI235" i="42"/>
  <c r="AI28" i="42"/>
  <c r="AI146" i="42"/>
  <c r="AI228" i="42"/>
  <c r="AI107" i="42"/>
  <c r="AI147" i="42"/>
  <c r="AI196" i="42"/>
  <c r="AI47" i="42"/>
  <c r="AI3" i="42"/>
  <c r="AI112" i="42"/>
  <c r="AI154" i="42"/>
  <c r="AI210" i="42"/>
  <c r="AI237" i="42"/>
  <c r="AI119" i="42"/>
  <c r="AI73" i="42"/>
  <c r="AI152" i="42"/>
  <c r="AI50" i="42"/>
  <c r="AI87" i="42"/>
  <c r="AI124" i="42"/>
  <c r="AI123" i="42"/>
  <c r="AI219" i="42"/>
  <c r="AI258" i="42"/>
  <c r="AI9" i="42"/>
  <c r="AI57" i="42"/>
  <c r="AI99" i="42"/>
  <c r="AI205" i="42"/>
  <c r="AI96" i="42"/>
  <c r="AI233" i="42"/>
  <c r="AI178" i="42"/>
  <c r="AI234" i="42"/>
  <c r="AI165" i="42"/>
  <c r="AI253" i="42"/>
  <c r="AI257" i="42"/>
  <c r="AI172" i="42"/>
  <c r="AI223" i="42"/>
  <c r="AI108" i="42"/>
  <c r="AI127" i="42"/>
  <c r="AI145" i="42"/>
  <c r="AI65" i="42"/>
  <c r="AI159" i="42"/>
  <c r="AI203" i="42"/>
  <c r="AI31" i="42"/>
  <c r="AI214" i="42"/>
  <c r="AI190" i="42"/>
  <c r="AI206" i="42"/>
  <c r="AI252" i="42"/>
  <c r="AI23" i="42"/>
  <c r="AI158" i="42"/>
  <c r="AI142" i="42"/>
  <c r="AI187" i="42"/>
  <c r="AI125" i="42"/>
  <c r="AI27" i="42"/>
  <c r="AI242" i="42"/>
  <c r="AI137" i="42"/>
  <c r="AI117" i="42"/>
  <c r="AI102" i="42"/>
  <c r="AI246" i="42"/>
  <c r="AI116" i="42"/>
  <c r="AI218" i="42"/>
  <c r="AI41" i="42"/>
  <c r="AI95" i="42"/>
  <c r="AI33" i="42"/>
  <c r="AI241" i="42"/>
  <c r="AI66" i="42"/>
  <c r="AI168" i="42"/>
  <c r="AI6" i="42"/>
  <c r="AI173" i="42"/>
  <c r="AI259" i="42"/>
  <c r="AI160" i="42"/>
  <c r="AI49" i="42"/>
  <c r="AI213" i="42"/>
  <c r="AI195" i="42"/>
  <c r="AI120" i="42"/>
  <c r="AI174" i="42"/>
  <c r="AI22" i="42"/>
  <c r="AI45" i="42"/>
  <c r="AI56" i="42"/>
  <c r="AI204" i="42"/>
  <c r="AI185" i="42"/>
  <c r="AI239" i="42"/>
  <c r="AI11" i="42"/>
  <c r="AI153" i="42"/>
  <c r="AI17" i="42"/>
  <c r="AI53" i="42"/>
  <c r="AI68" i="42"/>
  <c r="AI25" i="42"/>
  <c r="AI230" i="42"/>
  <c r="AI51" i="42"/>
  <c r="AI104" i="42"/>
  <c r="AI164" i="42"/>
  <c r="AI126" i="42"/>
  <c r="AI83" i="42"/>
  <c r="AI118" i="42"/>
  <c r="AI171" i="42"/>
  <c r="AI133" i="42"/>
  <c r="AI52" i="42"/>
  <c r="AI232" i="42"/>
  <c r="AI207" i="42"/>
  <c r="AI238" i="42"/>
  <c r="AI170" i="42"/>
  <c r="AI216" i="42"/>
  <c r="AI74" i="42"/>
  <c r="AI76" i="42"/>
  <c r="AI110" i="42"/>
  <c r="AI212" i="42"/>
  <c r="AI82" i="42"/>
  <c r="AI100" i="42"/>
  <c r="AI217" i="42"/>
  <c r="AI21" i="42"/>
  <c r="AI122" i="42"/>
  <c r="AI166" i="42"/>
  <c r="AI75" i="42"/>
  <c r="AI43" i="42"/>
  <c r="AI8" i="42"/>
  <c r="AI134" i="42"/>
  <c r="AI225" i="42"/>
  <c r="AI58" i="42"/>
  <c r="AI64" i="42"/>
  <c r="AI245" i="42"/>
  <c r="AI67" i="42"/>
  <c r="AI129" i="42"/>
  <c r="AI114" i="42"/>
  <c r="AI46" i="42"/>
  <c r="AI20" i="42"/>
  <c r="AI236" i="42"/>
  <c r="AI37" i="42"/>
  <c r="AI30" i="42"/>
  <c r="AI97" i="42"/>
  <c r="AI78" i="42"/>
  <c r="AI163" i="42"/>
  <c r="AI156" i="42"/>
  <c r="AI162" i="42"/>
  <c r="AI192" i="42"/>
  <c r="AI29" i="42"/>
  <c r="AI197" i="42"/>
  <c r="AI176" i="42"/>
  <c r="AI130" i="42"/>
  <c r="AI140" i="42"/>
  <c r="AI19" i="42"/>
  <c r="AI243" i="42"/>
  <c r="AI144" i="42"/>
  <c r="AI194" i="42"/>
  <c r="AI161" i="42"/>
  <c r="AI231" i="42"/>
  <c r="AI38" i="42"/>
  <c r="AI227" i="42"/>
  <c r="AI42" i="42"/>
  <c r="AI86" i="42"/>
  <c r="AI139" i="42"/>
  <c r="AI224" i="42"/>
  <c r="AI93" i="42"/>
  <c r="AI247" i="42"/>
  <c r="AI132" i="42"/>
  <c r="AI136" i="42"/>
  <c r="AI13" i="42"/>
  <c r="AI155" i="42"/>
  <c r="AI169" i="42"/>
  <c r="AI186" i="42"/>
  <c r="AI175" i="42"/>
  <c r="AI24" i="42"/>
  <c r="AI255" i="42"/>
  <c r="AI15" i="42"/>
  <c r="AI189" i="42"/>
  <c r="AI79" i="42"/>
  <c r="AI94" i="42"/>
  <c r="AI209" i="42"/>
  <c r="AI131" i="42"/>
  <c r="AI103" i="42"/>
  <c r="AI63" i="42"/>
  <c r="AI10" i="42"/>
  <c r="AI32" i="42"/>
  <c r="AI248" i="42"/>
  <c r="AI167" i="42"/>
  <c r="AI105" i="42"/>
  <c r="AI202" i="42"/>
  <c r="AI4" i="42"/>
  <c r="AI229" i="42"/>
  <c r="AI181" i="42"/>
  <c r="AI34" i="42"/>
  <c r="AI98" i="42"/>
  <c r="AI77" i="42"/>
  <c r="AI16" i="42"/>
  <c r="AI200" i="42"/>
  <c r="AI40" i="42"/>
  <c r="AI211" i="42"/>
  <c r="AI150" i="42"/>
  <c r="AI85" i="42"/>
  <c r="AI71" i="42"/>
  <c r="AI5" i="42"/>
  <c r="AI12" i="42"/>
  <c r="AI184" i="42"/>
  <c r="AI54" i="42"/>
  <c r="O18" i="42"/>
  <c r="C37" i="42" s="1"/>
  <c r="H28" i="41" s="1"/>
  <c r="O24" i="42"/>
  <c r="C43" i="42" s="1"/>
  <c r="H34" i="41" s="1"/>
  <c r="O28" i="42"/>
  <c r="C47" i="42" s="1"/>
  <c r="H38" i="41" s="1"/>
  <c r="O20" i="42"/>
  <c r="C39" i="42" s="1"/>
  <c r="H30" i="41" s="1"/>
  <c r="O25" i="42"/>
  <c r="C44" i="42" s="1"/>
  <c r="H35" i="41" s="1"/>
  <c r="O26" i="42"/>
  <c r="C45" i="42" s="1"/>
  <c r="H36" i="41" s="1"/>
  <c r="O27" i="42"/>
  <c r="C46" i="42" s="1"/>
  <c r="H37" i="41" s="1"/>
  <c r="O22" i="42"/>
  <c r="C41" i="42" s="1"/>
  <c r="H32" i="41" s="1"/>
  <c r="O15" i="42"/>
  <c r="C34" i="42" s="1"/>
  <c r="H25" i="41" s="1"/>
  <c r="O19" i="42"/>
  <c r="C38" i="42" s="1"/>
  <c r="H29" i="41" s="1"/>
  <c r="O29" i="42"/>
  <c r="C48" i="42" s="1"/>
  <c r="H39" i="41" s="1"/>
  <c r="O16" i="42"/>
  <c r="C35" i="42" s="1"/>
  <c r="H26" i="41" s="1"/>
  <c r="O30" i="42"/>
  <c r="C49" i="42" s="1"/>
  <c r="H40" i="41" s="1"/>
  <c r="O23" i="42"/>
  <c r="C42" i="42" s="1"/>
  <c r="H33" i="41" s="1"/>
  <c r="O17" i="42"/>
  <c r="C36" i="42" s="1"/>
  <c r="H27" i="41" s="1"/>
  <c r="O21" i="42"/>
  <c r="C40" i="42" s="1"/>
  <c r="H31" i="41" s="1"/>
  <c r="O24" i="34"/>
  <c r="Q24" i="34"/>
  <c r="O66" i="34"/>
  <c r="Q66" i="34"/>
  <c r="O52" i="34"/>
  <c r="Q52" i="34"/>
  <c r="O81" i="34"/>
  <c r="Q81" i="34"/>
  <c r="Q89" i="34"/>
  <c r="O89" i="34"/>
  <c r="O48" i="34"/>
  <c r="N86" i="34"/>
  <c r="N8" i="34"/>
  <c r="N57" i="34"/>
  <c r="N21" i="34"/>
  <c r="N37" i="34"/>
  <c r="N73" i="34"/>
  <c r="N87" i="34"/>
  <c r="N89" i="34"/>
  <c r="N53" i="34"/>
  <c r="N79" i="34"/>
  <c r="N49" i="34"/>
  <c r="N127" i="34"/>
  <c r="N39" i="34"/>
  <c r="N121" i="34"/>
  <c r="N45" i="34"/>
  <c r="N15" i="34"/>
  <c r="N54" i="34"/>
  <c r="N70" i="34"/>
  <c r="N81" i="34"/>
  <c r="N61" i="34"/>
  <c r="N129" i="34"/>
  <c r="N113" i="34"/>
  <c r="N34" i="34"/>
  <c r="N14" i="34"/>
  <c r="N7" i="34"/>
  <c r="N77" i="34"/>
  <c r="N22" i="34"/>
  <c r="N110" i="34"/>
  <c r="N27" i="34"/>
  <c r="N67" i="34"/>
  <c r="N26" i="34"/>
  <c r="R5" i="34"/>
  <c r="N90" i="34"/>
  <c r="N111" i="34"/>
  <c r="N23" i="34"/>
  <c r="N104" i="34"/>
  <c r="N52" i="34"/>
  <c r="N59" i="34"/>
  <c r="N119" i="34"/>
  <c r="N29" i="34"/>
  <c r="N16" i="34"/>
  <c r="N85" i="34"/>
  <c r="N51" i="34"/>
  <c r="N78" i="34"/>
  <c r="N17" i="34"/>
  <c r="N120" i="34"/>
  <c r="N125" i="34"/>
  <c r="N69" i="34"/>
  <c r="N18" i="34"/>
  <c r="N71" i="34"/>
  <c r="N105" i="34"/>
  <c r="N20" i="34"/>
  <c r="N65" i="34"/>
  <c r="N68" i="34"/>
  <c r="N123" i="34"/>
  <c r="N40" i="34"/>
  <c r="N13" i="34"/>
  <c r="N106" i="34"/>
  <c r="N36" i="34"/>
  <c r="N28" i="34"/>
  <c r="N56" i="34"/>
  <c r="N88" i="34"/>
  <c r="N96" i="34"/>
  <c r="N95" i="34"/>
  <c r="N43" i="34"/>
  <c r="N42" i="34"/>
  <c r="N6" i="34"/>
  <c r="N41" i="34"/>
  <c r="N11" i="34"/>
  <c r="N58" i="34"/>
  <c r="N12" i="34"/>
  <c r="N114" i="34"/>
  <c r="N122" i="34"/>
  <c r="N44" i="34"/>
  <c r="N64" i="34"/>
  <c r="N35" i="34"/>
  <c r="N10" i="34"/>
  <c r="N91" i="34"/>
  <c r="N108" i="34"/>
  <c r="N107" i="34"/>
  <c r="N128" i="34"/>
  <c r="N25" i="34"/>
  <c r="N62" i="34"/>
  <c r="N82" i="34"/>
  <c r="N93" i="34"/>
  <c r="N83" i="34"/>
  <c r="N63" i="34"/>
  <c r="N33" i="34"/>
  <c r="N31" i="34"/>
  <c r="N72" i="34"/>
  <c r="N74" i="34"/>
  <c r="N98" i="34"/>
  <c r="N112" i="34"/>
  <c r="N100" i="34"/>
  <c r="N103" i="34"/>
  <c r="N94" i="34"/>
  <c r="N101" i="34"/>
  <c r="N32" i="34"/>
  <c r="N92" i="34"/>
  <c r="N116" i="34"/>
  <c r="N46" i="34"/>
  <c r="N47" i="34"/>
  <c r="N9" i="34"/>
  <c r="N126" i="34"/>
  <c r="N97" i="34"/>
  <c r="N117" i="34"/>
  <c r="N75" i="34"/>
  <c r="N84" i="34"/>
  <c r="N66" i="34"/>
  <c r="N115" i="34"/>
  <c r="N109" i="34"/>
  <c r="N48" i="34"/>
  <c r="N60" i="34"/>
  <c r="N38" i="34"/>
  <c r="N76" i="34"/>
  <c r="N80" i="34"/>
  <c r="N30" i="34"/>
  <c r="N124" i="34"/>
  <c r="N118" i="34"/>
  <c r="N19" i="34"/>
  <c r="N99" i="34"/>
  <c r="N102" i="34"/>
  <c r="N50" i="34"/>
  <c r="N55" i="34"/>
  <c r="N24" i="34"/>
  <c r="U48" i="34" l="1"/>
  <c r="S50" i="34"/>
  <c r="U50" i="34"/>
  <c r="U18" i="34"/>
  <c r="S18" i="34"/>
  <c r="U93" i="34"/>
  <c r="S93" i="34"/>
  <c r="S118" i="34"/>
  <c r="U118" i="34"/>
  <c r="S82" i="34"/>
  <c r="U82" i="34"/>
  <c r="U128" i="34"/>
  <c r="S128" i="34"/>
  <c r="S12" i="34"/>
  <c r="U12" i="34"/>
  <c r="U43" i="34"/>
  <c r="S43" i="34"/>
  <c r="S53" i="34"/>
  <c r="U53" i="34"/>
  <c r="S11" i="34"/>
  <c r="U11" i="34"/>
  <c r="U106" i="34"/>
  <c r="S106" i="34"/>
  <c r="U7" i="34"/>
  <c r="S7" i="34"/>
  <c r="S48" i="34"/>
  <c r="U75" i="34"/>
  <c r="S75" i="34"/>
  <c r="U81" i="34"/>
  <c r="S81" i="34"/>
  <c r="S129" i="34"/>
  <c r="U129" i="34"/>
  <c r="S90" i="34"/>
  <c r="U90" i="34"/>
  <c r="U102" i="34"/>
  <c r="S102" i="34"/>
  <c r="S55" i="34"/>
  <c r="U55" i="34"/>
  <c r="S61" i="34"/>
  <c r="U61" i="34"/>
  <c r="U19" i="34"/>
  <c r="S19" i="34"/>
  <c r="S15" i="34"/>
  <c r="U15" i="34"/>
  <c r="S63" i="34"/>
  <c r="U63" i="34"/>
  <c r="U124" i="34"/>
  <c r="S124" i="34"/>
  <c r="S17" i="34"/>
  <c r="U17" i="34"/>
  <c r="U22" i="34"/>
  <c r="S22" i="34"/>
  <c r="U77" i="34"/>
  <c r="S77" i="34"/>
  <c r="S45" i="34"/>
  <c r="U45" i="34"/>
  <c r="S83" i="34"/>
  <c r="U83" i="34"/>
  <c r="U121" i="34"/>
  <c r="S121" i="34"/>
  <c r="U32" i="34"/>
  <c r="S32" i="34"/>
  <c r="S24" i="34"/>
  <c r="U24" i="34"/>
  <c r="S49" i="34"/>
  <c r="U49" i="34"/>
  <c r="U76" i="34"/>
  <c r="S76" i="34"/>
  <c r="S94" i="34"/>
  <c r="U94" i="34"/>
  <c r="S10" i="34"/>
  <c r="U10" i="34"/>
  <c r="U71" i="34"/>
  <c r="S71" i="34"/>
  <c r="S127" i="34"/>
  <c r="U127" i="34"/>
  <c r="U108" i="34"/>
  <c r="S108" i="34"/>
  <c r="U125" i="34"/>
  <c r="S125" i="34"/>
  <c r="S56" i="34"/>
  <c r="U56" i="34"/>
  <c r="U25" i="34"/>
  <c r="S25" i="34"/>
  <c r="U122" i="34"/>
  <c r="S122" i="34"/>
  <c r="S96" i="34"/>
  <c r="U96" i="34"/>
  <c r="S110" i="34"/>
  <c r="U110" i="34"/>
  <c r="S30" i="34"/>
  <c r="U30" i="34"/>
  <c r="S104" i="34"/>
  <c r="U104" i="34"/>
  <c r="U115" i="34"/>
  <c r="S115" i="34"/>
  <c r="S39" i="34"/>
  <c r="U39" i="34"/>
  <c r="S111" i="34"/>
  <c r="U111" i="34"/>
  <c r="S87" i="34"/>
  <c r="U87" i="34"/>
  <c r="S80" i="34"/>
  <c r="U80" i="34"/>
  <c r="U67" i="34"/>
  <c r="S67" i="34"/>
  <c r="U37" i="34"/>
  <c r="S37" i="34"/>
  <c r="U21" i="34"/>
  <c r="S21" i="34"/>
  <c r="S38" i="34"/>
  <c r="U38" i="34"/>
  <c r="S119" i="34"/>
  <c r="U119" i="34"/>
  <c r="S8" i="34"/>
  <c r="U8" i="34"/>
  <c r="U14" i="34"/>
  <c r="S14" i="34"/>
  <c r="U59" i="34"/>
  <c r="S59" i="34"/>
  <c r="U84" i="34"/>
  <c r="S84" i="34"/>
  <c r="S51" i="34"/>
  <c r="U51" i="34"/>
  <c r="S69" i="34"/>
  <c r="U69" i="34"/>
  <c r="S44" i="34"/>
  <c r="U44" i="34"/>
  <c r="S16" i="34"/>
  <c r="U16" i="34"/>
  <c r="S74" i="34"/>
  <c r="U74" i="34"/>
  <c r="U109" i="34"/>
  <c r="S109" i="34"/>
  <c r="S60" i="34"/>
  <c r="U60" i="34"/>
  <c r="S120" i="34"/>
  <c r="U120" i="34"/>
  <c r="U62" i="34"/>
  <c r="S62" i="34"/>
  <c r="S23" i="34"/>
  <c r="U23" i="34"/>
  <c r="U105" i="34"/>
  <c r="S105" i="34"/>
  <c r="S64" i="34"/>
  <c r="U64" i="34"/>
  <c r="S99" i="34"/>
  <c r="U99" i="34"/>
  <c r="U54" i="34"/>
  <c r="S54" i="34"/>
  <c r="U6" i="34"/>
  <c r="R6" i="34"/>
  <c r="S6" i="34" s="1"/>
  <c r="S4" i="34" s="1"/>
  <c r="E4" i="33" s="1"/>
  <c r="S88" i="34"/>
  <c r="U88" i="34"/>
  <c r="U123" i="34"/>
  <c r="S123" i="34"/>
  <c r="S114" i="34"/>
  <c r="U114" i="34"/>
  <c r="U58" i="34"/>
  <c r="S58" i="34"/>
  <c r="U97" i="34"/>
  <c r="S97" i="34"/>
  <c r="U73" i="34"/>
  <c r="S73" i="34"/>
  <c r="S9" i="34"/>
  <c r="U9" i="34"/>
  <c r="S42" i="34"/>
  <c r="U42" i="34"/>
  <c r="S47" i="34"/>
  <c r="U47" i="34"/>
  <c r="U95" i="34"/>
  <c r="S95" i="34"/>
  <c r="U57" i="34"/>
  <c r="S57" i="34"/>
  <c r="S28" i="34"/>
  <c r="U28" i="34"/>
  <c r="S91" i="34"/>
  <c r="U91" i="34"/>
  <c r="S98" i="34"/>
  <c r="U98" i="34"/>
  <c r="U86" i="34"/>
  <c r="S86" i="34"/>
  <c r="U103" i="34"/>
  <c r="S103" i="34"/>
  <c r="U112" i="34"/>
  <c r="S112" i="34"/>
  <c r="U107" i="34"/>
  <c r="S107" i="34"/>
  <c r="S126" i="34"/>
  <c r="U126" i="34"/>
  <c r="S46" i="34"/>
  <c r="U46" i="34"/>
  <c r="U85" i="34"/>
  <c r="S85" i="34"/>
  <c r="U52" i="34"/>
  <c r="S52" i="34"/>
  <c r="S29" i="34"/>
  <c r="U29" i="34"/>
  <c r="S33" i="34"/>
  <c r="U33" i="34"/>
  <c r="U41" i="34"/>
  <c r="S41" i="34"/>
  <c r="S79" i="34"/>
  <c r="U79" i="34"/>
  <c r="U13" i="34"/>
  <c r="S13" i="34"/>
  <c r="S78" i="34"/>
  <c r="U78" i="34"/>
  <c r="S70" i="34"/>
  <c r="U70" i="34"/>
  <c r="U27" i="34"/>
  <c r="S27" i="34"/>
  <c r="S66" i="34"/>
  <c r="U66" i="34"/>
  <c r="U89" i="34"/>
  <c r="S89" i="34"/>
  <c r="S35" i="34"/>
  <c r="U35" i="34"/>
  <c r="U72" i="34"/>
  <c r="S72" i="34"/>
  <c r="U31" i="34"/>
  <c r="S31" i="34"/>
  <c r="Y5" i="34"/>
  <c r="W5" i="34"/>
  <c r="S117" i="34"/>
  <c r="U117" i="34"/>
  <c r="S26" i="34"/>
  <c r="U26" i="34"/>
  <c r="U68" i="34"/>
  <c r="S68" i="34"/>
  <c r="U116" i="34"/>
  <c r="S116" i="34"/>
  <c r="S92" i="34"/>
  <c r="U92" i="34"/>
  <c r="S65" i="34"/>
  <c r="U65" i="34"/>
  <c r="S101" i="34"/>
  <c r="U101" i="34"/>
  <c r="S36" i="34"/>
  <c r="U36" i="34"/>
  <c r="S20" i="34"/>
  <c r="U20" i="34"/>
  <c r="S100" i="34"/>
  <c r="U100" i="34"/>
  <c r="S34" i="34"/>
  <c r="U34" i="34"/>
  <c r="U40" i="34"/>
  <c r="S40" i="34"/>
  <c r="U113" i="34"/>
  <c r="S113" i="34"/>
  <c r="O1" i="34"/>
  <c r="D3" i="33" s="1"/>
  <c r="O4" i="34"/>
  <c r="E3" i="33" s="1"/>
  <c r="R75" i="34"/>
  <c r="R55" i="34"/>
  <c r="R77" i="34"/>
  <c r="R83" i="34"/>
  <c r="R94" i="34"/>
  <c r="R71" i="34"/>
  <c r="R110" i="34"/>
  <c r="R87" i="34"/>
  <c r="R14" i="34"/>
  <c r="R123" i="34"/>
  <c r="V5" i="34"/>
  <c r="R92" i="34"/>
  <c r="R107" i="34"/>
  <c r="R66" i="34"/>
  <c r="R117" i="34"/>
  <c r="R114" i="34"/>
  <c r="R21" i="34"/>
  <c r="R69" i="34"/>
  <c r="R98" i="34"/>
  <c r="R33" i="34"/>
  <c r="R89" i="34"/>
  <c r="R118" i="34"/>
  <c r="R99" i="34"/>
  <c r="R47" i="34"/>
  <c r="R52" i="34"/>
  <c r="R31" i="34"/>
  <c r="R11" i="34"/>
  <c r="R28" i="34"/>
  <c r="R100" i="34"/>
  <c r="R93" i="34"/>
  <c r="R15" i="34"/>
  <c r="R121" i="34"/>
  <c r="R30" i="34"/>
  <c r="R38" i="34"/>
  <c r="R109" i="34"/>
  <c r="R62" i="34"/>
  <c r="R97" i="34"/>
  <c r="R91" i="34"/>
  <c r="R79" i="34"/>
  <c r="R72" i="34"/>
  <c r="R20" i="34"/>
  <c r="R50" i="34"/>
  <c r="R106" i="34"/>
  <c r="R127" i="34"/>
  <c r="R80" i="34"/>
  <c r="R60" i="34"/>
  <c r="R81" i="34"/>
  <c r="R73" i="34"/>
  <c r="R126" i="34"/>
  <c r="R101" i="34"/>
  <c r="R12" i="34"/>
  <c r="R45" i="34"/>
  <c r="R25" i="34"/>
  <c r="R74" i="34"/>
  <c r="R19" i="34"/>
  <c r="R32" i="34"/>
  <c r="R43" i="34"/>
  <c r="R17" i="34"/>
  <c r="R122" i="34"/>
  <c r="R39" i="34"/>
  <c r="R119" i="34"/>
  <c r="R51" i="34"/>
  <c r="R16" i="34"/>
  <c r="R95" i="34"/>
  <c r="R86" i="34"/>
  <c r="R85" i="34"/>
  <c r="R70" i="34"/>
  <c r="R34" i="34"/>
  <c r="R128" i="34"/>
  <c r="R90" i="34"/>
  <c r="R10" i="34"/>
  <c r="R96" i="34"/>
  <c r="R57" i="34"/>
  <c r="R116" i="34"/>
  <c r="R53" i="34"/>
  <c r="R61" i="34"/>
  <c r="R108" i="34"/>
  <c r="R64" i="34"/>
  <c r="R42" i="34"/>
  <c r="R103" i="34"/>
  <c r="R13" i="34"/>
  <c r="R22" i="34"/>
  <c r="R59" i="34"/>
  <c r="R27" i="34"/>
  <c r="R18" i="34"/>
  <c r="R129" i="34"/>
  <c r="R120" i="34"/>
  <c r="R112" i="34"/>
  <c r="R113" i="34"/>
  <c r="R82" i="34"/>
  <c r="R124" i="34"/>
  <c r="R24" i="34"/>
  <c r="R76" i="34"/>
  <c r="R125" i="34"/>
  <c r="R115" i="34"/>
  <c r="R111" i="34"/>
  <c r="R67" i="34"/>
  <c r="R84" i="34"/>
  <c r="R44" i="34"/>
  <c r="R105" i="34"/>
  <c r="R9" i="34"/>
  <c r="R48" i="34"/>
  <c r="R46" i="34"/>
  <c r="R41" i="34"/>
  <c r="R78" i="34"/>
  <c r="R35" i="34"/>
  <c r="R54" i="34"/>
  <c r="R68" i="34"/>
  <c r="R36" i="34"/>
  <c r="R29" i="34"/>
  <c r="R65" i="34"/>
  <c r="R49" i="34"/>
  <c r="R56" i="34"/>
  <c r="R37" i="34"/>
  <c r="R63" i="34"/>
  <c r="R104" i="34"/>
  <c r="R23" i="34"/>
  <c r="R40" i="34"/>
  <c r="R102" i="34"/>
  <c r="R8" i="34"/>
  <c r="R88" i="34"/>
  <c r="R26" i="34"/>
  <c r="R7" i="34"/>
  <c r="R58" i="34"/>
  <c r="V48" i="34"/>
  <c r="W27" i="34" l="1"/>
  <c r="Y27" i="34"/>
  <c r="W41" i="34"/>
  <c r="Y41" i="34"/>
  <c r="Y98" i="34"/>
  <c r="W98" i="34"/>
  <c r="W71" i="34"/>
  <c r="Y71" i="34"/>
  <c r="Y22" i="34"/>
  <c r="W22" i="34"/>
  <c r="W63" i="34"/>
  <c r="Y63" i="34"/>
  <c r="Y60" i="34"/>
  <c r="W60" i="34"/>
  <c r="W76" i="34"/>
  <c r="Y76" i="34"/>
  <c r="W53" i="34"/>
  <c r="Y53" i="34"/>
  <c r="W117" i="34"/>
  <c r="Y117" i="34"/>
  <c r="Y40" i="34"/>
  <c r="W40" i="34"/>
  <c r="W65" i="34"/>
  <c r="Y65" i="34"/>
  <c r="Y89" i="34"/>
  <c r="W89" i="34"/>
  <c r="Y91" i="34"/>
  <c r="W91" i="34"/>
  <c r="Y42" i="34"/>
  <c r="W42" i="34"/>
  <c r="Y51" i="34"/>
  <c r="W51" i="34"/>
  <c r="W15" i="34"/>
  <c r="Y15" i="34"/>
  <c r="W81" i="34"/>
  <c r="Y81" i="34"/>
  <c r="W72" i="34"/>
  <c r="Y72" i="34"/>
  <c r="W34" i="34"/>
  <c r="Y34" i="34"/>
  <c r="Y68" i="34"/>
  <c r="W68" i="34"/>
  <c r="W78" i="34"/>
  <c r="Y78" i="34"/>
  <c r="Y35" i="34"/>
  <c r="W35" i="34"/>
  <c r="Y86" i="34"/>
  <c r="W86" i="34"/>
  <c r="W95" i="34"/>
  <c r="Y95" i="34"/>
  <c r="Y120" i="34"/>
  <c r="W120" i="34"/>
  <c r="W113" i="34"/>
  <c r="Y113" i="34"/>
  <c r="Y100" i="34"/>
  <c r="W100" i="34"/>
  <c r="Y92" i="34"/>
  <c r="W92" i="34"/>
  <c r="W26" i="34"/>
  <c r="Y26" i="34"/>
  <c r="AA5" i="34"/>
  <c r="AC5" i="34"/>
  <c r="W112" i="34"/>
  <c r="Y112" i="34"/>
  <c r="Y47" i="34"/>
  <c r="W47" i="34"/>
  <c r="Y58" i="34"/>
  <c r="W58" i="34"/>
  <c r="Y88" i="34"/>
  <c r="W88" i="34"/>
  <c r="Y99" i="34"/>
  <c r="W99" i="34"/>
  <c r="W74" i="34"/>
  <c r="Y74" i="34"/>
  <c r="W8" i="34"/>
  <c r="Y8" i="34"/>
  <c r="W110" i="34"/>
  <c r="Y110" i="34"/>
  <c r="W83" i="34"/>
  <c r="Y83" i="34"/>
  <c r="Y19" i="34"/>
  <c r="W19" i="34"/>
  <c r="S1" i="34"/>
  <c r="D4" i="33" s="1"/>
  <c r="Y12" i="34"/>
  <c r="W12" i="34"/>
  <c r="Y18" i="34"/>
  <c r="W18" i="34"/>
  <c r="W104" i="34"/>
  <c r="Y104" i="34"/>
  <c r="Y33" i="34"/>
  <c r="W33" i="34"/>
  <c r="W73" i="34"/>
  <c r="Y73" i="34"/>
  <c r="Y21" i="34"/>
  <c r="W21" i="34"/>
  <c r="Y96" i="34"/>
  <c r="W96" i="34"/>
  <c r="W10" i="34"/>
  <c r="Y10" i="34"/>
  <c r="Y61" i="34"/>
  <c r="W61" i="34"/>
  <c r="W50" i="34"/>
  <c r="Y50" i="34"/>
  <c r="W116" i="34"/>
  <c r="Y116" i="34"/>
  <c r="W31" i="34"/>
  <c r="Y31" i="34"/>
  <c r="Y16" i="34"/>
  <c r="W16" i="34"/>
  <c r="Y45" i="34"/>
  <c r="W45" i="34"/>
  <c r="W85" i="34"/>
  <c r="Y85" i="34"/>
  <c r="W64" i="34"/>
  <c r="Y64" i="34"/>
  <c r="Y66" i="34"/>
  <c r="W66" i="34"/>
  <c r="W29" i="34"/>
  <c r="Y29" i="34"/>
  <c r="Y107" i="34"/>
  <c r="W107" i="34"/>
  <c r="W97" i="34"/>
  <c r="Y97" i="34"/>
  <c r="Y62" i="34"/>
  <c r="W62" i="34"/>
  <c r="W87" i="34"/>
  <c r="Y87" i="34"/>
  <c r="W127" i="34"/>
  <c r="Y127" i="34"/>
  <c r="W94" i="34"/>
  <c r="Y94" i="34"/>
  <c r="W121" i="34"/>
  <c r="Y121" i="34"/>
  <c r="W55" i="34"/>
  <c r="Y55" i="34"/>
  <c r="Y90" i="34"/>
  <c r="W90" i="34"/>
  <c r="Y128" i="34"/>
  <c r="W128" i="34"/>
  <c r="W93" i="34"/>
  <c r="Y93" i="34"/>
  <c r="W48" i="34"/>
  <c r="W101" i="34"/>
  <c r="Y101" i="34"/>
  <c r="Y126" i="34"/>
  <c r="W126" i="34"/>
  <c r="W69" i="34"/>
  <c r="Y69" i="34"/>
  <c r="Y67" i="34"/>
  <c r="W67" i="34"/>
  <c r="Y118" i="34"/>
  <c r="W118" i="34"/>
  <c r="W13" i="34"/>
  <c r="Y13" i="34"/>
  <c r="Y114" i="34"/>
  <c r="W114" i="34"/>
  <c r="Y70" i="34"/>
  <c r="W70" i="34"/>
  <c r="W57" i="34"/>
  <c r="Y57" i="34"/>
  <c r="Y119" i="34"/>
  <c r="W119" i="34"/>
  <c r="Y39" i="34"/>
  <c r="W39" i="34"/>
  <c r="W56" i="34"/>
  <c r="Y56" i="34"/>
  <c r="W32" i="34"/>
  <c r="Y32" i="34"/>
  <c r="Y79" i="34"/>
  <c r="W79" i="34"/>
  <c r="W103" i="34"/>
  <c r="Y103" i="34"/>
  <c r="W36" i="34"/>
  <c r="Y36" i="34"/>
  <c r="Y46" i="34"/>
  <c r="W46" i="34"/>
  <c r="W9" i="34"/>
  <c r="Y9" i="34"/>
  <c r="W123" i="34"/>
  <c r="Y123" i="34"/>
  <c r="Y54" i="34"/>
  <c r="W54" i="34"/>
  <c r="W44" i="34"/>
  <c r="Y44" i="34"/>
  <c r="Y14" i="34"/>
  <c r="W14" i="34"/>
  <c r="Y37" i="34"/>
  <c r="W37" i="34"/>
  <c r="W24" i="34"/>
  <c r="Y24" i="34"/>
  <c r="W77" i="34"/>
  <c r="Y77" i="34"/>
  <c r="Y75" i="34"/>
  <c r="W75" i="34"/>
  <c r="Y106" i="34"/>
  <c r="W106" i="34"/>
  <c r="Y82" i="34"/>
  <c r="W82" i="34"/>
  <c r="W52" i="34"/>
  <c r="Y52" i="34"/>
  <c r="Y23" i="34"/>
  <c r="W23" i="34"/>
  <c r="W84" i="34"/>
  <c r="Y84" i="34"/>
  <c r="W111" i="34"/>
  <c r="Y111" i="34"/>
  <c r="W25" i="34"/>
  <c r="Y25" i="34"/>
  <c r="W80" i="34"/>
  <c r="Y80" i="34"/>
  <c r="W108" i="34"/>
  <c r="Y108" i="34"/>
  <c r="W20" i="34"/>
  <c r="Y20" i="34"/>
  <c r="W49" i="34"/>
  <c r="Y49" i="34"/>
  <c r="Y17" i="34"/>
  <c r="W17" i="34"/>
  <c r="Y102" i="34"/>
  <c r="W102" i="34"/>
  <c r="Y7" i="34"/>
  <c r="V7" i="34"/>
  <c r="W7" i="34" s="1"/>
  <c r="W6" i="34"/>
  <c r="W4" i="34" s="1"/>
  <c r="E5" i="33" s="1"/>
  <c r="Y6" i="34"/>
  <c r="W59" i="34"/>
  <c r="Y59" i="34"/>
  <c r="W30" i="34"/>
  <c r="Y30" i="34"/>
  <c r="W28" i="34"/>
  <c r="Y28" i="34"/>
  <c r="W105" i="34"/>
  <c r="Y105" i="34"/>
  <c r="W109" i="34"/>
  <c r="Y109" i="34"/>
  <c r="Y38" i="34"/>
  <c r="W38" i="34"/>
  <c r="W115" i="34"/>
  <c r="Y115" i="34"/>
  <c r="W122" i="34"/>
  <c r="Y122" i="34"/>
  <c r="Y125" i="34"/>
  <c r="W125" i="34"/>
  <c r="W124" i="34"/>
  <c r="Y124" i="34"/>
  <c r="W129" i="34"/>
  <c r="Y129" i="34"/>
  <c r="Y11" i="34"/>
  <c r="W11" i="34"/>
  <c r="W43" i="34"/>
  <c r="Y43" i="34"/>
  <c r="Y48" i="34"/>
  <c r="V27" i="34"/>
  <c r="V15" i="34"/>
  <c r="V72" i="34"/>
  <c r="V86" i="34"/>
  <c r="V113" i="34"/>
  <c r="V61" i="34"/>
  <c r="V127" i="34"/>
  <c r="V128" i="34"/>
  <c r="V114" i="34"/>
  <c r="V103" i="34"/>
  <c r="V77" i="34"/>
  <c r="V84" i="34"/>
  <c r="V38" i="34"/>
  <c r="V80" i="34"/>
  <c r="V117" i="34"/>
  <c r="V73" i="34"/>
  <c r="V29" i="34"/>
  <c r="V75" i="34"/>
  <c r="V124" i="34"/>
  <c r="V81" i="34"/>
  <c r="V64" i="34"/>
  <c r="V36" i="34"/>
  <c r="V49" i="34"/>
  <c r="V116" i="34"/>
  <c r="V13" i="34"/>
  <c r="V108" i="34"/>
  <c r="V109" i="34"/>
  <c r="V98" i="34"/>
  <c r="V92" i="34"/>
  <c r="V90" i="34"/>
  <c r="V123" i="34"/>
  <c r="V65" i="34"/>
  <c r="V78" i="34"/>
  <c r="V26" i="34"/>
  <c r="V18" i="34"/>
  <c r="V33" i="34"/>
  <c r="V96" i="34"/>
  <c r="V50" i="34"/>
  <c r="V31" i="34"/>
  <c r="V55" i="34"/>
  <c r="V9" i="34"/>
  <c r="V95" i="34"/>
  <c r="V100" i="34"/>
  <c r="Z5" i="34"/>
  <c r="V45" i="34"/>
  <c r="V94" i="34"/>
  <c r="V14" i="34"/>
  <c r="V111" i="34"/>
  <c r="V30" i="34"/>
  <c r="V76" i="34"/>
  <c r="V25" i="34"/>
  <c r="V28" i="34"/>
  <c r="V60" i="34"/>
  <c r="V53" i="34"/>
  <c r="V42" i="34"/>
  <c r="V88" i="34"/>
  <c r="V8" i="34"/>
  <c r="V19" i="34"/>
  <c r="V16" i="34"/>
  <c r="V85" i="34"/>
  <c r="V93" i="34"/>
  <c r="V118" i="34"/>
  <c r="V119" i="34"/>
  <c r="V44" i="34"/>
  <c r="V52" i="34"/>
  <c r="V102" i="34"/>
  <c r="V59" i="34"/>
  <c r="V105" i="34"/>
  <c r="V41" i="34"/>
  <c r="V71" i="34"/>
  <c r="V34" i="34"/>
  <c r="V10" i="34"/>
  <c r="V70" i="34"/>
  <c r="V115" i="34"/>
  <c r="V68" i="34"/>
  <c r="V32" i="34"/>
  <c r="V120" i="34"/>
  <c r="V87" i="34"/>
  <c r="V79" i="34"/>
  <c r="V23" i="34"/>
  <c r="V17" i="34"/>
  <c r="V89" i="34"/>
  <c r="V110" i="34"/>
  <c r="V69" i="34"/>
  <c r="V63" i="34"/>
  <c r="V40" i="34"/>
  <c r="V91" i="34"/>
  <c r="V51" i="34"/>
  <c r="V112" i="34"/>
  <c r="V58" i="34"/>
  <c r="V74" i="34"/>
  <c r="V83" i="34"/>
  <c r="V66" i="34"/>
  <c r="V97" i="34"/>
  <c r="V121" i="34"/>
  <c r="V101" i="34"/>
  <c r="V67" i="34"/>
  <c r="V54" i="34"/>
  <c r="V20" i="34"/>
  <c r="V129" i="34"/>
  <c r="V57" i="34"/>
  <c r="V56" i="34"/>
  <c r="V46" i="34"/>
  <c r="V37" i="34"/>
  <c r="V125" i="34"/>
  <c r="V82" i="34"/>
  <c r="V11" i="34"/>
  <c r="V99" i="34"/>
  <c r="V62" i="34"/>
  <c r="V126" i="34"/>
  <c r="V24" i="34"/>
  <c r="V22" i="34"/>
  <c r="V47" i="34"/>
  <c r="V104" i="34"/>
  <c r="V39" i="34"/>
  <c r="V43" i="34"/>
  <c r="V21" i="34"/>
  <c r="V107" i="34"/>
  <c r="V122" i="34"/>
  <c r="V35" i="34"/>
  <c r="V12" i="34"/>
  <c r="V106" i="34"/>
  <c r="V6" i="34"/>
  <c r="AC79" i="34" l="1"/>
  <c r="AA79" i="34"/>
  <c r="AC116" i="34"/>
  <c r="AA116" i="34"/>
  <c r="AA40" i="34"/>
  <c r="AC40" i="34"/>
  <c r="AA123" i="34"/>
  <c r="AC123" i="34"/>
  <c r="AC39" i="34"/>
  <c r="AA39" i="34"/>
  <c r="AA117" i="34"/>
  <c r="AC117" i="34"/>
  <c r="AC106" i="34"/>
  <c r="AA106" i="34"/>
  <c r="AC44" i="34"/>
  <c r="AA44" i="34"/>
  <c r="AC93" i="34"/>
  <c r="AA93" i="34"/>
  <c r="AC107" i="34"/>
  <c r="AA107" i="34"/>
  <c r="AA95" i="34"/>
  <c r="AC95" i="34"/>
  <c r="AC80" i="34"/>
  <c r="AA80" i="34"/>
  <c r="AC9" i="34"/>
  <c r="AA9" i="34"/>
  <c r="AC16" i="34"/>
  <c r="AA16" i="34"/>
  <c r="AA100" i="34"/>
  <c r="AC100" i="34"/>
  <c r="AA59" i="34"/>
  <c r="AC59" i="34"/>
  <c r="AA20" i="34"/>
  <c r="AC20" i="34"/>
  <c r="AA28" i="34"/>
  <c r="AC28" i="34"/>
  <c r="AC102" i="34"/>
  <c r="AA102" i="34"/>
  <c r="AA25" i="34"/>
  <c r="AC25" i="34"/>
  <c r="AA67" i="34"/>
  <c r="AC67" i="34"/>
  <c r="AC101" i="34"/>
  <c r="AA101" i="34"/>
  <c r="AA121" i="34"/>
  <c r="AC121" i="34"/>
  <c r="AA48" i="34"/>
  <c r="AC48" i="34"/>
  <c r="AC122" i="34"/>
  <c r="AA122" i="34"/>
  <c r="AA38" i="34"/>
  <c r="AC38" i="34"/>
  <c r="AC6" i="34"/>
  <c r="AA6" i="34"/>
  <c r="AA82" i="34"/>
  <c r="AC82" i="34"/>
  <c r="AC77" i="34"/>
  <c r="AA77" i="34"/>
  <c r="AC57" i="34"/>
  <c r="AA57" i="34"/>
  <c r="AA13" i="34"/>
  <c r="AC13" i="34"/>
  <c r="AC128" i="34"/>
  <c r="AA128" i="34"/>
  <c r="AC87" i="34"/>
  <c r="AA87" i="34"/>
  <c r="AA33" i="34"/>
  <c r="AC33" i="34"/>
  <c r="AC12" i="34"/>
  <c r="AA12" i="34"/>
  <c r="AC92" i="34"/>
  <c r="AA92" i="34"/>
  <c r="AA86" i="34"/>
  <c r="AC86" i="34"/>
  <c r="W1" i="34"/>
  <c r="D5" i="33" s="1"/>
  <c r="AA72" i="34"/>
  <c r="AC72" i="34"/>
  <c r="AA76" i="34"/>
  <c r="AC76" i="34"/>
  <c r="AA98" i="34"/>
  <c r="AC98" i="34"/>
  <c r="AC108" i="34"/>
  <c r="AA108" i="34"/>
  <c r="AC46" i="34"/>
  <c r="AA46" i="34"/>
  <c r="AA45" i="34"/>
  <c r="AC45" i="34"/>
  <c r="AA120" i="34"/>
  <c r="AC120" i="34"/>
  <c r="AA124" i="34"/>
  <c r="AC124" i="34"/>
  <c r="AC69" i="34"/>
  <c r="AA69" i="34"/>
  <c r="AC64" i="34"/>
  <c r="AA64" i="34"/>
  <c r="AA81" i="34"/>
  <c r="AC81" i="34"/>
  <c r="AC30" i="34"/>
  <c r="AA30" i="34"/>
  <c r="AC111" i="34"/>
  <c r="AA111" i="34"/>
  <c r="AC73" i="34"/>
  <c r="AA73" i="34"/>
  <c r="AC99" i="34"/>
  <c r="AA99" i="34"/>
  <c r="AA49" i="34"/>
  <c r="AC49" i="34"/>
  <c r="AA55" i="34"/>
  <c r="AC55" i="34"/>
  <c r="AA19" i="34"/>
  <c r="AC19" i="34"/>
  <c r="AA78" i="34"/>
  <c r="AC78" i="34"/>
  <c r="AA42" i="34"/>
  <c r="AC42" i="34"/>
  <c r="AA60" i="34"/>
  <c r="AC60" i="34"/>
  <c r="AC11" i="34"/>
  <c r="AA11" i="34"/>
  <c r="AA84" i="34"/>
  <c r="AC84" i="34"/>
  <c r="AA103" i="34"/>
  <c r="AC103" i="34"/>
  <c r="AA127" i="34"/>
  <c r="AC127" i="34"/>
  <c r="AA62" i="34"/>
  <c r="AC62" i="34"/>
  <c r="AA29" i="34"/>
  <c r="AC29" i="34"/>
  <c r="AC18" i="34"/>
  <c r="AA18" i="34"/>
  <c r="AC47" i="34"/>
  <c r="AA47" i="34"/>
  <c r="AC113" i="34"/>
  <c r="AA113" i="34"/>
  <c r="AC34" i="34"/>
  <c r="AA34" i="34"/>
  <c r="AC15" i="34"/>
  <c r="AA15" i="34"/>
  <c r="AA71" i="34"/>
  <c r="AC71" i="34"/>
  <c r="AA27" i="34"/>
  <c r="AC27" i="34"/>
  <c r="AA43" i="34"/>
  <c r="AC43" i="34"/>
  <c r="AA23" i="34"/>
  <c r="AC23" i="34"/>
  <c r="AC14" i="34"/>
  <c r="AA14" i="34"/>
  <c r="AA61" i="34"/>
  <c r="AC61" i="34"/>
  <c r="AC21" i="34"/>
  <c r="AA21" i="34"/>
  <c r="AE5" i="34"/>
  <c r="AG5" i="34"/>
  <c r="AC10" i="34"/>
  <c r="AA10" i="34"/>
  <c r="AA68" i="34"/>
  <c r="AC68" i="34"/>
  <c r="AA51" i="34"/>
  <c r="AC51" i="34"/>
  <c r="AC41" i="34"/>
  <c r="AA41" i="34"/>
  <c r="AC94" i="34"/>
  <c r="AA94" i="34"/>
  <c r="AA35" i="34"/>
  <c r="AC35" i="34"/>
  <c r="AC89" i="34"/>
  <c r="AA89" i="34"/>
  <c r="AC105" i="34"/>
  <c r="AA105" i="34"/>
  <c r="AA32" i="34"/>
  <c r="AC32" i="34"/>
  <c r="AA118" i="34"/>
  <c r="AC118" i="34"/>
  <c r="AA50" i="34"/>
  <c r="AC50" i="34"/>
  <c r="AC65" i="34"/>
  <c r="AA65" i="34"/>
  <c r="AC125" i="34"/>
  <c r="AA125" i="34"/>
  <c r="AA75" i="34"/>
  <c r="AC75" i="34"/>
  <c r="AC37" i="34"/>
  <c r="AA37" i="34"/>
  <c r="AC56" i="34"/>
  <c r="AA56" i="34"/>
  <c r="AC119" i="34"/>
  <c r="AA119" i="34"/>
  <c r="AA114" i="34"/>
  <c r="AC114" i="34"/>
  <c r="AA126" i="34"/>
  <c r="AC126" i="34"/>
  <c r="AC97" i="34"/>
  <c r="AA97" i="34"/>
  <c r="AC85" i="34"/>
  <c r="AA85" i="34"/>
  <c r="AC83" i="34"/>
  <c r="AA83" i="34"/>
  <c r="AC112" i="34"/>
  <c r="AA112" i="34"/>
  <c r="AC53" i="34"/>
  <c r="AA53" i="34"/>
  <c r="AA63" i="34"/>
  <c r="AC63" i="34"/>
  <c r="AC109" i="34"/>
  <c r="AA109" i="34"/>
  <c r="AA17" i="34"/>
  <c r="AC17" i="34"/>
  <c r="AA66" i="34"/>
  <c r="AC66" i="34"/>
  <c r="AA104" i="34"/>
  <c r="AC104" i="34"/>
  <c r="AA24" i="34"/>
  <c r="AC24" i="34"/>
  <c r="AA36" i="34"/>
  <c r="AC36" i="34"/>
  <c r="AA110" i="34"/>
  <c r="AC110" i="34"/>
  <c r="AA58" i="34"/>
  <c r="AC58" i="34"/>
  <c r="AA22" i="34"/>
  <c r="AC22" i="34"/>
  <c r="AC115" i="34"/>
  <c r="AA115" i="34"/>
  <c r="AA52" i="34"/>
  <c r="AC52" i="34"/>
  <c r="AA70" i="34"/>
  <c r="AC70" i="34"/>
  <c r="AC90" i="34"/>
  <c r="AA90" i="34"/>
  <c r="AA7" i="34"/>
  <c r="AC7" i="34"/>
  <c r="Z8" i="34"/>
  <c r="AA8" i="34" s="1"/>
  <c r="AC8" i="34"/>
  <c r="AC26" i="34"/>
  <c r="AA26" i="34"/>
  <c r="AC129" i="34"/>
  <c r="AA129" i="34"/>
  <c r="AA54" i="34"/>
  <c r="AC54" i="34"/>
  <c r="AC31" i="34"/>
  <c r="AA31" i="34"/>
  <c r="AC96" i="34"/>
  <c r="AA96" i="34"/>
  <c r="AA74" i="34"/>
  <c r="AC74" i="34"/>
  <c r="AC88" i="34"/>
  <c r="AA88" i="34"/>
  <c r="AC91" i="34"/>
  <c r="AA91" i="34"/>
  <c r="Z117" i="34"/>
  <c r="Z93" i="34"/>
  <c r="Z20" i="34"/>
  <c r="Z6" i="34"/>
  <c r="Z73" i="34"/>
  <c r="Z55" i="34"/>
  <c r="Z11" i="34"/>
  <c r="Z43" i="34"/>
  <c r="Z32" i="34"/>
  <c r="Z119" i="34"/>
  <c r="Z58" i="34"/>
  <c r="Z90" i="34"/>
  <c r="Z83" i="34"/>
  <c r="Z26" i="34"/>
  <c r="Z52" i="34"/>
  <c r="Z121" i="34"/>
  <c r="Z108" i="34"/>
  <c r="Z19" i="34"/>
  <c r="Z67" i="34"/>
  <c r="Z46" i="34"/>
  <c r="Z84" i="34"/>
  <c r="Z14" i="34"/>
  <c r="Z104" i="34"/>
  <c r="Z129" i="34"/>
  <c r="Z44" i="34"/>
  <c r="Z128" i="34"/>
  <c r="Z124" i="34"/>
  <c r="Z47" i="34"/>
  <c r="Z105" i="34"/>
  <c r="Z96" i="34"/>
  <c r="Z81" i="34"/>
  <c r="Z60" i="34"/>
  <c r="AD5" i="34"/>
  <c r="Z50" i="34"/>
  <c r="Z85" i="34"/>
  <c r="Z17" i="34"/>
  <c r="Z25" i="34"/>
  <c r="Z87" i="34"/>
  <c r="Z72" i="34"/>
  <c r="Z45" i="34"/>
  <c r="Z30" i="34"/>
  <c r="Z127" i="34"/>
  <c r="Z18" i="34"/>
  <c r="Z23" i="34"/>
  <c r="Z10" i="34"/>
  <c r="Z41" i="34"/>
  <c r="Z35" i="34"/>
  <c r="Z75" i="34"/>
  <c r="Z66" i="34"/>
  <c r="Z74" i="34"/>
  <c r="Z92" i="34"/>
  <c r="Z27" i="34"/>
  <c r="Z114" i="34"/>
  <c r="Z39" i="34"/>
  <c r="Z86" i="34"/>
  <c r="Z64" i="34"/>
  <c r="Z59" i="34"/>
  <c r="Z77" i="34"/>
  <c r="Z49" i="34"/>
  <c r="Z15" i="34"/>
  <c r="Z94" i="34"/>
  <c r="Z9" i="34"/>
  <c r="Z79" i="34"/>
  <c r="Z123" i="34"/>
  <c r="Z100" i="34"/>
  <c r="Z122" i="34"/>
  <c r="Z82" i="34"/>
  <c r="Z13" i="34"/>
  <c r="Z69" i="34"/>
  <c r="Z99" i="34"/>
  <c r="Z42" i="34"/>
  <c r="Z34" i="34"/>
  <c r="Z71" i="34"/>
  <c r="Z21" i="34"/>
  <c r="Z112" i="34"/>
  <c r="Z63" i="34"/>
  <c r="Z80" i="34"/>
  <c r="Z33" i="34"/>
  <c r="Z65" i="34"/>
  <c r="Z88" i="34"/>
  <c r="Z76" i="34"/>
  <c r="Z89" i="34"/>
  <c r="Z36" i="34"/>
  <c r="Z7" i="34"/>
  <c r="Z107" i="34"/>
  <c r="Z103" i="34"/>
  <c r="Z68" i="34"/>
  <c r="Z125" i="34"/>
  <c r="Z109" i="34"/>
  <c r="Z12" i="34"/>
  <c r="Z111" i="34"/>
  <c r="Z29" i="34"/>
  <c r="Z91" i="34"/>
  <c r="Z40" i="34"/>
  <c r="Z95" i="34"/>
  <c r="Z16" i="34"/>
  <c r="Z101" i="34"/>
  <c r="Z48" i="34"/>
  <c r="Z57" i="34"/>
  <c r="Z98" i="34"/>
  <c r="Z113" i="34"/>
  <c r="Z61" i="34"/>
  <c r="Z56" i="34"/>
  <c r="Z53" i="34"/>
  <c r="Z24" i="34"/>
  <c r="Z110" i="34"/>
  <c r="Z126" i="34"/>
  <c r="Z115" i="34"/>
  <c r="Z97" i="34"/>
  <c r="Z54" i="34"/>
  <c r="Z31" i="34"/>
  <c r="Z62" i="34"/>
  <c r="Z22" i="34"/>
  <c r="Z106" i="34"/>
  <c r="Z28" i="34"/>
  <c r="Z120" i="34"/>
  <c r="Z37" i="34"/>
  <c r="Z70" i="34"/>
  <c r="Z116" i="34"/>
  <c r="Z38" i="34"/>
  <c r="Z118" i="34"/>
  <c r="Z102" i="34"/>
  <c r="Z78" i="34"/>
  <c r="Z51" i="34"/>
  <c r="AA4" i="34" l="1"/>
  <c r="E6" i="33" s="1"/>
  <c r="AG104" i="34"/>
  <c r="AE104" i="34"/>
  <c r="AE86" i="34"/>
  <c r="AG86" i="34"/>
  <c r="AG44" i="34"/>
  <c r="AE44" i="34"/>
  <c r="AE22" i="34"/>
  <c r="AG22" i="34"/>
  <c r="AE27" i="34"/>
  <c r="AG27" i="34"/>
  <c r="AE62" i="34"/>
  <c r="AG62" i="34"/>
  <c r="AG19" i="34"/>
  <c r="AE19" i="34"/>
  <c r="AG28" i="34"/>
  <c r="AE28" i="34"/>
  <c r="AE94" i="34"/>
  <c r="AG94" i="34"/>
  <c r="AG47" i="34"/>
  <c r="AE47" i="34"/>
  <c r="AE38" i="34"/>
  <c r="AG38" i="34"/>
  <c r="AE31" i="34"/>
  <c r="AG31" i="34"/>
  <c r="AG112" i="34"/>
  <c r="AE112" i="34"/>
  <c r="AG99" i="34"/>
  <c r="AE99" i="34"/>
  <c r="AG64" i="34"/>
  <c r="AE64" i="34"/>
  <c r="AG82" i="34"/>
  <c r="AE82" i="34"/>
  <c r="AG58" i="34"/>
  <c r="AE58" i="34"/>
  <c r="AE24" i="34"/>
  <c r="AG24" i="34"/>
  <c r="AG54" i="34"/>
  <c r="AE54" i="34"/>
  <c r="AE8" i="34"/>
  <c r="AG8" i="34"/>
  <c r="AG75" i="34"/>
  <c r="AE75" i="34"/>
  <c r="AG50" i="34"/>
  <c r="AE50" i="34"/>
  <c r="AG35" i="34"/>
  <c r="AE35" i="34"/>
  <c r="AE91" i="34"/>
  <c r="AG91" i="34"/>
  <c r="AE90" i="34"/>
  <c r="AG90" i="34"/>
  <c r="AG83" i="34"/>
  <c r="AE83" i="34"/>
  <c r="AG126" i="34"/>
  <c r="AE126" i="34"/>
  <c r="AI5" i="34"/>
  <c r="AK5" i="34"/>
  <c r="AG43" i="34"/>
  <c r="AE43" i="34"/>
  <c r="AG103" i="34"/>
  <c r="AE103" i="34"/>
  <c r="AG11" i="34"/>
  <c r="AE11" i="34"/>
  <c r="AE49" i="34"/>
  <c r="AG49" i="34"/>
  <c r="AG73" i="34"/>
  <c r="AE73" i="34"/>
  <c r="AE124" i="34"/>
  <c r="AG124" i="34"/>
  <c r="AG13" i="34"/>
  <c r="AG12" i="34"/>
  <c r="AE12" i="34"/>
  <c r="AG102" i="34"/>
  <c r="AE102" i="34"/>
  <c r="AG59" i="34"/>
  <c r="AE59" i="34"/>
  <c r="AE7" i="34"/>
  <c r="AG7" i="34"/>
  <c r="AG110" i="34"/>
  <c r="AE110" i="34"/>
  <c r="AE105" i="34"/>
  <c r="AG105" i="34"/>
  <c r="AG6" i="34"/>
  <c r="AE6" i="34"/>
  <c r="AG129" i="34"/>
  <c r="AE129" i="34"/>
  <c r="AG46" i="34"/>
  <c r="AE46" i="34"/>
  <c r="AG33" i="34"/>
  <c r="AE33" i="34"/>
  <c r="AG88" i="34"/>
  <c r="AE88" i="34"/>
  <c r="AG121" i="34"/>
  <c r="AE121" i="34"/>
  <c r="AG52" i="34"/>
  <c r="AE52" i="34"/>
  <c r="AE109" i="34"/>
  <c r="AG109" i="34"/>
  <c r="AG23" i="34"/>
  <c r="AE23" i="34"/>
  <c r="AE42" i="34"/>
  <c r="AG42" i="34"/>
  <c r="AE120" i="34"/>
  <c r="AG120" i="34"/>
  <c r="AE123" i="34"/>
  <c r="AG123" i="34"/>
  <c r="AG26" i="34"/>
  <c r="AE26" i="34"/>
  <c r="AG97" i="34"/>
  <c r="AE97" i="34"/>
  <c r="AG37" i="34"/>
  <c r="AE37" i="34"/>
  <c r="AG32" i="34"/>
  <c r="AE32" i="34"/>
  <c r="AG89" i="34"/>
  <c r="AE89" i="34"/>
  <c r="AE41" i="34"/>
  <c r="AG41" i="34"/>
  <c r="AE18" i="34"/>
  <c r="AG18" i="34"/>
  <c r="AG127" i="34"/>
  <c r="AE127" i="34"/>
  <c r="AG55" i="34"/>
  <c r="AE55" i="34"/>
  <c r="AG30" i="34"/>
  <c r="AE30" i="34"/>
  <c r="AE72" i="34"/>
  <c r="AG72" i="34"/>
  <c r="AE20" i="34"/>
  <c r="AG20" i="34"/>
  <c r="AE106" i="34"/>
  <c r="AG106" i="34"/>
  <c r="AG96" i="34"/>
  <c r="AE96" i="34"/>
  <c r="AE115" i="34"/>
  <c r="AG115" i="34"/>
  <c r="AE67" i="34"/>
  <c r="AG67" i="34"/>
  <c r="AG53" i="34"/>
  <c r="AE53" i="34"/>
  <c r="AE56" i="34"/>
  <c r="AG56" i="34"/>
  <c r="AE60" i="34"/>
  <c r="AG60" i="34"/>
  <c r="AE76" i="34"/>
  <c r="AG76" i="34"/>
  <c r="AG39" i="34"/>
  <c r="AE39" i="34"/>
  <c r="AE125" i="34"/>
  <c r="AG125" i="34"/>
  <c r="AE68" i="34"/>
  <c r="AG68" i="34"/>
  <c r="AG77" i="34"/>
  <c r="AE77" i="34"/>
  <c r="AG100" i="34"/>
  <c r="AE100" i="34"/>
  <c r="AG36" i="34"/>
  <c r="AE36" i="34"/>
  <c r="AG84" i="34"/>
  <c r="AE84" i="34"/>
  <c r="AE25" i="34"/>
  <c r="AG25" i="34"/>
  <c r="AE107" i="34"/>
  <c r="AG107" i="34"/>
  <c r="AA1" i="34"/>
  <c r="D6" i="33" s="1"/>
  <c r="AG63" i="34"/>
  <c r="AE63" i="34"/>
  <c r="AG119" i="34"/>
  <c r="AE119" i="34"/>
  <c r="AG65" i="34"/>
  <c r="AE65" i="34"/>
  <c r="AE61" i="34"/>
  <c r="AG61" i="34"/>
  <c r="AG71" i="34"/>
  <c r="AE71" i="34"/>
  <c r="AG108" i="34"/>
  <c r="AE108" i="34"/>
  <c r="AG92" i="34"/>
  <c r="AE92" i="34"/>
  <c r="AE80" i="34"/>
  <c r="AG80" i="34"/>
  <c r="AG93" i="34"/>
  <c r="AE93" i="34"/>
  <c r="AE117" i="34"/>
  <c r="AG117" i="34"/>
  <c r="AG70" i="34"/>
  <c r="AE70" i="34"/>
  <c r="AG15" i="34"/>
  <c r="AE15" i="34"/>
  <c r="AG128" i="34"/>
  <c r="AE128" i="34"/>
  <c r="AG48" i="34"/>
  <c r="AE48" i="34"/>
  <c r="AE114" i="34"/>
  <c r="AG114" i="34"/>
  <c r="AG14" i="34"/>
  <c r="AE14" i="34"/>
  <c r="AG85" i="34"/>
  <c r="AE85" i="34"/>
  <c r="AG118" i="34"/>
  <c r="AE118" i="34"/>
  <c r="AE111" i="34"/>
  <c r="AG111" i="34"/>
  <c r="AE13" i="34"/>
  <c r="AG9" i="34"/>
  <c r="AD9" i="34"/>
  <c r="AE9" i="34" s="1"/>
  <c r="AG66" i="34"/>
  <c r="AE66" i="34"/>
  <c r="AG21" i="34"/>
  <c r="AE21" i="34"/>
  <c r="AE34" i="34"/>
  <c r="AG34" i="34"/>
  <c r="AE116" i="34"/>
  <c r="AG116" i="34"/>
  <c r="AE74" i="34"/>
  <c r="AG74" i="34"/>
  <c r="AG17" i="34"/>
  <c r="AE17" i="34"/>
  <c r="AE51" i="34"/>
  <c r="AG51" i="34"/>
  <c r="AG10" i="34"/>
  <c r="AE10" i="34"/>
  <c r="AE113" i="34"/>
  <c r="AG113" i="34"/>
  <c r="AG29" i="34"/>
  <c r="AE29" i="34"/>
  <c r="AE78" i="34"/>
  <c r="AG78" i="34"/>
  <c r="AG81" i="34"/>
  <c r="AE81" i="34"/>
  <c r="AE69" i="34"/>
  <c r="AG69" i="34"/>
  <c r="AG45" i="34"/>
  <c r="AE45" i="34"/>
  <c r="AE98" i="34"/>
  <c r="AG98" i="34"/>
  <c r="AE87" i="34"/>
  <c r="AG87" i="34"/>
  <c r="AG57" i="34"/>
  <c r="AE57" i="34"/>
  <c r="AE122" i="34"/>
  <c r="AG122" i="34"/>
  <c r="AE101" i="34"/>
  <c r="AG101" i="34"/>
  <c r="AG16" i="34"/>
  <c r="AE16" i="34"/>
  <c r="AG95" i="34"/>
  <c r="AE95" i="34"/>
  <c r="AG40" i="34"/>
  <c r="AE40" i="34"/>
  <c r="AE79" i="34"/>
  <c r="AG79" i="34"/>
  <c r="AD104" i="34"/>
  <c r="AD112" i="34"/>
  <c r="AD54" i="34"/>
  <c r="AD43" i="34"/>
  <c r="AD49" i="34"/>
  <c r="AD105" i="34"/>
  <c r="AD20" i="34"/>
  <c r="AD96" i="34"/>
  <c r="AD53" i="34"/>
  <c r="AD25" i="34"/>
  <c r="AD61" i="34"/>
  <c r="AD69" i="34"/>
  <c r="AD79" i="34"/>
  <c r="AD122" i="34"/>
  <c r="AD101" i="34"/>
  <c r="AH5" i="34"/>
  <c r="AD71" i="34"/>
  <c r="AD114" i="34"/>
  <c r="AD64" i="34"/>
  <c r="AD11" i="34"/>
  <c r="AD127" i="34"/>
  <c r="AD83" i="34"/>
  <c r="AD6" i="34"/>
  <c r="AD67" i="34"/>
  <c r="AD16" i="34"/>
  <c r="AD129" i="34"/>
  <c r="AD84" i="34"/>
  <c r="AD22" i="34"/>
  <c r="AD38" i="34"/>
  <c r="AD126" i="34"/>
  <c r="AD103" i="34"/>
  <c r="AD12" i="34"/>
  <c r="AD46" i="34"/>
  <c r="AD88" i="34"/>
  <c r="AD32" i="34"/>
  <c r="AD18" i="34"/>
  <c r="AD55" i="34"/>
  <c r="AD76" i="34"/>
  <c r="AD68" i="34"/>
  <c r="AD92" i="34"/>
  <c r="AD93" i="34"/>
  <c r="AD31" i="34"/>
  <c r="AD8" i="34"/>
  <c r="AD23" i="34"/>
  <c r="AD107" i="34"/>
  <c r="AD128" i="34"/>
  <c r="AD19" i="34"/>
  <c r="AD123" i="34"/>
  <c r="AD14" i="34"/>
  <c r="AD34" i="34"/>
  <c r="AD57" i="34"/>
  <c r="AD24" i="34"/>
  <c r="AD110" i="34"/>
  <c r="AD106" i="34"/>
  <c r="AD81" i="34"/>
  <c r="AD27" i="34"/>
  <c r="AD65" i="34"/>
  <c r="AD48" i="34"/>
  <c r="AD51" i="34"/>
  <c r="AD62" i="34"/>
  <c r="AD94" i="34"/>
  <c r="AD99" i="34"/>
  <c r="AD121" i="34"/>
  <c r="AD109" i="34"/>
  <c r="AD97" i="34"/>
  <c r="AD115" i="34"/>
  <c r="AD56" i="34"/>
  <c r="AD119" i="34"/>
  <c r="AD118" i="34"/>
  <c r="AD50" i="34"/>
  <c r="AD30" i="34"/>
  <c r="AD117" i="34"/>
  <c r="AD58" i="34"/>
  <c r="AD102" i="34"/>
  <c r="AD66" i="34"/>
  <c r="AD45" i="34"/>
  <c r="AD35" i="34"/>
  <c r="AD37" i="34"/>
  <c r="AD72" i="34"/>
  <c r="AD39" i="34"/>
  <c r="AD47" i="34"/>
  <c r="AD41" i="34"/>
  <c r="AD108" i="34"/>
  <c r="AD28" i="34"/>
  <c r="AD82" i="34"/>
  <c r="AD75" i="34"/>
  <c r="AD91" i="34"/>
  <c r="AD59" i="34"/>
  <c r="AD52" i="34"/>
  <c r="AD26" i="34"/>
  <c r="AD100" i="34"/>
  <c r="AD70" i="34"/>
  <c r="AD85" i="34"/>
  <c r="AD111" i="34"/>
  <c r="AD21" i="34"/>
  <c r="AD116" i="34"/>
  <c r="AD29" i="34"/>
  <c r="AD98" i="34"/>
  <c r="AD63" i="34"/>
  <c r="AD15" i="34"/>
  <c r="AD13" i="34"/>
  <c r="AD74" i="34"/>
  <c r="AD95" i="34"/>
  <c r="AD10" i="34"/>
  <c r="AD87" i="34"/>
  <c r="AD86" i="34"/>
  <c r="AD90" i="34"/>
  <c r="AD7" i="34"/>
  <c r="AD120" i="34"/>
  <c r="AD36" i="34"/>
  <c r="AD17" i="34"/>
  <c r="AD40" i="34"/>
  <c r="AD73" i="34"/>
  <c r="AD77" i="34"/>
  <c r="AD78" i="34"/>
  <c r="AD33" i="34"/>
  <c r="AD89" i="34"/>
  <c r="AD60" i="34"/>
  <c r="AD44" i="34"/>
  <c r="AD124" i="34"/>
  <c r="AD42" i="34"/>
  <c r="AD125" i="34"/>
  <c r="AD80" i="34"/>
  <c r="AD113" i="34"/>
  <c r="AE1" i="34" l="1"/>
  <c r="D7" i="33" s="1"/>
  <c r="AE4" i="34"/>
  <c r="E7" i="33" s="1"/>
  <c r="AK57" i="34"/>
  <c r="AI57" i="34"/>
  <c r="AK14" i="34"/>
  <c r="AI14" i="34"/>
  <c r="AI77" i="34"/>
  <c r="AK77" i="34"/>
  <c r="AO5" i="34"/>
  <c r="AM5" i="34"/>
  <c r="AI64" i="34"/>
  <c r="AK64" i="34"/>
  <c r="AK86" i="34"/>
  <c r="AI86" i="34"/>
  <c r="AK106" i="34"/>
  <c r="AI106" i="34"/>
  <c r="AK23" i="34"/>
  <c r="AI23" i="34"/>
  <c r="AK35" i="34"/>
  <c r="AI35" i="34"/>
  <c r="AI94" i="34"/>
  <c r="AK94" i="34"/>
  <c r="AI45" i="34"/>
  <c r="AK45" i="34"/>
  <c r="AK118" i="34"/>
  <c r="AI118" i="34"/>
  <c r="AI115" i="34"/>
  <c r="AK115" i="34"/>
  <c r="AI98" i="34"/>
  <c r="AK98" i="34"/>
  <c r="AI29" i="34"/>
  <c r="AK29" i="34"/>
  <c r="AI100" i="34"/>
  <c r="AK100" i="34"/>
  <c r="AK79" i="34"/>
  <c r="AI79" i="34"/>
  <c r="AK48" i="34"/>
  <c r="AI48" i="34"/>
  <c r="AK93" i="34"/>
  <c r="AI93" i="34"/>
  <c r="AK108" i="34"/>
  <c r="AI108" i="34"/>
  <c r="AI63" i="34"/>
  <c r="AK63" i="34"/>
  <c r="AK60" i="34"/>
  <c r="AI60" i="34"/>
  <c r="AI53" i="34"/>
  <c r="AK53" i="34"/>
  <c r="AI72" i="34"/>
  <c r="AK72" i="34"/>
  <c r="AI55" i="34"/>
  <c r="AK55" i="34"/>
  <c r="AK88" i="34"/>
  <c r="AI88" i="34"/>
  <c r="AK129" i="34"/>
  <c r="AI129" i="34"/>
  <c r="AI124" i="34"/>
  <c r="AK124" i="34"/>
  <c r="AI24" i="34"/>
  <c r="AK24" i="34"/>
  <c r="AI44" i="34"/>
  <c r="AK44" i="34"/>
  <c r="AK16" i="34"/>
  <c r="AI16" i="34"/>
  <c r="AI81" i="34"/>
  <c r="AK81" i="34"/>
  <c r="AK111" i="34"/>
  <c r="AI111" i="34"/>
  <c r="AI67" i="34"/>
  <c r="AK67" i="34"/>
  <c r="AK110" i="34"/>
  <c r="AI110" i="34"/>
  <c r="AI75" i="34"/>
  <c r="AK75" i="34"/>
  <c r="AI65" i="34"/>
  <c r="AK65" i="34"/>
  <c r="AK52" i="34"/>
  <c r="AI52" i="34"/>
  <c r="AK102" i="34"/>
  <c r="AI102" i="34"/>
  <c r="AK31" i="34"/>
  <c r="AI31" i="34"/>
  <c r="AI19" i="34"/>
  <c r="AK19" i="34"/>
  <c r="AK40" i="34"/>
  <c r="AI40" i="34"/>
  <c r="AI117" i="34"/>
  <c r="AK117" i="34"/>
  <c r="AK56" i="34"/>
  <c r="AI56" i="34"/>
  <c r="AI119" i="34"/>
  <c r="AK119" i="34"/>
  <c r="AK39" i="34"/>
  <c r="AI39" i="34"/>
  <c r="AK22" i="34"/>
  <c r="AK18" i="34"/>
  <c r="AI18" i="34"/>
  <c r="AI121" i="34"/>
  <c r="AK121" i="34"/>
  <c r="AK69" i="34"/>
  <c r="AI69" i="34"/>
  <c r="AK10" i="34"/>
  <c r="AH10" i="34"/>
  <c r="AI10" i="34" s="1"/>
  <c r="AK74" i="34"/>
  <c r="AI74" i="34"/>
  <c r="AK9" i="34"/>
  <c r="AI9" i="34"/>
  <c r="AI114" i="34"/>
  <c r="AK114" i="34"/>
  <c r="AK92" i="34"/>
  <c r="AI92" i="34"/>
  <c r="AI61" i="34"/>
  <c r="AK61" i="34"/>
  <c r="AI25" i="34"/>
  <c r="AK25" i="34"/>
  <c r="AK36" i="34"/>
  <c r="AI36" i="34"/>
  <c r="AK76" i="34"/>
  <c r="AI76" i="34"/>
  <c r="AK20" i="34"/>
  <c r="AI20" i="34"/>
  <c r="AI30" i="34"/>
  <c r="AK30" i="34"/>
  <c r="AI120" i="34"/>
  <c r="AK120" i="34"/>
  <c r="AK46" i="34"/>
  <c r="AI46" i="34"/>
  <c r="AI105" i="34"/>
  <c r="AK105" i="34"/>
  <c r="AK12" i="34"/>
  <c r="AI12" i="34"/>
  <c r="AI73" i="34"/>
  <c r="AK73" i="34"/>
  <c r="AK103" i="34"/>
  <c r="AI103" i="34"/>
  <c r="AI58" i="34"/>
  <c r="AK58" i="34"/>
  <c r="AI38" i="34"/>
  <c r="AK38" i="34"/>
  <c r="AK37" i="34"/>
  <c r="AI37" i="34"/>
  <c r="AK43" i="34"/>
  <c r="AI43" i="34"/>
  <c r="AI80" i="34"/>
  <c r="AK80" i="34"/>
  <c r="AI84" i="34"/>
  <c r="AK84" i="34"/>
  <c r="AK11" i="34"/>
  <c r="AI11" i="34"/>
  <c r="AI33" i="34"/>
  <c r="AK33" i="34"/>
  <c r="AK7" i="34"/>
  <c r="AI7" i="34"/>
  <c r="AI90" i="34"/>
  <c r="AK90" i="34"/>
  <c r="AI78" i="34"/>
  <c r="AK78" i="34"/>
  <c r="AI34" i="34"/>
  <c r="AK34" i="34"/>
  <c r="AI89" i="34"/>
  <c r="AK89" i="34"/>
  <c r="AI6" i="34"/>
  <c r="AK6" i="34"/>
  <c r="AI22" i="34"/>
  <c r="AK95" i="34"/>
  <c r="AI95" i="34"/>
  <c r="AK15" i="34"/>
  <c r="AI15" i="34"/>
  <c r="AI109" i="34"/>
  <c r="AK109" i="34"/>
  <c r="AI49" i="34"/>
  <c r="AK49" i="34"/>
  <c r="AK91" i="34"/>
  <c r="AI91" i="34"/>
  <c r="AI50" i="34"/>
  <c r="AK50" i="34"/>
  <c r="AI54" i="34"/>
  <c r="AK54" i="34"/>
  <c r="AK99" i="34"/>
  <c r="AI99" i="34"/>
  <c r="AK104" i="34"/>
  <c r="AI104" i="34"/>
  <c r="AK116" i="34"/>
  <c r="AI116" i="34"/>
  <c r="AK96" i="34"/>
  <c r="AI96" i="34"/>
  <c r="AK123" i="34"/>
  <c r="AI123" i="34"/>
  <c r="AK83" i="34"/>
  <c r="AI83" i="34"/>
  <c r="AK112" i="34"/>
  <c r="AI112" i="34"/>
  <c r="AK113" i="34"/>
  <c r="AI113" i="34"/>
  <c r="AI66" i="34"/>
  <c r="AK66" i="34"/>
  <c r="AI70" i="34"/>
  <c r="AK70" i="34"/>
  <c r="AI107" i="34"/>
  <c r="AK107" i="34"/>
  <c r="AK127" i="34"/>
  <c r="AI127" i="34"/>
  <c r="AK8" i="34"/>
  <c r="AI8" i="34"/>
  <c r="AI47" i="34"/>
  <c r="AK47" i="34"/>
  <c r="AI101" i="34"/>
  <c r="AK101" i="34"/>
  <c r="AK17" i="34"/>
  <c r="AI17" i="34"/>
  <c r="AK128" i="34"/>
  <c r="AI128" i="34"/>
  <c r="AI71" i="34"/>
  <c r="AK71" i="34"/>
  <c r="AI87" i="34"/>
  <c r="AK87" i="34"/>
  <c r="AI68" i="34"/>
  <c r="AK68" i="34"/>
  <c r="AI97" i="34"/>
  <c r="AK97" i="34"/>
  <c r="AK62" i="34"/>
  <c r="AI62" i="34"/>
  <c r="AI122" i="34"/>
  <c r="AK122" i="34"/>
  <c r="AK51" i="34"/>
  <c r="AI51" i="34"/>
  <c r="AK21" i="34"/>
  <c r="AI21" i="34"/>
  <c r="AI85" i="34"/>
  <c r="AK85" i="34"/>
  <c r="AI125" i="34"/>
  <c r="AK125" i="34"/>
  <c r="AI41" i="34"/>
  <c r="AK41" i="34"/>
  <c r="AK32" i="34"/>
  <c r="AI32" i="34"/>
  <c r="AK26" i="34"/>
  <c r="AI26" i="34"/>
  <c r="AK42" i="34"/>
  <c r="AI42" i="34"/>
  <c r="AK59" i="34"/>
  <c r="AI59" i="34"/>
  <c r="AI13" i="34"/>
  <c r="AK13" i="34"/>
  <c r="AK126" i="34"/>
  <c r="AI126" i="34"/>
  <c r="AK82" i="34"/>
  <c r="AI82" i="34"/>
  <c r="AI28" i="34"/>
  <c r="AK28" i="34"/>
  <c r="AI27" i="34"/>
  <c r="AK27" i="34"/>
  <c r="AH129" i="34"/>
  <c r="AH110" i="34"/>
  <c r="AH119" i="34"/>
  <c r="AH114" i="34"/>
  <c r="AH20" i="34"/>
  <c r="AH58" i="34"/>
  <c r="AH15" i="34"/>
  <c r="AH83" i="34"/>
  <c r="AH107" i="34"/>
  <c r="AH26" i="34"/>
  <c r="AH28" i="34"/>
  <c r="AH79" i="34"/>
  <c r="AH124" i="34"/>
  <c r="AH101" i="34"/>
  <c r="AH13" i="34"/>
  <c r="AH29" i="34"/>
  <c r="AH55" i="34"/>
  <c r="AH56" i="34"/>
  <c r="AH36" i="34"/>
  <c r="AH122" i="34"/>
  <c r="AH48" i="34"/>
  <c r="AH75" i="34"/>
  <c r="AH76" i="34"/>
  <c r="AH95" i="34"/>
  <c r="AH85" i="34"/>
  <c r="AH77" i="34"/>
  <c r="AH65" i="34"/>
  <c r="AH103" i="34"/>
  <c r="AH89" i="34"/>
  <c r="AH51" i="34"/>
  <c r="AH45" i="34"/>
  <c r="AH98" i="34"/>
  <c r="AH100" i="34"/>
  <c r="AH93" i="34"/>
  <c r="AH52" i="34"/>
  <c r="AH117" i="34"/>
  <c r="AH39" i="34"/>
  <c r="AH121" i="34"/>
  <c r="AH74" i="34"/>
  <c r="AH46" i="34"/>
  <c r="AH84" i="34"/>
  <c r="AH34" i="34"/>
  <c r="AH47" i="34"/>
  <c r="AL5" i="34"/>
  <c r="AH30" i="34"/>
  <c r="AH43" i="34"/>
  <c r="AH112" i="34"/>
  <c r="AH106" i="34"/>
  <c r="AH53" i="34"/>
  <c r="AH111" i="34"/>
  <c r="AH80" i="34"/>
  <c r="AH70" i="34"/>
  <c r="AH68" i="34"/>
  <c r="AH118" i="34"/>
  <c r="AH88" i="34"/>
  <c r="AH18" i="34"/>
  <c r="AH38" i="34"/>
  <c r="AH50" i="34"/>
  <c r="AH115" i="34"/>
  <c r="AH24" i="34"/>
  <c r="AH61" i="34"/>
  <c r="AH54" i="34"/>
  <c r="AH97" i="34"/>
  <c r="AH57" i="34"/>
  <c r="AH35" i="34"/>
  <c r="AH60" i="34"/>
  <c r="AH44" i="34"/>
  <c r="AH19" i="34"/>
  <c r="AH92" i="34"/>
  <c r="AH73" i="34"/>
  <c r="AH11" i="34"/>
  <c r="AH7" i="34"/>
  <c r="AH22" i="34"/>
  <c r="AH109" i="34"/>
  <c r="AH99" i="34"/>
  <c r="AH96" i="34"/>
  <c r="AH66" i="34"/>
  <c r="AH128" i="34"/>
  <c r="AH108" i="34"/>
  <c r="AH64" i="34"/>
  <c r="AH102" i="34"/>
  <c r="AH127" i="34"/>
  <c r="AH23" i="34"/>
  <c r="AH40" i="34"/>
  <c r="AH33" i="34"/>
  <c r="AH123" i="34"/>
  <c r="AH32" i="34"/>
  <c r="AH27" i="34"/>
  <c r="AH120" i="34"/>
  <c r="AH49" i="34"/>
  <c r="AH86" i="34"/>
  <c r="AH72" i="34"/>
  <c r="AH81" i="34"/>
  <c r="AH31" i="34"/>
  <c r="AH25" i="34"/>
  <c r="AH12" i="34"/>
  <c r="AH78" i="34"/>
  <c r="AH116" i="34"/>
  <c r="AH8" i="34"/>
  <c r="AH87" i="34"/>
  <c r="AH125" i="34"/>
  <c r="AH59" i="34"/>
  <c r="AH6" i="34"/>
  <c r="AH91" i="34"/>
  <c r="AH113" i="34"/>
  <c r="AH62" i="34"/>
  <c r="AH21" i="34"/>
  <c r="AH82" i="34"/>
  <c r="AH41" i="34"/>
  <c r="AH14" i="34"/>
  <c r="AH69" i="34"/>
  <c r="AH16" i="34"/>
  <c r="AH9" i="34"/>
  <c r="AH105" i="34"/>
  <c r="AH71" i="34"/>
  <c r="AH126" i="34"/>
  <c r="AH94" i="34"/>
  <c r="AH67" i="34"/>
  <c r="AH90" i="34"/>
  <c r="AH104" i="34"/>
  <c r="AH42" i="34"/>
  <c r="AH63" i="34"/>
  <c r="AH37" i="34"/>
  <c r="AH17" i="34"/>
  <c r="AI1" i="34" l="1"/>
  <c r="D8" i="33" s="1"/>
  <c r="AM85" i="34"/>
  <c r="AO85" i="34"/>
  <c r="AM123" i="34"/>
  <c r="AO123" i="34"/>
  <c r="AM29" i="34"/>
  <c r="AO29" i="34"/>
  <c r="AM64" i="34"/>
  <c r="AO64" i="34"/>
  <c r="AM8" i="34"/>
  <c r="AO8" i="34"/>
  <c r="AM103" i="34"/>
  <c r="AO103" i="34"/>
  <c r="AM61" i="34"/>
  <c r="AO61" i="34"/>
  <c r="AM41" i="34"/>
  <c r="AO41" i="34"/>
  <c r="AM112" i="34"/>
  <c r="AO112" i="34"/>
  <c r="AM50" i="34"/>
  <c r="AO50" i="34"/>
  <c r="AM90" i="34"/>
  <c r="AO90" i="34"/>
  <c r="AM22" i="34"/>
  <c r="AO22" i="34"/>
  <c r="AO19" i="34"/>
  <c r="AM19" i="34"/>
  <c r="AO108" i="34"/>
  <c r="AM108" i="34"/>
  <c r="AM14" i="34"/>
  <c r="AO14" i="34"/>
  <c r="AL11" i="34"/>
  <c r="AM11" i="34" s="1"/>
  <c r="AO11" i="34"/>
  <c r="AO44" i="34"/>
  <c r="AM44" i="34"/>
  <c r="AM118" i="34"/>
  <c r="AO118" i="34"/>
  <c r="AM128" i="34"/>
  <c r="AO128" i="34"/>
  <c r="AM116" i="34"/>
  <c r="AO116" i="34"/>
  <c r="AO84" i="34"/>
  <c r="AM84" i="34"/>
  <c r="AM27" i="34"/>
  <c r="AO27" i="34"/>
  <c r="AM82" i="34"/>
  <c r="AO82" i="34"/>
  <c r="AO51" i="34"/>
  <c r="AM51" i="34"/>
  <c r="AO97" i="34"/>
  <c r="AM97" i="34"/>
  <c r="AM17" i="34"/>
  <c r="AO17" i="34"/>
  <c r="AO49" i="34"/>
  <c r="AM49" i="34"/>
  <c r="AM15" i="34"/>
  <c r="AO15" i="34"/>
  <c r="AM33" i="34"/>
  <c r="AO33" i="34"/>
  <c r="AO37" i="34"/>
  <c r="AM37" i="34"/>
  <c r="AM114" i="34"/>
  <c r="AO114" i="34"/>
  <c r="AM119" i="34"/>
  <c r="AO119" i="34"/>
  <c r="AM67" i="34"/>
  <c r="AO67" i="34"/>
  <c r="AM94" i="34"/>
  <c r="AO94" i="34"/>
  <c r="AM59" i="34"/>
  <c r="AO59" i="34"/>
  <c r="AO32" i="34"/>
  <c r="AM32" i="34"/>
  <c r="AM71" i="34"/>
  <c r="AO71" i="34"/>
  <c r="AO113" i="34"/>
  <c r="AM113" i="34"/>
  <c r="AO80" i="34"/>
  <c r="AM80" i="34"/>
  <c r="AM53" i="34"/>
  <c r="AO53" i="34"/>
  <c r="AO16" i="34"/>
  <c r="AM16" i="34"/>
  <c r="AO28" i="34"/>
  <c r="AM28" i="34"/>
  <c r="AM104" i="34"/>
  <c r="AO104" i="34"/>
  <c r="AO73" i="34"/>
  <c r="AM73" i="34"/>
  <c r="AM66" i="34"/>
  <c r="AO66" i="34"/>
  <c r="AO34" i="34"/>
  <c r="AM34" i="34"/>
  <c r="AM13" i="34"/>
  <c r="AO13" i="34"/>
  <c r="AM47" i="34"/>
  <c r="AO47" i="34"/>
  <c r="AM127" i="34"/>
  <c r="AO127" i="34"/>
  <c r="AO58" i="34"/>
  <c r="AM58" i="34"/>
  <c r="AM46" i="34"/>
  <c r="AO46" i="34"/>
  <c r="AM36" i="34"/>
  <c r="AO36" i="34"/>
  <c r="AO121" i="34"/>
  <c r="AM121" i="34"/>
  <c r="AO39" i="34"/>
  <c r="AM39" i="34"/>
  <c r="AO117" i="34"/>
  <c r="AM117" i="34"/>
  <c r="AM52" i="34"/>
  <c r="AO52" i="34"/>
  <c r="AM111" i="34"/>
  <c r="AO111" i="34"/>
  <c r="AO79" i="34"/>
  <c r="AM79" i="34"/>
  <c r="AM45" i="34"/>
  <c r="AO45" i="34"/>
  <c r="AO106" i="34"/>
  <c r="AM106" i="34"/>
  <c r="AM70" i="34"/>
  <c r="AO70" i="34"/>
  <c r="AO105" i="34"/>
  <c r="AM105" i="34"/>
  <c r="AM18" i="34"/>
  <c r="AO18" i="34"/>
  <c r="AM40" i="34"/>
  <c r="AO40" i="34"/>
  <c r="AM23" i="34"/>
  <c r="AO23" i="34"/>
  <c r="AO126" i="34"/>
  <c r="AM126" i="34"/>
  <c r="AO122" i="34"/>
  <c r="AM122" i="34"/>
  <c r="AO89" i="34"/>
  <c r="AM89" i="34"/>
  <c r="AM30" i="34"/>
  <c r="AO30" i="34"/>
  <c r="AO102" i="34"/>
  <c r="AM102" i="34"/>
  <c r="AO109" i="34"/>
  <c r="AM109" i="34"/>
  <c r="AM69" i="34"/>
  <c r="AO69" i="34"/>
  <c r="AM42" i="34"/>
  <c r="AO42" i="34"/>
  <c r="AM68" i="34"/>
  <c r="AO68" i="34"/>
  <c r="AO9" i="34"/>
  <c r="AM9" i="34"/>
  <c r="AO56" i="34"/>
  <c r="AM56" i="34"/>
  <c r="AM55" i="34"/>
  <c r="AO55" i="34"/>
  <c r="AM98" i="34"/>
  <c r="AO98" i="34"/>
  <c r="AM125" i="34"/>
  <c r="AO125" i="34"/>
  <c r="AM87" i="34"/>
  <c r="AO87" i="34"/>
  <c r="AM107" i="34"/>
  <c r="AO107" i="34"/>
  <c r="AM83" i="34"/>
  <c r="AO83" i="34"/>
  <c r="AO99" i="34"/>
  <c r="AM99" i="34"/>
  <c r="AM91" i="34"/>
  <c r="AO91" i="34"/>
  <c r="AO6" i="34"/>
  <c r="AM6" i="34"/>
  <c r="AO43" i="34"/>
  <c r="AM43" i="34"/>
  <c r="AO20" i="34"/>
  <c r="AM20" i="34"/>
  <c r="AO25" i="34"/>
  <c r="AM25" i="34"/>
  <c r="AO92" i="34"/>
  <c r="AM92" i="34"/>
  <c r="AO110" i="34"/>
  <c r="AM110" i="34"/>
  <c r="AM81" i="34"/>
  <c r="AO81" i="34"/>
  <c r="AM129" i="34"/>
  <c r="AO129" i="34"/>
  <c r="AO72" i="34"/>
  <c r="AM72" i="34"/>
  <c r="AM60" i="34"/>
  <c r="AO60" i="34"/>
  <c r="AI4" i="34"/>
  <c r="E8" i="33" s="1"/>
  <c r="AS5" i="34"/>
  <c r="AQ5" i="34"/>
  <c r="AM76" i="34"/>
  <c r="AO76" i="34"/>
  <c r="AO10" i="34"/>
  <c r="AM10" i="34"/>
  <c r="AM88" i="34"/>
  <c r="AO88" i="34"/>
  <c r="AO48" i="34"/>
  <c r="AM48" i="34"/>
  <c r="AO101" i="34"/>
  <c r="AM101" i="34"/>
  <c r="AM124" i="34"/>
  <c r="AO124" i="34"/>
  <c r="AM95" i="34"/>
  <c r="AO95" i="34"/>
  <c r="AO38" i="34"/>
  <c r="AM38" i="34"/>
  <c r="AM75" i="34"/>
  <c r="AO75" i="34"/>
  <c r="AO96" i="34"/>
  <c r="AM96" i="34"/>
  <c r="AM35" i="34"/>
  <c r="AO35" i="34"/>
  <c r="AO21" i="34"/>
  <c r="AM21" i="34"/>
  <c r="AM26" i="34"/>
  <c r="AO26" i="34"/>
  <c r="AO62" i="34"/>
  <c r="AM62" i="34"/>
  <c r="AO54" i="34"/>
  <c r="AM54" i="34"/>
  <c r="AO78" i="34"/>
  <c r="AM78" i="34"/>
  <c r="AM7" i="34"/>
  <c r="AO7" i="34"/>
  <c r="AO12" i="34"/>
  <c r="AM12" i="34"/>
  <c r="AM120" i="34"/>
  <c r="AO120" i="34"/>
  <c r="AO74" i="34"/>
  <c r="AM74" i="34"/>
  <c r="AM31" i="34"/>
  <c r="AO31" i="34"/>
  <c r="AM65" i="34"/>
  <c r="AO65" i="34"/>
  <c r="AO24" i="34"/>
  <c r="AM24" i="34"/>
  <c r="AO63" i="34"/>
  <c r="AM63" i="34"/>
  <c r="AM93" i="34"/>
  <c r="AO93" i="34"/>
  <c r="AM100" i="34"/>
  <c r="AO100" i="34"/>
  <c r="AM115" i="34"/>
  <c r="AO115" i="34"/>
  <c r="AM86" i="34"/>
  <c r="AO86" i="34"/>
  <c r="AO77" i="34"/>
  <c r="AM77" i="34"/>
  <c r="AM57" i="34"/>
  <c r="AO57" i="34"/>
  <c r="AL85" i="34"/>
  <c r="AL90" i="34"/>
  <c r="AL15" i="34"/>
  <c r="AL32" i="34"/>
  <c r="AL73" i="34"/>
  <c r="AL127" i="34"/>
  <c r="AL36" i="34"/>
  <c r="AL105" i="34"/>
  <c r="AL40" i="34"/>
  <c r="AL69" i="34"/>
  <c r="AL75" i="34"/>
  <c r="AL65" i="34"/>
  <c r="AL95" i="34"/>
  <c r="AL24" i="34"/>
  <c r="AL86" i="34"/>
  <c r="AL71" i="34"/>
  <c r="AL18" i="34"/>
  <c r="AL91" i="34"/>
  <c r="AL10" i="34"/>
  <c r="AL26" i="34"/>
  <c r="AL61" i="34"/>
  <c r="AL68" i="34"/>
  <c r="AL129" i="34"/>
  <c r="AL123" i="34"/>
  <c r="AL84" i="34"/>
  <c r="AL66" i="34"/>
  <c r="AL45" i="34"/>
  <c r="AL88" i="34"/>
  <c r="AL119" i="34"/>
  <c r="AL39" i="34"/>
  <c r="AL38" i="34"/>
  <c r="AL115" i="34"/>
  <c r="AL22" i="34"/>
  <c r="AL82" i="34"/>
  <c r="AL80" i="34"/>
  <c r="AL13" i="34"/>
  <c r="AL117" i="34"/>
  <c r="AL106" i="34"/>
  <c r="AL23" i="34"/>
  <c r="AL122" i="34"/>
  <c r="AL102" i="34"/>
  <c r="AL107" i="34"/>
  <c r="AL92" i="34"/>
  <c r="AL74" i="34"/>
  <c r="AL12" i="34"/>
  <c r="AL100" i="34"/>
  <c r="AL50" i="34"/>
  <c r="AL33" i="34"/>
  <c r="AL121" i="34"/>
  <c r="AL109" i="34"/>
  <c r="AL83" i="34"/>
  <c r="AP5" i="34"/>
  <c r="AL41" i="34"/>
  <c r="AL128" i="34"/>
  <c r="AL104" i="34"/>
  <c r="AL70" i="34"/>
  <c r="AL6" i="34"/>
  <c r="AL8" i="34"/>
  <c r="AL27" i="34"/>
  <c r="AL37" i="34"/>
  <c r="AL53" i="34"/>
  <c r="AL87" i="34"/>
  <c r="AL112" i="34"/>
  <c r="AL118" i="34"/>
  <c r="AL116" i="34"/>
  <c r="AL114" i="34"/>
  <c r="AL28" i="34"/>
  <c r="AL58" i="34"/>
  <c r="AL79" i="34"/>
  <c r="AL89" i="34"/>
  <c r="AL42" i="34"/>
  <c r="AL98" i="34"/>
  <c r="AL43" i="34"/>
  <c r="AL48" i="34"/>
  <c r="AL96" i="34"/>
  <c r="AL64" i="34"/>
  <c r="AL94" i="34"/>
  <c r="AL101" i="34"/>
  <c r="AL19" i="34"/>
  <c r="AL52" i="34"/>
  <c r="AL56" i="34"/>
  <c r="AL20" i="34"/>
  <c r="AL78" i="34"/>
  <c r="AL77" i="34"/>
  <c r="AL49" i="34"/>
  <c r="AL47" i="34"/>
  <c r="AL30" i="34"/>
  <c r="AL34" i="34"/>
  <c r="AL55" i="34"/>
  <c r="AL25" i="34"/>
  <c r="AL63" i="34"/>
  <c r="AL103" i="34"/>
  <c r="AL108" i="34"/>
  <c r="AL44" i="34"/>
  <c r="AL97" i="34"/>
  <c r="AL67" i="34"/>
  <c r="AL113" i="34"/>
  <c r="AL16" i="34"/>
  <c r="AL111" i="34"/>
  <c r="AL99" i="34"/>
  <c r="AL81" i="34"/>
  <c r="AL72" i="34"/>
  <c r="AL76" i="34"/>
  <c r="AL62" i="34"/>
  <c r="AL120" i="34"/>
  <c r="AL93" i="34"/>
  <c r="AL57" i="34"/>
  <c r="AL9" i="34"/>
  <c r="AL124" i="34"/>
  <c r="AL21" i="34"/>
  <c r="AL60" i="34"/>
  <c r="AL7" i="34"/>
  <c r="AL54" i="34"/>
  <c r="AL17" i="34"/>
  <c r="AL31" i="34"/>
  <c r="AL14" i="34"/>
  <c r="AL126" i="34"/>
  <c r="AL110" i="34"/>
  <c r="AL46" i="34"/>
  <c r="AL125" i="34"/>
  <c r="AL29" i="34"/>
  <c r="AL51" i="34"/>
  <c r="AL59" i="34"/>
  <c r="AL35" i="34"/>
  <c r="AM4" i="34" l="1"/>
  <c r="E9" i="33" s="1"/>
  <c r="AM1" i="34"/>
  <c r="D9" i="33" s="1"/>
  <c r="AQ120" i="34"/>
  <c r="AS120" i="34"/>
  <c r="AQ83" i="34"/>
  <c r="AS83" i="34"/>
  <c r="AQ52" i="34"/>
  <c r="AS52" i="34"/>
  <c r="AS26" i="34"/>
  <c r="AQ26" i="34"/>
  <c r="AW5" i="34"/>
  <c r="AU5" i="34"/>
  <c r="AQ18" i="34"/>
  <c r="AS18" i="34"/>
  <c r="AS71" i="34"/>
  <c r="AQ71" i="34"/>
  <c r="AS33" i="34"/>
  <c r="AQ33" i="34"/>
  <c r="AQ19" i="34"/>
  <c r="AS19" i="34"/>
  <c r="AS8" i="34"/>
  <c r="AQ8" i="34"/>
  <c r="AS63" i="34"/>
  <c r="AQ63" i="34"/>
  <c r="AS125" i="34"/>
  <c r="AQ125" i="34"/>
  <c r="AQ121" i="34"/>
  <c r="AS121" i="34"/>
  <c r="AS94" i="34"/>
  <c r="AQ94" i="34"/>
  <c r="AS17" i="34"/>
  <c r="AQ17" i="34"/>
  <c r="AS123" i="34"/>
  <c r="AQ123" i="34"/>
  <c r="AQ96" i="34"/>
  <c r="AS96" i="34"/>
  <c r="AS129" i="34"/>
  <c r="AQ129" i="34"/>
  <c r="AQ42" i="34"/>
  <c r="AS42" i="34"/>
  <c r="AS23" i="34"/>
  <c r="AQ23" i="34"/>
  <c r="AQ79" i="34"/>
  <c r="AS79" i="34"/>
  <c r="AS58" i="34"/>
  <c r="AQ58" i="34"/>
  <c r="AQ28" i="34"/>
  <c r="AS28" i="34"/>
  <c r="AQ114" i="34"/>
  <c r="AS114" i="34"/>
  <c r="AS14" i="34"/>
  <c r="AQ14" i="34"/>
  <c r="AQ22" i="34"/>
  <c r="AS22" i="34"/>
  <c r="AS61" i="34"/>
  <c r="AQ61" i="34"/>
  <c r="AS86" i="34"/>
  <c r="AQ86" i="34"/>
  <c r="AS93" i="34"/>
  <c r="AQ93" i="34"/>
  <c r="AS75" i="34"/>
  <c r="AQ75" i="34"/>
  <c r="AS57" i="34"/>
  <c r="AQ57" i="34"/>
  <c r="AQ74" i="34"/>
  <c r="AS74" i="34"/>
  <c r="AS7" i="34"/>
  <c r="AQ7" i="34"/>
  <c r="AS99" i="34"/>
  <c r="AQ99" i="34"/>
  <c r="AS115" i="34"/>
  <c r="AQ115" i="34"/>
  <c r="AQ65" i="34"/>
  <c r="AS65" i="34"/>
  <c r="AQ35" i="34"/>
  <c r="AS35" i="34"/>
  <c r="AS124" i="34"/>
  <c r="AQ124" i="34"/>
  <c r="AQ88" i="34"/>
  <c r="AS88" i="34"/>
  <c r="AS25" i="34"/>
  <c r="AQ25" i="34"/>
  <c r="AQ55" i="34"/>
  <c r="AS55" i="34"/>
  <c r="AQ9" i="34"/>
  <c r="AS9" i="34"/>
  <c r="AS69" i="34"/>
  <c r="AQ69" i="34"/>
  <c r="AS30" i="34"/>
  <c r="AQ30" i="34"/>
  <c r="AQ122" i="34"/>
  <c r="AS122" i="34"/>
  <c r="AS40" i="34"/>
  <c r="AQ40" i="34"/>
  <c r="AQ70" i="34"/>
  <c r="AS70" i="34"/>
  <c r="AS45" i="34"/>
  <c r="AQ45" i="34"/>
  <c r="AQ39" i="34"/>
  <c r="AS39" i="34"/>
  <c r="AS46" i="34"/>
  <c r="AQ46" i="34"/>
  <c r="AQ34" i="34"/>
  <c r="AS34" i="34"/>
  <c r="AS104" i="34"/>
  <c r="AQ104" i="34"/>
  <c r="AQ59" i="34"/>
  <c r="AS59" i="34"/>
  <c r="AS37" i="34"/>
  <c r="AQ37" i="34"/>
  <c r="AQ128" i="34"/>
  <c r="AS128" i="34"/>
  <c r="AQ90" i="34"/>
  <c r="AS90" i="34"/>
  <c r="AQ41" i="34"/>
  <c r="AS41" i="34"/>
  <c r="AQ62" i="34"/>
  <c r="AS62" i="34"/>
  <c r="AQ113" i="34"/>
  <c r="AS113" i="34"/>
  <c r="AS31" i="34"/>
  <c r="AQ31" i="34"/>
  <c r="AQ72" i="34"/>
  <c r="AS72" i="34"/>
  <c r="AQ53" i="34"/>
  <c r="AS53" i="34"/>
  <c r="AS50" i="34"/>
  <c r="AQ50" i="34"/>
  <c r="AQ38" i="34"/>
  <c r="AS38" i="34"/>
  <c r="AQ66" i="34"/>
  <c r="AS66" i="34"/>
  <c r="AS118" i="34"/>
  <c r="AQ118" i="34"/>
  <c r="AQ107" i="34"/>
  <c r="AS107" i="34"/>
  <c r="AS89" i="34"/>
  <c r="AQ89" i="34"/>
  <c r="AS13" i="34"/>
  <c r="AQ13" i="34"/>
  <c r="AQ10" i="34"/>
  <c r="AS10" i="34"/>
  <c r="AS60" i="34"/>
  <c r="AQ60" i="34"/>
  <c r="AS92" i="34"/>
  <c r="AQ92" i="34"/>
  <c r="AQ56" i="34"/>
  <c r="AS56" i="34"/>
  <c r="AQ117" i="34"/>
  <c r="AS117" i="34"/>
  <c r="AQ36" i="34"/>
  <c r="AS36" i="34"/>
  <c r="AQ80" i="34"/>
  <c r="AS80" i="34"/>
  <c r="AS15" i="34"/>
  <c r="AQ15" i="34"/>
  <c r="AQ64" i="34"/>
  <c r="AS64" i="34"/>
  <c r="AS85" i="34"/>
  <c r="AQ85" i="34"/>
  <c r="AS11" i="34"/>
  <c r="AQ11" i="34"/>
  <c r="AQ110" i="34"/>
  <c r="AS110" i="34"/>
  <c r="AS100" i="34"/>
  <c r="AQ100" i="34"/>
  <c r="AS101" i="34"/>
  <c r="AQ101" i="34"/>
  <c r="AQ109" i="34"/>
  <c r="AS109" i="34"/>
  <c r="AQ77" i="34"/>
  <c r="AS77" i="34"/>
  <c r="AQ95" i="34"/>
  <c r="AS95" i="34"/>
  <c r="AS20" i="34"/>
  <c r="AQ20" i="34"/>
  <c r="AS84" i="34"/>
  <c r="AQ84" i="34"/>
  <c r="AQ54" i="34"/>
  <c r="AS54" i="34"/>
  <c r="AQ21" i="34"/>
  <c r="AS21" i="34"/>
  <c r="AS81" i="34"/>
  <c r="AQ81" i="34"/>
  <c r="AS98" i="34"/>
  <c r="AQ98" i="34"/>
  <c r="AQ105" i="34"/>
  <c r="AS105" i="34"/>
  <c r="AQ111" i="34"/>
  <c r="AS111" i="34"/>
  <c r="AS127" i="34"/>
  <c r="AQ127" i="34"/>
  <c r="AQ73" i="34"/>
  <c r="AS73" i="34"/>
  <c r="AQ32" i="34"/>
  <c r="AS32" i="34"/>
  <c r="AQ67" i="34"/>
  <c r="AS67" i="34"/>
  <c r="AS116" i="34"/>
  <c r="AQ116" i="34"/>
  <c r="AS112" i="34"/>
  <c r="AQ112" i="34"/>
  <c r="AS103" i="34"/>
  <c r="AQ103" i="34"/>
  <c r="AS6" i="34"/>
  <c r="AQ6" i="34"/>
  <c r="AQ4" i="34" s="1"/>
  <c r="E10" i="33" s="1"/>
  <c r="AQ68" i="34"/>
  <c r="AS68" i="34"/>
  <c r="AQ47" i="34"/>
  <c r="AS47" i="34"/>
  <c r="AQ49" i="34"/>
  <c r="AS49" i="34"/>
  <c r="AQ78" i="34"/>
  <c r="AS78" i="34"/>
  <c r="AS126" i="34"/>
  <c r="AQ126" i="34"/>
  <c r="AS119" i="34"/>
  <c r="AQ119" i="34"/>
  <c r="AS91" i="34"/>
  <c r="AQ91" i="34"/>
  <c r="AS51" i="34"/>
  <c r="AQ51" i="34"/>
  <c r="AS12" i="34"/>
  <c r="AP12" i="34"/>
  <c r="AQ12" i="34" s="1"/>
  <c r="AQ82" i="34"/>
  <c r="AS82" i="34"/>
  <c r="AQ24" i="34"/>
  <c r="AS24" i="34"/>
  <c r="AS76" i="34"/>
  <c r="AQ76" i="34"/>
  <c r="AQ48" i="34"/>
  <c r="AS48" i="34"/>
  <c r="AQ43" i="34"/>
  <c r="AS43" i="34"/>
  <c r="AQ87" i="34"/>
  <c r="AS87" i="34"/>
  <c r="AS102" i="34"/>
  <c r="AQ102" i="34"/>
  <c r="AS106" i="34"/>
  <c r="AQ106" i="34"/>
  <c r="AQ16" i="34"/>
  <c r="AS16" i="34"/>
  <c r="AQ97" i="34"/>
  <c r="AS97" i="34"/>
  <c r="AS27" i="34"/>
  <c r="AQ27" i="34"/>
  <c r="AQ44" i="34"/>
  <c r="AS44" i="34"/>
  <c r="AQ108" i="34"/>
  <c r="AS108" i="34"/>
  <c r="AQ29" i="34"/>
  <c r="AS29" i="34"/>
  <c r="AP120" i="34"/>
  <c r="AP19" i="34"/>
  <c r="AP96" i="34"/>
  <c r="AP58" i="34"/>
  <c r="AP75" i="34"/>
  <c r="AP69" i="34"/>
  <c r="AP113" i="34"/>
  <c r="AP10" i="34"/>
  <c r="AP36" i="34"/>
  <c r="AP11" i="34"/>
  <c r="AP77" i="34"/>
  <c r="AP103" i="34"/>
  <c r="AP48" i="34"/>
  <c r="AP51" i="34"/>
  <c r="AP88" i="34"/>
  <c r="AP70" i="34"/>
  <c r="AP62" i="34"/>
  <c r="AP110" i="34"/>
  <c r="AT5" i="34"/>
  <c r="AP123" i="34"/>
  <c r="AP72" i="34"/>
  <c r="AP76" i="34"/>
  <c r="AP52" i="34"/>
  <c r="AP42" i="34"/>
  <c r="AP122" i="34"/>
  <c r="AP100" i="34"/>
  <c r="AP67" i="34"/>
  <c r="AP91" i="34"/>
  <c r="AP26" i="34"/>
  <c r="AP125" i="34"/>
  <c r="AP94" i="34"/>
  <c r="AP23" i="34"/>
  <c r="AP14" i="34"/>
  <c r="AP65" i="34"/>
  <c r="AP55" i="34"/>
  <c r="AP30" i="34"/>
  <c r="AP31" i="34"/>
  <c r="AP53" i="34"/>
  <c r="AP66" i="34"/>
  <c r="AP80" i="34"/>
  <c r="AP64" i="34"/>
  <c r="AP95" i="34"/>
  <c r="AP81" i="34"/>
  <c r="AP73" i="34"/>
  <c r="AP126" i="34"/>
  <c r="AP108" i="34"/>
  <c r="AP8" i="34"/>
  <c r="AP118" i="34"/>
  <c r="AP83" i="34"/>
  <c r="AP121" i="34"/>
  <c r="AP93" i="34"/>
  <c r="AP9" i="34"/>
  <c r="AP13" i="34"/>
  <c r="AP98" i="34"/>
  <c r="AP119" i="34"/>
  <c r="AP27" i="34"/>
  <c r="AP33" i="34"/>
  <c r="AP99" i="34"/>
  <c r="AP127" i="34"/>
  <c r="AP61" i="34"/>
  <c r="AP115" i="34"/>
  <c r="AP71" i="34"/>
  <c r="AP28" i="34"/>
  <c r="AP86" i="34"/>
  <c r="AP7" i="34"/>
  <c r="AP39" i="34"/>
  <c r="AP128" i="34"/>
  <c r="AP41" i="34"/>
  <c r="AP50" i="34"/>
  <c r="AP60" i="34"/>
  <c r="AP56" i="34"/>
  <c r="AP85" i="34"/>
  <c r="AP101" i="34"/>
  <c r="AP32" i="34"/>
  <c r="AP43" i="34"/>
  <c r="AP17" i="34"/>
  <c r="AP22" i="34"/>
  <c r="AP104" i="34"/>
  <c r="AP117" i="34"/>
  <c r="AP97" i="34"/>
  <c r="AP57" i="34"/>
  <c r="AP59" i="34"/>
  <c r="AP20" i="34"/>
  <c r="AP49" i="34"/>
  <c r="AP129" i="34"/>
  <c r="AP45" i="34"/>
  <c r="AP21" i="34"/>
  <c r="AP78" i="34"/>
  <c r="AP87" i="34"/>
  <c r="AP15" i="34"/>
  <c r="AP105" i="34"/>
  <c r="AP68" i="34"/>
  <c r="AP18" i="34"/>
  <c r="AP63" i="34"/>
  <c r="AP124" i="34"/>
  <c r="AP40" i="34"/>
  <c r="AP37" i="34"/>
  <c r="AP90" i="34"/>
  <c r="AP107" i="34"/>
  <c r="AP16" i="34"/>
  <c r="AP44" i="34"/>
  <c r="AP84" i="34"/>
  <c r="AP116" i="34"/>
  <c r="AP82" i="34"/>
  <c r="AP111" i="34"/>
  <c r="AP47" i="34"/>
  <c r="AP24" i="34"/>
  <c r="AP102" i="34"/>
  <c r="AP46" i="34"/>
  <c r="AP89" i="34"/>
  <c r="AP6" i="34"/>
  <c r="AP106" i="34"/>
  <c r="AP79" i="34"/>
  <c r="AP35" i="34"/>
  <c r="AP54" i="34"/>
  <c r="AP112" i="34"/>
  <c r="AP114" i="34"/>
  <c r="AP25" i="34"/>
  <c r="AP38" i="34"/>
  <c r="AP92" i="34"/>
  <c r="AP109" i="34"/>
  <c r="AP29" i="34"/>
  <c r="AP74" i="34"/>
  <c r="AP34" i="34"/>
  <c r="AQ1" i="34" l="1"/>
  <c r="D10" i="33" s="1"/>
  <c r="AW69" i="34"/>
  <c r="AU69" i="34"/>
  <c r="AW79" i="34"/>
  <c r="AU79" i="34"/>
  <c r="AU63" i="34"/>
  <c r="AW63" i="34"/>
  <c r="AU83" i="34"/>
  <c r="AW83" i="34"/>
  <c r="AU76" i="34"/>
  <c r="AW76" i="34"/>
  <c r="AU128" i="34"/>
  <c r="AW128" i="34"/>
  <c r="AU24" i="34"/>
  <c r="AW24" i="34"/>
  <c r="AU54" i="34"/>
  <c r="AW54" i="34"/>
  <c r="AW85" i="34"/>
  <c r="AU85" i="34"/>
  <c r="AU99" i="34"/>
  <c r="AW99" i="34"/>
  <c r="AW102" i="34"/>
  <c r="AU102" i="34"/>
  <c r="AW47" i="34"/>
  <c r="AU47" i="34"/>
  <c r="AW105" i="34"/>
  <c r="AU105" i="34"/>
  <c r="AU101" i="34"/>
  <c r="AW101" i="34"/>
  <c r="AU64" i="34"/>
  <c r="AW64" i="34"/>
  <c r="AU107" i="34"/>
  <c r="AW107" i="34"/>
  <c r="AU29" i="34"/>
  <c r="AW29" i="34"/>
  <c r="AU87" i="34"/>
  <c r="AW87" i="34"/>
  <c r="AU82" i="34"/>
  <c r="AW82" i="34"/>
  <c r="AU91" i="34"/>
  <c r="AW91" i="34"/>
  <c r="AW78" i="34"/>
  <c r="AU78" i="34"/>
  <c r="AW67" i="34"/>
  <c r="AU67" i="34"/>
  <c r="AU21" i="34"/>
  <c r="AW21" i="34"/>
  <c r="AU84" i="34"/>
  <c r="AW84" i="34"/>
  <c r="AU77" i="34"/>
  <c r="AW77" i="34"/>
  <c r="AU11" i="34"/>
  <c r="AW11" i="34"/>
  <c r="AU36" i="34"/>
  <c r="AW36" i="34"/>
  <c r="AW38" i="34"/>
  <c r="AU38" i="34"/>
  <c r="AW113" i="34"/>
  <c r="AU113" i="34"/>
  <c r="AW115" i="34"/>
  <c r="AU115" i="34"/>
  <c r="AW74" i="34"/>
  <c r="AU74" i="34"/>
  <c r="AW75" i="34"/>
  <c r="AU75" i="34"/>
  <c r="AW61" i="34"/>
  <c r="AU61" i="34"/>
  <c r="AU114" i="34"/>
  <c r="AW114" i="34"/>
  <c r="AW58" i="34"/>
  <c r="AU58" i="34"/>
  <c r="AU94" i="34"/>
  <c r="AW94" i="34"/>
  <c r="AW72" i="34"/>
  <c r="AU72" i="34"/>
  <c r="AU59" i="34"/>
  <c r="AW59" i="34"/>
  <c r="AW45" i="34"/>
  <c r="AU45" i="34"/>
  <c r="AU25" i="34"/>
  <c r="AW25" i="34"/>
  <c r="AW121" i="34"/>
  <c r="AU121" i="34"/>
  <c r="AW62" i="34"/>
  <c r="AU62" i="34"/>
  <c r="AU9" i="34"/>
  <c r="AW9" i="34"/>
  <c r="AW108" i="34"/>
  <c r="AU108" i="34"/>
  <c r="AU43" i="34"/>
  <c r="AW43" i="34"/>
  <c r="AW127" i="34"/>
  <c r="AU127" i="34"/>
  <c r="AU88" i="34"/>
  <c r="AW88" i="34"/>
  <c r="AW8" i="34"/>
  <c r="AU8" i="34"/>
  <c r="AU112" i="34"/>
  <c r="AW112" i="34"/>
  <c r="AU95" i="34"/>
  <c r="AW95" i="34"/>
  <c r="AU50" i="34"/>
  <c r="AW50" i="34"/>
  <c r="AU65" i="34"/>
  <c r="AW65" i="34"/>
  <c r="AW66" i="34"/>
  <c r="AU66" i="34"/>
  <c r="AU31" i="34"/>
  <c r="AW31" i="34"/>
  <c r="AU30" i="34"/>
  <c r="AW30" i="34"/>
  <c r="AU55" i="34"/>
  <c r="AW55" i="34"/>
  <c r="AU57" i="34"/>
  <c r="AW57" i="34"/>
  <c r="AW23" i="34"/>
  <c r="AU23" i="34"/>
  <c r="AW96" i="34"/>
  <c r="AU96" i="34"/>
  <c r="AU17" i="34"/>
  <c r="AW17" i="34"/>
  <c r="AW125" i="34"/>
  <c r="AU125" i="34"/>
  <c r="AU19" i="34"/>
  <c r="AW19" i="34"/>
  <c r="AU26" i="34"/>
  <c r="AW26" i="34"/>
  <c r="AU120" i="34"/>
  <c r="AW120" i="34"/>
  <c r="AU103" i="34"/>
  <c r="AW103" i="34"/>
  <c r="AU90" i="34"/>
  <c r="AW90" i="34"/>
  <c r="AW123" i="34"/>
  <c r="AU123" i="34"/>
  <c r="AU33" i="34"/>
  <c r="AW33" i="34"/>
  <c r="AW100" i="34"/>
  <c r="AU100" i="34"/>
  <c r="AT13" i="34"/>
  <c r="AU13" i="34" s="1"/>
  <c r="AW13" i="34"/>
  <c r="AW22" i="34"/>
  <c r="AU22" i="34"/>
  <c r="AU109" i="34"/>
  <c r="AW109" i="34"/>
  <c r="AU15" i="34"/>
  <c r="AW15" i="34"/>
  <c r="AU46" i="34"/>
  <c r="AW46" i="34"/>
  <c r="AW49" i="34"/>
  <c r="AU49" i="34"/>
  <c r="AW98" i="34"/>
  <c r="AU98" i="34"/>
  <c r="AU110" i="34"/>
  <c r="AW110" i="34"/>
  <c r="AW70" i="34"/>
  <c r="AU70" i="34"/>
  <c r="AW44" i="34"/>
  <c r="AU44" i="34"/>
  <c r="AU6" i="34"/>
  <c r="AW6" i="34"/>
  <c r="AU56" i="34"/>
  <c r="AW56" i="34"/>
  <c r="AW10" i="34"/>
  <c r="AU10" i="34"/>
  <c r="AU89" i="34"/>
  <c r="AW89" i="34"/>
  <c r="AW41" i="34"/>
  <c r="AU41" i="34"/>
  <c r="AW104" i="34"/>
  <c r="AU104" i="34"/>
  <c r="AW39" i="34"/>
  <c r="AU39" i="34"/>
  <c r="AU86" i="34"/>
  <c r="AW86" i="34"/>
  <c r="AU18" i="34"/>
  <c r="AW18" i="34"/>
  <c r="AW92" i="34"/>
  <c r="AU92" i="34"/>
  <c r="AW35" i="34"/>
  <c r="AU35" i="34"/>
  <c r="AW27" i="34"/>
  <c r="AU27" i="34"/>
  <c r="AW68" i="34"/>
  <c r="AU68" i="34"/>
  <c r="AU20" i="34"/>
  <c r="AW20" i="34"/>
  <c r="AW117" i="34"/>
  <c r="AU117" i="34"/>
  <c r="AU122" i="34"/>
  <c r="AW122" i="34"/>
  <c r="AU93" i="34"/>
  <c r="AW93" i="34"/>
  <c r="AU106" i="34"/>
  <c r="AW106" i="34"/>
  <c r="AW12" i="34"/>
  <c r="AU12" i="34"/>
  <c r="AU32" i="34"/>
  <c r="AW32" i="34"/>
  <c r="AW118" i="34"/>
  <c r="AU118" i="34"/>
  <c r="AU28" i="34"/>
  <c r="AW28" i="34"/>
  <c r="BA5" i="34"/>
  <c r="AY5" i="34"/>
  <c r="AW119" i="34"/>
  <c r="AU119" i="34"/>
  <c r="AU111" i="34"/>
  <c r="AW111" i="34"/>
  <c r="AU80" i="34"/>
  <c r="AW80" i="34"/>
  <c r="AU60" i="34"/>
  <c r="AW60" i="34"/>
  <c r="AW129" i="34"/>
  <c r="AU129" i="34"/>
  <c r="AW71" i="34"/>
  <c r="AU71" i="34"/>
  <c r="AU97" i="34"/>
  <c r="AW97" i="34"/>
  <c r="AU48" i="34"/>
  <c r="AW48" i="34"/>
  <c r="AU51" i="34"/>
  <c r="AW51" i="34"/>
  <c r="AW116" i="34"/>
  <c r="AU116" i="34"/>
  <c r="AW16" i="34"/>
  <c r="AU16" i="34"/>
  <c r="AW126" i="34"/>
  <c r="AU126" i="34"/>
  <c r="AW73" i="34"/>
  <c r="AU73" i="34"/>
  <c r="AW81" i="34"/>
  <c r="AU81" i="34"/>
  <c r="AU53" i="34"/>
  <c r="AW53" i="34"/>
  <c r="AU37" i="34"/>
  <c r="AW37" i="34"/>
  <c r="AW34" i="34"/>
  <c r="AU34" i="34"/>
  <c r="AU40" i="34"/>
  <c r="AW40" i="34"/>
  <c r="AU124" i="34"/>
  <c r="AW124" i="34"/>
  <c r="AW7" i="34"/>
  <c r="AU7" i="34"/>
  <c r="AU14" i="34"/>
  <c r="AW14" i="34"/>
  <c r="AW42" i="34"/>
  <c r="AU42" i="34"/>
  <c r="AW52" i="34"/>
  <c r="AU52" i="34"/>
  <c r="AT69" i="34"/>
  <c r="AT85" i="34"/>
  <c r="AT102" i="34"/>
  <c r="AT29" i="34"/>
  <c r="AT82" i="34"/>
  <c r="AT67" i="34"/>
  <c r="AT77" i="34"/>
  <c r="AT115" i="34"/>
  <c r="AT61" i="34"/>
  <c r="AT8" i="34"/>
  <c r="AT55" i="34"/>
  <c r="AT125" i="34"/>
  <c r="AT109" i="34"/>
  <c r="AT6" i="34"/>
  <c r="AT39" i="34"/>
  <c r="AT73" i="34"/>
  <c r="AT124" i="34"/>
  <c r="AT42" i="34"/>
  <c r="AT64" i="34"/>
  <c r="AT11" i="34"/>
  <c r="AT22" i="34"/>
  <c r="AT105" i="34"/>
  <c r="AT30" i="34"/>
  <c r="AT44" i="34"/>
  <c r="AT35" i="34"/>
  <c r="AT126" i="34"/>
  <c r="AT54" i="34"/>
  <c r="AT25" i="34"/>
  <c r="AT65" i="34"/>
  <c r="AT17" i="34"/>
  <c r="AT62" i="34"/>
  <c r="AT66" i="34"/>
  <c r="AT18" i="34"/>
  <c r="AT12" i="34"/>
  <c r="AT60" i="34"/>
  <c r="AT53" i="34"/>
  <c r="AT47" i="34"/>
  <c r="AT91" i="34"/>
  <c r="AT38" i="34"/>
  <c r="AT94" i="34"/>
  <c r="AT121" i="34"/>
  <c r="AT9" i="34"/>
  <c r="AT31" i="34"/>
  <c r="AT96" i="34"/>
  <c r="AT19" i="34"/>
  <c r="AT120" i="34"/>
  <c r="AT49" i="34"/>
  <c r="AT89" i="34"/>
  <c r="AT127" i="34"/>
  <c r="AT56" i="34"/>
  <c r="AT122" i="34"/>
  <c r="AT34" i="34"/>
  <c r="AT76" i="34"/>
  <c r="AT74" i="34"/>
  <c r="AT86" i="34"/>
  <c r="AT119" i="34"/>
  <c r="AT28" i="34"/>
  <c r="AT63" i="34"/>
  <c r="AT52" i="34"/>
  <c r="AT24" i="34"/>
  <c r="AT21" i="34"/>
  <c r="AT45" i="34"/>
  <c r="AT112" i="34"/>
  <c r="AT50" i="34"/>
  <c r="AT103" i="34"/>
  <c r="AT123" i="34"/>
  <c r="AX5" i="34"/>
  <c r="AT80" i="34"/>
  <c r="AT71" i="34"/>
  <c r="AT48" i="34"/>
  <c r="AT79" i="34"/>
  <c r="AT87" i="34"/>
  <c r="AT57" i="34"/>
  <c r="AT15" i="34"/>
  <c r="AT92" i="34"/>
  <c r="AT78" i="34"/>
  <c r="AT114" i="34"/>
  <c r="AT26" i="34"/>
  <c r="AT46" i="34"/>
  <c r="AT41" i="34"/>
  <c r="AT99" i="34"/>
  <c r="AT95" i="34"/>
  <c r="AT90" i="34"/>
  <c r="AT7" i="34"/>
  <c r="AT36" i="34"/>
  <c r="AT72" i="34"/>
  <c r="AT110" i="34"/>
  <c r="AT111" i="34"/>
  <c r="AT128" i="34"/>
  <c r="AT101" i="34"/>
  <c r="AT84" i="34"/>
  <c r="AT59" i="34"/>
  <c r="AT100" i="34"/>
  <c r="AT104" i="34"/>
  <c r="AT27" i="34"/>
  <c r="AT93" i="34"/>
  <c r="AT32" i="34"/>
  <c r="AT70" i="34"/>
  <c r="AT117" i="34"/>
  <c r="AT129" i="34"/>
  <c r="AT116" i="34"/>
  <c r="AT37" i="34"/>
  <c r="AT14" i="34"/>
  <c r="AT106" i="34"/>
  <c r="AT81" i="34"/>
  <c r="AT83" i="34"/>
  <c r="AT33" i="34"/>
  <c r="AT98" i="34"/>
  <c r="AT68" i="34"/>
  <c r="AT118" i="34"/>
  <c r="AT16" i="34"/>
  <c r="AT113" i="34"/>
  <c r="AT88" i="34"/>
  <c r="AT10" i="34"/>
  <c r="AT51" i="34"/>
  <c r="AT107" i="34"/>
  <c r="AT75" i="34"/>
  <c r="AT108" i="34"/>
  <c r="AT23" i="34"/>
  <c r="AT20" i="34"/>
  <c r="AT58" i="34"/>
  <c r="AT43" i="34"/>
  <c r="AT97" i="34"/>
  <c r="AT40" i="34"/>
  <c r="AU1" i="34" l="1"/>
  <c r="D11" i="33" s="1"/>
  <c r="AY26" i="34"/>
  <c r="BA26" i="34"/>
  <c r="AY30" i="34"/>
  <c r="BA30" i="34"/>
  <c r="AY84" i="34"/>
  <c r="BA84" i="34"/>
  <c r="AY76" i="34"/>
  <c r="BA76" i="34"/>
  <c r="BA33" i="34"/>
  <c r="AY33" i="34"/>
  <c r="BA7" i="34"/>
  <c r="AY7" i="34"/>
  <c r="BA103" i="34"/>
  <c r="AY103" i="34"/>
  <c r="AY17" i="34"/>
  <c r="BA17" i="34"/>
  <c r="AU4" i="34"/>
  <c r="E11" i="33" s="1"/>
  <c r="AY21" i="34"/>
  <c r="BA21" i="34"/>
  <c r="BA99" i="34"/>
  <c r="AY99" i="34"/>
  <c r="AY124" i="34"/>
  <c r="BA124" i="34"/>
  <c r="BA19" i="34"/>
  <c r="AY19" i="34"/>
  <c r="AY31" i="34"/>
  <c r="BA31" i="34"/>
  <c r="BA108" i="34"/>
  <c r="AY108" i="34"/>
  <c r="AY45" i="34"/>
  <c r="BA45" i="34"/>
  <c r="BA14" i="34"/>
  <c r="AX14" i="34"/>
  <c r="AY14" i="34" s="1"/>
  <c r="BA48" i="34"/>
  <c r="AY48" i="34"/>
  <c r="AY18" i="34"/>
  <c r="BA18" i="34"/>
  <c r="AY89" i="34"/>
  <c r="BA89" i="34"/>
  <c r="AY120" i="34"/>
  <c r="BA120" i="34"/>
  <c r="BA53" i="34"/>
  <c r="AY53" i="34"/>
  <c r="BA73" i="34"/>
  <c r="AY73" i="34"/>
  <c r="AY97" i="34"/>
  <c r="BA97" i="34"/>
  <c r="AY129" i="34"/>
  <c r="BA129" i="34"/>
  <c r="AY28" i="34"/>
  <c r="BA28" i="34"/>
  <c r="BA20" i="34"/>
  <c r="AY20" i="34"/>
  <c r="AY6" i="34"/>
  <c r="BA6" i="34"/>
  <c r="AY110" i="34"/>
  <c r="BA110" i="34"/>
  <c r="BA49" i="34"/>
  <c r="AY49" i="34"/>
  <c r="BA109" i="34"/>
  <c r="AY109" i="34"/>
  <c r="BA90" i="34"/>
  <c r="AY90" i="34"/>
  <c r="AY66" i="34"/>
  <c r="BA66" i="34"/>
  <c r="BA95" i="34"/>
  <c r="AY95" i="34"/>
  <c r="AY8" i="34"/>
  <c r="BA8" i="34"/>
  <c r="AY25" i="34"/>
  <c r="BA25" i="34"/>
  <c r="AY58" i="34"/>
  <c r="BA58" i="34"/>
  <c r="BA115" i="34"/>
  <c r="AY115" i="34"/>
  <c r="AY67" i="34"/>
  <c r="BA67" i="34"/>
  <c r="AY82" i="34"/>
  <c r="BA82" i="34"/>
  <c r="BA107" i="34"/>
  <c r="AY107" i="34"/>
  <c r="AY54" i="34"/>
  <c r="BA54" i="34"/>
  <c r="AY125" i="34"/>
  <c r="BA125" i="34"/>
  <c r="AY122" i="34"/>
  <c r="BA122" i="34"/>
  <c r="BA35" i="34"/>
  <c r="AY35" i="34"/>
  <c r="AY10" i="34"/>
  <c r="BA10" i="34"/>
  <c r="BA62" i="34"/>
  <c r="AY62" i="34"/>
  <c r="AY114" i="34"/>
  <c r="BA114" i="34"/>
  <c r="AY78" i="34"/>
  <c r="BA78" i="34"/>
  <c r="BA34" i="34"/>
  <c r="AY34" i="34"/>
  <c r="BA112" i="34"/>
  <c r="AY112" i="34"/>
  <c r="AY64" i="34"/>
  <c r="BA64" i="34"/>
  <c r="BA24" i="34"/>
  <c r="AY24" i="34"/>
  <c r="AY42" i="34"/>
  <c r="BA42" i="34"/>
  <c r="BA119" i="34"/>
  <c r="AY119" i="34"/>
  <c r="BA37" i="34"/>
  <c r="AY37" i="34"/>
  <c r="BA118" i="34"/>
  <c r="AY118" i="34"/>
  <c r="AY68" i="34"/>
  <c r="BA68" i="34"/>
  <c r="BA41" i="34"/>
  <c r="AY41" i="34"/>
  <c r="AY56" i="34"/>
  <c r="BA56" i="34"/>
  <c r="AY98" i="34"/>
  <c r="BA98" i="34"/>
  <c r="BA15" i="34"/>
  <c r="AY15" i="34"/>
  <c r="BA13" i="34"/>
  <c r="AY13" i="34"/>
  <c r="AY9" i="34"/>
  <c r="BA9" i="34"/>
  <c r="AY74" i="34"/>
  <c r="BA74" i="34"/>
  <c r="BA38" i="34"/>
  <c r="AY38" i="34"/>
  <c r="BA77" i="34"/>
  <c r="AY77" i="34"/>
  <c r="BA29" i="34"/>
  <c r="AY29" i="34"/>
  <c r="AY47" i="34"/>
  <c r="BA47" i="34"/>
  <c r="AY83" i="34"/>
  <c r="BA83" i="34"/>
  <c r="AY116" i="34"/>
  <c r="BA116" i="34"/>
  <c r="AY46" i="34"/>
  <c r="BA46" i="34"/>
  <c r="AY23" i="34"/>
  <c r="BA23" i="34"/>
  <c r="BA88" i="34"/>
  <c r="AY88" i="34"/>
  <c r="BA75" i="34"/>
  <c r="AY75" i="34"/>
  <c r="BA51" i="34"/>
  <c r="AY51" i="34"/>
  <c r="AY86" i="34"/>
  <c r="BA86" i="34"/>
  <c r="AY105" i="34"/>
  <c r="BA105" i="34"/>
  <c r="AY22" i="34"/>
  <c r="BA22" i="34"/>
  <c r="BA57" i="34"/>
  <c r="AY57" i="34"/>
  <c r="BA65" i="34"/>
  <c r="AY65" i="34"/>
  <c r="BA80" i="34"/>
  <c r="AY80" i="34"/>
  <c r="AY91" i="34"/>
  <c r="BA91" i="34"/>
  <c r="AY16" i="34"/>
  <c r="BA16" i="34"/>
  <c r="BA32" i="34"/>
  <c r="AY32" i="34"/>
  <c r="AY92" i="34"/>
  <c r="BA92" i="34"/>
  <c r="AY39" i="34"/>
  <c r="BA39" i="34"/>
  <c r="BA70" i="34"/>
  <c r="AY70" i="34"/>
  <c r="BA55" i="34"/>
  <c r="AY55" i="34"/>
  <c r="BA50" i="34"/>
  <c r="AY50" i="34"/>
  <c r="BA127" i="34"/>
  <c r="AY127" i="34"/>
  <c r="BA59" i="34"/>
  <c r="AY59" i="34"/>
  <c r="BA61" i="34"/>
  <c r="AY61" i="34"/>
  <c r="BA101" i="34"/>
  <c r="AY101" i="34"/>
  <c r="AY85" i="34"/>
  <c r="BA85" i="34"/>
  <c r="AY128" i="34"/>
  <c r="BA128" i="34"/>
  <c r="AY69" i="34"/>
  <c r="BA69" i="34"/>
  <c r="BA100" i="34"/>
  <c r="AY100" i="34"/>
  <c r="BA102" i="34"/>
  <c r="AY102" i="34"/>
  <c r="AY52" i="34"/>
  <c r="BA52" i="34"/>
  <c r="AY126" i="34"/>
  <c r="BA126" i="34"/>
  <c r="AY60" i="34"/>
  <c r="BA60" i="34"/>
  <c r="BA104" i="34"/>
  <c r="AY104" i="34"/>
  <c r="BA113" i="34"/>
  <c r="AY113" i="34"/>
  <c r="AY11" i="34"/>
  <c r="BA11" i="34"/>
  <c r="BA87" i="34"/>
  <c r="AY87" i="34"/>
  <c r="AY12" i="34"/>
  <c r="BA12" i="34"/>
  <c r="AY72" i="34"/>
  <c r="BA72" i="34"/>
  <c r="BA79" i="34"/>
  <c r="AY79" i="34"/>
  <c r="BA81" i="34"/>
  <c r="AY81" i="34"/>
  <c r="AY71" i="34"/>
  <c r="BA71" i="34"/>
  <c r="AY106" i="34"/>
  <c r="BA106" i="34"/>
  <c r="AY44" i="34"/>
  <c r="BA44" i="34"/>
  <c r="BA94" i="34"/>
  <c r="AY94" i="34"/>
  <c r="BA117" i="34"/>
  <c r="AY117" i="34"/>
  <c r="AY40" i="34"/>
  <c r="BA40" i="34"/>
  <c r="AY111" i="34"/>
  <c r="BA111" i="34"/>
  <c r="BC5" i="34"/>
  <c r="BE5" i="34"/>
  <c r="AY93" i="34"/>
  <c r="BA93" i="34"/>
  <c r="AY27" i="34"/>
  <c r="BA27" i="34"/>
  <c r="BA123" i="34"/>
  <c r="AY123" i="34"/>
  <c r="AY96" i="34"/>
  <c r="BA96" i="34"/>
  <c r="AY43" i="34"/>
  <c r="BA43" i="34"/>
  <c r="BA121" i="34"/>
  <c r="AY121" i="34"/>
  <c r="AY36" i="34"/>
  <c r="BA36" i="34"/>
  <c r="AY63" i="34"/>
  <c r="BA63" i="34"/>
  <c r="AX26" i="34"/>
  <c r="AX84" i="34"/>
  <c r="AX7" i="34"/>
  <c r="AX124" i="34"/>
  <c r="AX28" i="34"/>
  <c r="AX6" i="34"/>
  <c r="AX95" i="34"/>
  <c r="AX54" i="34"/>
  <c r="AX122" i="34"/>
  <c r="AX34" i="34"/>
  <c r="AX64" i="34"/>
  <c r="AX119" i="34"/>
  <c r="AX13" i="34"/>
  <c r="AX38" i="34"/>
  <c r="AX51" i="34"/>
  <c r="AX80" i="34"/>
  <c r="AX60" i="34"/>
  <c r="AX40" i="34"/>
  <c r="AX121" i="34"/>
  <c r="AX71" i="34"/>
  <c r="AX20" i="34"/>
  <c r="AX90" i="34"/>
  <c r="AX126" i="34"/>
  <c r="AX36" i="34"/>
  <c r="AX99" i="34"/>
  <c r="AX115" i="34"/>
  <c r="AX9" i="34"/>
  <c r="AX75" i="34"/>
  <c r="AX61" i="34"/>
  <c r="AX53" i="34"/>
  <c r="AX8" i="34"/>
  <c r="AX77" i="34"/>
  <c r="AX105" i="34"/>
  <c r="AX66" i="34"/>
  <c r="AX56" i="34"/>
  <c r="AX29" i="34"/>
  <c r="AX101" i="34"/>
  <c r="BB5" i="34"/>
  <c r="AX63" i="34"/>
  <c r="AX21" i="34"/>
  <c r="AX48" i="34"/>
  <c r="AX73" i="34"/>
  <c r="AX110" i="34"/>
  <c r="AX35" i="34"/>
  <c r="AX24" i="34"/>
  <c r="AX47" i="34"/>
  <c r="AX86" i="34"/>
  <c r="AX39" i="34"/>
  <c r="AX55" i="34"/>
  <c r="AX85" i="34"/>
  <c r="AX69" i="34"/>
  <c r="AX52" i="34"/>
  <c r="AX30" i="34"/>
  <c r="AX58" i="34"/>
  <c r="AX91" i="34"/>
  <c r="AX100" i="34"/>
  <c r="AX10" i="34"/>
  <c r="AX83" i="34"/>
  <c r="AX111" i="34"/>
  <c r="AX18" i="34"/>
  <c r="AX41" i="34"/>
  <c r="AX113" i="34"/>
  <c r="AX49" i="34"/>
  <c r="AX15" i="34"/>
  <c r="AX106" i="34"/>
  <c r="AX19" i="34"/>
  <c r="AX108" i="34"/>
  <c r="AX97" i="34"/>
  <c r="AX82" i="34"/>
  <c r="AX37" i="34"/>
  <c r="AX68" i="34"/>
  <c r="AX98" i="34"/>
  <c r="AX46" i="34"/>
  <c r="AX88" i="34"/>
  <c r="AX57" i="34"/>
  <c r="AX104" i="34"/>
  <c r="AX72" i="34"/>
  <c r="AX94" i="34"/>
  <c r="AX76" i="34"/>
  <c r="AX120" i="34"/>
  <c r="AX50" i="34"/>
  <c r="AX114" i="34"/>
  <c r="AX27" i="34"/>
  <c r="AX31" i="34"/>
  <c r="AX42" i="34"/>
  <c r="AX74" i="34"/>
  <c r="AX89" i="34"/>
  <c r="AX25" i="34"/>
  <c r="AX16" i="34"/>
  <c r="AX109" i="34"/>
  <c r="AX67" i="34"/>
  <c r="AX107" i="34"/>
  <c r="AX62" i="34"/>
  <c r="AX78" i="34"/>
  <c r="AX22" i="34"/>
  <c r="AX127" i="34"/>
  <c r="AX102" i="34"/>
  <c r="AX12" i="34"/>
  <c r="AX81" i="34"/>
  <c r="AX117" i="34"/>
  <c r="AX123" i="34"/>
  <c r="AX116" i="34"/>
  <c r="AX59" i="34"/>
  <c r="AX11" i="34"/>
  <c r="AX44" i="34"/>
  <c r="AX93" i="34"/>
  <c r="AX103" i="34"/>
  <c r="AX45" i="34"/>
  <c r="AX32" i="34"/>
  <c r="AX87" i="34"/>
  <c r="AX33" i="34"/>
  <c r="AX112" i="34"/>
  <c r="AX70" i="34"/>
  <c r="AX96" i="34"/>
  <c r="AX125" i="34"/>
  <c r="AX118" i="34"/>
  <c r="AX23" i="34"/>
  <c r="AX65" i="34"/>
  <c r="AX79" i="34"/>
  <c r="AX17" i="34"/>
  <c r="AX129" i="34"/>
  <c r="AX92" i="34"/>
  <c r="AX128" i="34"/>
  <c r="AX43" i="34"/>
  <c r="AY1" i="34" l="1"/>
  <c r="D12" i="33" s="1"/>
  <c r="BC27" i="34"/>
  <c r="BE27" i="34"/>
  <c r="BC81" i="34"/>
  <c r="BE81" i="34"/>
  <c r="BC51" i="34"/>
  <c r="BE51" i="34"/>
  <c r="BC14" i="34"/>
  <c r="BE14" i="34"/>
  <c r="BE102" i="34"/>
  <c r="BC102" i="34"/>
  <c r="BE70" i="34"/>
  <c r="BC70" i="34"/>
  <c r="BE99" i="34"/>
  <c r="BC99" i="34"/>
  <c r="BC113" i="34"/>
  <c r="BE113" i="34"/>
  <c r="BE125" i="34"/>
  <c r="BC125" i="34"/>
  <c r="BC97" i="34"/>
  <c r="BE97" i="34"/>
  <c r="BC85" i="34"/>
  <c r="BE85" i="34"/>
  <c r="BC75" i="34"/>
  <c r="BE75" i="34"/>
  <c r="BC98" i="34"/>
  <c r="BE98" i="34"/>
  <c r="BC112" i="34"/>
  <c r="BE112" i="34"/>
  <c r="BC110" i="34"/>
  <c r="BE110" i="34"/>
  <c r="BE121" i="34"/>
  <c r="BC121" i="34"/>
  <c r="BE104" i="34"/>
  <c r="BC104" i="34"/>
  <c r="BC63" i="34"/>
  <c r="BE63" i="34"/>
  <c r="BE123" i="34"/>
  <c r="BC123" i="34"/>
  <c r="BG5" i="34"/>
  <c r="BE44" i="34"/>
  <c r="BC44" i="34"/>
  <c r="BC69" i="34"/>
  <c r="BE69" i="34"/>
  <c r="BE92" i="34"/>
  <c r="BC92" i="34"/>
  <c r="BE16" i="34"/>
  <c r="BC16" i="34"/>
  <c r="BE43" i="34"/>
  <c r="BC43" i="34"/>
  <c r="BC60" i="34"/>
  <c r="BE60" i="34"/>
  <c r="BE101" i="34"/>
  <c r="BC101" i="34"/>
  <c r="BC55" i="34"/>
  <c r="BE55" i="34"/>
  <c r="BC23" i="34"/>
  <c r="BE23" i="34"/>
  <c r="BE29" i="34"/>
  <c r="BC29" i="34"/>
  <c r="BE74" i="34"/>
  <c r="BC74" i="34"/>
  <c r="BE13" i="34"/>
  <c r="BC13" i="34"/>
  <c r="BC119" i="34"/>
  <c r="BE119" i="34"/>
  <c r="BC64" i="34"/>
  <c r="BE64" i="34"/>
  <c r="BC122" i="34"/>
  <c r="BE122" i="34"/>
  <c r="BE66" i="34"/>
  <c r="BC66" i="34"/>
  <c r="BC6" i="34"/>
  <c r="BE6" i="34"/>
  <c r="BE129" i="34"/>
  <c r="BC129" i="34"/>
  <c r="BC73" i="34"/>
  <c r="BE73" i="34"/>
  <c r="BC31" i="34"/>
  <c r="BE31" i="34"/>
  <c r="BE17" i="34"/>
  <c r="BC17" i="34"/>
  <c r="BE7" i="34"/>
  <c r="BC7" i="34"/>
  <c r="BE84" i="34"/>
  <c r="BC84" i="34"/>
  <c r="BC83" i="34"/>
  <c r="BE83" i="34"/>
  <c r="BE118" i="34"/>
  <c r="BC118" i="34"/>
  <c r="BE106" i="34"/>
  <c r="BC106" i="34"/>
  <c r="BE128" i="34"/>
  <c r="BC128" i="34"/>
  <c r="BC107" i="34"/>
  <c r="BE107" i="34"/>
  <c r="BE30" i="34"/>
  <c r="BC30" i="34"/>
  <c r="BC46" i="34"/>
  <c r="BE46" i="34"/>
  <c r="BE15" i="34"/>
  <c r="BB15" i="34"/>
  <c r="BC15" i="34" s="1"/>
  <c r="BE82" i="34"/>
  <c r="BC82" i="34"/>
  <c r="BE8" i="34"/>
  <c r="BC8" i="34"/>
  <c r="BE20" i="34"/>
  <c r="BC20" i="34"/>
  <c r="BE18" i="34"/>
  <c r="BC18" i="34"/>
  <c r="BE96" i="34"/>
  <c r="BC96" i="34"/>
  <c r="BC71" i="34"/>
  <c r="BE71" i="34"/>
  <c r="BC86" i="34"/>
  <c r="BE86" i="34"/>
  <c r="BE77" i="34"/>
  <c r="BC77" i="34"/>
  <c r="BE37" i="34"/>
  <c r="BC37" i="34"/>
  <c r="BC87" i="34"/>
  <c r="BE87" i="34"/>
  <c r="BE52" i="34"/>
  <c r="BC52" i="34"/>
  <c r="BC100" i="34"/>
  <c r="BE100" i="34"/>
  <c r="BE50" i="34"/>
  <c r="BC50" i="34"/>
  <c r="AY4" i="34"/>
  <c r="E12" i="33" s="1"/>
  <c r="BE24" i="34"/>
  <c r="BC24" i="34"/>
  <c r="BE35" i="34"/>
  <c r="BC35" i="34"/>
  <c r="BC54" i="34"/>
  <c r="BE54" i="34"/>
  <c r="BC58" i="34"/>
  <c r="BE58" i="34"/>
  <c r="BE90" i="34"/>
  <c r="BC90" i="34"/>
  <c r="BC28" i="34"/>
  <c r="BE28" i="34"/>
  <c r="BC120" i="34"/>
  <c r="BE120" i="34"/>
  <c r="BC103" i="34"/>
  <c r="BE103" i="34"/>
  <c r="BC76" i="34"/>
  <c r="BE76" i="34"/>
  <c r="BC26" i="34"/>
  <c r="BE26" i="34"/>
  <c r="BC12" i="34"/>
  <c r="BE12" i="34"/>
  <c r="BC65" i="34"/>
  <c r="BE65" i="34"/>
  <c r="BE42" i="34"/>
  <c r="BC42" i="34"/>
  <c r="BE111" i="34"/>
  <c r="BC111" i="34"/>
  <c r="BE127" i="34"/>
  <c r="BC127" i="34"/>
  <c r="BE91" i="34"/>
  <c r="BC91" i="34"/>
  <c r="BC115" i="34"/>
  <c r="BE115" i="34"/>
  <c r="BE53" i="34"/>
  <c r="BC53" i="34"/>
  <c r="BE93" i="34"/>
  <c r="BC93" i="34"/>
  <c r="BE79" i="34"/>
  <c r="BC79" i="34"/>
  <c r="BE41" i="34"/>
  <c r="BC41" i="34"/>
  <c r="BC114" i="34"/>
  <c r="BE114" i="34"/>
  <c r="BE19" i="34"/>
  <c r="BC19" i="34"/>
  <c r="BE72" i="34"/>
  <c r="BC72" i="34"/>
  <c r="BE59" i="34"/>
  <c r="BC59" i="34"/>
  <c r="BE80" i="34"/>
  <c r="BC80" i="34"/>
  <c r="BE22" i="34"/>
  <c r="BE116" i="34"/>
  <c r="BC116" i="34"/>
  <c r="BC38" i="34"/>
  <c r="BE38" i="34"/>
  <c r="BC68" i="34"/>
  <c r="BE68" i="34"/>
  <c r="BC34" i="34"/>
  <c r="BE34" i="34"/>
  <c r="BC67" i="34"/>
  <c r="BE67" i="34"/>
  <c r="BE95" i="34"/>
  <c r="BC95" i="34"/>
  <c r="BE124" i="34"/>
  <c r="BC124" i="34"/>
  <c r="BE105" i="34"/>
  <c r="BC105" i="34"/>
  <c r="BC78" i="34"/>
  <c r="BE78" i="34"/>
  <c r="BE10" i="34"/>
  <c r="BC10" i="34"/>
  <c r="BC36" i="34"/>
  <c r="BE36" i="34"/>
  <c r="BE117" i="34"/>
  <c r="BC117" i="34"/>
  <c r="BE126" i="34"/>
  <c r="BC126" i="34"/>
  <c r="BC45" i="34"/>
  <c r="BE45" i="34"/>
  <c r="BE33" i="34"/>
  <c r="BC33" i="34"/>
  <c r="BE32" i="34"/>
  <c r="BC32" i="34"/>
  <c r="BE49" i="34"/>
  <c r="BC49" i="34"/>
  <c r="BE94" i="34"/>
  <c r="BC94" i="34"/>
  <c r="BC61" i="34"/>
  <c r="BE61" i="34"/>
  <c r="BC39" i="34"/>
  <c r="BE39" i="34"/>
  <c r="BC57" i="34"/>
  <c r="BE57" i="34"/>
  <c r="BC47" i="34"/>
  <c r="BE47" i="34"/>
  <c r="BE9" i="34"/>
  <c r="BC9" i="34"/>
  <c r="BC22" i="34"/>
  <c r="BE21" i="34"/>
  <c r="BC21" i="34"/>
  <c r="BE40" i="34"/>
  <c r="BC40" i="34"/>
  <c r="BE11" i="34"/>
  <c r="BC11" i="34"/>
  <c r="BE88" i="34"/>
  <c r="BC88" i="34"/>
  <c r="BE56" i="34"/>
  <c r="BC56" i="34"/>
  <c r="BE62" i="34"/>
  <c r="BC62" i="34"/>
  <c r="BE25" i="34"/>
  <c r="BC25" i="34"/>
  <c r="BC109" i="34"/>
  <c r="BE109" i="34"/>
  <c r="BC89" i="34"/>
  <c r="BE89" i="34"/>
  <c r="BE48" i="34"/>
  <c r="BC48" i="34"/>
  <c r="BE108" i="34"/>
  <c r="BC108" i="34"/>
  <c r="BB27" i="34"/>
  <c r="BB51" i="34"/>
  <c r="BB85" i="34"/>
  <c r="BB104" i="34"/>
  <c r="BB43" i="34"/>
  <c r="BB101" i="34"/>
  <c r="BB29" i="34"/>
  <c r="BB13" i="34"/>
  <c r="BB122" i="34"/>
  <c r="BB129" i="34"/>
  <c r="BB84" i="34"/>
  <c r="BB106" i="34"/>
  <c r="BB28" i="34"/>
  <c r="BB12" i="34"/>
  <c r="BB114" i="34"/>
  <c r="BB47" i="34"/>
  <c r="BB128" i="34"/>
  <c r="BB98" i="34"/>
  <c r="BB46" i="34"/>
  <c r="BB87" i="34"/>
  <c r="BB10" i="34"/>
  <c r="BB6" i="34"/>
  <c r="BB96" i="34"/>
  <c r="BB94" i="34"/>
  <c r="BB56" i="34"/>
  <c r="BB102" i="34"/>
  <c r="BB123" i="34"/>
  <c r="BB103" i="34"/>
  <c r="BB105" i="34"/>
  <c r="BB125" i="34"/>
  <c r="BB30" i="34"/>
  <c r="BB37" i="34"/>
  <c r="BB24" i="34"/>
  <c r="BB54" i="34"/>
  <c r="BB111" i="34"/>
  <c r="BB115" i="34"/>
  <c r="BB59" i="34"/>
  <c r="BB45" i="34"/>
  <c r="BB39" i="34"/>
  <c r="BB48" i="34"/>
  <c r="BB44" i="34"/>
  <c r="BB78" i="34"/>
  <c r="BB9" i="34"/>
  <c r="BB16" i="34"/>
  <c r="BB18" i="34"/>
  <c r="BB35" i="34"/>
  <c r="BB26" i="34"/>
  <c r="BB53" i="34"/>
  <c r="BB38" i="34"/>
  <c r="BB23" i="34"/>
  <c r="BB73" i="34"/>
  <c r="BB57" i="34"/>
  <c r="BB31" i="34"/>
  <c r="BB8" i="34"/>
  <c r="BB77" i="34"/>
  <c r="BB126" i="34"/>
  <c r="BB62" i="34"/>
  <c r="BB75" i="34"/>
  <c r="BF5" i="34"/>
  <c r="BB55" i="34"/>
  <c r="BB119" i="34"/>
  <c r="BB66" i="34"/>
  <c r="BB17" i="34"/>
  <c r="BB83" i="34"/>
  <c r="BB82" i="34"/>
  <c r="BB71" i="34"/>
  <c r="BB100" i="34"/>
  <c r="BB58" i="34"/>
  <c r="BB76" i="34"/>
  <c r="BB65" i="34"/>
  <c r="BB79" i="34"/>
  <c r="BB34" i="34"/>
  <c r="BB95" i="34"/>
  <c r="BB117" i="34"/>
  <c r="BB88" i="34"/>
  <c r="BB99" i="34"/>
  <c r="BB92" i="34"/>
  <c r="BB116" i="34"/>
  <c r="BB33" i="34"/>
  <c r="BB81" i="34"/>
  <c r="BB110" i="34"/>
  <c r="BB127" i="34"/>
  <c r="BB80" i="34"/>
  <c r="BB64" i="34"/>
  <c r="BB50" i="34"/>
  <c r="BB41" i="34"/>
  <c r="BB113" i="34"/>
  <c r="BB118" i="34"/>
  <c r="BB90" i="34"/>
  <c r="BB32" i="34"/>
  <c r="BB70" i="34"/>
  <c r="BB112" i="34"/>
  <c r="BB121" i="34"/>
  <c r="BB69" i="34"/>
  <c r="BB107" i="34"/>
  <c r="BB20" i="34"/>
  <c r="BB52" i="34"/>
  <c r="BB42" i="34"/>
  <c r="BB91" i="34"/>
  <c r="BB93" i="34"/>
  <c r="BB22" i="34"/>
  <c r="BB68" i="34"/>
  <c r="BB67" i="34"/>
  <c r="BB36" i="34"/>
  <c r="BB61" i="34"/>
  <c r="BB21" i="34"/>
  <c r="BB11" i="34"/>
  <c r="BB89" i="34"/>
  <c r="BB108" i="34"/>
  <c r="BB72" i="34"/>
  <c r="BB49" i="34"/>
  <c r="BB25" i="34"/>
  <c r="BB14" i="34"/>
  <c r="BB63" i="34"/>
  <c r="BB86" i="34"/>
  <c r="BB120" i="34"/>
  <c r="BB40" i="34"/>
  <c r="BB60" i="34"/>
  <c r="BB19" i="34"/>
  <c r="BB109" i="34"/>
  <c r="BB97" i="34"/>
  <c r="BB74" i="34"/>
  <c r="BB124" i="34"/>
  <c r="BB7" i="34"/>
  <c r="BC4" i="34" l="1"/>
  <c r="E13" i="33" s="1"/>
  <c r="BG38" i="34"/>
  <c r="BG96" i="34"/>
  <c r="BG46" i="34"/>
  <c r="BG13" i="34"/>
  <c r="BG108" i="34"/>
  <c r="BG90" i="34"/>
  <c r="BG39" i="34"/>
  <c r="BG100" i="34"/>
  <c r="BG128" i="34"/>
  <c r="BG124" i="34"/>
  <c r="BG79" i="34"/>
  <c r="BG75" i="34"/>
  <c r="BG25" i="34"/>
  <c r="BG40" i="34"/>
  <c r="BG49" i="34"/>
  <c r="BG47" i="34"/>
  <c r="BG36" i="34"/>
  <c r="BG21" i="34"/>
  <c r="BG93" i="34"/>
  <c r="BG111" i="34"/>
  <c r="BG103" i="34"/>
  <c r="BG62" i="34"/>
  <c r="BG57" i="34"/>
  <c r="BG32" i="34"/>
  <c r="BG105" i="34"/>
  <c r="BG77" i="34"/>
  <c r="BG15" i="34"/>
  <c r="BG84" i="34"/>
  <c r="BG6" i="34"/>
  <c r="BG23" i="34"/>
  <c r="BG101" i="34"/>
  <c r="BG43" i="34"/>
  <c r="BG123" i="34"/>
  <c r="BG85" i="34"/>
  <c r="BG113" i="34"/>
  <c r="BG51" i="34"/>
  <c r="BG109" i="34"/>
  <c r="BG67" i="34"/>
  <c r="BG41" i="34"/>
  <c r="BG50" i="34"/>
  <c r="BG11" i="34"/>
  <c r="BG126" i="34"/>
  <c r="BF16" i="34"/>
  <c r="BG16" i="34" s="1"/>
  <c r="BG81" i="34"/>
  <c r="BG9" i="34"/>
  <c r="BG33" i="34"/>
  <c r="BG58" i="34"/>
  <c r="BG83" i="34"/>
  <c r="BG56" i="34"/>
  <c r="BG115" i="34"/>
  <c r="BG76" i="34"/>
  <c r="BG66" i="34"/>
  <c r="BG78" i="34"/>
  <c r="BG59" i="34"/>
  <c r="BG114" i="34"/>
  <c r="BG28" i="34"/>
  <c r="BG24" i="34"/>
  <c r="BG37" i="34"/>
  <c r="BG18" i="34"/>
  <c r="BG30" i="34"/>
  <c r="BC1" i="34"/>
  <c r="D13" i="33" s="1"/>
  <c r="BG99" i="34"/>
  <c r="BG14" i="34"/>
  <c r="BG27" i="34"/>
  <c r="BG91" i="34"/>
  <c r="BG26" i="34"/>
  <c r="BG60" i="34"/>
  <c r="BG98" i="34"/>
  <c r="BG10" i="34"/>
  <c r="BG80" i="34"/>
  <c r="BG53" i="34"/>
  <c r="BG42" i="34"/>
  <c r="BG35" i="34"/>
  <c r="BG86" i="34"/>
  <c r="BG121" i="34"/>
  <c r="BG8" i="34"/>
  <c r="BG7" i="34"/>
  <c r="BG44" i="34"/>
  <c r="BG97" i="34"/>
  <c r="BG48" i="34"/>
  <c r="BG127" i="34"/>
  <c r="BG74" i="34"/>
  <c r="BG89" i="34"/>
  <c r="BG68" i="34"/>
  <c r="BG116" i="34"/>
  <c r="BG12" i="34"/>
  <c r="BG71" i="34"/>
  <c r="BG82" i="34"/>
  <c r="BG106" i="34"/>
  <c r="BG17" i="34"/>
  <c r="BG129" i="34"/>
  <c r="BG122" i="34"/>
  <c r="BG29" i="34"/>
  <c r="BG92" i="34"/>
  <c r="BG104" i="34"/>
  <c r="BG112" i="34"/>
  <c r="BG72" i="34"/>
  <c r="BG87" i="34"/>
  <c r="BG64" i="34"/>
  <c r="BG120" i="34"/>
  <c r="BG118" i="34"/>
  <c r="BG63" i="34"/>
  <c r="BG94" i="34"/>
  <c r="BG34" i="34"/>
  <c r="BG65" i="34"/>
  <c r="BG73" i="34"/>
  <c r="BG55" i="34"/>
  <c r="BG102" i="34"/>
  <c r="BG117" i="34"/>
  <c r="BG19" i="34"/>
  <c r="BG119" i="34"/>
  <c r="BG110" i="34"/>
  <c r="BG45" i="34"/>
  <c r="BG61" i="34"/>
  <c r="BG88" i="34"/>
  <c r="BG95" i="34"/>
  <c r="BG22" i="34"/>
  <c r="BG54" i="34"/>
  <c r="BG52" i="34"/>
  <c r="BG20" i="34"/>
  <c r="BG107" i="34"/>
  <c r="BG31" i="34"/>
  <c r="BG69" i="34"/>
  <c r="BG125" i="34"/>
  <c r="BG70" i="34"/>
  <c r="BF38" i="34"/>
  <c r="BF108" i="34"/>
  <c r="BF25" i="34"/>
  <c r="BF36" i="34"/>
  <c r="BF105" i="34"/>
  <c r="BF6" i="34"/>
  <c r="BF123" i="34"/>
  <c r="BF11" i="34"/>
  <c r="BF9" i="34"/>
  <c r="BF24" i="34"/>
  <c r="BF99" i="34"/>
  <c r="BF74" i="34"/>
  <c r="BF92" i="34"/>
  <c r="BF45" i="34"/>
  <c r="BF22" i="34"/>
  <c r="BF70" i="34"/>
  <c r="BF31" i="34"/>
  <c r="BF77" i="34"/>
  <c r="BF18" i="34"/>
  <c r="BF39" i="34"/>
  <c r="BF57" i="34"/>
  <c r="BF41" i="34"/>
  <c r="BF76" i="34"/>
  <c r="BF98" i="34"/>
  <c r="BF55" i="34"/>
  <c r="BF66" i="34"/>
  <c r="BF122" i="34"/>
  <c r="BF119" i="34"/>
  <c r="BF75" i="34"/>
  <c r="BF32" i="34"/>
  <c r="BF50" i="34"/>
  <c r="BF35" i="34"/>
  <c r="BF106" i="34"/>
  <c r="BF125" i="34"/>
  <c r="BF128" i="34"/>
  <c r="BF103" i="34"/>
  <c r="BF109" i="34"/>
  <c r="BF33" i="34"/>
  <c r="BF115" i="34"/>
  <c r="BF37" i="34"/>
  <c r="BF80" i="34"/>
  <c r="BF86" i="34"/>
  <c r="BF17" i="34"/>
  <c r="BF72" i="34"/>
  <c r="BF117" i="34"/>
  <c r="BF54" i="34"/>
  <c r="BF73" i="34"/>
  <c r="BF49" i="34"/>
  <c r="BF101" i="34"/>
  <c r="BF58" i="34"/>
  <c r="BF82" i="34"/>
  <c r="BF52" i="34"/>
  <c r="BF51" i="34"/>
  <c r="BF96" i="34"/>
  <c r="BF90" i="34"/>
  <c r="BF124" i="34"/>
  <c r="BF40" i="34"/>
  <c r="BF21" i="34"/>
  <c r="BF23" i="34"/>
  <c r="BF85" i="34"/>
  <c r="BF67" i="34"/>
  <c r="BF126" i="34"/>
  <c r="BF59" i="34"/>
  <c r="BF60" i="34"/>
  <c r="BF53" i="34"/>
  <c r="BF121" i="34"/>
  <c r="BF97" i="34"/>
  <c r="BF89" i="34"/>
  <c r="BF71" i="34"/>
  <c r="BF129" i="34"/>
  <c r="BF87" i="34"/>
  <c r="BF62" i="34"/>
  <c r="BF14" i="34"/>
  <c r="BF63" i="34"/>
  <c r="BF79" i="34"/>
  <c r="BF15" i="34"/>
  <c r="BF27" i="34"/>
  <c r="BF48" i="34"/>
  <c r="BF104" i="34"/>
  <c r="BF88" i="34"/>
  <c r="BF81" i="34"/>
  <c r="BF30" i="34"/>
  <c r="BF8" i="34"/>
  <c r="BF94" i="34"/>
  <c r="BF69" i="34"/>
  <c r="BF43" i="34"/>
  <c r="BF116" i="34"/>
  <c r="BF34" i="34"/>
  <c r="BF95" i="34"/>
  <c r="BF13" i="34"/>
  <c r="BF100" i="34"/>
  <c r="BF47" i="34"/>
  <c r="BF111" i="34"/>
  <c r="BF84" i="34"/>
  <c r="BF56" i="34"/>
  <c r="BF78" i="34"/>
  <c r="BF10" i="34"/>
  <c r="BF7" i="34"/>
  <c r="BF127" i="34"/>
  <c r="BF112" i="34"/>
  <c r="BF120" i="34"/>
  <c r="BF102" i="34"/>
  <c r="BF110" i="34"/>
  <c r="BF20" i="34"/>
  <c r="BF26" i="34"/>
  <c r="BF44" i="34"/>
  <c r="BF12" i="34"/>
  <c r="BF118" i="34"/>
  <c r="BF107" i="34"/>
  <c r="BF65" i="34"/>
  <c r="BF61" i="34"/>
  <c r="BF114" i="34"/>
  <c r="BF19" i="34"/>
  <c r="BF93" i="34"/>
  <c r="BF113" i="34"/>
  <c r="BF64" i="34"/>
  <c r="BF46" i="34"/>
  <c r="BF28" i="34"/>
  <c r="BF42" i="34"/>
  <c r="BF68" i="34"/>
  <c r="BF83" i="34"/>
  <c r="BF91" i="34"/>
  <c r="BF29" i="34"/>
  <c r="BG4" i="34" l="1"/>
  <c r="E14" i="33" s="1"/>
  <c r="BG1" i="34"/>
  <c r="D14" i="33" s="1"/>
</calcChain>
</file>

<file path=xl/comments1.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20" authorId="0">
      <text>
        <r>
          <rPr>
            <sz val="8"/>
            <color indexed="81"/>
            <rFont val="Tahoma"/>
            <family val="2"/>
          </rPr>
          <t>id of the object to be created. If missing a unique id will be automatically assigned.</t>
        </r>
      </text>
    </comment>
    <comment ref="D21" authorId="0">
      <text>
        <r>
          <rPr>
            <sz val="8"/>
            <color indexed="81"/>
            <rFont val="Tahoma"/>
            <family val="2"/>
          </rPr>
          <t>number of days to advance from EvaluationDate (usually zero or two): it fixes the date at which the discount factor = 1.0. If omitted, default = 0 is used.</t>
        </r>
      </text>
    </comment>
    <comment ref="D23" authorId="0">
      <text>
        <r>
          <rPr>
            <sz val="8"/>
            <color indexed="81"/>
            <rFont val="Tahoma"/>
            <family val="2"/>
          </rPr>
          <t>Discount, ZeroRate, or ForwardRate. If omitted, default = Discount is used.</t>
        </r>
      </text>
    </comment>
    <comment ref="D24"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Ferdinando Ametrano</author>
  </authors>
  <commentList>
    <comment ref="AF3" authorId="0">
      <text>
        <r>
          <rPr>
            <sz val="8"/>
            <color indexed="81"/>
            <rFont val="Tahoma"/>
            <family val="2"/>
          </rPr>
          <t>max number of Futures to be included</t>
        </r>
      </text>
    </comment>
    <comment ref="AF4" authorId="0">
      <text>
        <r>
          <rPr>
            <sz val="8"/>
            <color indexed="81"/>
            <rFont val="Tahoma"/>
            <family val="2"/>
          </rPr>
          <t>max number of Futures to be included</t>
        </r>
      </text>
    </comment>
    <comment ref="AF5" authorId="0">
      <text>
        <r>
          <rPr>
            <sz val="8"/>
            <color indexed="81"/>
            <rFont val="Tahoma"/>
            <family val="2"/>
          </rPr>
          <t>discard the front Futures the given number of days before its expiry (e.g zero implies the use of the front Futures during its expiry day)</t>
        </r>
      </text>
    </comment>
    <comment ref="AF6" authorId="0">
      <text>
        <r>
          <rPr>
            <sz val="8"/>
            <color indexed="81"/>
            <rFont val="Tahoma"/>
            <family val="2"/>
          </rPr>
          <t>Depo inclusion criteria. If missing, default=AllDepos is used</t>
        </r>
      </text>
    </comment>
  </commentList>
</comments>
</file>

<file path=xl/comments3.xml><?xml version="1.0" encoding="utf-8"?>
<comments xmlns="http://schemas.openxmlformats.org/spreadsheetml/2006/main">
  <authors>
    <author>Ferdinando Ametrano</author>
  </authors>
  <commentList>
    <comment ref="D4" authorId="0">
      <text>
        <r>
          <rPr>
            <sz val="8"/>
            <color indexed="81"/>
            <rFont val="Tahoma"/>
            <family val="2"/>
          </rPr>
          <t>TRUE if the object must be permanent (i.e. resistant to garbage collection). Default is FALSE.</t>
        </r>
      </text>
    </comment>
    <comment ref="D15" authorId="0">
      <text>
        <r>
          <rPr>
            <sz val="8"/>
            <color indexed="81"/>
            <rFont val="Tahoma"/>
            <family val="2"/>
          </rPr>
          <t>id of the object to be created. If missing a unique id will be automatically assigned.</t>
        </r>
      </text>
    </comment>
    <comment ref="I15" authorId="0">
      <text>
        <r>
          <rPr>
            <sz val="8"/>
            <color indexed="81"/>
            <rFont val="Tahoma"/>
            <family val="2"/>
          </rPr>
          <t>id of the object to be created. If missing a unique id will be automatically assigned.</t>
        </r>
      </text>
    </comment>
    <comment ref="D16" authorId="0">
      <text>
        <r>
          <rPr>
            <sz val="8"/>
            <color indexed="81"/>
            <rFont val="Tahoma"/>
            <family val="2"/>
          </rPr>
          <t>number of days to advance from EvaluationDate (usually zero or two): it fixes the date at which the discount factor = 1.0. If omitted, default = 0 is used.</t>
        </r>
      </text>
    </comment>
    <comment ref="I16" authorId="0">
      <text>
        <r>
          <rPr>
            <sz val="8"/>
            <color indexed="81"/>
            <rFont val="Tahoma"/>
            <family val="2"/>
          </rPr>
          <t>number of days to advance from EvaluationDate (usually zero or two): it fixes the date at which the discount factor = 1.0. If omitted, default = 0 is used.</t>
        </r>
      </text>
    </comment>
    <comment ref="D18" authorId="0">
      <text>
        <r>
          <rPr>
            <sz val="8"/>
            <color indexed="81"/>
            <rFont val="Tahoma"/>
            <family val="2"/>
          </rPr>
          <t>Discount, ZeroRate, or ForwardRate. If omitted, default = Discount is used.</t>
        </r>
      </text>
    </comment>
    <comment ref="I18" authorId="0">
      <text>
        <r>
          <rPr>
            <sz val="8"/>
            <color indexed="81"/>
            <rFont val="Tahoma"/>
            <family val="2"/>
          </rPr>
          <t>Discount, ZeroRate, or ForwardRate. If omitted, default = Discount is used.</t>
        </r>
      </text>
    </comment>
    <comment ref="D19" authorId="0">
      <text>
        <r>
          <rPr>
            <sz val="8"/>
            <color indexed="81"/>
            <rFont val="Tahoma"/>
            <family val="2"/>
          </rPr>
          <t>Linear, LogLinear, or Cubic. If omitted, default = LogLinear is used.</t>
        </r>
      </text>
    </comment>
    <comment ref="I19" authorId="0">
      <text>
        <r>
          <rPr>
            <sz val="8"/>
            <color indexed="81"/>
            <rFont val="Tahoma"/>
            <family val="2"/>
          </rPr>
          <t>Linear, LogLinear, or Cubic. If omitted, default = LogLinear is used.</t>
        </r>
      </text>
    </comment>
    <comment ref="D30" authorId="0">
      <text>
        <r>
          <rPr>
            <sz val="8"/>
            <color indexed="81"/>
            <rFont val="Tahoma"/>
            <family val="2"/>
          </rPr>
          <t>id of the object to be created. If missing a unique id will be automatically assigned.</t>
        </r>
      </text>
    </comment>
    <comment ref="I30" authorId="0">
      <text>
        <r>
          <rPr>
            <sz val="8"/>
            <color indexed="81"/>
            <rFont val="Tahoma"/>
            <family val="2"/>
          </rPr>
          <t>id of the object to be created. If missing a unique id will be automatically assigned.</t>
        </r>
      </text>
    </comment>
    <comment ref="D31" authorId="0">
      <text>
        <r>
          <rPr>
            <sz val="8"/>
            <color indexed="81"/>
            <rFont val="Tahoma"/>
            <family val="2"/>
          </rPr>
          <t>number of days to advance from EvaluationDate (usually zero or two): it fixes the date at which the discount factor = 1.0. If omitted, default = 0 is used.</t>
        </r>
      </text>
    </comment>
    <comment ref="I31" authorId="0">
      <text>
        <r>
          <rPr>
            <sz val="8"/>
            <color indexed="81"/>
            <rFont val="Tahoma"/>
            <family val="2"/>
          </rPr>
          <t>number of days to advance from EvaluationDate (usually zero or two): it fixes the date at which the discount factor = 1.0. If omitted, default = 0 is used.</t>
        </r>
      </text>
    </comment>
    <comment ref="D33" authorId="0">
      <text>
        <r>
          <rPr>
            <sz val="8"/>
            <color indexed="81"/>
            <rFont val="Tahoma"/>
            <family val="2"/>
          </rPr>
          <t>Discount, ZeroRate, or ForwardRate. If omitted, default = Discount is used.</t>
        </r>
      </text>
    </comment>
    <comment ref="I33" authorId="0">
      <text>
        <r>
          <rPr>
            <sz val="8"/>
            <color indexed="81"/>
            <rFont val="Tahoma"/>
            <family val="2"/>
          </rPr>
          <t>Discount, ZeroRate, or ForwardRate. If omitted, default = Discount is used.</t>
        </r>
      </text>
    </comment>
    <comment ref="D34" authorId="0">
      <text>
        <r>
          <rPr>
            <sz val="8"/>
            <color indexed="81"/>
            <rFont val="Tahoma"/>
            <family val="2"/>
          </rPr>
          <t>Linear, LogLinear, or Cubic. If omitted, default = LogLinear is used.</t>
        </r>
      </text>
    </comment>
    <comment ref="I34" authorId="0">
      <text>
        <r>
          <rPr>
            <sz val="8"/>
            <color indexed="81"/>
            <rFont val="Tahoma"/>
            <family val="2"/>
          </rPr>
          <t>Linear, LogLinear, or Cubic. If omitted, default = LogLinear is used.</t>
        </r>
      </text>
    </comment>
    <comment ref="D45" authorId="0">
      <text>
        <r>
          <rPr>
            <sz val="8"/>
            <color indexed="81"/>
            <rFont val="Tahoma"/>
            <family val="2"/>
          </rPr>
          <t>id of the object to be created. If missing a unique id will be automatically assigned.</t>
        </r>
      </text>
    </comment>
    <comment ref="D46" authorId="0">
      <text>
        <r>
          <rPr>
            <sz val="8"/>
            <color indexed="81"/>
            <rFont val="Tahoma"/>
            <family val="2"/>
          </rPr>
          <t>number of days to advance from EvaluationDate (usually zero or two): it fixes the date at which the discount factor = 1.0. If omitted, default = 0 is used.</t>
        </r>
      </text>
    </comment>
    <comment ref="D48" authorId="0">
      <text>
        <r>
          <rPr>
            <sz val="8"/>
            <color indexed="81"/>
            <rFont val="Tahoma"/>
            <family val="2"/>
          </rPr>
          <t>Discount, ZeroRate, or ForwardRate. If omitted, default = Discount is used.</t>
        </r>
      </text>
    </comment>
    <comment ref="D49" authorId="0">
      <text>
        <r>
          <rPr>
            <sz val="8"/>
            <color indexed="81"/>
            <rFont val="Tahoma"/>
            <family val="2"/>
          </rPr>
          <t>Linear, LogLinear, or Cubic. If omitted, default = LogLinear is used.</t>
        </r>
      </text>
    </comment>
  </commentList>
</comments>
</file>

<file path=xl/comments4.xml><?xml version="1.0" encoding="utf-8"?>
<comments xmlns="http://schemas.openxmlformats.org/spreadsheetml/2006/main">
  <authors>
    <author>Ferdinando Ametrano</author>
  </authors>
  <commentList>
    <comment ref="AH3" authorId="0">
      <text>
        <r>
          <rPr>
            <sz val="8"/>
            <color indexed="81"/>
            <rFont val="Tahoma"/>
            <family val="2"/>
          </rPr>
          <t>max number of Futures to be included</t>
        </r>
      </text>
    </comment>
    <comment ref="AH4" authorId="0">
      <text>
        <r>
          <rPr>
            <sz val="8"/>
            <color indexed="81"/>
            <rFont val="Tahoma"/>
            <family val="2"/>
          </rPr>
          <t>max number of Futures to be included</t>
        </r>
      </text>
    </comment>
    <comment ref="AH5" authorId="0">
      <text>
        <r>
          <rPr>
            <sz val="8"/>
            <color indexed="81"/>
            <rFont val="Tahoma"/>
            <family val="2"/>
          </rPr>
          <t>discard the front Futures the given number of days before its expiry (e.g zero implies the use of the front Futures during its expiry day)</t>
        </r>
      </text>
    </comment>
    <comment ref="AH6" authorId="0">
      <text>
        <r>
          <rPr>
            <sz val="8"/>
            <color indexed="81"/>
            <rFont val="Tahoma"/>
            <family val="2"/>
          </rPr>
          <t>Depo inclusion criteria. If missing, default=AllDepos is used</t>
        </r>
      </text>
    </comment>
  </commentList>
</comments>
</file>

<file path=xl/comments5.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6.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AJ3" authorId="0">
      <text>
        <r>
          <rPr>
            <sz val="8"/>
            <color indexed="81"/>
            <rFont val="Tahoma"/>
            <family val="2"/>
          </rPr>
          <t>max number of Futures to be included</t>
        </r>
      </text>
    </comment>
    <comment ref="AJ4" authorId="0">
      <text>
        <r>
          <rPr>
            <sz val="8"/>
            <color indexed="81"/>
            <rFont val="Tahoma"/>
            <family val="2"/>
          </rPr>
          <t>max number of Futures to be included</t>
        </r>
      </text>
    </comment>
    <comment ref="AJ5" authorId="0">
      <text>
        <r>
          <rPr>
            <sz val="8"/>
            <color indexed="81"/>
            <rFont val="Tahoma"/>
            <family val="2"/>
          </rPr>
          <t>discard the front Futures the given number of days before its expiry (e.g zero implies the use of the front Futures during its expiry day)</t>
        </r>
      </text>
    </comment>
    <comment ref="AJ6" authorId="0">
      <text>
        <r>
          <rPr>
            <sz val="8"/>
            <color indexed="81"/>
            <rFont val="Tahoma"/>
            <family val="2"/>
          </rPr>
          <t>Depo inclusion criteria. If missing, default=AllDepos is used</t>
        </r>
      </text>
    </comment>
  </commentList>
</comments>
</file>

<file path=xl/comments8.xml><?xml version="1.0" encoding="utf-8"?>
<comments xmlns="http://schemas.openxmlformats.org/spreadsheetml/2006/main">
  <authors>
    <author>Ferdinando Ametrano</author>
  </authors>
  <commentList>
    <comment ref="AG3" authorId="0">
      <text>
        <r>
          <rPr>
            <sz val="8"/>
            <color indexed="81"/>
            <rFont val="Tahoma"/>
            <family val="2"/>
          </rPr>
          <t>max number of Futures to be included</t>
        </r>
      </text>
    </comment>
    <comment ref="AG4" authorId="0">
      <text>
        <r>
          <rPr>
            <sz val="8"/>
            <color indexed="81"/>
            <rFont val="Tahoma"/>
            <family val="2"/>
          </rPr>
          <t>max number of Futures to be included</t>
        </r>
      </text>
    </comment>
    <comment ref="AG5" authorId="0">
      <text>
        <r>
          <rPr>
            <sz val="8"/>
            <color indexed="81"/>
            <rFont val="Tahoma"/>
            <family val="2"/>
          </rPr>
          <t>discard the front Futures the given number of days before its expiry (e.g zero implies the use of the front Futures during its expiry day)</t>
        </r>
      </text>
    </comment>
    <comment ref="AG6" authorId="0">
      <text>
        <r>
          <rPr>
            <sz val="8"/>
            <color indexed="81"/>
            <rFont val="Tahoma"/>
            <family val="2"/>
          </rPr>
          <t>Depo inclusion criteria. If missing, default=AllDepos is used</t>
        </r>
      </text>
    </comment>
  </commentList>
</comments>
</file>

<file path=xl/comments9.xml><?xml version="1.0" encoding="utf-8"?>
<comments xmlns="http://schemas.openxmlformats.org/spreadsheetml/2006/main">
  <authors>
    <author>Ferdinando Ametrano</author>
  </authors>
  <commentList>
    <comment ref="D24" authorId="0">
      <text>
        <r>
          <rPr>
            <sz val="8"/>
            <color indexed="81"/>
            <rFont val="Tahoma"/>
            <family val="2"/>
          </rPr>
          <t>number of days to advance from EvaluationDate (usually zero or two): it fixes the date at which the discount factor = 1.0. If omitted, default = 0 is used.</t>
        </r>
      </text>
    </comment>
    <comment ref="D28" authorId="0">
      <text>
        <r>
          <rPr>
            <sz val="8"/>
            <color indexed="81"/>
            <rFont val="Tahoma"/>
            <family val="2"/>
          </rPr>
          <t>Discount, ZeroRate, or ForwardRate. If omitted, default = Discount is used.</t>
        </r>
      </text>
    </comment>
    <comment ref="D29" authorId="0">
      <text>
        <r>
          <rPr>
            <sz val="8"/>
            <color indexed="81"/>
            <rFont val="Tahoma"/>
            <family val="2"/>
          </rPr>
          <t>Linear, LogLinear, or Cubic. If omitted, default = LogLinear is used.</t>
        </r>
      </text>
    </comment>
  </commentList>
</comments>
</file>

<file path=xl/comments10.xml><?xml version="1.0" encoding="utf-8"?>
<comments xmlns="http://schemas.openxmlformats.org/spreadsheetml/2006/main">
  <authors>
    <author>Ferdinando Ametrano</author>
  </authors>
  <commentList>
    <comment ref="D11" authorId="0">
      <text>
        <r>
          <rPr>
            <sz val="8"/>
            <color indexed="81"/>
            <rFont val="Tahoma"/>
            <family val="2"/>
          </rPr>
          <t>number of days to advance from EvaluationDate (usually zero or two): it fixes the date at which the discount factor = 1.0. If omitted, default = 0 is used.</t>
        </r>
      </text>
    </comment>
    <comment ref="D15" authorId="0">
      <text>
        <r>
          <rPr>
            <sz val="8"/>
            <color indexed="81"/>
            <rFont val="Tahoma"/>
            <family val="2"/>
          </rPr>
          <t>Discount, ZeroRate, or ForwardRate. If omitted, default = Discount is used.</t>
        </r>
      </text>
    </comment>
    <comment ref="D16"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H1" authorId="0">
      <text>
        <r>
          <rPr>
            <b/>
            <sz val="8"/>
            <color indexed="81"/>
            <rFont val="Tahoma"/>
            <family val="2"/>
          </rPr>
          <t>Any number: higher number for higher priority</t>
        </r>
      </text>
    </comment>
  </commentList>
</comments>
</file>

<file path=xl/sharedStrings.xml><?xml version="1.0" encoding="utf-8"?>
<sst xmlns="http://schemas.openxmlformats.org/spreadsheetml/2006/main" count="8904" uniqueCount="531">
  <si>
    <t>LAST_QUOTE.CLOSE</t>
  </si>
  <si>
    <t>LAST_QUOTE.TIMESTAMP</t>
  </si>
  <si>
    <t>Fields:</t>
  </si>
  <si>
    <t>DESC</t>
  </si>
  <si>
    <t>Order by:</t>
  </si>
  <si>
    <t>Add Fixing</t>
  </si>
  <si>
    <t>Last Quote Close</t>
  </si>
  <si>
    <t>Timestamp</t>
  </si>
  <si>
    <t>Condition</t>
  </si>
  <si>
    <t>EURSFIXA1Y=</t>
  </si>
  <si>
    <t>End Date</t>
  </si>
  <si>
    <t>Start Date</t>
  </si>
  <si>
    <t>RIC</t>
  </si>
  <si>
    <t>EuriborSwapIsdaFixA1Y</t>
  </si>
  <si>
    <t>Index</t>
  </si>
  <si>
    <t>EURIBOR6MD=</t>
  </si>
  <si>
    <t>Euribor6M</t>
  </si>
  <si>
    <t>EURIBOR3MD=</t>
  </si>
  <si>
    <t>Euribor3M</t>
  </si>
  <si>
    <t>+</t>
  </si>
  <si>
    <t>12E</t>
  </si>
  <si>
    <t>AB</t>
  </si>
  <si>
    <t>60Y</t>
  </si>
  <si>
    <t>50Y</t>
  </si>
  <si>
    <t>40Y</t>
  </si>
  <si>
    <t>35Y</t>
  </si>
  <si>
    <t>30Y</t>
  </si>
  <si>
    <t>29Y</t>
  </si>
  <si>
    <t>28Y</t>
  </si>
  <si>
    <t>27Y</t>
  </si>
  <si>
    <t>26Y</t>
  </si>
  <si>
    <t>25Y</t>
  </si>
  <si>
    <t>24Y</t>
  </si>
  <si>
    <t>23Y</t>
  </si>
  <si>
    <t>22Y</t>
  </si>
  <si>
    <t>21Y</t>
  </si>
  <si>
    <t>20Y</t>
  </si>
  <si>
    <t>19Y</t>
  </si>
  <si>
    <t>18Y</t>
  </si>
  <si>
    <t>17Y</t>
  </si>
  <si>
    <t>16Y</t>
  </si>
  <si>
    <t>15Y</t>
  </si>
  <si>
    <t>14Y</t>
  </si>
  <si>
    <t>13Y</t>
  </si>
  <si>
    <t>12Y</t>
  </si>
  <si>
    <t>11Y</t>
  </si>
  <si>
    <t>10Y</t>
  </si>
  <si>
    <t>9Y</t>
  </si>
  <si>
    <t>8Y</t>
  </si>
  <si>
    <t>7Y</t>
  </si>
  <si>
    <t>6Y</t>
  </si>
  <si>
    <t>5Y</t>
  </si>
  <si>
    <t>4Y</t>
  </si>
  <si>
    <t>3Y</t>
  </si>
  <si>
    <t>2Y</t>
  </si>
  <si>
    <t>21M</t>
  </si>
  <si>
    <t>18M</t>
  </si>
  <si>
    <t>15M</t>
  </si>
  <si>
    <t>1Y</t>
  </si>
  <si>
    <t>Error</t>
  </si>
  <si>
    <t>obj</t>
  </si>
  <si>
    <t>1Y Basis Swap ID</t>
  </si>
  <si>
    <t>Spread</t>
  </si>
  <si>
    <t>Operator</t>
  </si>
  <si>
    <t>Base Quote</t>
  </si>
  <si>
    <t>Length</t>
  </si>
  <si>
    <t>6E</t>
  </si>
  <si>
    <t>6M Basis Swap ID</t>
  </si>
  <si>
    <t>-</t>
  </si>
  <si>
    <t>3E</t>
  </si>
  <si>
    <t>3M Basis Swap ID</t>
  </si>
  <si>
    <t>1E</t>
  </si>
  <si>
    <t>1M Basis Swap ID</t>
  </si>
  <si>
    <t>1EON</t>
  </si>
  <si>
    <t>On Basis Swap ID</t>
  </si>
  <si>
    <t xml:space="preserve">           </t>
  </si>
  <si>
    <t>Change</t>
  </si>
  <si>
    <t>Effective</t>
  </si>
  <si>
    <t>Static</t>
  </si>
  <si>
    <t>Bid/Ask Spread</t>
  </si>
  <si>
    <t>Mid Safe</t>
  </si>
  <si>
    <t>HST_CLOSE</t>
  </si>
  <si>
    <t>LAST</t>
  </si>
  <si>
    <t>ASK</t>
  </si>
  <si>
    <t>BID</t>
  </si>
  <si>
    <t>EXPIRE DATE</t>
  </si>
  <si>
    <t>Effective Date</t>
  </si>
  <si>
    <t>Future Code</t>
  </si>
  <si>
    <t>Main Cycle</t>
  </si>
  <si>
    <t>#</t>
  </si>
  <si>
    <t>Obj</t>
  </si>
  <si>
    <t>Quote ID</t>
  </si>
  <si>
    <t>6M</t>
  </si>
  <si>
    <t>IMMFRA</t>
  </si>
  <si>
    <t>ImmFra6M</t>
  </si>
  <si>
    <t>1S</t>
  </si>
  <si>
    <t>2S</t>
  </si>
  <si>
    <t>4S</t>
  </si>
  <si>
    <t>3S</t>
  </si>
  <si>
    <t>SwapIMM</t>
  </si>
  <si>
    <t>PRIMACT_1</t>
  </si>
  <si>
    <t>Instruments</t>
  </si>
  <si>
    <t>QuoteObject</t>
  </si>
  <si>
    <t>QuoteObjectID</t>
  </si>
  <si>
    <t>FwdStart</t>
  </si>
  <si>
    <t>FwdSwap6M</t>
  </si>
  <si>
    <t>Mid</t>
  </si>
  <si>
    <t>Tenor</t>
  </si>
  <si>
    <t>Swap6M</t>
  </si>
  <si>
    <t>The record could not be found</t>
  </si>
  <si>
    <t>Swap3M</t>
  </si>
  <si>
    <t>Swap1M</t>
  </si>
  <si>
    <t>X1S</t>
  </si>
  <si>
    <t>Swap1M(&lt;1Y)</t>
  </si>
  <si>
    <t>BasisSwapxM12M</t>
  </si>
  <si>
    <t>BasisSwap3M6M</t>
  </si>
  <si>
    <t>BasisSwap1MxM</t>
  </si>
  <si>
    <t>EON</t>
  </si>
  <si>
    <t>BasisSwapEON3M</t>
  </si>
  <si>
    <t>mean reversion</t>
  </si>
  <si>
    <t>sigma</t>
  </si>
  <si>
    <t>6L</t>
  </si>
  <si>
    <t>EU</t>
  </si>
  <si>
    <t>HW parameters</t>
  </si>
  <si>
    <t>ICAP</t>
  </si>
  <si>
    <t>Conv Quote ID</t>
  </si>
  <si>
    <t>IborIndex</t>
  </si>
  <si>
    <t>3M</t>
  </si>
  <si>
    <t>FUT</t>
  </si>
  <si>
    <t>Meanreversion</t>
  </si>
  <si>
    <t>Futures</t>
  </si>
  <si>
    <t>Volatility</t>
  </si>
  <si>
    <t>Record not service permissioned</t>
  </si>
  <si>
    <t>F</t>
  </si>
  <si>
    <t>SP</t>
  </si>
  <si>
    <t>OIS</t>
  </si>
  <si>
    <t>SEP16</t>
  </si>
  <si>
    <t>JUN16</t>
  </si>
  <si>
    <t>MAR16</t>
  </si>
  <si>
    <t>DEC15</t>
  </si>
  <si>
    <t>GV4_TEXT</t>
  </si>
  <si>
    <t>Quote obj</t>
  </si>
  <si>
    <t>Basis IMM FRA Eonia</t>
  </si>
  <si>
    <t>FUT 3M</t>
  </si>
  <si>
    <t>Code</t>
  </si>
  <si>
    <t>IMM OIS</t>
  </si>
  <si>
    <t>ECB</t>
  </si>
  <si>
    <t>M12</t>
  </si>
  <si>
    <t xml:space="preserve"> </t>
  </si>
  <si>
    <t>M11</t>
  </si>
  <si>
    <t>M10</t>
  </si>
  <si>
    <t>OCT16</t>
  </si>
  <si>
    <t>M9</t>
  </si>
  <si>
    <t>M8</t>
  </si>
  <si>
    <t>JUL16</t>
  </si>
  <si>
    <t>M7</t>
  </si>
  <si>
    <t>M6</t>
  </si>
  <si>
    <t>APR16</t>
  </si>
  <si>
    <t>M5</t>
  </si>
  <si>
    <t>M4</t>
  </si>
  <si>
    <t>JAN16</t>
  </si>
  <si>
    <t>M3</t>
  </si>
  <si>
    <t>M2</t>
  </si>
  <si>
    <t>OCT15</t>
  </si>
  <si>
    <t>M1</t>
  </si>
  <si>
    <t>ECB Date</t>
  </si>
  <si>
    <t>ECB OIS</t>
  </si>
  <si>
    <t>11M</t>
  </si>
  <si>
    <t>10M</t>
  </si>
  <si>
    <t>9M</t>
  </si>
  <si>
    <t>8M</t>
  </si>
  <si>
    <t>7M</t>
  </si>
  <si>
    <t>5M</t>
  </si>
  <si>
    <t>4M</t>
  </si>
  <si>
    <t>2M</t>
  </si>
  <si>
    <t>1M</t>
  </si>
  <si>
    <t>3W</t>
  </si>
  <si>
    <t>2W</t>
  </si>
  <si>
    <t>SW</t>
  </si>
  <si>
    <t xml:space="preserve">Mid </t>
  </si>
  <si>
    <t>x</t>
  </si>
  <si>
    <t>FRA</t>
  </si>
  <si>
    <t>D</t>
  </si>
  <si>
    <t>SN</t>
  </si>
  <si>
    <t>TN</t>
  </si>
  <si>
    <t>ON</t>
  </si>
  <si>
    <t>Deposits</t>
  </si>
  <si>
    <t>Object ID</t>
  </si>
  <si>
    <t>Discounting Curve</t>
  </si>
  <si>
    <t>Fwd Curve</t>
  </si>
  <si>
    <t>DATE</t>
  </si>
  <si>
    <t>NDA_RAW.Nda_last</t>
  </si>
  <si>
    <t>NDA_RAW.Nda_date</t>
  </si>
  <si>
    <t>STD</t>
  </si>
  <si>
    <t>Forecasted Before Fixing</t>
  </si>
  <si>
    <t>Fixing Check</t>
  </si>
  <si>
    <t>VALUE_DT1</t>
  </si>
  <si>
    <t>LastFixing_Quote</t>
  </si>
  <si>
    <t>Relinkable Handle</t>
  </si>
  <si>
    <t>KLIEM</t>
  </si>
  <si>
    <t>EUROPE</t>
  </si>
  <si>
    <t>INSTRUMENT</t>
  </si>
  <si>
    <t>COSZ</t>
  </si>
  <si>
    <t>COSMOREX</t>
  </si>
  <si>
    <t>PREL</t>
  </si>
  <si>
    <t>Prebon</t>
  </si>
  <si>
    <t>TRIT</t>
  </si>
  <si>
    <t>Tradition</t>
  </si>
  <si>
    <t>TTKL</t>
  </si>
  <si>
    <t>Tullets</t>
  </si>
  <si>
    <t>CKCC</t>
  </si>
  <si>
    <t>Reuters</t>
  </si>
  <si>
    <t>Contributors</t>
  </si>
  <si>
    <t>FRQ:1S</t>
  </si>
  <si>
    <t>ReutersRtMode</t>
  </si>
  <si>
    <t>TARGET</t>
  </si>
  <si>
    <t>Calendar</t>
  </si>
  <si>
    <t>PriceTickValue</t>
  </si>
  <si>
    <t>IsdaFixA</t>
  </si>
  <si>
    <t>FixingType</t>
  </si>
  <si>
    <t>RateTickValue</t>
  </si>
  <si>
    <t>30/360 (Bond Basis)</t>
  </si>
  <si>
    <t>BondBasisDayCounter</t>
  </si>
  <si>
    <t>_Quote</t>
  </si>
  <si>
    <t>QuoteSuffix</t>
  </si>
  <si>
    <t>ibor</t>
  </si>
  <si>
    <t>FamilyName</t>
  </si>
  <si>
    <t>ObjectOverwrite</t>
  </si>
  <si>
    <t>Discounting</t>
  </si>
  <si>
    <t>Permanent</t>
  </si>
  <si>
    <t>EUR</t>
  </si>
  <si>
    <t>Currency</t>
  </si>
  <si>
    <t>General Settings</t>
  </si>
  <si>
    <t>Currency Settings</t>
  </si>
  <si>
    <t>LastFixingsTrigger</t>
  </si>
  <si>
    <t>TriggerCounter</t>
  </si>
  <si>
    <t>Last update</t>
  </si>
  <si>
    <t>EvaluationDate</t>
  </si>
  <si>
    <t>Live Data Feed</t>
  </si>
  <si>
    <t>Trigger</t>
  </si>
  <si>
    <t>Live Feed</t>
  </si>
  <si>
    <t>Triggers</t>
  </si>
  <si>
    <t>1D</t>
  </si>
  <si>
    <t>Jump13</t>
  </si>
  <si>
    <t>Jump12</t>
  </si>
  <si>
    <t>Jump11</t>
  </si>
  <si>
    <t>Jump10</t>
  </si>
  <si>
    <t>Jump9</t>
  </si>
  <si>
    <t>Jump8</t>
  </si>
  <si>
    <t>Jump7</t>
  </si>
  <si>
    <t>Jump6</t>
  </si>
  <si>
    <t>Jump5</t>
  </si>
  <si>
    <t>Jump4</t>
  </si>
  <si>
    <t>Jump3</t>
  </si>
  <si>
    <t>Jump2</t>
  </si>
  <si>
    <t>Jump1</t>
  </si>
  <si>
    <t>ON Fwd</t>
  </si>
  <si>
    <t>Fixing Date</t>
  </si>
  <si>
    <t>Sampling Frequency</t>
  </si>
  <si>
    <t>Jump ID</t>
  </si>
  <si>
    <t>Overwrite JumpSize</t>
  </si>
  <si>
    <t>Jump size</t>
  </si>
  <si>
    <t>Jump Value</t>
  </si>
  <si>
    <t>Jump Date</t>
  </si>
  <si>
    <t>Jump (bps)</t>
  </si>
  <si>
    <t>overwrite</t>
  </si>
  <si>
    <t>date</t>
  </si>
  <si>
    <t>Fwd rate</t>
  </si>
  <si>
    <t>Jump Checks</t>
  </si>
  <si>
    <t>Time</t>
  </si>
  <si>
    <t>Mid date</t>
  </si>
  <si>
    <t>Latest Date</t>
  </si>
  <si>
    <t>Earliest Date</t>
  </si>
  <si>
    <t>Rate</t>
  </si>
  <si>
    <t>Selected</t>
  </si>
  <si>
    <t>tau</t>
  </si>
  <si>
    <t>Jump</t>
  </si>
  <si>
    <t>N IMM EONIA</t>
  </si>
  <si>
    <t>SND</t>
  </si>
  <si>
    <t>Min Distance</t>
  </si>
  <si>
    <t>Priority</t>
  </si>
  <si>
    <t>Include Flag</t>
  </si>
  <si>
    <t>RateHelper</t>
  </si>
  <si>
    <t>Quote</t>
  </si>
  <si>
    <t>LiveDataFeed</t>
  </si>
  <si>
    <t>LastUpdate</t>
  </si>
  <si>
    <t>Linear</t>
  </si>
  <si>
    <t>FwdInterpolation</t>
  </si>
  <si>
    <t>Yield Curve Index</t>
  </si>
  <si>
    <t>BackwardFlat</t>
  </si>
  <si>
    <t>InterpolatorID</t>
  </si>
  <si>
    <t>ForwardRate</t>
  </si>
  <si>
    <t>TraitsID</t>
  </si>
  <si>
    <t>PiecewiseYieldCurve</t>
  </si>
  <si>
    <t>Accuracy</t>
  </si>
  <si>
    <t>Actual/360</t>
  </si>
  <si>
    <t>Day Counter</t>
  </si>
  <si>
    <t>Final Curve</t>
  </si>
  <si>
    <t>Target</t>
  </si>
  <si>
    <t>NDays</t>
  </si>
  <si>
    <t>Interest Rates Trigger</t>
  </si>
  <si>
    <t>_SYNTHON_Quote</t>
  </si>
  <si>
    <t>Quote Suffix</t>
  </si>
  <si>
    <t>Eonia</t>
  </si>
  <si>
    <t>OvenightIndex</t>
  </si>
  <si>
    <t>SettlementDate</t>
  </si>
  <si>
    <t>IborType</t>
  </si>
  <si>
    <t>Evaluation Date</t>
  </si>
  <si>
    <t>Triggers &amp; Date</t>
  </si>
  <si>
    <t>Basis Interp</t>
  </si>
  <si>
    <t>start date</t>
  </si>
  <si>
    <t>Delta</t>
  </si>
  <si>
    <t>Diff (bps)</t>
  </si>
  <si>
    <t>Basis</t>
  </si>
  <si>
    <t>F ON</t>
  </si>
  <si>
    <t>P(d+x)</t>
  </si>
  <si>
    <t>P(d)</t>
  </si>
  <si>
    <t>maturity date</t>
  </si>
  <si>
    <t>12M</t>
  </si>
  <si>
    <t>tenor</t>
  </si>
  <si>
    <t>Rate Helpers included</t>
  </si>
  <si>
    <t>Discount Factor</t>
  </si>
  <si>
    <t>Modified Following</t>
  </si>
  <si>
    <t>Annual</t>
  </si>
  <si>
    <t>0D</t>
  </si>
  <si>
    <t>Quote Value</t>
  </si>
  <si>
    <t>instruments</t>
  </si>
  <si>
    <t>error</t>
  </si>
  <si>
    <t>Day Count Convention</t>
  </si>
  <si>
    <t>Business Day Convention</t>
  </si>
  <si>
    <t>Freq</t>
  </si>
  <si>
    <t>Fwd start</t>
  </si>
  <si>
    <t>Settl Days</t>
  </si>
  <si>
    <t>1YD</t>
  </si>
  <si>
    <t>11MD</t>
  </si>
  <si>
    <t>10MD</t>
  </si>
  <si>
    <t>9MD</t>
  </si>
  <si>
    <t>8MD</t>
  </si>
  <si>
    <t>7MD</t>
  </si>
  <si>
    <t>6MD</t>
  </si>
  <si>
    <t>5MD</t>
  </si>
  <si>
    <t>4MD</t>
  </si>
  <si>
    <t>3MD</t>
  </si>
  <si>
    <t>2MD</t>
  </si>
  <si>
    <t>1MD</t>
  </si>
  <si>
    <t>3WD</t>
  </si>
  <si>
    <t>2WD</t>
  </si>
  <si>
    <t>SWD</t>
  </si>
  <si>
    <t/>
  </si>
  <si>
    <t>Live</t>
  </si>
  <si>
    <t>Quote Object</t>
  </si>
  <si>
    <t>linear</t>
  </si>
  <si>
    <t>Contributions</t>
  </si>
  <si>
    <t>1W</t>
  </si>
  <si>
    <t>quad</t>
  </si>
  <si>
    <t>flat</t>
  </si>
  <si>
    <t>Maturity Date</t>
  </si>
  <si>
    <t>Value Date</t>
  </si>
  <si>
    <t>=</t>
  </si>
  <si>
    <t>α</t>
  </si>
  <si>
    <t>Delta(0M;6M)extrap</t>
  </si>
  <si>
    <t>Selection</t>
  </si>
  <si>
    <t>MonotonicCubicNaturalSpline</t>
  </si>
  <si>
    <t>β,α</t>
  </si>
  <si>
    <t>quadratic</t>
  </si>
  <si>
    <t>Quadratic</t>
  </si>
  <si>
    <t>Flat</t>
  </si>
  <si>
    <t>inverse matrix</t>
  </si>
  <si>
    <t>γ,β,α</t>
  </si>
  <si>
    <t>selected</t>
  </si>
  <si>
    <t>coef γ</t>
  </si>
  <si>
    <t>coef β</t>
  </si>
  <si>
    <t>coef α</t>
  </si>
  <si>
    <t>tau 2</t>
  </si>
  <si>
    <t>tau 1</t>
  </si>
  <si>
    <t>Delta(0M;3M)extrap</t>
  </si>
  <si>
    <t>Delta(0M;1M)extrap</t>
  </si>
  <si>
    <t>LogLinear</t>
  </si>
  <si>
    <t>Discount</t>
  </si>
  <si>
    <t>IborTenor</t>
  </si>
  <si>
    <t>Daycounter</t>
  </si>
  <si>
    <t>EURON</t>
  </si>
  <si>
    <t>BasSw</t>
  </si>
  <si>
    <t>Rate Helpers</t>
  </si>
  <si>
    <t>Quote Object ID</t>
  </si>
  <si>
    <t>Day Count</t>
  </si>
  <si>
    <t>Business Day Conv</t>
  </si>
  <si>
    <t>fwd</t>
  </si>
  <si>
    <t>Type</t>
  </si>
  <si>
    <t>End</t>
  </si>
  <si>
    <t>Start</t>
  </si>
  <si>
    <t>Dp</t>
  </si>
  <si>
    <t>AllDepos</t>
  </si>
  <si>
    <t>DepoFuturesPriority</t>
  </si>
  <si>
    <t>FrontFuturesRollingDays</t>
  </si>
  <si>
    <t>nSerialFutures</t>
  </si>
  <si>
    <t>nIMMFutures</t>
  </si>
  <si>
    <t>Rate Helpers Selection</t>
  </si>
  <si>
    <t>Pillar Date</t>
  </si>
  <si>
    <t>Conv/ Spread</t>
  </si>
  <si>
    <t>Min Dist</t>
  </si>
  <si>
    <t>EOM</t>
  </si>
  <si>
    <t>Tenor Used</t>
  </si>
  <si>
    <t>qlSwapRateHelper2(,H63,2,B63,Calendar,D63,E63,F63,G63,I63,C63,Discounting,PillarDate,,Permanent,Trigger,ObjectOverwrite)</t>
  </si>
  <si>
    <t>Sw</t>
  </si>
  <si>
    <t>used</t>
  </si>
  <si>
    <t>Size</t>
  </si>
  <si>
    <t>value</t>
  </si>
  <si>
    <t>quote</t>
  </si>
  <si>
    <t>Dates</t>
  </si>
  <si>
    <t>FwdSw</t>
  </si>
  <si>
    <t>qlSwapRateHelper2(,H99,2,B99,Calendar,D99,E99,F99,G99,I99,C99,Discounting,PillarDate,,Permanent,Trigger,ObjectOverwrite)</t>
  </si>
  <si>
    <t>qlSwapRateHelper2(,H90,,B90&amp;"M",Calendar,D90,E90,F90,G90,I90,C90,Discounting,PillarDate,,Permanent,Trigger,ObjectOverwrite)</t>
  </si>
  <si>
    <t>Conv adj</t>
  </si>
  <si>
    <t>MainCycle</t>
  </si>
  <si>
    <t>IMM</t>
  </si>
  <si>
    <t>qlFraRateHelper(,H12,B12&amp;"M",G12,PillarDate,,Permanent,Trigger,ObjectOverwrite)</t>
  </si>
  <si>
    <t>Following</t>
  </si>
  <si>
    <t>fix days</t>
  </si>
  <si>
    <t>FUTON</t>
  </si>
  <si>
    <t>Conv</t>
  </si>
  <si>
    <t>end date</t>
  </si>
  <si>
    <t>ECBOIS</t>
  </si>
  <si>
    <t>2D</t>
  </si>
  <si>
    <t>fwd Start</t>
  </si>
  <si>
    <t>Extrapolation</t>
  </si>
  <si>
    <t>MonotonicLogCubicNaturalSpline</t>
  </si>
  <si>
    <t>ObjectID</t>
  </si>
  <si>
    <t>_SYNTHON</t>
  </si>
  <si>
    <t>JumpSuffix</t>
  </si>
  <si>
    <t>MaturityDate</t>
  </si>
  <si>
    <t>Family Name</t>
  </si>
  <si>
    <t>45Y</t>
  </si>
  <si>
    <t>ZeroYield</t>
  </si>
  <si>
    <t xml:space="preserve">             SECOND LEG</t>
  </si>
  <si>
    <t>French</t>
  </si>
  <si>
    <t>Step</t>
  </si>
  <si>
    <t>Custom</t>
  </si>
  <si>
    <t>Mirror</t>
  </si>
  <si>
    <t>None</t>
  </si>
  <si>
    <t xml:space="preserve">             FIRST LEG</t>
  </si>
  <si>
    <t>Basis Point Sensitivity</t>
  </si>
  <si>
    <t>Leg NPV</t>
  </si>
  <si>
    <t>Fair Rate/Spread</t>
  </si>
  <si>
    <t>NPV</t>
  </si>
  <si>
    <t>Set Engine</t>
  </si>
  <si>
    <t>Pricing Engine</t>
  </si>
  <si>
    <t>NPV Date</t>
  </si>
  <si>
    <t>Settlement Date</t>
  </si>
  <si>
    <t>Include Settlement Date Flows</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</si>
  <si>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</si>
  <si>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</si>
  <si>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</si>
  <si>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</si>
  <si>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</si>
  <si>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</si>
  <si>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</si>
  <si>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</si>
  <si>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</si>
  <si>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</si>
  <si>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</si>
  <si>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</si>
  <si>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</si>
  <si>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</si>
  <si>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</si>
  <si>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</si>
  <si>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</si>
  <si>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</si>
  <si>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</si>
  <si>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</si>
  <si>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</si>
  <si>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</si>
  <si>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</si>
  <si>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</si>
  <si>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</si>
  <si>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</si>
  <si>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</si>
  <si>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</si>
  <si>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</si>
  <si>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</si>
  <si>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</si>
  <si>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</si>
  <si>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</si>
  <si>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</si>
  <si>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</si>
  <si>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BTP</t>
  </si>
  <si>
    <t>BTPStrippable</t>
  </si>
  <si>
    <t>Libor</t>
  </si>
  <si>
    <t>FES</t>
  </si>
  <si>
    <t>CHF</t>
  </si>
  <si>
    <t>Hibor</t>
  </si>
  <si>
    <t>TRHK</t>
  </si>
  <si>
    <t>3H</t>
  </si>
  <si>
    <t>QM</t>
  </si>
  <si>
    <t>TYcm1t</t>
  </si>
  <si>
    <t>CNH</t>
  </si>
  <si>
    <t>Shibor</t>
  </si>
  <si>
    <t>CNY</t>
  </si>
  <si>
    <t>Info</t>
  </si>
  <si>
    <t>Value</t>
  </si>
  <si>
    <t>Reference Date</t>
  </si>
  <si>
    <t>BBSW</t>
  </si>
  <si>
    <t>ICAA</t>
  </si>
  <si>
    <t>6AB</t>
  </si>
  <si>
    <t>SM</t>
  </si>
  <si>
    <t>YBA</t>
  </si>
  <si>
    <t>AUD</t>
  </si>
  <si>
    <t>Curves Checks</t>
  </si>
  <si>
    <t>SB</t>
  </si>
  <si>
    <t>JEY</t>
  </si>
  <si>
    <t>JGBc1</t>
  </si>
  <si>
    <t>JPY</t>
  </si>
  <si>
    <t>PREA</t>
  </si>
  <si>
    <t>HIR</t>
  </si>
  <si>
    <t>HKD</t>
  </si>
  <si>
    <t>Object Count:</t>
  </si>
  <si>
    <t>FSS</t>
  </si>
  <si>
    <t>FLGc1</t>
  </si>
  <si>
    <t>GBP</t>
  </si>
  <si>
    <t>Boost / OH / QLXL</t>
  </si>
  <si>
    <t>3L</t>
  </si>
  <si>
    <t>AM</t>
  </si>
  <si>
    <t>ED</t>
  </si>
  <si>
    <t>USD</t>
  </si>
  <si>
    <t>Last-Bid/Ask</t>
  </si>
  <si>
    <t>Expiry-Value Date</t>
  </si>
  <si>
    <t>FEI</t>
  </si>
  <si>
    <t>FGBLc1</t>
  </si>
  <si>
    <t>MarketData Checks</t>
  </si>
  <si>
    <t>inputs</t>
  </si>
  <si>
    <t>outputs</t>
  </si>
</sst>
</file>

<file path=xl/styles.xml><?xml version="1.0" encoding="utf-8"?>
<styleSheet xmlns="http://schemas.openxmlformats.org/spreadsheetml/2006/main" xmlns:mc="http://schemas.openxmlformats.org/markup-compatibility/2006" xmlns:x14ac="http://schemas.microsoft.com/office/spreadsheetml/2009/9/ac" mc:Ignorable="x14ac">
  <numFmts count="28">
    <numFmt numFmtId="8" formatCode="&quot;$&quot;#,##0.00_);[Red]\(&quot;$&quot;#,##0.00\)"/>
    <numFmt numFmtId="43" formatCode="_(* #,##0.00_);_(* \(#,##0.00\);_(* &quot;-&quot;??_);_(@_)"/>
    <numFmt numFmtId="164" formatCode="ddd\,\ dd\-mmm\-yyyy"/>
    <numFmt numFmtId="165" formatCode="0.0000"/>
    <numFmt numFmtId="166" formatCode="_([$€-2]* #,##0.00_);_([$€-2]* \(#,##0.00\);_([$€-2]* &quot;-&quot;??_)"/>
    <numFmt numFmtId="167" formatCode="General_)"/>
    <numFmt numFmtId="168" formatCode="#,##0.0;#,##0.0"/>
    <numFmt numFmtId="169" formatCode="&quot;£&quot;#,##0;[Red]\-&quot;£&quot;#,##0"/>
    <numFmt numFmtId="170" formatCode="[$-409]d\-mmm\-yy;@"/>
    <numFmt numFmtId="171" formatCode="0.0000%"/>
    <numFmt numFmtId="172" formatCode="ddd\,\ d\-mmm\-yyyy"/>
    <numFmt numFmtId="173" formatCode="0.000"/>
    <numFmt numFmtId="174" formatCode="0.000%"/>
    <numFmt numFmtId="175" formatCode="dd\-mmm\-yy"/>
    <numFmt numFmtId="176" formatCode="ddd\,\ dd\-mmm\-yy"/>
    <numFmt numFmtId="177" formatCode="ddd\,\ dd\-mmm\-yyyy\,\ h:mm:ss"/>
    <numFmt numFmtId="178" formatCode="ddd\,\ dd\-mmm\-yyyy\,\ hh:mm:ss"/>
    <numFmt numFmtId="179" formatCode="0.00000%"/>
    <numFmt numFmtId="180" formatCode="0.000000000"/>
    <numFmt numFmtId="181" formatCode="ddd\,\ dd\-mmm\-yyyy\ h:mm:ss"/>
    <numFmt numFmtId="182" formatCode="ddd\,\ d\-mmm\-yy"/>
    <numFmt numFmtId="183" formatCode="0.00000"/>
    <numFmt numFmtId="184" formatCode="0.0000000000"/>
    <numFmt numFmtId="185" formatCode="0.000000"/>
    <numFmt numFmtId="186" formatCode="0.0000E+00"/>
    <numFmt numFmtId="187" formatCode="mm/dd/yy;@"/>
    <numFmt numFmtId="188" formatCode="ddd\,\ d\-mmm\-yyyy\,\ hh:mm:ss"/>
    <numFmt numFmtId="189" formatCode="ddd\,\ dd\-mmm\-yyyy\ hh:mm:ss"/>
  </numFmts>
  <fonts count="31" x14ac:knownFonts="1">
    <font>
      <sz val="11"/>
      <color theme="1"/>
      <name val="Calibri"/>
      <family val="2"/>
      <scheme val="minor"/>
    </font>
    <font>
      <sz val="11"/>
      <color theme="1"/>
      <name val="Calibri"/>
      <family val="2"/>
      <scheme val="minor"/>
    </font>
    <font>
      <sz val="8"/>
      <color theme="1"/>
      <name val="Courier New"/>
      <family val="3"/>
    </font>
    <font>
      <sz val="10"/>
      <name val="Arial"/>
      <family val="2"/>
    </font>
    <font>
      <sz val="8"/>
      <name val="Courier New"/>
      <family val="3"/>
    </font>
    <font>
      <sz val="8"/>
      <color rgb="FFFF0000"/>
      <name val="Courier New"/>
      <family val="3"/>
    </font>
    <font>
      <sz val="10"/>
      <name val="Helv"/>
    </font>
    <font>
      <sz val="8"/>
      <name val="Arial"/>
      <family val="2"/>
    </font>
    <font>
      <sz val="12"/>
      <name val="Helv"/>
    </font>
    <font>
      <b/>
      <sz val="12"/>
      <color indexed="16"/>
      <name val="MS Sans Serif"/>
      <family val="2"/>
    </font>
    <font>
      <sz val="8"/>
      <color indexed="9"/>
      <name val="Courier New"/>
      <family val="3"/>
    </font>
    <font>
      <sz val="8"/>
      <color indexed="10"/>
      <name val="Courier New"/>
      <family val="3"/>
    </font>
    <font>
      <b/>
      <sz val="8"/>
      <name val="Courier New"/>
      <family val="3"/>
    </font>
    <font>
      <b/>
      <u/>
      <sz val="8"/>
      <name val="Courier New"/>
      <family val="3"/>
    </font>
    <font>
      <i/>
      <sz val="8"/>
      <name val="Courier New"/>
      <family val="3"/>
    </font>
    <font>
      <b/>
      <sz val="8"/>
      <color theme="1"/>
      <name val="Courier New"/>
      <family val="3"/>
    </font>
    <font>
      <sz val="8"/>
      <color indexed="12"/>
      <name val="Courier New"/>
      <family val="3"/>
    </font>
    <font>
      <b/>
      <sz val="12"/>
      <name val="Courier New"/>
      <family val="3"/>
    </font>
    <font>
      <b/>
      <u/>
      <sz val="10"/>
      <name val="Courier New"/>
      <family val="3"/>
    </font>
    <font>
      <sz val="10"/>
      <name val="Arial"/>
    </font>
    <font>
      <sz val="8"/>
      <color theme="0"/>
      <name val="Courier New"/>
      <family val="3"/>
    </font>
    <font>
      <b/>
      <sz val="8"/>
      <color indexed="81"/>
      <name val="Tahoma"/>
      <family val="2"/>
    </font>
    <font>
      <sz val="14"/>
      <name val="Courier New"/>
      <family val="3"/>
    </font>
    <font>
      <sz val="8"/>
      <color indexed="81"/>
      <name val="Tahoma"/>
      <family val="2"/>
    </font>
    <font>
      <sz val="8"/>
      <name val="Arial"/>
    </font>
    <font>
      <b/>
      <sz val="8"/>
      <name val="Arial"/>
      <family val="2"/>
    </font>
    <font>
      <sz val="9"/>
      <name val="Courier New"/>
      <family val="3"/>
    </font>
    <font>
      <sz val="10"/>
      <name val="Courier New"/>
      <family val="3"/>
    </font>
    <font>
      <b/>
      <sz val="12"/>
      <color indexed="10"/>
      <name val="Courier New"/>
      <family val="3"/>
    </font>
    <font>
      <b/>
      <sz val="8"/>
      <color indexed="10"/>
      <name val="Courier New"/>
      <family val="3"/>
    </font>
    <font>
      <b/>
      <i/>
      <sz val="8"/>
      <name val="Courier New"/>
      <family val="3"/>
    </font>
  </fonts>
  <fills count="29">
    <fill>
      <patternFill patternType="none"/>
    </fill>
    <fill>
      <patternFill patternType="gray125"/>
    </fill>
    <fill>
      <patternFill patternType="solid">
        <fgColor theme="0" tint="-0.14999847407452621"/>
        <bgColor indexed="64"/>
      </patternFill>
    </fill>
    <fill>
      <patternFill patternType="gray0625">
        <fgColor theme="0"/>
        <bgColor theme="0"/>
      </patternFill>
    </fill>
    <fill>
      <patternFill patternType="solid">
        <fgColor theme="8" tint="0.59999389629810485"/>
        <bgColor indexed="64"/>
      </patternFill>
    </fill>
    <fill>
      <patternFill patternType="gray0625">
        <fgColor indexed="22"/>
        <bgColor indexed="9"/>
      </patternFill>
    </fill>
    <fill>
      <patternFill patternType="solid">
        <fgColor theme="0"/>
        <bgColor indexed="22"/>
      </patternFill>
    </fill>
    <fill>
      <patternFill patternType="solid">
        <fgColor indexed="9"/>
        <bgColor indexed="64"/>
      </patternFill>
    </fill>
    <fill>
      <patternFill patternType="solid">
        <fgColor theme="8" tint="0.79998168889431442"/>
        <bgColor theme="8" tint="0.79998168889431442"/>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22"/>
      </patternFill>
    </fill>
    <fill>
      <patternFill patternType="solid">
        <fgColor theme="8" tint="0.79998168889431442"/>
        <bgColor indexed="22"/>
      </patternFill>
    </fill>
    <fill>
      <patternFill patternType="solid">
        <fgColor theme="8" tint="0.59999389629810485"/>
        <bgColor indexed="22"/>
      </patternFill>
    </fill>
    <fill>
      <patternFill patternType="solid">
        <fgColor indexed="22"/>
        <bgColor indexed="64"/>
      </patternFill>
    </fill>
    <fill>
      <patternFill patternType="solid">
        <fgColor theme="0" tint="-0.499984740745262"/>
        <bgColor indexed="64"/>
      </patternFill>
    </fill>
    <fill>
      <patternFill patternType="solid">
        <fgColor indexed="65"/>
        <bgColor indexed="64"/>
      </patternFill>
    </fill>
    <fill>
      <patternFill patternType="gray0625">
        <fgColor indexed="22"/>
        <bgColor theme="8" tint="0.79998168889431442"/>
      </patternFill>
    </fill>
    <fill>
      <patternFill patternType="solid">
        <fgColor indexed="9"/>
        <bgColor indexed="22"/>
      </patternFill>
    </fill>
    <fill>
      <patternFill patternType="solid">
        <fgColor indexed="9"/>
        <bgColor indexed="9"/>
      </patternFill>
    </fill>
    <fill>
      <patternFill patternType="lightUp">
        <bgColor theme="8" tint="0.59996337778862885"/>
      </patternFill>
    </fill>
    <fill>
      <patternFill patternType="solid">
        <fgColor indexed="44"/>
        <bgColor indexed="64"/>
      </patternFill>
    </fill>
    <fill>
      <patternFill patternType="solid">
        <fgColor indexed="13"/>
        <bgColor indexed="64"/>
      </patternFill>
    </fill>
    <fill>
      <patternFill patternType="gray0625">
        <fgColor indexed="22"/>
        <bgColor indexed="26"/>
      </patternFill>
    </fill>
    <fill>
      <patternFill patternType="solid">
        <fgColor theme="0" tint="-0.249977111117893"/>
        <bgColor indexed="64"/>
      </patternFill>
    </fill>
    <fill>
      <patternFill patternType="solid">
        <fgColor rgb="FFFFFFCC"/>
      </patternFill>
    </fill>
    <fill>
      <patternFill patternType="solid">
        <fgColor theme="6" tint="0.39997558519241921"/>
        <bgColor indexed="64"/>
      </patternFill>
    </fill>
  </fills>
  <borders count="53">
    <border>
      <left/>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style="thin">
        <color indexed="64"/>
      </left>
      <right/>
      <top style="thin">
        <color indexed="64"/>
      </top>
      <bottom/>
      <diagonal/>
    </border>
    <border>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style="medium">
        <color indexed="64"/>
      </left>
      <right/>
      <top/>
      <bottom style="thin">
        <color indexed="64"/>
      </bottom>
      <diagonal/>
    </border>
    <border>
      <left style="thin">
        <color indexed="64"/>
      </left>
      <right style="thin">
        <color indexed="64"/>
      </right>
      <top style="medium">
        <color indexed="64"/>
      </top>
      <bottom/>
      <diagonal/>
    </border>
    <border>
      <left style="medium">
        <color indexed="64"/>
      </left>
      <right/>
      <top/>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bottom style="dashed">
        <color indexed="64"/>
      </bottom>
      <diagonal/>
    </border>
    <border>
      <left style="thin">
        <color indexed="64"/>
      </left>
      <right style="thin">
        <color indexed="64"/>
      </right>
      <top style="dashed">
        <color indexed="64"/>
      </top>
      <bottom/>
      <diagonal/>
    </border>
    <border>
      <left style="thin">
        <color indexed="64"/>
      </left>
      <right style="thin">
        <color indexed="64"/>
      </right>
      <top style="dashed">
        <color indexed="64"/>
      </top>
      <bottom style="dashed">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s>
  <cellStyleXfs count="52">
    <xf numFmtId="0" fontId="0" fillId="0" borderId="0"/>
    <xf numFmtId="0" fontId="3" fillId="0" borderId="0"/>
    <xf numFmtId="166" fontId="3" fillId="0" borderId="0" applyFont="0" applyFill="0" applyBorder="0" applyAlignment="0" applyProtection="0"/>
    <xf numFmtId="166" fontId="3" fillId="0" borderId="0" applyFont="0" applyFill="0" applyBorder="0" applyAlignment="0" applyProtection="0"/>
    <xf numFmtId="166" fontId="3" fillId="0" borderId="0" applyFont="0" applyFill="0" applyBorder="0" applyAlignment="0" applyProtection="0"/>
    <xf numFmtId="38" fontId="6" fillId="0" borderId="0" applyFont="0" applyFill="0" applyBorder="0" applyAlignment="0" applyProtection="0"/>
    <xf numFmtId="40" fontId="6" fillId="0" borderId="0" applyFont="0" applyFill="0" applyBorder="0" applyAlignment="0" applyProtection="0"/>
    <xf numFmtId="0" fontId="3" fillId="0" borderId="0"/>
    <xf numFmtId="0" fontId="7" fillId="0" borderId="0"/>
    <xf numFmtId="0" fontId="7" fillId="0" borderId="0"/>
    <xf numFmtId="0" fontId="7" fillId="0" borderId="0"/>
    <xf numFmtId="0" fontId="7" fillId="0" borderId="0"/>
    <xf numFmtId="0" fontId="7" fillId="0" borderId="0"/>
    <xf numFmtId="167" fontId="8"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9" fillId="5" borderId="0">
      <alignment horizontal="center" vertical="center"/>
    </xf>
    <xf numFmtId="169" fontId="6" fillId="0" borderId="0" applyFont="0" applyFill="0" applyBorder="0" applyAlignment="0" applyProtection="0"/>
    <xf numFmtId="169" fontId="6" fillId="0" borderId="0" applyFont="0" applyFill="0" applyBorder="0" applyAlignment="0" applyProtection="0"/>
    <xf numFmtId="0" fontId="3" fillId="0" borderId="0"/>
    <xf numFmtId="0" fontId="7" fillId="0" borderId="0"/>
    <xf numFmtId="0" fontId="7" fillId="0" borderId="0"/>
    <xf numFmtId="0" fontId="3" fillId="0" borderId="0"/>
    <xf numFmtId="0" fontId="19" fillId="0" borderId="0"/>
    <xf numFmtId="0" fontId="24" fillId="0" borderId="0"/>
    <xf numFmtId="0" fontId="3"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7" fillId="0" borderId="0"/>
    <xf numFmtId="0" fontId="1" fillId="0" borderId="0"/>
    <xf numFmtId="9" fontId="3"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0" fontId="3" fillId="0" borderId="0"/>
    <xf numFmtId="43" fontId="7" fillId="0" borderId="0" applyFont="0" applyFill="0" applyBorder="0" applyAlignment="0" applyProtection="0"/>
    <xf numFmtId="0" fontId="3" fillId="27" borderId="48" applyNumberFormat="0" applyFont="0" applyAlignment="0" applyProtection="0"/>
  </cellStyleXfs>
  <cellXfs count="1385">
    <xf numFmtId="0" fontId="0" fillId="0" borderId="0" xfId="0"/>
    <xf numFmtId="0" fontId="2" fillId="2" borderId="0" xfId="0" applyFont="1" applyFill="1"/>
    <xf numFmtId="0" fontId="2" fillId="0" borderId="1" xfId="0" applyFont="1" applyBorder="1"/>
    <xf numFmtId="164" fontId="2" fillId="0" borderId="1" xfId="0" applyNumberFormat="1" applyFont="1" applyBorder="1"/>
    <xf numFmtId="0" fontId="2" fillId="0" borderId="2" xfId="0" applyFont="1" applyBorder="1"/>
    <xf numFmtId="164" fontId="2" fillId="0" borderId="2" xfId="0" applyNumberFormat="1" applyFont="1" applyBorder="1"/>
    <xf numFmtId="165" fontId="2" fillId="0" borderId="2" xfId="0" applyNumberFormat="1" applyFont="1" applyBorder="1"/>
    <xf numFmtId="164" fontId="4" fillId="3" borderId="1" xfId="1" applyNumberFormat="1" applyFont="1" applyFill="1" applyBorder="1" applyAlignment="1" applyProtection="1">
      <alignment horizontal="right" vertical="center"/>
    </xf>
    <xf numFmtId="0" fontId="2" fillId="4" borderId="3" xfId="0" applyFont="1" applyFill="1" applyBorder="1"/>
    <xf numFmtId="164" fontId="4" fillId="3" borderId="4" xfId="1" applyNumberFormat="1" applyFont="1" applyFill="1" applyBorder="1" applyAlignment="1" applyProtection="1">
      <alignment horizontal="right" vertical="center"/>
    </xf>
    <xf numFmtId="0" fontId="4" fillId="4" borderId="5" xfId="1" applyNumberFormat="1" applyFont="1" applyFill="1" applyBorder="1" applyAlignment="1">
      <alignment horizontal="left" vertical="center"/>
    </xf>
    <xf numFmtId="0" fontId="0" fillId="2" borderId="0" xfId="0" applyFill="1"/>
    <xf numFmtId="0" fontId="2" fillId="0" borderId="5" xfId="0" applyFont="1" applyBorder="1"/>
    <xf numFmtId="165" fontId="2" fillId="0" borderId="5" xfId="0" applyNumberFormat="1" applyFont="1" applyBorder="1"/>
    <xf numFmtId="164" fontId="2" fillId="0" borderId="5" xfId="0" applyNumberFormat="1" applyFont="1" applyBorder="1"/>
    <xf numFmtId="164" fontId="4" fillId="3" borderId="6" xfId="1" applyNumberFormat="1" applyFont="1" applyFill="1" applyBorder="1" applyAlignment="1" applyProtection="1">
      <alignment horizontal="right" vertical="center"/>
    </xf>
    <xf numFmtId="0" fontId="4" fillId="4" borderId="7" xfId="1" applyNumberFormat="1" applyFont="1" applyFill="1" applyBorder="1" applyAlignment="1">
      <alignment horizontal="left" vertical="center"/>
    </xf>
    <xf numFmtId="0" fontId="2" fillId="0" borderId="7" xfId="0" applyFont="1" applyBorder="1" applyAlignment="1">
      <alignment horizontal="center" wrapText="1"/>
    </xf>
    <xf numFmtId="0" fontId="2" fillId="0" borderId="7" xfId="0" applyFont="1" applyBorder="1" applyAlignment="1">
      <alignment horizontal="center" vertical="center" wrapText="1"/>
    </xf>
    <xf numFmtId="164" fontId="4" fillId="3" borderId="6" xfId="1" applyNumberFormat="1" applyFont="1" applyFill="1" applyBorder="1" applyAlignment="1" applyProtection="1">
      <alignment horizontal="left" vertical="center" wrapText="1"/>
    </xf>
    <xf numFmtId="0" fontId="5" fillId="0" borderId="7" xfId="0" applyFont="1" applyBorder="1"/>
    <xf numFmtId="0" fontId="2" fillId="0" borderId="7" xfId="0" applyFont="1" applyBorder="1" applyAlignment="1">
      <alignment horizontal="centerContinuous" vertical="center"/>
    </xf>
    <xf numFmtId="164" fontId="4" fillId="3" borderId="6" xfId="1" applyNumberFormat="1" applyFont="1" applyFill="1" applyBorder="1" applyAlignment="1" applyProtection="1">
      <alignment horizontal="right"/>
    </xf>
    <xf numFmtId="0" fontId="2" fillId="2" borderId="0" xfId="0" applyFont="1" applyFill="1" applyBorder="1"/>
    <xf numFmtId="0" fontId="2" fillId="2" borderId="8" xfId="0" applyFont="1" applyFill="1" applyBorder="1"/>
    <xf numFmtId="164" fontId="4" fillId="6" borderId="1" xfId="1" applyNumberFormat="1" applyFont="1" applyFill="1" applyBorder="1" applyAlignment="1" applyProtection="1">
      <alignment horizontal="right" vertical="center"/>
    </xf>
    <xf numFmtId="164" fontId="4" fillId="6" borderId="4"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right" vertical="center"/>
    </xf>
    <xf numFmtId="164" fontId="4" fillId="6" borderId="6" xfId="1" applyNumberFormat="1" applyFont="1" applyFill="1" applyBorder="1" applyAlignment="1" applyProtection="1">
      <alignment horizontal="left" vertical="center" wrapText="1"/>
    </xf>
    <xf numFmtId="164" fontId="4" fillId="6" borderId="6" xfId="1" applyNumberFormat="1" applyFont="1" applyFill="1" applyBorder="1" applyAlignment="1" applyProtection="1">
      <alignment horizontal="right"/>
    </xf>
    <xf numFmtId="0" fontId="4" fillId="2" borderId="0" xfId="1" applyFont="1" applyFill="1"/>
    <xf numFmtId="0" fontId="4" fillId="2" borderId="0" xfId="1" applyFont="1" applyFill="1" applyAlignment="1">
      <alignment horizontal="left"/>
    </xf>
    <xf numFmtId="0" fontId="4" fillId="7" borderId="9" xfId="1" applyFont="1" applyFill="1" applyBorder="1"/>
    <xf numFmtId="0" fontId="4" fillId="7" borderId="3" xfId="1" applyFont="1" applyFill="1" applyBorder="1" applyAlignment="1">
      <alignment horizontal="left"/>
    </xf>
    <xf numFmtId="0" fontId="4" fillId="7" borderId="3" xfId="1" applyFont="1" applyFill="1" applyBorder="1"/>
    <xf numFmtId="0" fontId="4" fillId="7" borderId="10" xfId="1" applyFont="1" applyFill="1" applyBorder="1"/>
    <xf numFmtId="0" fontId="4" fillId="7" borderId="11" xfId="1" applyFont="1" applyFill="1" applyBorder="1"/>
    <xf numFmtId="0" fontId="4" fillId="8" borderId="1" xfId="1" applyNumberFormat="1" applyFont="1" applyFill="1" applyBorder="1" applyAlignment="1" applyProtection="1"/>
    <xf numFmtId="0" fontId="4" fillId="7" borderId="1" xfId="1" applyNumberFormat="1" applyFont="1" applyFill="1" applyBorder="1" applyAlignment="1">
      <alignment horizontal="left"/>
    </xf>
    <xf numFmtId="0" fontId="4" fillId="7" borderId="1" xfId="1" applyNumberFormat="1" applyFont="1" applyFill="1" applyBorder="1" applyAlignment="1"/>
    <xf numFmtId="0" fontId="4" fillId="7" borderId="1" xfId="1" applyNumberFormat="1" applyFont="1" applyFill="1" applyBorder="1" applyAlignment="1">
      <alignment horizontal="center"/>
    </xf>
    <xf numFmtId="0" fontId="4" fillId="9" borderId="12" xfId="1" applyFont="1" applyFill="1" applyBorder="1" applyAlignment="1">
      <alignment horizontal="center"/>
    </xf>
    <xf numFmtId="0" fontId="4" fillId="8" borderId="2" xfId="1" applyNumberFormat="1" applyFont="1" applyFill="1" applyBorder="1" applyAlignment="1" applyProtection="1"/>
    <xf numFmtId="0" fontId="4" fillId="7" borderId="2" xfId="1" applyNumberFormat="1" applyFont="1" applyFill="1" applyBorder="1" applyAlignment="1">
      <alignment horizontal="left"/>
    </xf>
    <xf numFmtId="0" fontId="4" fillId="7" borderId="2" xfId="1" applyNumberFormat="1" applyFont="1" applyFill="1" applyBorder="1" applyAlignment="1"/>
    <xf numFmtId="0" fontId="4" fillId="7" borderId="2" xfId="1" applyNumberFormat="1" applyFont="1" applyFill="1" applyBorder="1" applyAlignment="1">
      <alignment horizontal="center"/>
    </xf>
    <xf numFmtId="0" fontId="4" fillId="8" borderId="5" xfId="1" applyNumberFormat="1" applyFont="1" applyFill="1" applyBorder="1" applyAlignment="1" applyProtection="1"/>
    <xf numFmtId="0" fontId="4" fillId="7" borderId="5" xfId="1" applyNumberFormat="1" applyFont="1" applyFill="1" applyBorder="1" applyAlignment="1">
      <alignment horizontal="left"/>
    </xf>
    <xf numFmtId="0" fontId="4" fillId="7" borderId="5" xfId="1" applyNumberFormat="1" applyFont="1" applyFill="1" applyBorder="1" applyAlignment="1"/>
    <xf numFmtId="0" fontId="4" fillId="7" borderId="5" xfId="1" applyNumberFormat="1" applyFont="1" applyFill="1" applyBorder="1" applyAlignment="1">
      <alignment horizontal="center"/>
    </xf>
    <xf numFmtId="0" fontId="4" fillId="4" borderId="6" xfId="1" applyFont="1" applyFill="1" applyBorder="1" applyAlignment="1">
      <alignment horizontal="center" vertical="center"/>
    </xf>
    <xf numFmtId="0" fontId="4" fillId="4" borderId="7" xfId="1" applyNumberFormat="1" applyFont="1" applyFill="1" applyBorder="1" applyAlignment="1" applyProtection="1">
      <alignment horizontal="center" vertical="center"/>
    </xf>
    <xf numFmtId="0" fontId="4" fillId="4" borderId="7" xfId="1" applyFont="1" applyFill="1" applyBorder="1" applyAlignment="1">
      <alignment horizontal="center" vertical="center"/>
    </xf>
    <xf numFmtId="0" fontId="4" fillId="9" borderId="4" xfId="1" applyFont="1" applyFill="1" applyBorder="1"/>
    <xf numFmtId="0" fontId="4" fillId="9" borderId="8" xfId="1" applyFont="1" applyFill="1" applyBorder="1"/>
    <xf numFmtId="0" fontId="4" fillId="9" borderId="8" xfId="1" applyFont="1" applyFill="1" applyBorder="1" applyAlignment="1">
      <alignment horizontal="left"/>
    </xf>
    <xf numFmtId="0" fontId="4" fillId="9" borderId="13" xfId="1" applyFont="1" applyFill="1" applyBorder="1" applyAlignment="1">
      <alignment horizontal="left"/>
    </xf>
    <xf numFmtId="0" fontId="4" fillId="7" borderId="1" xfId="1" applyNumberFormat="1" applyFont="1" applyFill="1" applyBorder="1" applyAlignment="1">
      <alignment vertical="center"/>
    </xf>
    <xf numFmtId="0" fontId="4" fillId="7" borderId="2" xfId="1" applyNumberFormat="1" applyFont="1" applyFill="1" applyBorder="1" applyAlignment="1">
      <alignment vertical="center"/>
    </xf>
    <xf numFmtId="0" fontId="4" fillId="7" borderId="5" xfId="1" applyNumberFormat="1" applyFont="1" applyFill="1" applyBorder="1" applyAlignment="1">
      <alignment vertical="center"/>
    </xf>
    <xf numFmtId="0" fontId="4" fillId="2" borderId="0" xfId="1" applyFont="1" applyFill="1" applyAlignment="1">
      <alignment vertical="center"/>
    </xf>
    <xf numFmtId="0" fontId="4" fillId="7" borderId="11" xfId="1" applyFont="1" applyFill="1" applyBorder="1" applyAlignment="1">
      <alignment vertical="center"/>
    </xf>
    <xf numFmtId="0" fontId="4" fillId="9" borderId="12" xfId="1" applyFont="1" applyFill="1" applyBorder="1" applyAlignment="1">
      <alignment horizontal="center" vertical="center"/>
    </xf>
    <xf numFmtId="0" fontId="10" fillId="7" borderId="10" xfId="1" applyFont="1" applyFill="1" applyBorder="1"/>
    <xf numFmtId="165" fontId="4" fillId="9" borderId="1" xfId="14" applyNumberFormat="1" applyFont="1" applyFill="1" applyBorder="1" applyAlignment="1">
      <alignment horizontal="center"/>
    </xf>
    <xf numFmtId="165" fontId="4" fillId="9" borderId="1" xfId="14" applyNumberFormat="1" applyFont="1" applyFill="1" applyBorder="1" applyAlignment="1"/>
    <xf numFmtId="0" fontId="4" fillId="7" borderId="2" xfId="1" applyFont="1" applyFill="1" applyBorder="1" applyAlignment="1"/>
    <xf numFmtId="165" fontId="4" fillId="9" borderId="1" xfId="1" applyNumberFormat="1" applyFont="1" applyFill="1" applyBorder="1" applyAlignment="1"/>
    <xf numFmtId="170" fontId="4" fillId="9" borderId="1" xfId="14" applyNumberFormat="1" applyFont="1" applyFill="1" applyBorder="1" applyAlignment="1"/>
    <xf numFmtId="164" fontId="4" fillId="9" borderId="1" xfId="14" applyNumberFormat="1" applyFont="1" applyFill="1" applyBorder="1" applyAlignment="1">
      <alignment horizontal="center"/>
    </xf>
    <xf numFmtId="1" fontId="4" fillId="9" borderId="1" xfId="14" applyNumberFormat="1" applyFont="1" applyFill="1" applyBorder="1" applyAlignment="1">
      <alignment horizontal="center"/>
    </xf>
    <xf numFmtId="0" fontId="10" fillId="7" borderId="12" xfId="1" applyFont="1" applyFill="1" applyBorder="1"/>
    <xf numFmtId="0" fontId="11" fillId="10" borderId="1" xfId="1" applyNumberFormat="1" applyFont="1" applyFill="1" applyBorder="1" applyAlignment="1" applyProtection="1"/>
    <xf numFmtId="0" fontId="4" fillId="11" borderId="1" xfId="1" applyNumberFormat="1" applyFont="1" applyFill="1" applyBorder="1" applyAlignment="1"/>
    <xf numFmtId="0" fontId="4" fillId="11" borderId="10" xfId="1" applyNumberFormat="1" applyFont="1" applyFill="1" applyBorder="1" applyAlignment="1"/>
    <xf numFmtId="0" fontId="4" fillId="11" borderId="10" xfId="1" applyNumberFormat="1" applyFont="1" applyFill="1" applyBorder="1" applyAlignment="1">
      <alignment horizontal="center"/>
    </xf>
    <xf numFmtId="0" fontId="4" fillId="11" borderId="1" xfId="1" applyNumberFormat="1" applyFont="1" applyFill="1" applyBorder="1" applyAlignment="1">
      <alignment horizontal="center"/>
    </xf>
    <xf numFmtId="165" fontId="4" fillId="9" borderId="2" xfId="14" applyNumberFormat="1" applyFont="1" applyFill="1" applyBorder="1" applyAlignment="1">
      <alignment horizontal="center"/>
    </xf>
    <xf numFmtId="165" fontId="4" fillId="9" borderId="2" xfId="14" applyNumberFormat="1" applyFont="1" applyFill="1" applyBorder="1" applyAlignment="1"/>
    <xf numFmtId="165" fontId="4" fillId="9" borderId="2" xfId="1" applyNumberFormat="1" applyFont="1" applyFill="1" applyBorder="1" applyAlignment="1"/>
    <xf numFmtId="170" fontId="4" fillId="9" borderId="2" xfId="14" applyNumberFormat="1" applyFont="1" applyFill="1" applyBorder="1" applyAlignment="1"/>
    <xf numFmtId="164" fontId="4" fillId="9" borderId="2" xfId="14" applyNumberFormat="1" applyFont="1" applyFill="1" applyBorder="1" applyAlignment="1">
      <alignment horizontal="center"/>
    </xf>
    <xf numFmtId="1" fontId="4" fillId="9" borderId="2" xfId="14" applyNumberFormat="1" applyFont="1" applyFill="1" applyBorder="1" applyAlignment="1">
      <alignment horizontal="center"/>
    </xf>
    <xf numFmtId="0" fontId="11" fillId="10" borderId="2" xfId="1" applyNumberFormat="1" applyFont="1" applyFill="1" applyBorder="1" applyAlignment="1" applyProtection="1"/>
    <xf numFmtId="0" fontId="4" fillId="11" borderId="2" xfId="1" applyNumberFormat="1" applyFont="1" applyFill="1" applyBorder="1" applyAlignment="1"/>
    <xf numFmtId="0" fontId="4" fillId="11" borderId="12" xfId="1" applyNumberFormat="1" applyFont="1" applyFill="1" applyBorder="1" applyAlignment="1"/>
    <xf numFmtId="0" fontId="4" fillId="11" borderId="12" xfId="1" applyNumberFormat="1" applyFont="1" applyFill="1" applyBorder="1" applyAlignment="1">
      <alignment horizontal="center"/>
    </xf>
    <xf numFmtId="0" fontId="4" fillId="11" borderId="2" xfId="1" applyNumberFormat="1" applyFont="1" applyFill="1" applyBorder="1" applyAlignment="1">
      <alignment horizontal="center"/>
    </xf>
    <xf numFmtId="165" fontId="4" fillId="9" borderId="5" xfId="14" applyNumberFormat="1" applyFont="1" applyFill="1" applyBorder="1" applyAlignment="1">
      <alignment horizontal="center"/>
    </xf>
    <xf numFmtId="165" fontId="4" fillId="9" borderId="5" xfId="14" applyNumberFormat="1" applyFont="1" applyFill="1" applyBorder="1" applyAlignment="1"/>
    <xf numFmtId="165" fontId="4" fillId="9" borderId="5" xfId="1" applyNumberFormat="1" applyFont="1" applyFill="1" applyBorder="1" applyAlignment="1"/>
    <xf numFmtId="170" fontId="4" fillId="9" borderId="5" xfId="14" applyNumberFormat="1" applyFont="1" applyFill="1" applyBorder="1" applyAlignment="1"/>
    <xf numFmtId="164" fontId="4" fillId="9" borderId="5" xfId="14" applyNumberFormat="1" applyFont="1" applyFill="1" applyBorder="1" applyAlignment="1">
      <alignment horizontal="center"/>
    </xf>
    <xf numFmtId="1" fontId="4" fillId="9" borderId="5" xfId="14" applyNumberFormat="1" applyFont="1" applyFill="1" applyBorder="1" applyAlignment="1">
      <alignment horizontal="center"/>
    </xf>
    <xf numFmtId="0" fontId="11" fillId="10" borderId="5" xfId="1" applyNumberFormat="1" applyFont="1" applyFill="1" applyBorder="1" applyAlignment="1" applyProtection="1"/>
    <xf numFmtId="0" fontId="4" fillId="11" borderId="5" xfId="1" applyNumberFormat="1" applyFont="1" applyFill="1" applyBorder="1" applyAlignment="1"/>
    <xf numFmtId="0" fontId="4" fillId="11" borderId="13" xfId="1" applyNumberFormat="1" applyFont="1" applyFill="1" applyBorder="1" applyAlignment="1"/>
    <xf numFmtId="0" fontId="4" fillId="11" borderId="13" xfId="1" applyNumberFormat="1" applyFont="1" applyFill="1" applyBorder="1" applyAlignment="1">
      <alignment horizontal="center"/>
    </xf>
    <xf numFmtId="0" fontId="4" fillId="11" borderId="5" xfId="1" applyNumberFormat="1" applyFont="1" applyFill="1" applyBorder="1" applyAlignment="1">
      <alignment horizontal="center"/>
    </xf>
    <xf numFmtId="0" fontId="4" fillId="2" borderId="0" xfId="1" applyFont="1" applyFill="1" applyAlignment="1">
      <alignment horizontal="center" vertical="center"/>
    </xf>
    <xf numFmtId="0" fontId="4" fillId="7" borderId="11" xfId="1" applyFont="1" applyFill="1" applyBorder="1" applyAlignment="1">
      <alignment horizontal="center" vertical="center"/>
    </xf>
    <xf numFmtId="165" fontId="12" fillId="4" borderId="5" xfId="14" applyNumberFormat="1" applyFont="1" applyFill="1" applyBorder="1" applyAlignment="1">
      <alignment horizontal="center" vertical="center" wrapText="1"/>
    </xf>
    <xf numFmtId="0" fontId="4" fillId="7" borderId="2" xfId="1" applyFont="1" applyFill="1" applyBorder="1" applyAlignment="1">
      <alignment horizontal="center" vertical="center"/>
    </xf>
    <xf numFmtId="171" fontId="12" fillId="4" borderId="7" xfId="14" applyNumberFormat="1" applyFont="1" applyFill="1" applyBorder="1" applyAlignment="1">
      <alignment horizontal="center" vertical="center" wrapText="1"/>
    </xf>
    <xf numFmtId="171" fontId="12" fillId="4" borderId="5" xfId="14" applyNumberFormat="1" applyFont="1" applyFill="1" applyBorder="1" applyAlignment="1">
      <alignment horizontal="center" vertical="center" wrapText="1"/>
    </xf>
    <xf numFmtId="0" fontId="12" fillId="12" borderId="5" xfId="1" applyFont="1" applyFill="1" applyBorder="1" applyAlignment="1">
      <alignment horizontal="center" vertical="center" wrapText="1"/>
    </xf>
    <xf numFmtId="0" fontId="4" fillId="7" borderId="12" xfId="1" applyFont="1" applyFill="1" applyBorder="1" applyAlignment="1">
      <alignment horizontal="center" vertical="center"/>
    </xf>
    <xf numFmtId="0" fontId="4" fillId="4" borderId="7" xfId="1" applyFont="1" applyFill="1" applyBorder="1" applyAlignment="1">
      <alignment horizontal="center" vertical="center" wrapText="1"/>
    </xf>
    <xf numFmtId="0" fontId="10" fillId="7" borderId="11" xfId="1" applyFont="1" applyFill="1" applyBorder="1"/>
    <xf numFmtId="0" fontId="4" fillId="9" borderId="0" xfId="1" applyFont="1" applyFill="1" applyBorder="1"/>
    <xf numFmtId="0" fontId="4" fillId="7" borderId="0" xfId="1" applyFont="1" applyFill="1" applyBorder="1"/>
    <xf numFmtId="0" fontId="4" fillId="7" borderId="0" xfId="1" applyFont="1" applyFill="1" applyBorder="1" applyAlignment="1">
      <alignment horizontal="center"/>
    </xf>
    <xf numFmtId="172" fontId="4" fillId="0" borderId="0" xfId="1" applyNumberFormat="1" applyFont="1" applyBorder="1"/>
    <xf numFmtId="0" fontId="4" fillId="7" borderId="12" xfId="1" applyFont="1" applyFill="1" applyBorder="1"/>
    <xf numFmtId="0" fontId="10" fillId="9" borderId="11" xfId="1" applyFont="1" applyFill="1" applyBorder="1"/>
    <xf numFmtId="0" fontId="4" fillId="9" borderId="0" xfId="1" applyFont="1" applyFill="1" applyBorder="1" applyAlignment="1">
      <alignment horizontal="center"/>
    </xf>
    <xf numFmtId="0" fontId="13" fillId="9" borderId="0" xfId="1" applyFont="1" applyFill="1" applyBorder="1"/>
    <xf numFmtId="0" fontId="4" fillId="0" borderId="12" xfId="1" applyFont="1" applyBorder="1"/>
    <xf numFmtId="0" fontId="4" fillId="0" borderId="7" xfId="1" applyFont="1" applyFill="1" applyBorder="1"/>
    <xf numFmtId="0" fontId="4" fillId="4" borderId="7" xfId="1" applyFont="1" applyFill="1" applyBorder="1" applyAlignment="1">
      <alignment horizontal="center"/>
    </xf>
    <xf numFmtId="0" fontId="4" fillId="9" borderId="11" xfId="1" applyFont="1" applyFill="1" applyBorder="1"/>
    <xf numFmtId="0" fontId="4" fillId="9" borderId="12" xfId="1" applyFont="1" applyFill="1" applyBorder="1"/>
    <xf numFmtId="0" fontId="10" fillId="7" borderId="4" xfId="1" applyFont="1" applyFill="1" applyBorder="1"/>
    <xf numFmtId="0" fontId="4" fillId="7" borderId="8" xfId="1" applyFont="1" applyFill="1" applyBorder="1"/>
    <xf numFmtId="0" fontId="4" fillId="7" borderId="8" xfId="1" applyFont="1" applyFill="1" applyBorder="1" applyAlignment="1">
      <alignment horizontal="center"/>
    </xf>
    <xf numFmtId="0" fontId="4" fillId="0" borderId="8" xfId="1" applyFont="1" applyBorder="1"/>
    <xf numFmtId="0" fontId="13" fillId="7" borderId="8" xfId="1" applyFont="1" applyFill="1" applyBorder="1"/>
    <xf numFmtId="0" fontId="4" fillId="7" borderId="13" xfId="1" applyFont="1" applyFill="1" applyBorder="1"/>
    <xf numFmtId="0" fontId="4" fillId="0" borderId="13" xfId="1" applyFont="1" applyBorder="1"/>
    <xf numFmtId="0" fontId="4" fillId="7" borderId="9" xfId="1" applyFont="1" applyFill="1" applyBorder="1" applyAlignment="1">
      <alignment horizontal="center"/>
    </xf>
    <xf numFmtId="0" fontId="4" fillId="7" borderId="11" xfId="1" applyFont="1" applyFill="1" applyBorder="1" applyAlignment="1">
      <alignment horizontal="center"/>
    </xf>
    <xf numFmtId="171" fontId="4" fillId="9" borderId="1" xfId="14" applyNumberFormat="1" applyFont="1" applyFill="1" applyBorder="1" applyAlignment="1">
      <alignment horizontal="center"/>
    </xf>
    <xf numFmtId="165" fontId="4" fillId="9" borderId="1" xfId="14" applyNumberFormat="1" applyFont="1" applyFill="1" applyBorder="1"/>
    <xf numFmtId="171" fontId="4" fillId="9" borderId="1" xfId="14" applyNumberFormat="1" applyFont="1" applyFill="1" applyBorder="1" applyAlignment="1"/>
    <xf numFmtId="0" fontId="4" fillId="9" borderId="1" xfId="14" applyNumberFormat="1" applyFont="1" applyFill="1" applyBorder="1" applyAlignment="1">
      <alignment horizontal="center"/>
    </xf>
    <xf numFmtId="0" fontId="4" fillId="7" borderId="12" xfId="1" applyFont="1" applyFill="1" applyBorder="1" applyAlignment="1">
      <alignment horizontal="center"/>
    </xf>
    <xf numFmtId="0" fontId="4" fillId="7" borderId="9" xfId="1" applyNumberFormat="1" applyFont="1" applyFill="1" applyBorder="1" applyAlignment="1">
      <alignment horizontal="center"/>
    </xf>
    <xf numFmtId="171" fontId="4" fillId="9" borderId="1" xfId="17" applyNumberFormat="1" applyFont="1" applyFill="1" applyBorder="1" applyAlignment="1">
      <alignment horizontal="center"/>
    </xf>
    <xf numFmtId="171" fontId="4" fillId="9" borderId="2" xfId="14" applyNumberFormat="1" applyFont="1" applyFill="1" applyBorder="1" applyAlignment="1">
      <alignment horizontal="center"/>
    </xf>
    <xf numFmtId="165" fontId="4" fillId="9" borderId="2" xfId="14" applyNumberFormat="1" applyFont="1" applyFill="1" applyBorder="1"/>
    <xf numFmtId="171" fontId="4" fillId="9" borderId="2" xfId="14" applyNumberFormat="1" applyFont="1" applyFill="1" applyBorder="1" applyAlignment="1"/>
    <xf numFmtId="0" fontId="4" fillId="9" borderId="2" xfId="14" applyNumberFormat="1" applyFont="1" applyFill="1" applyBorder="1" applyAlignment="1">
      <alignment horizontal="center"/>
    </xf>
    <xf numFmtId="0" fontId="4" fillId="7" borderId="11" xfId="1" applyNumberFormat="1" applyFont="1" applyFill="1" applyBorder="1" applyAlignment="1">
      <alignment horizontal="center"/>
    </xf>
    <xf numFmtId="171" fontId="4" fillId="9" borderId="2" xfId="17" applyNumberFormat="1" applyFont="1" applyFill="1" applyBorder="1" applyAlignment="1">
      <alignment horizontal="center"/>
    </xf>
    <xf numFmtId="0" fontId="4" fillId="7" borderId="4" xfId="1" applyNumberFormat="1" applyFont="1" applyFill="1" applyBorder="1" applyAlignment="1">
      <alignment horizontal="center"/>
    </xf>
    <xf numFmtId="171" fontId="4" fillId="9" borderId="5" xfId="17" applyNumberFormat="1" applyFont="1" applyFill="1" applyBorder="1" applyAlignment="1">
      <alignment horizontal="center"/>
    </xf>
    <xf numFmtId="0" fontId="12" fillId="4" borderId="7" xfId="1" applyFont="1" applyFill="1" applyBorder="1" applyAlignment="1">
      <alignment horizontal="center" vertical="center" wrapText="1"/>
    </xf>
    <xf numFmtId="165" fontId="12" fillId="4" borderId="7" xfId="14" applyNumberFormat="1" applyFont="1" applyFill="1" applyBorder="1" applyAlignment="1">
      <alignment horizontal="center" vertical="center" wrapText="1"/>
    </xf>
    <xf numFmtId="0" fontId="12" fillId="12" borderId="7" xfId="1" applyFont="1" applyFill="1" applyBorder="1" applyAlignment="1">
      <alignment horizontal="center" vertical="center" wrapText="1"/>
    </xf>
    <xf numFmtId="0" fontId="12" fillId="4" borderId="6" xfId="1" applyFont="1" applyFill="1" applyBorder="1" applyAlignment="1">
      <alignment horizontal="center" vertical="center" wrapText="1"/>
    </xf>
    <xf numFmtId="0" fontId="4" fillId="4" borderId="7" xfId="1" applyFont="1" applyFill="1" applyBorder="1" applyAlignment="1">
      <alignment vertical="center"/>
    </xf>
    <xf numFmtId="0" fontId="4" fillId="9" borderId="0" xfId="1" applyFont="1" applyFill="1" applyBorder="1" applyAlignment="1">
      <alignment horizontal="left"/>
    </xf>
    <xf numFmtId="0" fontId="4" fillId="9" borderId="7" xfId="1" applyFont="1" applyFill="1" applyBorder="1"/>
    <xf numFmtId="0" fontId="4" fillId="0" borderId="13" xfId="1" applyFont="1" applyFill="1" applyBorder="1"/>
    <xf numFmtId="0" fontId="4" fillId="2" borderId="0" xfId="1" applyFont="1" applyFill="1" applyBorder="1"/>
    <xf numFmtId="0" fontId="4" fillId="2" borderId="0" xfId="1" applyFont="1" applyFill="1" applyBorder="1" applyAlignment="1">
      <alignment horizontal="left"/>
    </xf>
    <xf numFmtId="0" fontId="4" fillId="0" borderId="9" xfId="1" applyFont="1" applyBorder="1"/>
    <xf numFmtId="0" fontId="4" fillId="0" borderId="3" xfId="1" applyFont="1" applyBorder="1"/>
    <xf numFmtId="0" fontId="4" fillId="0" borderId="10" xfId="1" applyFont="1" applyBorder="1"/>
    <xf numFmtId="0" fontId="4" fillId="9" borderId="9" xfId="1" applyFont="1" applyFill="1" applyBorder="1"/>
    <xf numFmtId="0" fontId="4" fillId="0" borderId="3" xfId="1" applyFont="1" applyBorder="1" applyAlignment="1">
      <alignment horizontal="left"/>
    </xf>
    <xf numFmtId="11" fontId="4" fillId="2" borderId="0" xfId="1" applyNumberFormat="1" applyFont="1" applyFill="1" applyBorder="1"/>
    <xf numFmtId="0" fontId="4" fillId="13" borderId="0" xfId="1" applyNumberFormat="1" applyFont="1" applyFill="1" applyBorder="1" applyAlignment="1" applyProtection="1">
      <alignment vertical="center"/>
    </xf>
    <xf numFmtId="171" fontId="4" fillId="9" borderId="5" xfId="14" applyNumberFormat="1" applyFont="1" applyFill="1" applyBorder="1" applyAlignment="1"/>
    <xf numFmtId="171" fontId="4" fillId="9" borderId="5" xfId="14" applyNumberFormat="1" applyFont="1" applyFill="1" applyBorder="1" applyAlignment="1">
      <alignment horizontal="center"/>
    </xf>
    <xf numFmtId="171" fontId="4" fillId="7" borderId="5" xfId="1" applyNumberFormat="1" applyFont="1" applyFill="1" applyBorder="1" applyAlignment="1">
      <alignment horizontal="center"/>
    </xf>
    <xf numFmtId="0" fontId="12" fillId="2" borderId="0" xfId="1" applyNumberFormat="1" applyFont="1" applyFill="1" applyBorder="1" applyAlignment="1" applyProtection="1">
      <alignment vertical="center"/>
    </xf>
    <xf numFmtId="0" fontId="4" fillId="0" borderId="11" xfId="1" applyFont="1" applyBorder="1"/>
    <xf numFmtId="0" fontId="4" fillId="0" borderId="0" xfId="1" applyFont="1" applyBorder="1"/>
    <xf numFmtId="0" fontId="4" fillId="7" borderId="12" xfId="1" applyFont="1" applyFill="1" applyBorder="1" applyAlignment="1">
      <alignment horizontal="left"/>
    </xf>
    <xf numFmtId="0" fontId="13" fillId="7" borderId="0" xfId="1" applyFont="1" applyFill="1" applyBorder="1"/>
    <xf numFmtId="0" fontId="4" fillId="7" borderId="4" xfId="1" applyFont="1" applyFill="1" applyBorder="1"/>
    <xf numFmtId="0" fontId="4" fillId="7" borderId="14" xfId="1" applyFont="1" applyFill="1" applyBorder="1"/>
    <xf numFmtId="0" fontId="4" fillId="7" borderId="3" xfId="1" applyFont="1" applyFill="1" applyBorder="1" applyAlignment="1">
      <alignment horizontal="center"/>
    </xf>
    <xf numFmtId="0" fontId="4" fillId="7" borderId="10" xfId="1" applyFont="1" applyFill="1" applyBorder="1" applyAlignment="1">
      <alignment horizontal="center"/>
    </xf>
    <xf numFmtId="0" fontId="10" fillId="2" borderId="0" xfId="1" applyFont="1" applyFill="1"/>
    <xf numFmtId="0" fontId="4" fillId="7" borderId="14" xfId="1" applyFont="1" applyFill="1" applyBorder="1" applyAlignment="1">
      <alignment horizontal="center"/>
    </xf>
    <xf numFmtId="10" fontId="4" fillId="2" borderId="0" xfId="14" applyNumberFormat="1" applyFont="1" applyFill="1"/>
    <xf numFmtId="0" fontId="4" fillId="9" borderId="13" xfId="1" applyFont="1" applyFill="1" applyBorder="1"/>
    <xf numFmtId="0" fontId="4" fillId="7" borderId="0" xfId="1" applyFont="1" applyFill="1" applyBorder="1" applyAlignment="1">
      <alignment horizontal="center" vertical="center"/>
    </xf>
    <xf numFmtId="171" fontId="4" fillId="9" borderId="11" xfId="14" applyNumberFormat="1" applyFont="1" applyFill="1" applyBorder="1" applyAlignment="1">
      <alignment horizontal="center"/>
    </xf>
    <xf numFmtId="2" fontId="4" fillId="9" borderId="2" xfId="14" applyNumberFormat="1" applyFont="1" applyFill="1" applyBorder="1" applyAlignment="1">
      <alignment horizontal="center"/>
    </xf>
    <xf numFmtId="2" fontId="4" fillId="9" borderId="2" xfId="14" applyNumberFormat="1" applyFont="1" applyFill="1" applyBorder="1"/>
    <xf numFmtId="0" fontId="4" fillId="7" borderId="2" xfId="1" applyFont="1" applyFill="1" applyBorder="1" applyAlignment="1">
      <alignment horizontal="center"/>
    </xf>
    <xf numFmtId="2" fontId="4" fillId="9" borderId="1" xfId="14" applyNumberFormat="1" applyFont="1" applyFill="1" applyBorder="1" applyAlignment="1"/>
    <xf numFmtId="2" fontId="4" fillId="9" borderId="2" xfId="14" applyNumberFormat="1" applyFont="1" applyFill="1" applyBorder="1" applyAlignment="1"/>
    <xf numFmtId="0" fontId="4" fillId="9" borderId="2" xfId="14" applyNumberFormat="1" applyFont="1" applyFill="1" applyBorder="1" applyAlignment="1"/>
    <xf numFmtId="2" fontId="4" fillId="7" borderId="12" xfId="1" applyNumberFormat="1" applyFont="1" applyFill="1" applyBorder="1" applyAlignment="1">
      <alignment horizontal="center"/>
    </xf>
    <xf numFmtId="0" fontId="4" fillId="4" borderId="6" xfId="1" applyFont="1" applyFill="1" applyBorder="1" applyAlignment="1">
      <alignment horizontal="center" vertical="center" wrapText="1"/>
    </xf>
    <xf numFmtId="0" fontId="4" fillId="12" borderId="6" xfId="1" applyFont="1" applyFill="1" applyBorder="1" applyAlignment="1">
      <alignment horizontal="center" vertical="center" wrapText="1"/>
    </xf>
    <xf numFmtId="0" fontId="4" fillId="9" borderId="0" xfId="1" applyFont="1" applyFill="1"/>
    <xf numFmtId="0" fontId="4" fillId="9" borderId="12" xfId="1" applyFont="1" applyFill="1" applyBorder="1" applyAlignment="1">
      <alignment horizontal="left"/>
    </xf>
    <xf numFmtId="171" fontId="4" fillId="9" borderId="9" xfId="14" applyNumberFormat="1" applyFont="1" applyFill="1" applyBorder="1" applyAlignment="1">
      <alignment horizontal="center"/>
    </xf>
    <xf numFmtId="2" fontId="4" fillId="9" borderId="1" xfId="14" applyNumberFormat="1" applyFont="1" applyFill="1" applyBorder="1" applyAlignment="1">
      <alignment horizontal="center"/>
    </xf>
    <xf numFmtId="0" fontId="4" fillId="9" borderId="1" xfId="14" applyNumberFormat="1" applyFont="1" applyFill="1" applyBorder="1" applyAlignment="1"/>
    <xf numFmtId="2" fontId="4" fillId="9" borderId="1" xfId="14" applyNumberFormat="1" applyFont="1" applyFill="1" applyBorder="1"/>
    <xf numFmtId="173" fontId="4" fillId="0" borderId="1" xfId="14" applyNumberFormat="1" applyFont="1" applyFill="1" applyBorder="1" applyAlignment="1"/>
    <xf numFmtId="165" fontId="4" fillId="7" borderId="0" xfId="14" applyNumberFormat="1" applyFont="1" applyFill="1" applyBorder="1" applyAlignment="1">
      <alignment horizontal="center"/>
    </xf>
    <xf numFmtId="170" fontId="4" fillId="7" borderId="0" xfId="14" applyNumberFormat="1" applyFont="1" applyFill="1" applyBorder="1" applyAlignment="1">
      <alignment horizontal="center"/>
    </xf>
    <xf numFmtId="164" fontId="4" fillId="0" borderId="1" xfId="14" applyNumberFormat="1" applyFont="1" applyFill="1" applyBorder="1" applyAlignment="1"/>
    <xf numFmtId="170" fontId="11" fillId="14" borderId="7" xfId="1" applyNumberFormat="1" applyFont="1" applyFill="1" applyBorder="1" applyAlignment="1" applyProtection="1">
      <alignment horizontal="left"/>
    </xf>
    <xf numFmtId="0" fontId="4" fillId="7" borderId="7" xfId="1" applyFont="1" applyFill="1" applyBorder="1"/>
    <xf numFmtId="174" fontId="4" fillId="0" borderId="5" xfId="14" applyNumberFormat="1" applyFont="1" applyFill="1" applyBorder="1" applyAlignment="1"/>
    <xf numFmtId="0" fontId="4" fillId="0" borderId="5" xfId="14" applyNumberFormat="1" applyFont="1" applyFill="1" applyBorder="1" applyAlignment="1"/>
    <xf numFmtId="2" fontId="4" fillId="0" borderId="1" xfId="14" applyNumberFormat="1" applyFont="1" applyFill="1" applyBorder="1" applyAlignment="1"/>
    <xf numFmtId="165" fontId="4" fillId="0" borderId="1" xfId="14" applyNumberFormat="1" applyFont="1" applyFill="1" applyBorder="1" applyAlignment="1"/>
    <xf numFmtId="0" fontId="4" fillId="0" borderId="7" xfId="14" applyNumberFormat="1" applyFont="1" applyFill="1" applyBorder="1" applyAlignment="1">
      <alignment horizontal="center"/>
    </xf>
    <xf numFmtId="0" fontId="4" fillId="0" borderId="6" xfId="14" applyNumberFormat="1" applyFont="1" applyFill="1" applyBorder="1" applyAlignment="1">
      <alignment horizontal="center"/>
    </xf>
    <xf numFmtId="0" fontId="12" fillId="12" borderId="15" xfId="14" applyNumberFormat="1" applyFont="1" applyFill="1" applyBorder="1" applyAlignment="1">
      <alignment horizontal="center"/>
    </xf>
    <xf numFmtId="164" fontId="12" fillId="4" borderId="7" xfId="14" applyNumberFormat="1" applyFont="1" applyFill="1" applyBorder="1" applyAlignment="1">
      <alignment horizontal="center" vertical="center" wrapText="1"/>
    </xf>
    <xf numFmtId="165" fontId="12" fillId="12" borderId="7" xfId="14" applyNumberFormat="1" applyFont="1" applyFill="1" applyBorder="1" applyAlignment="1">
      <alignment horizontal="center" vertical="center" wrapText="1"/>
    </xf>
    <xf numFmtId="0" fontId="4" fillId="4" borderId="5" xfId="1" applyFont="1" applyFill="1" applyBorder="1" applyAlignment="1">
      <alignment horizontal="center"/>
    </xf>
    <xf numFmtId="170" fontId="4" fillId="15" borderId="7" xfId="1" applyNumberFormat="1" applyFont="1" applyFill="1" applyBorder="1" applyAlignment="1" applyProtection="1">
      <alignment horizontal="center" vertical="center" wrapText="1"/>
    </xf>
    <xf numFmtId="0" fontId="4" fillId="15" borderId="7" xfId="1" applyNumberFormat="1" applyFont="1" applyFill="1" applyBorder="1" applyAlignment="1" applyProtection="1">
      <alignment horizontal="center" vertical="center" wrapText="1"/>
    </xf>
    <xf numFmtId="175" fontId="2" fillId="2" borderId="0" xfId="0" applyNumberFormat="1" applyFont="1" applyFill="1"/>
    <xf numFmtId="0" fontId="2" fillId="0" borderId="3" xfId="0" applyFont="1" applyBorder="1"/>
    <xf numFmtId="0" fontId="2" fillId="0" borderId="10" xfId="0" applyFont="1" applyBorder="1"/>
    <xf numFmtId="171" fontId="4" fillId="9" borderId="1" xfId="14" applyNumberFormat="1" applyFont="1" applyFill="1" applyBorder="1" applyAlignment="1">
      <alignment horizontal="center" vertical="center"/>
    </xf>
    <xf numFmtId="165" fontId="4" fillId="9" borderId="1" xfId="14" applyNumberFormat="1" applyFont="1" applyFill="1" applyBorder="1" applyAlignment="1">
      <alignment horizontal="center" vertical="center"/>
    </xf>
    <xf numFmtId="165" fontId="4" fillId="9" borderId="2" xfId="14" applyNumberFormat="1" applyFont="1" applyFill="1" applyBorder="1" applyAlignment="1">
      <alignment horizontal="center" vertical="center"/>
    </xf>
    <xf numFmtId="0" fontId="4" fillId="9" borderId="2" xfId="14" applyNumberFormat="1" applyFont="1" applyFill="1" applyBorder="1" applyAlignment="1">
      <alignment horizontal="center" vertical="center"/>
    </xf>
    <xf numFmtId="164" fontId="4" fillId="11" borderId="10" xfId="1" applyNumberFormat="1" applyFont="1" applyFill="1" applyBorder="1" applyAlignment="1">
      <alignment horizontal="center"/>
    </xf>
    <xf numFmtId="171" fontId="4" fillId="9" borderId="2" xfId="14" applyNumberFormat="1" applyFont="1" applyFill="1" applyBorder="1" applyAlignment="1">
      <alignment horizontal="center" vertical="center"/>
    </xf>
    <xf numFmtId="165" fontId="4" fillId="9" borderId="2" xfId="14" quotePrefix="1" applyNumberFormat="1" applyFont="1" applyFill="1" applyBorder="1" applyAlignment="1">
      <alignment horizontal="center" vertical="center"/>
    </xf>
    <xf numFmtId="164" fontId="4" fillId="11" borderId="12" xfId="1" applyNumberFormat="1" applyFont="1" applyFill="1" applyBorder="1" applyAlignment="1">
      <alignment horizontal="center"/>
    </xf>
    <xf numFmtId="165" fontId="4" fillId="9" borderId="5" xfId="14" quotePrefix="1" applyNumberFormat="1" applyFont="1" applyFill="1" applyBorder="1" applyAlignment="1">
      <alignment horizontal="center" vertical="center"/>
    </xf>
    <xf numFmtId="0" fontId="4" fillId="9" borderId="5" xfId="14" applyNumberFormat="1" applyFont="1" applyFill="1" applyBorder="1" applyAlignment="1"/>
    <xf numFmtId="0" fontId="4" fillId="9" borderId="5" xfId="14" applyNumberFormat="1" applyFont="1" applyFill="1" applyBorder="1" applyAlignment="1">
      <alignment horizontal="center" vertical="center"/>
    </xf>
    <xf numFmtId="165" fontId="4" fillId="9" borderId="5" xfId="14" applyNumberFormat="1" applyFont="1" applyFill="1" applyBorder="1" applyAlignment="1">
      <alignment horizontal="center" vertical="center"/>
    </xf>
    <xf numFmtId="164" fontId="4" fillId="11" borderId="13" xfId="1" applyNumberFormat="1" applyFont="1" applyFill="1" applyBorder="1" applyAlignment="1">
      <alignment horizontal="center"/>
    </xf>
    <xf numFmtId="0" fontId="2" fillId="9" borderId="0" xfId="0" applyFont="1" applyFill="1" applyBorder="1"/>
    <xf numFmtId="0" fontId="2" fillId="9" borderId="4" xfId="0" applyFont="1" applyFill="1" applyBorder="1"/>
    <xf numFmtId="0" fontId="2" fillId="9" borderId="8" xfId="0" applyFont="1" applyFill="1" applyBorder="1"/>
    <xf numFmtId="0" fontId="2" fillId="9" borderId="13" xfId="0" applyFont="1" applyFill="1" applyBorder="1"/>
    <xf numFmtId="0" fontId="2" fillId="9" borderId="3" xfId="0" applyFont="1" applyFill="1" applyBorder="1"/>
    <xf numFmtId="0" fontId="2" fillId="9" borderId="10" xfId="0" applyFont="1" applyFill="1" applyBorder="1"/>
    <xf numFmtId="0" fontId="2" fillId="9" borderId="12" xfId="0" applyFont="1" applyFill="1" applyBorder="1"/>
    <xf numFmtId="165" fontId="4" fillId="11" borderId="5" xfId="1" applyNumberFormat="1" applyFont="1" applyFill="1" applyBorder="1" applyAlignment="1">
      <alignment horizontal="center"/>
    </xf>
    <xf numFmtId="165" fontId="4" fillId="11" borderId="13" xfId="1" applyNumberFormat="1" applyFont="1" applyFill="1" applyBorder="1" applyAlignment="1">
      <alignment horizontal="center"/>
    </xf>
    <xf numFmtId="0" fontId="2" fillId="2" borderId="0" xfId="0" applyFont="1" applyFill="1" applyAlignment="1">
      <alignment horizontal="center" vertical="center"/>
    </xf>
    <xf numFmtId="171" fontId="4" fillId="0" borderId="2" xfId="14" applyNumberFormat="1" applyFont="1" applyFill="1" applyBorder="1" applyAlignment="1">
      <alignment horizontal="center"/>
    </xf>
    <xf numFmtId="165" fontId="4" fillId="0" borderId="2" xfId="14" applyNumberFormat="1" applyFont="1" applyFill="1" applyBorder="1" applyAlignment="1"/>
    <xf numFmtId="0" fontId="4" fillId="7" borderId="0" xfId="1" applyFont="1" applyFill="1" applyBorder="1" applyAlignment="1"/>
    <xf numFmtId="165" fontId="4" fillId="0" borderId="2" xfId="14" applyNumberFormat="1" applyFont="1" applyBorder="1" applyAlignment="1"/>
    <xf numFmtId="0" fontId="4" fillId="0" borderId="2" xfId="14" applyNumberFormat="1" applyFont="1" applyFill="1" applyBorder="1" applyAlignment="1"/>
    <xf numFmtId="0" fontId="4" fillId="0" borderId="1" xfId="14" applyNumberFormat="1" applyFont="1" applyFill="1" applyBorder="1" applyAlignment="1">
      <alignment horizontal="center"/>
    </xf>
    <xf numFmtId="0" fontId="4" fillId="0" borderId="2" xfId="14" applyNumberFormat="1" applyFont="1" applyFill="1" applyBorder="1" applyAlignment="1">
      <alignment horizontal="center"/>
    </xf>
    <xf numFmtId="171" fontId="4" fillId="0" borderId="5" xfId="14" applyNumberFormat="1" applyFont="1" applyFill="1" applyBorder="1" applyAlignment="1">
      <alignment horizontal="center"/>
    </xf>
    <xf numFmtId="165" fontId="4" fillId="0" borderId="5" xfId="14" applyNumberFormat="1" applyFont="1" applyFill="1" applyBorder="1" applyAlignment="1"/>
    <xf numFmtId="165" fontId="4" fillId="0" borderId="5" xfId="14" applyNumberFormat="1" applyFont="1" applyBorder="1" applyAlignment="1"/>
    <xf numFmtId="0" fontId="4" fillId="0" borderId="5" xfId="14" applyNumberFormat="1" applyFont="1" applyFill="1" applyBorder="1" applyAlignment="1">
      <alignment horizontal="center"/>
    </xf>
    <xf numFmtId="0" fontId="12" fillId="4" borderId="5" xfId="1" applyFont="1" applyFill="1" applyBorder="1" applyAlignment="1">
      <alignment horizontal="center" vertical="center" wrapText="1"/>
    </xf>
    <xf numFmtId="0" fontId="4" fillId="9" borderId="14" xfId="1" applyFont="1" applyFill="1" applyBorder="1"/>
    <xf numFmtId="0" fontId="4" fillId="9" borderId="3" xfId="1" applyFont="1" applyFill="1" applyBorder="1"/>
    <xf numFmtId="0" fontId="4" fillId="9" borderId="10" xfId="1" applyFont="1" applyFill="1" applyBorder="1"/>
    <xf numFmtId="0" fontId="4" fillId="9" borderId="11" xfId="1" applyFont="1" applyFill="1" applyBorder="1" applyAlignment="1">
      <alignment horizontal="center"/>
    </xf>
    <xf numFmtId="0" fontId="4" fillId="9" borderId="12" xfId="1" applyNumberFormat="1" applyFont="1" applyFill="1" applyBorder="1" applyAlignment="1"/>
    <xf numFmtId="0" fontId="4" fillId="9" borderId="1" xfId="1" applyNumberFormat="1" applyFont="1" applyFill="1" applyBorder="1" applyAlignment="1">
      <alignment horizontal="center" vertical="center"/>
    </xf>
    <xf numFmtId="0" fontId="4" fillId="9" borderId="2" xfId="1" applyNumberFormat="1" applyFont="1" applyFill="1" applyBorder="1" applyAlignment="1">
      <alignment horizontal="center" vertical="center"/>
    </xf>
    <xf numFmtId="0" fontId="4" fillId="9" borderId="1" xfId="1" applyNumberFormat="1" applyFont="1" applyFill="1" applyBorder="1" applyAlignment="1"/>
    <xf numFmtId="0" fontId="4" fillId="9" borderId="2" xfId="1" applyNumberFormat="1" applyFont="1" applyFill="1" applyBorder="1" applyAlignment="1"/>
    <xf numFmtId="171" fontId="4" fillId="9" borderId="5" xfId="14" applyNumberFormat="1" applyFont="1" applyFill="1" applyBorder="1" applyAlignment="1">
      <alignment horizontal="center" vertical="center"/>
    </xf>
    <xf numFmtId="0" fontId="4" fillId="9" borderId="5" xfId="1" applyNumberFormat="1" applyFont="1" applyFill="1" applyBorder="1" applyAlignment="1"/>
    <xf numFmtId="0" fontId="4" fillId="9" borderId="5" xfId="1" applyNumberFormat="1" applyFont="1" applyFill="1" applyBorder="1" applyAlignment="1">
      <alignment horizontal="center" vertical="center"/>
    </xf>
    <xf numFmtId="0" fontId="4" fillId="9" borderId="13" xfId="1" applyNumberFormat="1" applyFont="1" applyFill="1" applyBorder="1" applyAlignment="1"/>
    <xf numFmtId="0" fontId="4" fillId="4" borderId="14" xfId="1" applyFont="1" applyFill="1" applyBorder="1" applyAlignment="1">
      <alignment horizontal="center" vertical="center"/>
    </xf>
    <xf numFmtId="0" fontId="4" fillId="4" borderId="16" xfId="1" applyFont="1" applyFill="1" applyBorder="1" applyAlignment="1">
      <alignment horizontal="center" vertical="center"/>
    </xf>
    <xf numFmtId="0" fontId="5" fillId="9" borderId="11" xfId="1" applyFont="1" applyFill="1" applyBorder="1"/>
    <xf numFmtId="0" fontId="5" fillId="9" borderId="0" xfId="1" applyFont="1" applyFill="1" applyBorder="1" applyAlignment="1">
      <alignment horizontal="left"/>
    </xf>
    <xf numFmtId="0" fontId="5" fillId="9" borderId="0" xfId="1" applyFont="1" applyFill="1" applyBorder="1"/>
    <xf numFmtId="0" fontId="5" fillId="9" borderId="12" xfId="1" applyFont="1" applyFill="1" applyBorder="1" applyAlignment="1">
      <alignment horizontal="center"/>
    </xf>
    <xf numFmtId="0" fontId="5" fillId="9" borderId="4" xfId="1" applyFont="1" applyFill="1" applyBorder="1"/>
    <xf numFmtId="0" fontId="5" fillId="9" borderId="8" xfId="1" applyFont="1" applyFill="1" applyBorder="1"/>
    <xf numFmtId="0" fontId="5" fillId="9" borderId="8" xfId="1" applyFont="1" applyFill="1" applyBorder="1" applyAlignment="1">
      <alignment horizontal="left"/>
    </xf>
    <xf numFmtId="0" fontId="5" fillId="9" borderId="13" xfId="1" applyFont="1" applyFill="1" applyBorder="1" applyAlignment="1">
      <alignment horizontal="left"/>
    </xf>
    <xf numFmtId="0" fontId="4" fillId="9" borderId="0" xfId="1" applyFont="1" applyFill="1" applyBorder="1" applyAlignment="1"/>
    <xf numFmtId="0" fontId="4" fillId="9" borderId="10" xfId="14" applyNumberFormat="1" applyFont="1" applyFill="1" applyBorder="1" applyAlignment="1">
      <alignment horizontal="center"/>
    </xf>
    <xf numFmtId="170" fontId="11" fillId="10" borderId="1" xfId="1" applyNumberFormat="1" applyFont="1" applyFill="1" applyBorder="1" applyAlignment="1" applyProtection="1">
      <alignment horizontal="left"/>
    </xf>
    <xf numFmtId="0" fontId="4" fillId="11" borderId="9" xfId="1" applyFont="1" applyFill="1" applyBorder="1" applyAlignment="1"/>
    <xf numFmtId="0" fontId="4" fillId="11" borderId="1" xfId="1" applyFont="1" applyFill="1" applyBorder="1" applyAlignment="1"/>
    <xf numFmtId="0" fontId="4" fillId="11" borderId="10" xfId="1" applyFont="1" applyFill="1" applyBorder="1" applyAlignment="1"/>
    <xf numFmtId="0" fontId="4" fillId="9" borderId="12" xfId="14" applyNumberFormat="1" applyFont="1" applyFill="1" applyBorder="1" applyAlignment="1">
      <alignment horizontal="center"/>
    </xf>
    <xf numFmtId="170" fontId="11" fillId="10" borderId="2" xfId="1" applyNumberFormat="1" applyFont="1" applyFill="1" applyBorder="1" applyAlignment="1" applyProtection="1">
      <alignment horizontal="left"/>
    </xf>
    <xf numFmtId="0" fontId="4" fillId="11" borderId="11" xfId="1" applyFont="1" applyFill="1" applyBorder="1" applyAlignment="1"/>
    <xf numFmtId="0" fontId="4" fillId="11" borderId="2" xfId="1" applyFont="1" applyFill="1" applyBorder="1" applyAlignment="1"/>
    <xf numFmtId="0" fontId="4" fillId="11" borderId="12" xfId="1" applyFont="1" applyFill="1" applyBorder="1" applyAlignment="1"/>
    <xf numFmtId="171" fontId="4" fillId="9" borderId="4" xfId="14" applyNumberFormat="1" applyFont="1" applyFill="1" applyBorder="1" applyAlignment="1">
      <alignment horizontal="center"/>
    </xf>
    <xf numFmtId="0" fontId="4" fillId="9" borderId="13" xfId="14" applyNumberFormat="1" applyFont="1" applyFill="1" applyBorder="1" applyAlignment="1">
      <alignment horizontal="center"/>
    </xf>
    <xf numFmtId="170" fontId="11" fillId="10" borderId="5" xfId="1" applyNumberFormat="1" applyFont="1" applyFill="1" applyBorder="1" applyAlignment="1" applyProtection="1">
      <alignment horizontal="left"/>
    </xf>
    <xf numFmtId="0" fontId="4" fillId="11" borderId="4" xfId="1" applyFont="1" applyFill="1" applyBorder="1" applyAlignment="1"/>
    <xf numFmtId="0" fontId="4" fillId="11" borderId="5" xfId="1" applyFont="1" applyFill="1" applyBorder="1" applyAlignment="1"/>
    <xf numFmtId="0" fontId="4" fillId="11" borderId="13" xfId="1" applyFont="1" applyFill="1" applyBorder="1" applyAlignment="1"/>
    <xf numFmtId="171" fontId="12" fillId="4" borderId="6" xfId="14" applyNumberFormat="1" applyFont="1" applyFill="1" applyBorder="1" applyAlignment="1">
      <alignment horizontal="center" vertical="center" wrapText="1"/>
    </xf>
    <xf numFmtId="0" fontId="4" fillId="4" borderId="7" xfId="1" applyFont="1" applyFill="1" applyBorder="1"/>
    <xf numFmtId="0" fontId="2" fillId="9" borderId="9" xfId="0" applyFont="1" applyFill="1" applyBorder="1"/>
    <xf numFmtId="0" fontId="2" fillId="9" borderId="11" xfId="0" applyFont="1" applyFill="1" applyBorder="1"/>
    <xf numFmtId="0" fontId="11" fillId="10" borderId="7" xfId="1" applyNumberFormat="1" applyFont="1" applyFill="1" applyBorder="1" applyAlignment="1" applyProtection="1"/>
    <xf numFmtId="0" fontId="4" fillId="11" borderId="16" xfId="1" applyNumberFormat="1" applyFont="1" applyFill="1" applyBorder="1" applyAlignment="1"/>
    <xf numFmtId="0" fontId="2" fillId="9" borderId="11" xfId="0" applyFont="1" applyFill="1" applyBorder="1" applyAlignment="1">
      <alignment horizontal="center" vertical="center"/>
    </xf>
    <xf numFmtId="0" fontId="2" fillId="9" borderId="12" xfId="0" applyFont="1" applyFill="1" applyBorder="1" applyAlignment="1">
      <alignment horizontal="center" vertical="center"/>
    </xf>
    <xf numFmtId="0" fontId="4" fillId="16" borderId="0" xfId="1" applyFont="1" applyFill="1"/>
    <xf numFmtId="0" fontId="4" fillId="16" borderId="0" xfId="12" applyFont="1" applyFill="1"/>
    <xf numFmtId="165" fontId="4" fillId="9" borderId="7" xfId="22" applyNumberFormat="1" applyFont="1" applyFill="1" applyBorder="1" applyAlignment="1">
      <alignment vertical="center"/>
    </xf>
    <xf numFmtId="15" fontId="4" fillId="9" borderId="7" xfId="22" applyNumberFormat="1" applyFont="1" applyFill="1" applyBorder="1" applyAlignment="1">
      <alignment horizontal="center" vertical="center"/>
    </xf>
    <xf numFmtId="0" fontId="4" fillId="9" borderId="7" xfId="1" applyFont="1" applyFill="1" applyBorder="1" applyAlignment="1"/>
    <xf numFmtId="165" fontId="4" fillId="4" borderId="7" xfId="22" applyNumberFormat="1" applyFont="1" applyFill="1" applyBorder="1" applyAlignment="1">
      <alignment horizontal="center" vertical="center" wrapText="1"/>
    </xf>
    <xf numFmtId="176" fontId="4" fillId="4" borderId="7" xfId="22" applyNumberFormat="1" applyFont="1" applyFill="1" applyBorder="1" applyAlignment="1">
      <alignment horizontal="center" vertical="center" wrapText="1"/>
    </xf>
    <xf numFmtId="176" fontId="4" fillId="12" borderId="7" xfId="22" applyNumberFormat="1" applyFont="1" applyFill="1" applyBorder="1" applyAlignment="1"/>
    <xf numFmtId="0" fontId="4" fillId="6" borderId="1" xfId="1" applyNumberFormat="1" applyFont="1" applyFill="1" applyBorder="1" applyAlignment="1" applyProtection="1"/>
    <xf numFmtId="0" fontId="4" fillId="4" borderId="7" xfId="1" applyNumberFormat="1" applyFont="1" applyFill="1" applyBorder="1" applyAlignment="1"/>
    <xf numFmtId="0" fontId="4" fillId="6" borderId="7" xfId="1" applyNumberFormat="1" applyFont="1" applyFill="1" applyBorder="1" applyAlignment="1" applyProtection="1"/>
    <xf numFmtId="0" fontId="4" fillId="7" borderId="11" xfId="12" applyFont="1" applyFill="1" applyBorder="1"/>
    <xf numFmtId="0" fontId="4" fillId="9" borderId="0" xfId="8" applyFont="1" applyFill="1" applyBorder="1" applyAlignment="1"/>
    <xf numFmtId="165" fontId="4" fillId="9" borderId="0" xfId="22" applyNumberFormat="1" applyFont="1" applyFill="1" applyBorder="1" applyAlignment="1"/>
    <xf numFmtId="176" fontId="4" fillId="9" borderId="0" xfId="22" applyNumberFormat="1" applyFont="1" applyFill="1" applyBorder="1" applyAlignment="1"/>
    <xf numFmtId="171" fontId="4" fillId="9" borderId="0" xfId="22" applyNumberFormat="1" applyFont="1" applyFill="1" applyBorder="1" applyAlignment="1"/>
    <xf numFmtId="0" fontId="4" fillId="7" borderId="0" xfId="12" applyFont="1" applyFill="1" applyBorder="1"/>
    <xf numFmtId="170" fontId="4" fillId="6" borderId="1" xfId="1" applyNumberFormat="1" applyFont="1" applyFill="1" applyBorder="1" applyAlignment="1" applyProtection="1">
      <alignment horizontal="center"/>
    </xf>
    <xf numFmtId="0" fontId="4" fillId="6" borderId="9" xfId="1" applyNumberFormat="1" applyFont="1" applyFill="1" applyBorder="1" applyAlignment="1" applyProtection="1"/>
    <xf numFmtId="171" fontId="4" fillId="0" borderId="1" xfId="22" applyNumberFormat="1" applyFont="1" applyFill="1" applyBorder="1" applyAlignment="1"/>
    <xf numFmtId="0" fontId="4" fillId="0" borderId="1" xfId="8" applyFont="1" applyBorder="1" applyAlignment="1"/>
    <xf numFmtId="165" fontId="4" fillId="0" borderId="1" xfId="22" applyNumberFormat="1" applyFont="1" applyFill="1" applyBorder="1" applyAlignment="1"/>
    <xf numFmtId="176" fontId="4" fillId="0" borderId="1" xfId="22" applyNumberFormat="1" applyFont="1" applyFill="1" applyBorder="1" applyAlignment="1"/>
    <xf numFmtId="0" fontId="4" fillId="6" borderId="2" xfId="1" applyNumberFormat="1" applyFont="1" applyFill="1" applyBorder="1" applyAlignment="1" applyProtection="1"/>
    <xf numFmtId="0" fontId="4" fillId="6" borderId="11" xfId="1" applyNumberFormat="1" applyFont="1" applyFill="1" applyBorder="1" applyAlignment="1" applyProtection="1"/>
    <xf numFmtId="171" fontId="4" fillId="0" borderId="2" xfId="22" applyNumberFormat="1" applyFont="1" applyFill="1" applyBorder="1" applyAlignment="1"/>
    <xf numFmtId="0" fontId="4" fillId="0" borderId="2" xfId="8" applyFont="1" applyBorder="1" applyAlignment="1"/>
    <xf numFmtId="165" fontId="4" fillId="0" borderId="2" xfId="22" applyNumberFormat="1" applyFont="1" applyFill="1" applyBorder="1" applyAlignment="1"/>
    <xf numFmtId="176" fontId="4" fillId="0" borderId="2" xfId="22" applyNumberFormat="1" applyFont="1" applyFill="1" applyBorder="1" applyAlignment="1"/>
    <xf numFmtId="171" fontId="4" fillId="0" borderId="5" xfId="22" applyNumberFormat="1" applyFont="1" applyFill="1" applyBorder="1" applyAlignment="1"/>
    <xf numFmtId="0" fontId="4" fillId="9" borderId="7" xfId="12" applyFont="1" applyFill="1" applyBorder="1"/>
    <xf numFmtId="171" fontId="12" fillId="4" borderId="5" xfId="22" applyNumberFormat="1" applyFont="1" applyFill="1" applyBorder="1" applyAlignment="1">
      <alignment horizontal="center" vertical="center" wrapText="1"/>
    </xf>
    <xf numFmtId="171" fontId="12" fillId="12" borderId="5" xfId="22" applyNumberFormat="1" applyFont="1" applyFill="1" applyBorder="1" applyAlignment="1">
      <alignment horizontal="center" vertical="center" wrapText="1"/>
    </xf>
    <xf numFmtId="0" fontId="4" fillId="7" borderId="0" xfId="12" applyFont="1" applyFill="1" applyBorder="1" applyAlignment="1">
      <alignment horizontal="center" vertical="center" wrapText="1"/>
    </xf>
    <xf numFmtId="0" fontId="14" fillId="4" borderId="7" xfId="1" applyNumberFormat="1" applyFont="1" applyFill="1" applyBorder="1" applyAlignment="1">
      <alignment horizontal="center" vertical="center" wrapText="1"/>
    </xf>
    <xf numFmtId="0" fontId="4" fillId="7" borderId="4" xfId="12" applyFont="1" applyFill="1" applyBorder="1"/>
    <xf numFmtId="0" fontId="4" fillId="7" borderId="8" xfId="12" applyFont="1" applyFill="1" applyBorder="1"/>
    <xf numFmtId="0" fontId="15" fillId="7" borderId="8" xfId="12" applyFont="1" applyFill="1" applyBorder="1" applyAlignment="1">
      <alignment horizontal="center"/>
    </xf>
    <xf numFmtId="0" fontId="14" fillId="7" borderId="8" xfId="1" applyFont="1" applyFill="1" applyBorder="1"/>
    <xf numFmtId="0" fontId="3" fillId="2" borderId="0" xfId="1" applyFill="1"/>
    <xf numFmtId="0" fontId="3" fillId="9" borderId="9" xfId="1" applyFill="1" applyBorder="1"/>
    <xf numFmtId="0" fontId="3" fillId="9" borderId="3" xfId="1" applyFill="1" applyBorder="1"/>
    <xf numFmtId="0" fontId="3" fillId="9" borderId="10" xfId="1" applyFill="1" applyBorder="1"/>
    <xf numFmtId="0" fontId="3" fillId="9" borderId="11" xfId="1" applyFill="1" applyBorder="1"/>
    <xf numFmtId="0" fontId="4" fillId="9" borderId="1" xfId="1" applyFont="1" applyFill="1" applyBorder="1" applyAlignment="1">
      <alignment horizontal="center"/>
    </xf>
    <xf numFmtId="0" fontId="2" fillId="4" borderId="1" xfId="0" applyFont="1" applyFill="1" applyBorder="1"/>
    <xf numFmtId="0" fontId="3" fillId="9" borderId="12" xfId="1" applyFill="1" applyBorder="1"/>
    <xf numFmtId="0" fontId="4" fillId="9" borderId="2" xfId="1" applyFont="1" applyFill="1" applyBorder="1" applyAlignment="1">
      <alignment horizontal="center"/>
    </xf>
    <xf numFmtId="0" fontId="2" fillId="4" borderId="2" xfId="0" applyFont="1" applyFill="1" applyBorder="1"/>
    <xf numFmtId="0" fontId="3" fillId="17" borderId="0" xfId="1" applyFill="1"/>
    <xf numFmtId="0" fontId="7" fillId="9" borderId="11" xfId="1" applyFont="1" applyFill="1" applyBorder="1"/>
    <xf numFmtId="0" fontId="4" fillId="9" borderId="5" xfId="1" applyFont="1" applyFill="1" applyBorder="1" applyAlignment="1">
      <alignment horizontal="center"/>
    </xf>
    <xf numFmtId="0" fontId="2" fillId="4" borderId="5" xfId="0" applyFont="1" applyFill="1" applyBorder="1"/>
    <xf numFmtId="0" fontId="15" fillId="4" borderId="7" xfId="0" applyFont="1" applyFill="1" applyBorder="1" applyAlignment="1">
      <alignment horizontal="center" vertical="center"/>
    </xf>
    <xf numFmtId="0" fontId="7" fillId="9" borderId="4" xfId="1" applyFont="1" applyFill="1" applyBorder="1"/>
    <xf numFmtId="0" fontId="7" fillId="9" borderId="8" xfId="1" applyFont="1" applyFill="1" applyBorder="1"/>
    <xf numFmtId="0" fontId="3" fillId="9" borderId="13" xfId="1" applyFill="1" applyBorder="1"/>
    <xf numFmtId="0" fontId="7" fillId="2" borderId="0" xfId="1" applyFont="1" applyFill="1" applyBorder="1"/>
    <xf numFmtId="0" fontId="7" fillId="7" borderId="9" xfId="1" applyFont="1" applyFill="1" applyBorder="1"/>
    <xf numFmtId="0" fontId="7" fillId="7" borderId="3" xfId="1" applyFont="1" applyFill="1" applyBorder="1"/>
    <xf numFmtId="0" fontId="3" fillId="7" borderId="10" xfId="1" applyFill="1" applyBorder="1"/>
    <xf numFmtId="0" fontId="4" fillId="7" borderId="1" xfId="1" applyFont="1" applyFill="1" applyBorder="1" applyAlignment="1">
      <alignment horizontal="center"/>
    </xf>
    <xf numFmtId="0" fontId="4" fillId="2" borderId="1" xfId="1" applyFont="1" applyFill="1" applyBorder="1" applyAlignment="1"/>
    <xf numFmtId="0" fontId="4" fillId="2" borderId="2" xfId="1" applyFont="1" applyFill="1" applyBorder="1" applyAlignment="1"/>
    <xf numFmtId="0" fontId="4" fillId="7" borderId="5" xfId="1" applyFont="1" applyFill="1" applyBorder="1" applyAlignment="1">
      <alignment horizontal="center"/>
    </xf>
    <xf numFmtId="0" fontId="4" fillId="2" borderId="5" xfId="1" applyFont="1" applyFill="1" applyBorder="1" applyAlignment="1"/>
    <xf numFmtId="0" fontId="11" fillId="7" borderId="0" xfId="1" quotePrefix="1" applyFont="1" applyFill="1" applyBorder="1" applyAlignment="1">
      <alignment horizontal="center"/>
    </xf>
    <xf numFmtId="0" fontId="16" fillId="7" borderId="0" xfId="1" applyFont="1" applyFill="1" applyBorder="1" applyAlignment="1">
      <alignment horizontal="right"/>
    </xf>
    <xf numFmtId="0" fontId="12" fillId="4" borderId="6" xfId="1" applyFont="1" applyFill="1" applyBorder="1" applyAlignment="1">
      <alignment horizontal="centerContinuous" vertical="center"/>
    </xf>
    <xf numFmtId="0" fontId="12" fillId="4" borderId="14" xfId="1" applyFont="1" applyFill="1" applyBorder="1" applyAlignment="1">
      <alignment horizontal="centerContinuous" vertical="center"/>
    </xf>
    <xf numFmtId="0" fontId="17" fillId="4" borderId="16" xfId="1" applyFont="1" applyFill="1" applyBorder="1" applyAlignment="1">
      <alignment horizontal="centerContinuous" vertical="center"/>
    </xf>
    <xf numFmtId="15" fontId="4" fillId="7" borderId="11" xfId="1" applyNumberFormat="1" applyFont="1" applyFill="1" applyBorder="1"/>
    <xf numFmtId="0" fontId="4" fillId="7" borderId="7" xfId="1" applyFont="1" applyFill="1" applyBorder="1" applyAlignment="1">
      <alignment horizontal="center"/>
    </xf>
    <xf numFmtId="0" fontId="4" fillId="2" borderId="7" xfId="1" applyFont="1" applyFill="1" applyBorder="1" applyAlignment="1"/>
    <xf numFmtId="0" fontId="4" fillId="2" borderId="10" xfId="1" applyFont="1" applyFill="1" applyBorder="1" applyAlignment="1"/>
    <xf numFmtId="171" fontId="4" fillId="7" borderId="2" xfId="1" applyNumberFormat="1" applyFont="1" applyFill="1" applyBorder="1" applyAlignment="1">
      <alignment horizontal="center"/>
    </xf>
    <xf numFmtId="0" fontId="4" fillId="2" borderId="12" xfId="1" applyFont="1" applyFill="1" applyBorder="1" applyAlignment="1"/>
    <xf numFmtId="0" fontId="4" fillId="9" borderId="11" xfId="8" applyFont="1" applyFill="1" applyBorder="1"/>
    <xf numFmtId="164" fontId="4" fillId="9" borderId="0" xfId="1" applyNumberFormat="1" applyFont="1" applyFill="1" applyBorder="1" applyAlignment="1">
      <alignment horizontal="center"/>
    </xf>
    <xf numFmtId="0" fontId="4" fillId="9" borderId="12" xfId="8" applyFont="1" applyFill="1" applyBorder="1"/>
    <xf numFmtId="177" fontId="11" fillId="7" borderId="1" xfId="1" applyNumberFormat="1" applyFont="1" applyFill="1" applyBorder="1" applyAlignment="1">
      <alignment horizontal="center"/>
    </xf>
    <xf numFmtId="0" fontId="4" fillId="7" borderId="11" xfId="8" applyFont="1" applyFill="1" applyBorder="1"/>
    <xf numFmtId="164" fontId="4" fillId="7" borderId="1" xfId="1" applyNumberFormat="1" applyFont="1" applyFill="1" applyBorder="1" applyAlignment="1">
      <alignment horizontal="center"/>
    </xf>
    <xf numFmtId="0" fontId="4" fillId="7" borderId="12" xfId="8" applyFont="1" applyFill="1" applyBorder="1"/>
    <xf numFmtId="0" fontId="11" fillId="7" borderId="5" xfId="1" quotePrefix="1" applyFont="1" applyFill="1" applyBorder="1" applyAlignment="1">
      <alignment horizontal="center"/>
    </xf>
    <xf numFmtId="178" fontId="4" fillId="12" borderId="5" xfId="1" applyNumberFormat="1" applyFont="1" applyFill="1" applyBorder="1" applyAlignment="1">
      <alignment horizontal="center"/>
    </xf>
    <xf numFmtId="0" fontId="4" fillId="2" borderId="0" xfId="28" applyFont="1" applyFill="1"/>
    <xf numFmtId="171" fontId="4" fillId="11" borderId="1" xfId="28" applyNumberFormat="1" applyFont="1" applyFill="1" applyBorder="1"/>
    <xf numFmtId="164" fontId="4" fillId="11" borderId="1" xfId="28" applyNumberFormat="1" applyFont="1" applyFill="1" applyBorder="1"/>
    <xf numFmtId="0" fontId="4" fillId="11" borderId="1" xfId="28" applyFont="1" applyFill="1" applyBorder="1" applyAlignment="1"/>
    <xf numFmtId="171" fontId="4" fillId="11" borderId="2" xfId="28" applyNumberFormat="1" applyFont="1" applyFill="1" applyBorder="1"/>
    <xf numFmtId="164" fontId="4" fillId="11" borderId="2" xfId="28" applyNumberFormat="1" applyFont="1" applyFill="1" applyBorder="1"/>
    <xf numFmtId="0" fontId="4" fillId="11" borderId="2" xfId="28" applyFont="1" applyFill="1" applyBorder="1" applyAlignment="1"/>
    <xf numFmtId="0" fontId="4" fillId="2" borderId="0" xfId="29" applyFont="1" applyFill="1" applyBorder="1"/>
    <xf numFmtId="0" fontId="18" fillId="2" borderId="0" xfId="29" applyFont="1" applyFill="1" applyBorder="1"/>
    <xf numFmtId="0" fontId="4" fillId="7" borderId="9" xfId="28" applyFont="1" applyFill="1" applyBorder="1"/>
    <xf numFmtId="0" fontId="4" fillId="7" borderId="3" xfId="28" applyFont="1" applyFill="1" applyBorder="1"/>
    <xf numFmtId="0" fontId="4" fillId="7" borderId="3" xfId="29" applyFont="1" applyFill="1" applyBorder="1"/>
    <xf numFmtId="0" fontId="18" fillId="7" borderId="10" xfId="29" applyFont="1" applyFill="1" applyBorder="1"/>
    <xf numFmtId="0" fontId="4" fillId="7" borderId="11" xfId="28" applyFont="1" applyFill="1" applyBorder="1"/>
    <xf numFmtId="171" fontId="4" fillId="0" borderId="1" xfId="14" applyNumberFormat="1" applyFont="1" applyFill="1" applyBorder="1" applyAlignment="1"/>
    <xf numFmtId="0" fontId="4" fillId="7" borderId="0" xfId="28" applyFont="1" applyFill="1" applyBorder="1"/>
    <xf numFmtId="179" fontId="4" fillId="7" borderId="1" xfId="29" applyNumberFormat="1" applyFont="1" applyFill="1" applyBorder="1" applyAlignment="1"/>
    <xf numFmtId="10" fontId="4" fillId="12" borderId="1" xfId="14" applyNumberFormat="1" applyFont="1" applyFill="1" applyBorder="1" applyAlignment="1">
      <alignment horizontal="center"/>
    </xf>
    <xf numFmtId="10" fontId="4" fillId="7" borderId="1" xfId="29" applyNumberFormat="1" applyFont="1" applyFill="1" applyBorder="1" applyAlignment="1"/>
    <xf numFmtId="164" fontId="4" fillId="7" borderId="1" xfId="29" applyNumberFormat="1" applyFont="1" applyFill="1" applyBorder="1"/>
    <xf numFmtId="0" fontId="4" fillId="0" borderId="1" xfId="14" applyNumberFormat="1" applyFont="1" applyFill="1" applyBorder="1" applyAlignment="1"/>
    <xf numFmtId="0" fontId="18" fillId="7" borderId="12" xfId="29" applyFont="1" applyFill="1" applyBorder="1"/>
    <xf numFmtId="171" fontId="4" fillId="0" borderId="2" xfId="14" applyNumberFormat="1" applyFont="1" applyFill="1" applyBorder="1" applyAlignment="1"/>
    <xf numFmtId="179" fontId="4" fillId="7" borderId="2" xfId="29" applyNumberFormat="1" applyFont="1" applyFill="1" applyBorder="1" applyAlignment="1"/>
    <xf numFmtId="10" fontId="4" fillId="12" borderId="2" xfId="14" applyNumberFormat="1" applyFont="1" applyFill="1" applyBorder="1" applyAlignment="1">
      <alignment horizontal="center"/>
    </xf>
    <xf numFmtId="10" fontId="4" fillId="7" borderId="2" xfId="29" applyNumberFormat="1" applyFont="1" applyFill="1" applyBorder="1" applyAlignment="1"/>
    <xf numFmtId="164" fontId="4" fillId="7" borderId="2" xfId="29" applyNumberFormat="1" applyFont="1" applyFill="1" applyBorder="1"/>
    <xf numFmtId="0" fontId="4" fillId="7" borderId="0" xfId="29" applyFont="1" applyFill="1" applyBorder="1" applyAlignment="1">
      <alignment horizontal="center"/>
    </xf>
    <xf numFmtId="171" fontId="4" fillId="0" borderId="5" xfId="14" applyNumberFormat="1" applyFont="1" applyFill="1" applyBorder="1" applyAlignment="1"/>
    <xf numFmtId="10" fontId="4" fillId="12" borderId="5" xfId="14" applyNumberFormat="1" applyFont="1" applyFill="1" applyBorder="1" applyAlignment="1">
      <alignment horizontal="center"/>
    </xf>
    <xf numFmtId="10" fontId="4" fillId="7" borderId="5" xfId="29" applyNumberFormat="1" applyFont="1" applyFill="1" applyBorder="1" applyAlignment="1"/>
    <xf numFmtId="179" fontId="4" fillId="7" borderId="5" xfId="29" applyNumberFormat="1" applyFont="1" applyFill="1" applyBorder="1" applyAlignment="1"/>
    <xf numFmtId="164" fontId="4" fillId="7" borderId="5" xfId="29" applyNumberFormat="1" applyFont="1" applyFill="1" applyBorder="1"/>
    <xf numFmtId="0" fontId="4" fillId="4" borderId="7" xfId="29" applyFont="1" applyFill="1" applyBorder="1" applyAlignment="1">
      <alignment horizontal="center" vertical="center" wrapText="1"/>
    </xf>
    <xf numFmtId="0" fontId="4" fillId="4" borderId="7" xfId="29" applyFont="1" applyFill="1" applyBorder="1" applyAlignment="1">
      <alignment horizontal="center" vertical="center"/>
    </xf>
    <xf numFmtId="0" fontId="4" fillId="0" borderId="0" xfId="29" applyFont="1" applyFill="1" applyBorder="1"/>
    <xf numFmtId="0" fontId="4" fillId="7" borderId="0" xfId="29" applyFont="1" applyFill="1" applyBorder="1"/>
    <xf numFmtId="0" fontId="4" fillId="2" borderId="0" xfId="32" applyFont="1" applyFill="1"/>
    <xf numFmtId="0" fontId="4" fillId="2" borderId="0" xfId="32" applyFont="1" applyFill="1" applyAlignment="1">
      <alignment horizontal="left"/>
    </xf>
    <xf numFmtId="0" fontId="4" fillId="2" borderId="8" xfId="32" applyFont="1" applyFill="1" applyBorder="1" applyAlignment="1">
      <alignment horizontal="left"/>
    </xf>
    <xf numFmtId="171" fontId="4" fillId="0" borderId="1" xfId="14" applyNumberFormat="1" applyFont="1" applyBorder="1" applyAlignment="1">
      <alignment horizontal="right"/>
    </xf>
    <xf numFmtId="0" fontId="4" fillId="0" borderId="1" xfId="32" applyFont="1" applyBorder="1"/>
    <xf numFmtId="171" fontId="4" fillId="2" borderId="17" xfId="14" applyNumberFormat="1" applyFont="1" applyFill="1" applyBorder="1" applyAlignment="1">
      <alignment horizontal="right"/>
    </xf>
    <xf numFmtId="171" fontId="4" fillId="2" borderId="0" xfId="14" applyNumberFormat="1" applyFont="1" applyFill="1" applyBorder="1" applyAlignment="1">
      <alignment horizontal="right"/>
    </xf>
    <xf numFmtId="164" fontId="4" fillId="2" borderId="0" xfId="32" applyNumberFormat="1" applyFont="1" applyFill="1"/>
    <xf numFmtId="164" fontId="4" fillId="0" borderId="1" xfId="32" applyNumberFormat="1" applyFont="1" applyBorder="1"/>
    <xf numFmtId="171" fontId="4" fillId="0" borderId="1" xfId="32" applyNumberFormat="1" applyFont="1" applyBorder="1"/>
    <xf numFmtId="171" fontId="4" fillId="0" borderId="1" xfId="14" applyNumberFormat="1" applyFont="1" applyBorder="1"/>
    <xf numFmtId="165" fontId="4" fillId="0" borderId="1" xfId="32" applyNumberFormat="1" applyFont="1" applyBorder="1"/>
    <xf numFmtId="15" fontId="4" fillId="0" borderId="1" xfId="32" applyNumberFormat="1" applyFont="1" applyBorder="1"/>
    <xf numFmtId="164" fontId="4" fillId="7" borderId="11" xfId="32" applyNumberFormat="1" applyFont="1" applyFill="1" applyBorder="1" applyAlignment="1"/>
    <xf numFmtId="164" fontId="4" fillId="7" borderId="0" xfId="32" applyNumberFormat="1" applyFont="1" applyFill="1" applyBorder="1" applyAlignment="1"/>
    <xf numFmtId="171" fontId="4" fillId="7" borderId="0" xfId="32" applyNumberFormat="1" applyFont="1" applyFill="1" applyBorder="1" applyAlignment="1"/>
    <xf numFmtId="0" fontId="4" fillId="7" borderId="0" xfId="32" applyFont="1" applyFill="1" applyBorder="1" applyAlignment="1"/>
    <xf numFmtId="171" fontId="4" fillId="0" borderId="2" xfId="14" applyNumberFormat="1" applyFont="1" applyBorder="1" applyAlignment="1">
      <alignment horizontal="right"/>
    </xf>
    <xf numFmtId="0" fontId="4" fillId="0" borderId="2" xfId="32" applyFont="1" applyBorder="1"/>
    <xf numFmtId="164" fontId="4" fillId="0" borderId="2" xfId="32" applyNumberFormat="1" applyFont="1" applyBorder="1"/>
    <xf numFmtId="171" fontId="4" fillId="0" borderId="2" xfId="32" applyNumberFormat="1" applyFont="1" applyBorder="1"/>
    <xf numFmtId="171" fontId="4" fillId="0" borderId="2" xfId="14" applyNumberFormat="1" applyFont="1" applyBorder="1"/>
    <xf numFmtId="165" fontId="4" fillId="0" borderId="2" xfId="32" applyNumberFormat="1" applyFont="1" applyBorder="1"/>
    <xf numFmtId="15" fontId="4" fillId="0" borderId="2" xfId="32" applyNumberFormat="1" applyFont="1" applyBorder="1"/>
    <xf numFmtId="171" fontId="4" fillId="2" borderId="0" xfId="32" applyNumberFormat="1" applyFont="1" applyFill="1"/>
    <xf numFmtId="0" fontId="4" fillId="2" borderId="0" xfId="32" applyFont="1" applyFill="1" applyBorder="1"/>
    <xf numFmtId="171" fontId="4" fillId="2" borderId="0" xfId="14" applyNumberFormat="1" applyFont="1" applyFill="1"/>
    <xf numFmtId="165" fontId="4" fillId="2" borderId="0" xfId="14" applyNumberFormat="1" applyFont="1" applyFill="1" applyBorder="1" applyAlignment="1">
      <alignment horizontal="right"/>
    </xf>
    <xf numFmtId="10" fontId="5" fillId="0" borderId="7" xfId="14" applyNumberFormat="1" applyFont="1" applyBorder="1"/>
    <xf numFmtId="10" fontId="4" fillId="4" borderId="7" xfId="14" applyNumberFormat="1" applyFont="1" applyFill="1" applyBorder="1"/>
    <xf numFmtId="0" fontId="4" fillId="0" borderId="12" xfId="32" applyFont="1" applyBorder="1"/>
    <xf numFmtId="164" fontId="4" fillId="0" borderId="5" xfId="32" applyNumberFormat="1" applyFont="1" applyBorder="1"/>
    <xf numFmtId="171" fontId="4" fillId="0" borderId="5" xfId="32" applyNumberFormat="1" applyFont="1" applyBorder="1"/>
    <xf numFmtId="0" fontId="4" fillId="0" borderId="5" xfId="32" applyFont="1" applyBorder="1"/>
    <xf numFmtId="0" fontId="20" fillId="4" borderId="9" xfId="32" applyFont="1" applyFill="1" applyBorder="1" applyAlignment="1">
      <alignment horizontal="centerContinuous" vertical="center"/>
    </xf>
    <xf numFmtId="0" fontId="20" fillId="4" borderId="3" xfId="32" applyFont="1" applyFill="1" applyBorder="1" applyAlignment="1">
      <alignment horizontal="centerContinuous" vertical="center"/>
    </xf>
    <xf numFmtId="0" fontId="20" fillId="4" borderId="18" xfId="32" applyFont="1" applyFill="1" applyBorder="1" applyAlignment="1">
      <alignment horizontal="centerContinuous" vertical="center"/>
    </xf>
    <xf numFmtId="165" fontId="4" fillId="4" borderId="7" xfId="32" applyNumberFormat="1" applyFont="1" applyFill="1" applyBorder="1" applyAlignment="1">
      <alignment horizontal="center" vertical="center"/>
    </xf>
    <xf numFmtId="165" fontId="4" fillId="4" borderId="7" xfId="32" applyNumberFormat="1" applyFont="1" applyFill="1" applyBorder="1" applyAlignment="1">
      <alignment vertical="center"/>
    </xf>
    <xf numFmtId="164" fontId="4" fillId="4" borderId="7" xfId="32" applyNumberFormat="1" applyFont="1" applyFill="1" applyBorder="1" applyAlignment="1">
      <alignment vertical="center"/>
    </xf>
    <xf numFmtId="0" fontId="4" fillId="4" borderId="7" xfId="32" applyFont="1" applyFill="1" applyBorder="1" applyAlignment="1">
      <alignment horizontal="center" vertical="center"/>
    </xf>
    <xf numFmtId="0" fontId="4" fillId="4" borderId="7" xfId="32" applyFont="1" applyFill="1" applyBorder="1" applyAlignment="1">
      <alignment horizontal="center" vertical="center" wrapText="1"/>
    </xf>
    <xf numFmtId="0" fontId="4" fillId="4" borderId="7" xfId="32" applyFont="1" applyFill="1" applyBorder="1" applyAlignment="1">
      <alignment horizontal="centerContinuous" vertical="center"/>
    </xf>
    <xf numFmtId="0" fontId="4" fillId="2" borderId="0" xfId="32" applyFont="1" applyFill="1" applyAlignment="1">
      <alignment horizontal="center" vertical="center" wrapText="1"/>
    </xf>
    <xf numFmtId="165" fontId="4" fillId="9" borderId="7" xfId="32" applyNumberFormat="1" applyFont="1" applyFill="1" applyBorder="1" applyAlignment="1">
      <alignment vertical="center"/>
    </xf>
    <xf numFmtId="164" fontId="4" fillId="4" borderId="5" xfId="32" applyNumberFormat="1" applyFont="1" applyFill="1" applyBorder="1" applyAlignment="1">
      <alignment vertical="center"/>
    </xf>
    <xf numFmtId="0" fontId="4" fillId="0" borderId="7" xfId="32" applyNumberFormat="1" applyFont="1" applyBorder="1"/>
    <xf numFmtId="0" fontId="4" fillId="2" borderId="8" xfId="32" applyFont="1" applyFill="1" applyBorder="1"/>
    <xf numFmtId="164" fontId="4" fillId="7" borderId="1" xfId="32" applyNumberFormat="1" applyFont="1" applyFill="1" applyBorder="1" applyAlignment="1">
      <alignment horizontal="right"/>
    </xf>
    <xf numFmtId="0" fontId="4" fillId="7" borderId="1" xfId="32" applyFont="1" applyFill="1" applyBorder="1" applyAlignment="1">
      <alignment horizontal="center"/>
    </xf>
    <xf numFmtId="0" fontId="4" fillId="7" borderId="1" xfId="32" applyFont="1" applyFill="1" applyBorder="1" applyAlignment="1">
      <alignment horizontal="left"/>
    </xf>
    <xf numFmtId="0" fontId="4" fillId="7" borderId="1" xfId="32" applyNumberFormat="1" applyFont="1" applyFill="1" applyBorder="1" applyAlignment="1">
      <alignment horizontal="center"/>
    </xf>
    <xf numFmtId="164" fontId="4" fillId="7" borderId="2" xfId="32" applyNumberFormat="1" applyFont="1" applyFill="1" applyBorder="1" applyAlignment="1">
      <alignment horizontal="right"/>
    </xf>
    <xf numFmtId="0" fontId="4" fillId="7" borderId="2" xfId="32" applyFont="1" applyFill="1" applyBorder="1" applyAlignment="1">
      <alignment horizontal="center"/>
    </xf>
    <xf numFmtId="0" fontId="4" fillId="7" borderId="2" xfId="32" applyFont="1" applyFill="1" applyBorder="1" applyAlignment="1">
      <alignment horizontal="left"/>
    </xf>
    <xf numFmtId="0" fontId="4" fillId="7" borderId="2" xfId="32" applyNumberFormat="1" applyFont="1" applyFill="1" applyBorder="1" applyAlignment="1">
      <alignment horizontal="center"/>
    </xf>
    <xf numFmtId="164" fontId="4" fillId="7" borderId="5" xfId="32" applyNumberFormat="1" applyFont="1" applyFill="1" applyBorder="1" applyAlignment="1">
      <alignment horizontal="right"/>
    </xf>
    <xf numFmtId="0" fontId="4" fillId="7" borderId="5" xfId="32" applyFont="1" applyFill="1" applyBorder="1" applyAlignment="1">
      <alignment horizontal="center"/>
    </xf>
    <xf numFmtId="0" fontId="4" fillId="7" borderId="5" xfId="32" applyFont="1" applyFill="1" applyBorder="1" applyAlignment="1">
      <alignment horizontal="left"/>
    </xf>
    <xf numFmtId="0" fontId="4" fillId="7" borderId="5" xfId="32" applyNumberFormat="1" applyFont="1" applyFill="1" applyBorder="1" applyAlignment="1">
      <alignment horizontal="center"/>
    </xf>
    <xf numFmtId="0" fontId="4" fillId="7" borderId="2" xfId="32" applyNumberFormat="1" applyFont="1" applyFill="1" applyBorder="1" applyAlignment="1">
      <alignment horizontal="left"/>
    </xf>
    <xf numFmtId="0" fontId="4" fillId="7" borderId="5" xfId="32" applyNumberFormat="1" applyFont="1" applyFill="1" applyBorder="1" applyAlignment="1">
      <alignment horizontal="left"/>
    </xf>
    <xf numFmtId="179" fontId="4" fillId="2" borderId="0" xfId="32" applyNumberFormat="1" applyFont="1" applyFill="1"/>
    <xf numFmtId="164" fontId="4" fillId="7" borderId="7" xfId="32" applyNumberFormat="1" applyFont="1" applyFill="1" applyBorder="1" applyAlignment="1">
      <alignment horizontal="right"/>
    </xf>
    <xf numFmtId="0" fontId="4" fillId="7" borderId="7" xfId="32" applyFont="1" applyFill="1" applyBorder="1" applyAlignment="1">
      <alignment horizontal="center"/>
    </xf>
    <xf numFmtId="0" fontId="4" fillId="0" borderId="7" xfId="32" applyFont="1" applyBorder="1"/>
    <xf numFmtId="0" fontId="4" fillId="7" borderId="7" xfId="32" applyFont="1" applyFill="1" applyBorder="1" applyAlignment="1">
      <alignment horizontal="left"/>
    </xf>
    <xf numFmtId="0" fontId="4" fillId="7" borderId="0" xfId="32" applyNumberFormat="1" applyFont="1" applyFill="1" applyBorder="1" applyAlignment="1">
      <alignment horizontal="center"/>
    </xf>
    <xf numFmtId="0" fontId="12" fillId="7" borderId="12" xfId="32" applyFont="1" applyFill="1" applyBorder="1" applyAlignment="1">
      <alignment horizontal="center" vertical="center" textRotation="90"/>
    </xf>
    <xf numFmtId="0" fontId="12" fillId="4" borderId="7" xfId="32" applyFont="1" applyFill="1" applyBorder="1" applyAlignment="1">
      <alignment horizontal="center" vertical="center" wrapText="1"/>
    </xf>
    <xf numFmtId="0" fontId="4" fillId="2" borderId="0" xfId="12" applyFont="1" applyFill="1"/>
    <xf numFmtId="0" fontId="4" fillId="2" borderId="0" xfId="31" applyFont="1" applyFill="1"/>
    <xf numFmtId="0" fontId="4" fillId="7" borderId="9" xfId="31" applyFont="1" applyFill="1" applyBorder="1"/>
    <xf numFmtId="0" fontId="4" fillId="7" borderId="3" xfId="31" applyFont="1" applyFill="1" applyBorder="1"/>
    <xf numFmtId="0" fontId="4" fillId="7" borderId="10" xfId="31" applyFont="1" applyFill="1" applyBorder="1"/>
    <xf numFmtId="0" fontId="4" fillId="7" borderId="11" xfId="31" applyFont="1" applyFill="1" applyBorder="1"/>
    <xf numFmtId="0" fontId="11" fillId="7" borderId="0" xfId="31" quotePrefix="1" applyFont="1" applyFill="1" applyBorder="1" applyAlignment="1">
      <alignment horizontal="center"/>
    </xf>
    <xf numFmtId="0" fontId="16" fillId="7" borderId="0" xfId="31" applyFont="1" applyFill="1" applyBorder="1" applyAlignment="1">
      <alignment horizontal="right"/>
    </xf>
    <xf numFmtId="0" fontId="4" fillId="7" borderId="12" xfId="31" applyFont="1" applyFill="1" applyBorder="1"/>
    <xf numFmtId="177" fontId="11" fillId="7" borderId="0" xfId="31" applyNumberFormat="1" applyFont="1" applyFill="1" applyBorder="1" applyAlignment="1">
      <alignment horizontal="left"/>
    </xf>
    <xf numFmtId="0" fontId="4" fillId="7" borderId="0" xfId="31" applyFont="1" applyFill="1" applyBorder="1" applyAlignment="1">
      <alignment horizontal="center"/>
    </xf>
    <xf numFmtId="0" fontId="4" fillId="0" borderId="7" xfId="32" applyFont="1" applyBorder="1" applyAlignment="1">
      <alignment horizontal="center"/>
    </xf>
    <xf numFmtId="0" fontId="4" fillId="2" borderId="7" xfId="31" applyFont="1" applyFill="1" applyBorder="1" applyAlignment="1">
      <alignment horizontal="right"/>
    </xf>
    <xf numFmtId="0" fontId="4" fillId="9" borderId="3" xfId="12" applyFont="1" applyFill="1" applyBorder="1"/>
    <xf numFmtId="0" fontId="4" fillId="7" borderId="10" xfId="12" applyFont="1" applyFill="1" applyBorder="1"/>
    <xf numFmtId="0" fontId="4" fillId="9" borderId="0" xfId="12" applyFont="1" applyFill="1"/>
    <xf numFmtId="0" fontId="4" fillId="7" borderId="12" xfId="12" applyFont="1" applyFill="1" applyBorder="1"/>
    <xf numFmtId="180" fontId="4" fillId="7" borderId="1" xfId="32" applyNumberFormat="1" applyFont="1" applyFill="1" applyBorder="1" applyAlignment="1">
      <alignment horizontal="center"/>
    </xf>
    <xf numFmtId="172" fontId="4" fillId="7" borderId="1" xfId="32" applyNumberFormat="1" applyFont="1" applyFill="1" applyBorder="1" applyAlignment="1">
      <alignment horizontal="right"/>
    </xf>
    <xf numFmtId="180" fontId="4" fillId="7" borderId="5" xfId="32" applyNumberFormat="1" applyFont="1" applyFill="1" applyBorder="1" applyAlignment="1">
      <alignment horizontal="center"/>
    </xf>
    <xf numFmtId="172" fontId="4" fillId="7" borderId="5" xfId="32" applyNumberFormat="1" applyFont="1" applyFill="1" applyBorder="1" applyAlignment="1">
      <alignment horizontal="right"/>
    </xf>
    <xf numFmtId="181" fontId="4" fillId="7" borderId="0" xfId="31" applyNumberFormat="1" applyFont="1" applyFill="1" applyBorder="1" applyAlignment="1">
      <alignment horizontal="center"/>
    </xf>
    <xf numFmtId="0" fontId="4" fillId="7" borderId="0" xfId="31" applyFont="1" applyFill="1" applyBorder="1"/>
    <xf numFmtId="3" fontId="4" fillId="18" borderId="6" xfId="32" applyNumberFormat="1" applyFont="1" applyFill="1" applyBorder="1" applyAlignment="1">
      <alignment horizontal="center"/>
    </xf>
    <xf numFmtId="0" fontId="12" fillId="2" borderId="7" xfId="32" applyFont="1" applyFill="1" applyBorder="1" applyAlignment="1">
      <alignment horizontal="right"/>
    </xf>
    <xf numFmtId="0" fontId="4" fillId="18" borderId="9" xfId="32" applyFont="1" applyFill="1" applyBorder="1" applyAlignment="1">
      <alignment horizontal="center"/>
    </xf>
    <xf numFmtId="0" fontId="12" fillId="2" borderId="1" xfId="32" applyFont="1" applyFill="1" applyBorder="1" applyAlignment="1">
      <alignment horizontal="right"/>
    </xf>
    <xf numFmtId="1" fontId="11" fillId="19" borderId="9" xfId="32" applyNumberFormat="1" applyFont="1" applyFill="1" applyBorder="1" applyAlignment="1">
      <alignment horizontal="left"/>
    </xf>
    <xf numFmtId="0" fontId="4" fillId="18" borderId="11" xfId="32" applyFont="1" applyFill="1" applyBorder="1" applyAlignment="1">
      <alignment horizontal="center"/>
    </xf>
    <xf numFmtId="0" fontId="12" fillId="2" borderId="2" xfId="32" applyFont="1" applyFill="1" applyBorder="1" applyAlignment="1">
      <alignment horizontal="right"/>
    </xf>
    <xf numFmtId="182" fontId="4" fillId="19" borderId="4" xfId="32" quotePrefix="1" applyNumberFormat="1" applyFont="1" applyFill="1" applyBorder="1" applyAlignment="1">
      <alignment horizontal="center"/>
    </xf>
    <xf numFmtId="0" fontId="12" fillId="2" borderId="5" xfId="32" applyFont="1" applyFill="1" applyBorder="1" applyAlignment="1">
      <alignment horizontal="right"/>
    </xf>
    <xf numFmtId="11" fontId="4" fillId="18" borderId="11" xfId="32" applyNumberFormat="1" applyFont="1" applyFill="1" applyBorder="1" applyAlignment="1">
      <alignment horizontal="center"/>
    </xf>
    <xf numFmtId="165" fontId="4" fillId="7" borderId="11" xfId="31" applyNumberFormat="1" applyFont="1" applyFill="1" applyBorder="1"/>
    <xf numFmtId="178" fontId="4" fillId="7" borderId="0" xfId="12" applyNumberFormat="1" applyFont="1" applyFill="1" applyBorder="1" applyAlignment="1">
      <alignment horizontal="center"/>
    </xf>
    <xf numFmtId="0" fontId="4" fillId="7" borderId="11" xfId="12" applyFont="1" applyFill="1" applyBorder="1" applyAlignment="1">
      <alignment horizontal="center"/>
    </xf>
    <xf numFmtId="0" fontId="22" fillId="4" borderId="7" xfId="12" applyFont="1" applyFill="1" applyBorder="1" applyAlignment="1">
      <alignment horizontal="centerContinuous" vertical="center"/>
    </xf>
    <xf numFmtId="0" fontId="22" fillId="4" borderId="16" xfId="12" applyFont="1" applyFill="1" applyBorder="1" applyAlignment="1">
      <alignment horizontal="centerContinuous" vertical="center"/>
    </xf>
    <xf numFmtId="3" fontId="4" fillId="18" borderId="11" xfId="32" applyNumberFormat="1" applyFont="1" applyFill="1" applyBorder="1" applyAlignment="1">
      <alignment horizontal="center"/>
    </xf>
    <xf numFmtId="0" fontId="4" fillId="9" borderId="9" xfId="12" applyFont="1" applyFill="1" applyBorder="1"/>
    <xf numFmtId="0" fontId="4" fillId="9" borderId="10" xfId="12" applyFont="1" applyFill="1" applyBorder="1"/>
    <xf numFmtId="0" fontId="4" fillId="7" borderId="9" xfId="32" applyNumberFormat="1" applyFont="1" applyFill="1" applyBorder="1" applyAlignment="1">
      <alignment horizontal="center"/>
    </xf>
    <xf numFmtId="0" fontId="4" fillId="2" borderId="1" xfId="32" applyFont="1" applyFill="1" applyBorder="1" applyAlignment="1">
      <alignment horizontal="right"/>
    </xf>
    <xf numFmtId="0" fontId="4" fillId="7" borderId="11" xfId="30" applyFont="1" applyFill="1" applyBorder="1"/>
    <xf numFmtId="0" fontId="4" fillId="9" borderId="1" xfId="30" applyFont="1" applyFill="1" applyBorder="1" applyAlignment="1">
      <alignment horizontal="center" vertical="center"/>
    </xf>
    <xf numFmtId="0" fontId="4" fillId="2" borderId="1" xfId="30" applyFont="1" applyFill="1" applyBorder="1" applyAlignment="1" applyProtection="1">
      <alignment horizontal="right"/>
    </xf>
    <xf numFmtId="0" fontId="4" fillId="7" borderId="12" xfId="30" applyFont="1" applyFill="1" applyBorder="1"/>
    <xf numFmtId="164" fontId="4" fillId="10" borderId="7" xfId="30" applyNumberFormat="1" applyFont="1" applyFill="1" applyBorder="1" applyAlignment="1">
      <alignment horizontal="center" vertical="center"/>
    </xf>
    <xf numFmtId="0" fontId="4" fillId="2" borderId="7" xfId="30" applyFont="1" applyFill="1" applyBorder="1" applyAlignment="1" applyProtection="1">
      <alignment horizontal="right"/>
    </xf>
    <xf numFmtId="172" fontId="4" fillId="7" borderId="1" xfId="14" applyNumberFormat="1" applyFont="1" applyFill="1" applyBorder="1" applyAlignment="1">
      <alignment horizontal="center"/>
    </xf>
    <xf numFmtId="0" fontId="4" fillId="2" borderId="1" xfId="31" applyFont="1" applyFill="1" applyBorder="1" applyAlignment="1">
      <alignment horizontal="right"/>
    </xf>
    <xf numFmtId="0" fontId="4" fillId="9" borderId="11" xfId="30" applyFont="1" applyFill="1" applyBorder="1"/>
    <xf numFmtId="0" fontId="4" fillId="9" borderId="12" xfId="30" applyFont="1" applyFill="1" applyBorder="1"/>
    <xf numFmtId="172" fontId="4" fillId="7" borderId="2" xfId="14" applyNumberFormat="1" applyFont="1" applyFill="1" applyBorder="1" applyAlignment="1">
      <alignment horizontal="center"/>
    </xf>
    <xf numFmtId="0" fontId="4" fillId="2" borderId="2" xfId="31" applyFont="1" applyFill="1" applyBorder="1" applyAlignment="1">
      <alignment horizontal="right"/>
    </xf>
    <xf numFmtId="164" fontId="4" fillId="7" borderId="7" xfId="14" applyNumberFormat="1" applyFont="1" applyFill="1" applyBorder="1" applyAlignment="1">
      <alignment horizontal="center"/>
    </xf>
    <xf numFmtId="0" fontId="4" fillId="7" borderId="11" xfId="32" applyFont="1" applyFill="1" applyBorder="1" applyAlignment="1">
      <alignment horizontal="center"/>
    </xf>
    <xf numFmtId="0" fontId="4" fillId="2" borderId="2" xfId="12" applyFont="1" applyFill="1" applyBorder="1" applyAlignment="1">
      <alignment horizontal="right"/>
    </xf>
    <xf numFmtId="164" fontId="4" fillId="20" borderId="6" xfId="30" applyNumberFormat="1" applyFont="1" applyFill="1" applyBorder="1" applyAlignment="1" applyProtection="1">
      <alignment horizontal="center" vertical="center"/>
    </xf>
    <xf numFmtId="0" fontId="4" fillId="7" borderId="4" xfId="12" applyFont="1" applyFill="1" applyBorder="1" applyAlignment="1">
      <alignment horizontal="center"/>
    </xf>
    <xf numFmtId="0" fontId="4" fillId="2" borderId="5" xfId="12" applyFont="1" applyFill="1" applyBorder="1" applyAlignment="1">
      <alignment horizontal="right"/>
    </xf>
    <xf numFmtId="0" fontId="4" fillId="7" borderId="0" xfId="30" applyFont="1" applyFill="1" applyBorder="1"/>
    <xf numFmtId="0" fontId="12" fillId="7" borderId="0" xfId="12" applyFont="1" applyFill="1" applyBorder="1"/>
    <xf numFmtId="0" fontId="4" fillId="2" borderId="0" xfId="33" applyFont="1" applyFill="1"/>
    <xf numFmtId="0" fontId="4" fillId="2" borderId="0" xfId="33" applyNumberFormat="1" applyFont="1" applyFill="1" applyBorder="1"/>
    <xf numFmtId="164" fontId="4" fillId="2" borderId="0" xfId="33" applyNumberFormat="1" applyFont="1" applyFill="1" applyBorder="1"/>
    <xf numFmtId="0" fontId="4" fillId="11" borderId="1" xfId="33" applyNumberFormat="1" applyFont="1" applyFill="1" applyBorder="1"/>
    <xf numFmtId="164" fontId="4" fillId="11" borderId="1" xfId="33" applyNumberFormat="1" applyFont="1" applyFill="1" applyBorder="1"/>
    <xf numFmtId="0" fontId="4" fillId="11" borderId="2" xfId="33" applyNumberFormat="1" applyFont="1" applyFill="1" applyBorder="1"/>
    <xf numFmtId="164" fontId="4" fillId="11" borderId="2" xfId="33" applyNumberFormat="1" applyFont="1" applyFill="1" applyBorder="1"/>
    <xf numFmtId="171" fontId="4" fillId="2" borderId="0" xfId="33" applyNumberFormat="1" applyFont="1" applyFill="1"/>
    <xf numFmtId="164" fontId="4" fillId="2" borderId="0" xfId="33" applyNumberFormat="1" applyFont="1" applyFill="1"/>
    <xf numFmtId="0" fontId="4" fillId="2" borderId="0" xfId="33" applyFont="1" applyFill="1" applyBorder="1"/>
    <xf numFmtId="183" fontId="4" fillId="11" borderId="1" xfId="33" applyNumberFormat="1" applyFont="1" applyFill="1" applyBorder="1"/>
    <xf numFmtId="2" fontId="4" fillId="11" borderId="1" xfId="33" applyNumberFormat="1" applyFont="1" applyFill="1" applyBorder="1"/>
    <xf numFmtId="171" fontId="4" fillId="11" borderId="1" xfId="33" applyNumberFormat="1" applyFont="1" applyFill="1" applyBorder="1"/>
    <xf numFmtId="0" fontId="4" fillId="12" borderId="1" xfId="33" applyFont="1" applyFill="1" applyBorder="1" applyAlignment="1">
      <alignment horizontal="center"/>
    </xf>
    <xf numFmtId="180" fontId="4" fillId="11" borderId="1" xfId="33" applyNumberFormat="1" applyFont="1" applyFill="1" applyBorder="1"/>
    <xf numFmtId="165" fontId="4" fillId="11" borderId="1" xfId="33" applyNumberFormat="1" applyFont="1" applyFill="1" applyBorder="1"/>
    <xf numFmtId="0" fontId="4" fillId="11" borderId="1" xfId="33" applyFont="1" applyFill="1" applyBorder="1"/>
    <xf numFmtId="183" fontId="4" fillId="11" borderId="2" xfId="33" applyNumberFormat="1" applyFont="1" applyFill="1" applyBorder="1"/>
    <xf numFmtId="2" fontId="4" fillId="11" borderId="2" xfId="33" applyNumberFormat="1" applyFont="1" applyFill="1" applyBorder="1"/>
    <xf numFmtId="171" fontId="4" fillId="11" borderId="2" xfId="33" applyNumberFormat="1" applyFont="1" applyFill="1" applyBorder="1"/>
    <xf numFmtId="0" fontId="4" fillId="12" borderId="2" xfId="33" applyFont="1" applyFill="1" applyBorder="1" applyAlignment="1">
      <alignment horizontal="center"/>
    </xf>
    <xf numFmtId="180" fontId="4" fillId="11" borderId="2" xfId="33" applyNumberFormat="1" applyFont="1" applyFill="1" applyBorder="1"/>
    <xf numFmtId="165" fontId="4" fillId="11" borderId="2" xfId="33" applyNumberFormat="1" applyFont="1" applyFill="1" applyBorder="1"/>
    <xf numFmtId="0" fontId="4" fillId="11" borderId="2" xfId="33" applyFont="1" applyFill="1" applyBorder="1"/>
    <xf numFmtId="171" fontId="4" fillId="11" borderId="5" xfId="33" applyNumberFormat="1" applyFont="1" applyFill="1" applyBorder="1"/>
    <xf numFmtId="180" fontId="4" fillId="11" borderId="5" xfId="33" applyNumberFormat="1" applyFont="1" applyFill="1" applyBorder="1"/>
    <xf numFmtId="0" fontId="4" fillId="11" borderId="5" xfId="33" applyNumberFormat="1" applyFont="1" applyFill="1" applyBorder="1"/>
    <xf numFmtId="164" fontId="4" fillId="11" borderId="5" xfId="33" applyNumberFormat="1" applyFont="1" applyFill="1" applyBorder="1"/>
    <xf numFmtId="183" fontId="5" fillId="11" borderId="7" xfId="33" applyNumberFormat="1" applyFont="1" applyFill="1" applyBorder="1"/>
    <xf numFmtId="2" fontId="5" fillId="11" borderId="7" xfId="33" applyNumberFormat="1" applyFont="1" applyFill="1" applyBorder="1"/>
    <xf numFmtId="171" fontId="5" fillId="11" borderId="7" xfId="33" applyNumberFormat="1" applyFont="1" applyFill="1" applyBorder="1"/>
    <xf numFmtId="0" fontId="4" fillId="12" borderId="7" xfId="33" applyFont="1" applyFill="1" applyBorder="1" applyAlignment="1">
      <alignment horizontal="center"/>
    </xf>
    <xf numFmtId="171" fontId="4" fillId="11" borderId="7" xfId="33" applyNumberFormat="1" applyFont="1" applyFill="1" applyBorder="1"/>
    <xf numFmtId="180" fontId="4" fillId="11" borderId="7" xfId="33" applyNumberFormat="1" applyFont="1" applyFill="1" applyBorder="1"/>
    <xf numFmtId="165" fontId="4" fillId="11" borderId="7" xfId="33" applyNumberFormat="1" applyFont="1" applyFill="1" applyBorder="1"/>
    <xf numFmtId="164" fontId="4" fillId="11" borderId="7" xfId="33" applyNumberFormat="1" applyFont="1" applyFill="1" applyBorder="1"/>
    <xf numFmtId="0" fontId="4" fillId="11" borderId="7" xfId="33" applyFont="1" applyFill="1" applyBorder="1"/>
    <xf numFmtId="0" fontId="4" fillId="2" borderId="0" xfId="33" applyFont="1" applyFill="1" applyAlignment="1">
      <alignment horizontal="right"/>
    </xf>
    <xf numFmtId="0" fontId="4" fillId="4" borderId="7" xfId="33" applyFont="1" applyFill="1" applyBorder="1" applyAlignment="1">
      <alignment horizontal="center" vertical="center" wrapText="1"/>
    </xf>
    <xf numFmtId="0" fontId="4" fillId="11" borderId="7" xfId="33" applyFont="1" applyFill="1" applyBorder="1" applyAlignment="1">
      <alignment horizontal="center"/>
    </xf>
    <xf numFmtId="0" fontId="4" fillId="4" borderId="7" xfId="33" applyFont="1" applyFill="1" applyBorder="1"/>
    <xf numFmtId="184" fontId="4" fillId="2" borderId="0" xfId="33" applyNumberFormat="1" applyFont="1" applyFill="1"/>
    <xf numFmtId="2" fontId="4" fillId="11" borderId="5" xfId="33" applyNumberFormat="1" applyFont="1" applyFill="1" applyBorder="1"/>
    <xf numFmtId="0" fontId="4" fillId="12" borderId="5" xfId="33" applyFont="1" applyFill="1" applyBorder="1" applyAlignment="1">
      <alignment horizontal="center"/>
    </xf>
    <xf numFmtId="165" fontId="4" fillId="11" borderId="5" xfId="33" applyNumberFormat="1" applyFont="1" applyFill="1" applyBorder="1"/>
    <xf numFmtId="0" fontId="4" fillId="11" borderId="5" xfId="33" applyFont="1" applyFill="1" applyBorder="1"/>
    <xf numFmtId="0" fontId="5" fillId="11" borderId="7" xfId="33" applyNumberFormat="1" applyFont="1" applyFill="1" applyBorder="1"/>
    <xf numFmtId="0" fontId="4" fillId="2" borderId="19" xfId="33" applyFont="1" applyFill="1" applyBorder="1" applyAlignment="1"/>
    <xf numFmtId="0" fontId="4" fillId="2" borderId="0" xfId="7" applyFont="1" applyFill="1"/>
    <xf numFmtId="0" fontId="4" fillId="2" borderId="0" xfId="7" applyFont="1" applyFill="1" applyAlignment="1">
      <alignment horizontal="left"/>
    </xf>
    <xf numFmtId="0" fontId="4" fillId="2" borderId="0" xfId="34" applyFont="1" applyFill="1"/>
    <xf numFmtId="171" fontId="4" fillId="2" borderId="0" xfId="48" applyNumberFormat="1" applyFont="1" applyFill="1"/>
    <xf numFmtId="185" fontId="4" fillId="11" borderId="1" xfId="33" applyNumberFormat="1" applyFont="1" applyFill="1" applyBorder="1"/>
    <xf numFmtId="164" fontId="2" fillId="11" borderId="1" xfId="43" applyNumberFormat="1" applyFont="1" applyFill="1" applyBorder="1"/>
    <xf numFmtId="0" fontId="2" fillId="11" borderId="1" xfId="43" applyFont="1" applyFill="1" applyBorder="1"/>
    <xf numFmtId="185" fontId="4" fillId="11" borderId="2" xfId="33" applyNumberFormat="1" applyFont="1" applyFill="1" applyBorder="1"/>
    <xf numFmtId="164" fontId="2" fillId="11" borderId="2" xfId="43" applyNumberFormat="1" applyFont="1" applyFill="1" applyBorder="1"/>
    <xf numFmtId="0" fontId="2" fillId="11" borderId="2" xfId="43" applyFont="1" applyFill="1" applyBorder="1"/>
    <xf numFmtId="0" fontId="4" fillId="4" borderId="6" xfId="7" applyFont="1" applyFill="1" applyBorder="1" applyAlignment="1">
      <alignment horizontal="centerContinuous" vertical="center"/>
    </xf>
    <xf numFmtId="0" fontId="4" fillId="4" borderId="14" xfId="7" applyFont="1" applyFill="1" applyBorder="1" applyAlignment="1">
      <alignment horizontal="centerContinuous" vertical="center"/>
    </xf>
    <xf numFmtId="0" fontId="4" fillId="4" borderId="16" xfId="7" applyFont="1" applyFill="1" applyBorder="1" applyAlignment="1">
      <alignment horizontal="centerContinuous" vertical="center"/>
    </xf>
    <xf numFmtId="0" fontId="4" fillId="2" borderId="8" xfId="7" applyFont="1" applyFill="1" applyBorder="1"/>
    <xf numFmtId="180" fontId="4" fillId="11" borderId="1" xfId="7" applyNumberFormat="1" applyFont="1" applyFill="1" applyBorder="1"/>
    <xf numFmtId="164" fontId="4" fillId="11" borderId="1" xfId="7" applyNumberFormat="1" applyFont="1" applyFill="1" applyBorder="1"/>
    <xf numFmtId="171" fontId="4" fillId="11" borderId="1" xfId="7" applyNumberFormat="1" applyFont="1" applyFill="1" applyBorder="1" applyAlignment="1">
      <alignment horizontal="center" vertical="center"/>
    </xf>
    <xf numFmtId="171" fontId="4" fillId="11" borderId="1" xfId="7" applyNumberFormat="1" applyFont="1" applyFill="1" applyBorder="1"/>
    <xf numFmtId="0" fontId="4" fillId="11" borderId="10" xfId="7" applyFont="1" applyFill="1" applyBorder="1"/>
    <xf numFmtId="0" fontId="4" fillId="0" borderId="1" xfId="7" applyFont="1" applyBorder="1"/>
    <xf numFmtId="180" fontId="4" fillId="11" borderId="2" xfId="7" applyNumberFormat="1" applyFont="1" applyFill="1" applyBorder="1"/>
    <xf numFmtId="164" fontId="4" fillId="11" borderId="2" xfId="7" applyNumberFormat="1" applyFont="1" applyFill="1" applyBorder="1"/>
    <xf numFmtId="171" fontId="4" fillId="11" borderId="2" xfId="7" applyNumberFormat="1" applyFont="1" applyFill="1" applyBorder="1" applyAlignment="1">
      <alignment horizontal="center" vertical="center"/>
    </xf>
    <xf numFmtId="171" fontId="4" fillId="11" borderId="2" xfId="7" applyNumberFormat="1" applyFont="1" applyFill="1" applyBorder="1"/>
    <xf numFmtId="0" fontId="4" fillId="11" borderId="12" xfId="7" applyFont="1" applyFill="1" applyBorder="1"/>
    <xf numFmtId="0" fontId="4" fillId="0" borderId="2" xfId="7" applyFont="1" applyBorder="1"/>
    <xf numFmtId="0" fontId="4" fillId="0" borderId="5" xfId="7" applyFont="1" applyBorder="1"/>
    <xf numFmtId="180" fontId="4" fillId="11" borderId="5" xfId="7" applyNumberFormat="1" applyFont="1" applyFill="1" applyBorder="1"/>
    <xf numFmtId="0" fontId="4" fillId="4" borderId="7" xfId="7" applyFont="1" applyFill="1" applyBorder="1" applyAlignment="1">
      <alignment horizontal="center" vertical="center" wrapText="1"/>
    </xf>
    <xf numFmtId="0" fontId="4" fillId="2" borderId="0" xfId="7" applyFont="1" applyFill="1" applyBorder="1"/>
    <xf numFmtId="0" fontId="4" fillId="11" borderId="1" xfId="7" applyFont="1" applyFill="1" applyBorder="1"/>
    <xf numFmtId="171" fontId="4" fillId="11" borderId="1" xfId="7" applyNumberFormat="1" applyFont="1" applyFill="1" applyBorder="1" applyAlignment="1">
      <alignment horizontal="center"/>
    </xf>
    <xf numFmtId="0" fontId="4" fillId="9" borderId="1" xfId="7" applyFont="1" applyFill="1" applyBorder="1"/>
    <xf numFmtId="0" fontId="4" fillId="9" borderId="1" xfId="7" applyNumberFormat="1" applyFont="1" applyFill="1" applyBorder="1" applyAlignment="1"/>
    <xf numFmtId="0" fontId="4" fillId="9" borderId="1" xfId="7" applyNumberFormat="1" applyFont="1" applyFill="1" applyBorder="1" applyAlignment="1">
      <alignment horizontal="left"/>
    </xf>
    <xf numFmtId="171" fontId="4" fillId="9" borderId="1" xfId="7" applyNumberFormat="1" applyFont="1" applyFill="1" applyBorder="1" applyAlignment="1">
      <alignment horizontal="left"/>
    </xf>
    <xf numFmtId="0" fontId="4" fillId="9" borderId="1" xfId="7" applyFont="1" applyFill="1" applyBorder="1" applyAlignment="1">
      <alignment horizontal="center"/>
    </xf>
    <xf numFmtId="0" fontId="4" fillId="9" borderId="1" xfId="7" applyNumberFormat="1" applyFont="1" applyFill="1" applyBorder="1" applyAlignment="1">
      <alignment horizontal="center"/>
    </xf>
    <xf numFmtId="0" fontId="4" fillId="9" borderId="1" xfId="34" applyNumberFormat="1" applyFont="1" applyFill="1" applyBorder="1" applyAlignment="1">
      <alignment horizontal="center"/>
    </xf>
    <xf numFmtId="0" fontId="4" fillId="9" borderId="1" xfId="15" applyNumberFormat="1" applyFont="1" applyFill="1" applyBorder="1" applyAlignment="1">
      <alignment horizontal="center"/>
    </xf>
    <xf numFmtId="0" fontId="4" fillId="11" borderId="2" xfId="7" applyFont="1" applyFill="1" applyBorder="1"/>
    <xf numFmtId="171" fontId="4" fillId="11" borderId="2" xfId="7" applyNumberFormat="1" applyFont="1" applyFill="1" applyBorder="1" applyAlignment="1">
      <alignment horizontal="center"/>
    </xf>
    <xf numFmtId="0" fontId="4" fillId="9" borderId="2" xfId="7" applyFont="1" applyFill="1" applyBorder="1"/>
    <xf numFmtId="0" fontId="4" fillId="9" borderId="2" xfId="7" applyNumberFormat="1" applyFont="1" applyFill="1" applyBorder="1" applyAlignment="1"/>
    <xf numFmtId="0" fontId="4" fillId="9" borderId="2" xfId="7" applyNumberFormat="1" applyFont="1" applyFill="1" applyBorder="1" applyAlignment="1">
      <alignment horizontal="left"/>
    </xf>
    <xf numFmtId="171" fontId="4" fillId="9" borderId="2" xfId="7" applyNumberFormat="1" applyFont="1" applyFill="1" applyBorder="1" applyAlignment="1">
      <alignment horizontal="left"/>
    </xf>
    <xf numFmtId="0" fontId="4" fillId="9" borderId="2" xfId="7" applyFont="1" applyFill="1" applyBorder="1" applyAlignment="1">
      <alignment horizontal="center"/>
    </xf>
    <xf numFmtId="0" fontId="4" fillId="9" borderId="2" xfId="7" applyNumberFormat="1" applyFont="1" applyFill="1" applyBorder="1" applyAlignment="1">
      <alignment horizontal="center"/>
    </xf>
    <xf numFmtId="0" fontId="4" fillId="9" borderId="2" xfId="34" applyNumberFormat="1" applyFont="1" applyFill="1" applyBorder="1" applyAlignment="1">
      <alignment horizontal="center"/>
    </xf>
    <xf numFmtId="0" fontId="4" fillId="9" borderId="2" xfId="15" applyNumberFormat="1" applyFont="1" applyFill="1" applyBorder="1" applyAlignment="1">
      <alignment horizontal="center"/>
    </xf>
    <xf numFmtId="0" fontId="4" fillId="2" borderId="20" xfId="7" applyFont="1" applyFill="1" applyBorder="1"/>
    <xf numFmtId="0" fontId="4" fillId="2" borderId="20" xfId="7" applyFont="1" applyFill="1" applyBorder="1" applyAlignment="1">
      <alignment horizontal="center"/>
    </xf>
    <xf numFmtId="0" fontId="4" fillId="9" borderId="5" xfId="7" applyFont="1" applyFill="1" applyBorder="1"/>
    <xf numFmtId="0" fontId="4" fillId="9" borderId="5" xfId="7" applyNumberFormat="1" applyFont="1" applyFill="1" applyBorder="1" applyAlignment="1"/>
    <xf numFmtId="0" fontId="4" fillId="9" borderId="5" xfId="7" applyNumberFormat="1" applyFont="1" applyFill="1" applyBorder="1" applyAlignment="1">
      <alignment horizontal="left"/>
    </xf>
    <xf numFmtId="171" fontId="4" fillId="9" borderId="5" xfId="7" applyNumberFormat="1" applyFont="1" applyFill="1" applyBorder="1" applyAlignment="1">
      <alignment horizontal="left"/>
    </xf>
    <xf numFmtId="0" fontId="4" fillId="9" borderId="5" xfId="7" applyFont="1" applyFill="1" applyBorder="1" applyAlignment="1">
      <alignment horizontal="center"/>
    </xf>
    <xf numFmtId="0" fontId="4" fillId="9" borderId="5" xfId="7" applyNumberFormat="1" applyFont="1" applyFill="1" applyBorder="1" applyAlignment="1">
      <alignment horizontal="center"/>
    </xf>
    <xf numFmtId="0" fontId="4" fillId="9" borderId="5" xfId="34" applyNumberFormat="1" applyFont="1" applyFill="1" applyBorder="1" applyAlignment="1">
      <alignment horizontal="center"/>
    </xf>
    <xf numFmtId="0" fontId="4" fillId="9" borderId="5" xfId="15" applyNumberFormat="1" applyFont="1" applyFill="1" applyBorder="1" applyAlignment="1">
      <alignment horizontal="center"/>
    </xf>
    <xf numFmtId="0" fontId="4" fillId="0" borderId="5" xfId="7" applyFont="1" applyBorder="1" applyAlignment="1">
      <alignment horizontal="left"/>
    </xf>
    <xf numFmtId="0" fontId="4" fillId="0" borderId="4" xfId="7" applyFont="1" applyBorder="1"/>
    <xf numFmtId="0" fontId="4" fillId="0" borderId="8" xfId="7" applyFont="1" applyBorder="1"/>
    <xf numFmtId="0" fontId="4" fillId="0" borderId="8" xfId="34" applyFont="1" applyBorder="1"/>
    <xf numFmtId="0" fontId="4" fillId="0" borderId="13" xfId="7" applyFont="1" applyBorder="1"/>
    <xf numFmtId="0" fontId="12" fillId="4" borderId="7" xfId="7" applyFont="1" applyFill="1" applyBorder="1" applyAlignment="1">
      <alignment horizontal="center" vertical="center" wrapText="1"/>
    </xf>
    <xf numFmtId="0" fontId="4" fillId="2" borderId="0" xfId="7" applyFont="1" applyFill="1" applyBorder="1" applyAlignment="1">
      <alignment horizontal="center" vertical="center"/>
    </xf>
    <xf numFmtId="0" fontId="4" fillId="4" borderId="7" xfId="7" applyFont="1" applyFill="1" applyBorder="1" applyAlignment="1">
      <alignment horizontal="center" vertical="center"/>
    </xf>
    <xf numFmtId="0" fontId="12" fillId="4" borderId="7" xfId="34" applyFont="1" applyFill="1" applyBorder="1" applyAlignment="1">
      <alignment horizontal="center" vertical="center" wrapText="1"/>
    </xf>
    <xf numFmtId="0" fontId="7" fillId="2" borderId="0" xfId="7" applyFont="1" applyFill="1"/>
    <xf numFmtId="0" fontId="4" fillId="7" borderId="9" xfId="33" applyFont="1" applyFill="1" applyBorder="1"/>
    <xf numFmtId="0" fontId="4" fillId="7" borderId="3" xfId="33" applyFont="1" applyFill="1" applyBorder="1"/>
    <xf numFmtId="0" fontId="7" fillId="7" borderId="3" xfId="7" applyNumberFormat="1" applyFont="1" applyFill="1" applyBorder="1" applyAlignment="1"/>
    <xf numFmtId="0" fontId="25" fillId="7" borderId="3" xfId="7" applyFont="1" applyFill="1" applyBorder="1" applyAlignment="1"/>
    <xf numFmtId="0" fontId="7" fillId="7" borderId="10" xfId="7" applyFont="1" applyFill="1" applyBorder="1" applyAlignment="1">
      <alignment horizontal="center"/>
    </xf>
    <xf numFmtId="0" fontId="4" fillId="7" borderId="11" xfId="33" applyFont="1" applyFill="1" applyBorder="1" applyAlignment="1">
      <alignment horizontal="center"/>
    </xf>
    <xf numFmtId="171" fontId="4" fillId="11" borderId="9" xfId="20" applyNumberFormat="1" applyFont="1" applyFill="1" applyBorder="1" applyAlignment="1"/>
    <xf numFmtId="171" fontId="4" fillId="11" borderId="10" xfId="20" applyNumberFormat="1" applyFont="1" applyFill="1" applyBorder="1" applyAlignment="1"/>
    <xf numFmtId="0" fontId="4" fillId="7" borderId="0" xfId="33" applyFont="1" applyFill="1" applyBorder="1" applyAlignment="1">
      <alignment horizontal="center"/>
    </xf>
    <xf numFmtId="171" fontId="4" fillId="11" borderId="1" xfId="20" applyNumberFormat="1" applyFont="1" applyFill="1" applyBorder="1" applyAlignment="1"/>
    <xf numFmtId="0" fontId="4" fillId="7" borderId="0" xfId="33" quotePrefix="1" applyFont="1" applyFill="1" applyBorder="1" applyAlignment="1">
      <alignment horizontal="center"/>
    </xf>
    <xf numFmtId="171" fontId="4" fillId="11" borderId="9" xfId="20" quotePrefix="1" applyNumberFormat="1" applyFont="1" applyFill="1" applyBorder="1" applyAlignment="1"/>
    <xf numFmtId="0" fontId="4" fillId="11" borderId="10" xfId="20" applyNumberFormat="1" applyFont="1" applyFill="1" applyBorder="1" applyAlignment="1">
      <alignment horizontal="left"/>
    </xf>
    <xf numFmtId="0" fontId="4" fillId="10" borderId="1" xfId="7" applyNumberFormat="1" applyFont="1" applyFill="1" applyBorder="1" applyAlignment="1"/>
    <xf numFmtId="0" fontId="4" fillId="11" borderId="1" xfId="7" applyNumberFormat="1" applyFont="1" applyFill="1" applyBorder="1" applyAlignment="1"/>
    <xf numFmtId="0" fontId="12" fillId="11" borderId="1" xfId="7" applyFont="1" applyFill="1" applyBorder="1" applyAlignment="1"/>
    <xf numFmtId="0" fontId="7" fillId="7" borderId="1" xfId="7" applyFont="1" applyFill="1" applyBorder="1" applyAlignment="1">
      <alignment horizontal="center"/>
    </xf>
    <xf numFmtId="0" fontId="4" fillId="7" borderId="11" xfId="33" applyFont="1" applyFill="1" applyBorder="1"/>
    <xf numFmtId="171" fontId="4" fillId="11" borderId="11" xfId="20" applyNumberFormat="1" applyFont="1" applyFill="1" applyBorder="1" applyAlignment="1"/>
    <xf numFmtId="171" fontId="4" fillId="11" borderId="12" xfId="20" applyNumberFormat="1" applyFont="1" applyFill="1" applyBorder="1" applyAlignment="1"/>
    <xf numFmtId="171" fontId="4" fillId="11" borderId="2" xfId="20" applyNumberFormat="1" applyFont="1" applyFill="1" applyBorder="1" applyAlignment="1"/>
    <xf numFmtId="171" fontId="4" fillId="11" borderId="11" xfId="20" quotePrefix="1" applyNumberFormat="1" applyFont="1" applyFill="1" applyBorder="1" applyAlignment="1"/>
    <xf numFmtId="0" fontId="4" fillId="11" borderId="12" xfId="20" applyNumberFormat="1" applyFont="1" applyFill="1" applyBorder="1" applyAlignment="1">
      <alignment horizontal="left"/>
    </xf>
    <xf numFmtId="0" fontId="4" fillId="10" borderId="2" xfId="7" applyNumberFormat="1" applyFont="1" applyFill="1" applyBorder="1" applyAlignment="1"/>
    <xf numFmtId="0" fontId="4" fillId="11" borderId="2" xfId="7" applyNumberFormat="1" applyFont="1" applyFill="1" applyBorder="1" applyAlignment="1"/>
    <xf numFmtId="0" fontId="12" fillId="11" borderId="2" xfId="7" applyFont="1" applyFill="1" applyBorder="1" applyAlignment="1"/>
    <xf numFmtId="0" fontId="7" fillId="7" borderId="2" xfId="7" applyFont="1" applyFill="1" applyBorder="1" applyAlignment="1">
      <alignment horizontal="center"/>
    </xf>
    <xf numFmtId="0" fontId="7" fillId="7" borderId="2" xfId="7" applyFont="1" applyFill="1" applyBorder="1"/>
    <xf numFmtId="0" fontId="4" fillId="7" borderId="0" xfId="33" applyFont="1" applyFill="1" applyBorder="1"/>
    <xf numFmtId="0" fontId="4" fillId="4" borderId="7" xfId="7" applyFont="1" applyFill="1" applyBorder="1" applyAlignment="1">
      <alignment horizontal="left"/>
    </xf>
    <xf numFmtId="171" fontId="4" fillId="11" borderId="4" xfId="20" quotePrefix="1" applyNumberFormat="1" applyFont="1" applyFill="1" applyBorder="1" applyAlignment="1"/>
    <xf numFmtId="0" fontId="4" fillId="11" borderId="13" xfId="20" applyNumberFormat="1" applyFont="1" applyFill="1" applyBorder="1" applyAlignment="1">
      <alignment horizontal="left"/>
    </xf>
    <xf numFmtId="0" fontId="4" fillId="4" borderId="1" xfId="7" applyFont="1" applyFill="1" applyBorder="1" applyAlignment="1">
      <alignment horizontal="left"/>
    </xf>
    <xf numFmtId="0" fontId="4" fillId="11" borderId="10" xfId="20" applyNumberFormat="1" applyFont="1" applyFill="1" applyBorder="1" applyAlignment="1"/>
    <xf numFmtId="0" fontId="4" fillId="11" borderId="12" xfId="20" applyNumberFormat="1" applyFont="1" applyFill="1" applyBorder="1" applyAlignment="1"/>
    <xf numFmtId="0" fontId="7" fillId="7" borderId="12" xfId="7" applyFont="1" applyFill="1" applyBorder="1" applyAlignment="1">
      <alignment horizontal="center"/>
    </xf>
    <xf numFmtId="171" fontId="4" fillId="11" borderId="4" xfId="20" applyNumberFormat="1" applyFont="1" applyFill="1" applyBorder="1" applyAlignment="1"/>
    <xf numFmtId="171" fontId="4" fillId="11" borderId="13" xfId="20" applyNumberFormat="1" applyFont="1" applyFill="1" applyBorder="1" applyAlignment="1"/>
    <xf numFmtId="0" fontId="4" fillId="7" borderId="8" xfId="33" applyFont="1" applyFill="1" applyBorder="1" applyAlignment="1">
      <alignment horizontal="center"/>
    </xf>
    <xf numFmtId="171" fontId="4" fillId="11" borderId="5" xfId="20" applyNumberFormat="1" applyFont="1" applyFill="1" applyBorder="1" applyAlignment="1"/>
    <xf numFmtId="0" fontId="4" fillId="7" borderId="8" xfId="33" quotePrefix="1" applyFont="1" applyFill="1" applyBorder="1" applyAlignment="1">
      <alignment horizontal="center"/>
    </xf>
    <xf numFmtId="0" fontId="4" fillId="11" borderId="13" xfId="20" applyNumberFormat="1" applyFont="1" applyFill="1" applyBorder="1" applyAlignment="1"/>
    <xf numFmtId="0" fontId="7" fillId="0" borderId="12" xfId="7" applyFont="1" applyBorder="1"/>
    <xf numFmtId="0" fontId="4" fillId="4" borderId="16" xfId="7" applyFont="1" applyFill="1" applyBorder="1" applyAlignment="1">
      <alignment horizontal="left"/>
    </xf>
    <xf numFmtId="0" fontId="4" fillId="10" borderId="5" xfId="7" applyNumberFormat="1" applyFont="1" applyFill="1" applyBorder="1" applyAlignment="1"/>
    <xf numFmtId="0" fontId="4" fillId="11" borderId="5" xfId="7" applyNumberFormat="1" applyFont="1" applyFill="1" applyBorder="1" applyAlignment="1"/>
    <xf numFmtId="0" fontId="12" fillId="11" borderId="5" xfId="7" applyFont="1" applyFill="1" applyBorder="1" applyAlignment="1"/>
    <xf numFmtId="0" fontId="4" fillId="4" borderId="10" xfId="7" applyFont="1" applyFill="1" applyBorder="1" applyAlignment="1">
      <alignment horizontal="left"/>
    </xf>
    <xf numFmtId="0" fontId="4" fillId="7" borderId="11" xfId="28" applyFont="1" applyFill="1" applyBorder="1" applyAlignment="1">
      <alignment horizontal="center"/>
    </xf>
    <xf numFmtId="0" fontId="4" fillId="7" borderId="11" xfId="35" applyFont="1" applyFill="1" applyBorder="1" applyAlignment="1">
      <alignment horizontal="center"/>
    </xf>
    <xf numFmtId="171" fontId="4" fillId="11" borderId="6" xfId="20" applyNumberFormat="1" applyFont="1" applyFill="1" applyBorder="1" applyAlignment="1"/>
    <xf numFmtId="171" fontId="4" fillId="11" borderId="16" xfId="20" applyNumberFormat="1" applyFont="1" applyFill="1" applyBorder="1" applyAlignment="1"/>
    <xf numFmtId="0" fontId="4" fillId="7" borderId="0" xfId="35" applyFont="1" applyFill="1" applyBorder="1" applyAlignment="1">
      <alignment horizontal="center"/>
    </xf>
    <xf numFmtId="171" fontId="4" fillId="11" borderId="7" xfId="20" applyNumberFormat="1" applyFont="1" applyFill="1" applyBorder="1" applyAlignment="1"/>
    <xf numFmtId="0" fontId="4" fillId="7" borderId="0" xfId="35" quotePrefix="1" applyFont="1" applyFill="1" applyBorder="1" applyAlignment="1">
      <alignment horizontal="center"/>
    </xf>
    <xf numFmtId="171" fontId="4" fillId="11" borderId="6" xfId="20" quotePrefix="1" applyNumberFormat="1" applyFont="1" applyFill="1" applyBorder="1" applyAlignment="1"/>
    <xf numFmtId="0" fontId="4" fillId="11" borderId="16" xfId="20" applyNumberFormat="1" applyFont="1" applyFill="1" applyBorder="1" applyAlignment="1">
      <alignment vertical="center"/>
    </xf>
    <xf numFmtId="0" fontId="4" fillId="7" borderId="12" xfId="7" applyFont="1" applyFill="1" applyBorder="1" applyAlignment="1">
      <alignment horizontal="center"/>
    </xf>
    <xf numFmtId="0" fontId="4" fillId="11" borderId="10" xfId="20" applyNumberFormat="1" applyFont="1" applyFill="1" applyBorder="1" applyAlignment="1">
      <alignment vertical="center"/>
    </xf>
    <xf numFmtId="0" fontId="4" fillId="11" borderId="12" xfId="20" applyNumberFormat="1" applyFont="1" applyFill="1" applyBorder="1" applyAlignment="1">
      <alignment vertical="center"/>
    </xf>
    <xf numFmtId="0" fontId="7" fillId="2" borderId="0" xfId="7" applyFont="1" applyFill="1" applyAlignment="1">
      <alignment horizontal="center" vertical="center"/>
    </xf>
    <xf numFmtId="0" fontId="4" fillId="0" borderId="11" xfId="35" applyFont="1" applyFill="1" applyBorder="1" applyAlignment="1">
      <alignment horizontal="center" vertical="center"/>
    </xf>
    <xf numFmtId="171" fontId="12" fillId="4" borderId="6" xfId="20" applyNumberFormat="1" applyFont="1" applyFill="1" applyBorder="1" applyAlignment="1">
      <alignment horizontal="center" vertical="center" wrapText="1"/>
    </xf>
    <xf numFmtId="171" fontId="12" fillId="4" borderId="16" xfId="20" applyNumberFormat="1" applyFont="1" applyFill="1" applyBorder="1" applyAlignment="1">
      <alignment horizontal="center" vertical="center" wrapText="1"/>
    </xf>
    <xf numFmtId="0" fontId="4" fillId="7" borderId="0" xfId="35" applyFont="1" applyFill="1" applyBorder="1" applyAlignment="1">
      <alignment horizontal="center" vertical="center"/>
    </xf>
    <xf numFmtId="171" fontId="12" fillId="4" borderId="7" xfId="20" applyNumberFormat="1" applyFont="1" applyFill="1" applyBorder="1" applyAlignment="1">
      <alignment horizontal="center" vertical="center" wrapText="1"/>
    </xf>
    <xf numFmtId="165" fontId="12" fillId="4" borderId="6" xfId="20" applyNumberFormat="1" applyFont="1" applyFill="1" applyBorder="1" applyAlignment="1">
      <alignment horizontal="center" vertical="center" wrapText="1"/>
    </xf>
    <xf numFmtId="0" fontId="4" fillId="4" borderId="6" xfId="7" applyFont="1" applyFill="1" applyBorder="1" applyAlignment="1">
      <alignment horizontal="center" vertical="center"/>
    </xf>
    <xf numFmtId="0" fontId="4" fillId="4" borderId="16" xfId="7" applyFont="1" applyFill="1" applyBorder="1" applyAlignment="1">
      <alignment horizontal="center" vertical="center"/>
    </xf>
    <xf numFmtId="0" fontId="4" fillId="7" borderId="21" xfId="28" applyFont="1" applyFill="1" applyBorder="1"/>
    <xf numFmtId="0" fontId="4" fillId="0" borderId="0" xfId="7" applyFont="1" applyBorder="1"/>
    <xf numFmtId="0" fontId="4" fillId="7" borderId="22" xfId="35" applyFont="1" applyFill="1" applyBorder="1"/>
    <xf numFmtId="0" fontId="4" fillId="7" borderId="22" xfId="35" applyFont="1" applyFill="1" applyBorder="1" applyAlignment="1">
      <alignment horizontal="center"/>
    </xf>
    <xf numFmtId="0" fontId="4" fillId="7" borderId="22" xfId="7" applyFont="1" applyFill="1" applyBorder="1"/>
    <xf numFmtId="0" fontId="4" fillId="7" borderId="23" xfId="7" applyFont="1" applyFill="1" applyBorder="1"/>
    <xf numFmtId="171" fontId="4" fillId="2" borderId="0" xfId="33" applyNumberFormat="1" applyFont="1" applyFill="1" applyBorder="1"/>
    <xf numFmtId="171" fontId="4" fillId="11" borderId="7" xfId="33" applyNumberFormat="1" applyFont="1" applyFill="1" applyBorder="1" applyAlignment="1">
      <alignment horizontal="center" vertical="center"/>
    </xf>
    <xf numFmtId="171" fontId="4" fillId="11" borderId="10" xfId="45" applyNumberFormat="1" applyFont="1" applyFill="1" applyBorder="1"/>
    <xf numFmtId="180" fontId="4" fillId="11" borderId="10" xfId="33" applyNumberFormat="1" applyFont="1" applyFill="1" applyBorder="1"/>
    <xf numFmtId="0" fontId="4" fillId="11" borderId="3" xfId="33" applyFont="1" applyFill="1" applyBorder="1"/>
    <xf numFmtId="164" fontId="4" fillId="11" borderId="1" xfId="33" applyNumberFormat="1" applyFont="1" applyFill="1" applyBorder="1" applyAlignment="1"/>
    <xf numFmtId="0" fontId="4" fillId="11" borderId="1" xfId="33" applyFont="1" applyFill="1" applyBorder="1" applyAlignment="1">
      <alignment horizontal="center" vertical="center"/>
    </xf>
    <xf numFmtId="171" fontId="4" fillId="11" borderId="12" xfId="45" applyNumberFormat="1" applyFont="1" applyFill="1" applyBorder="1"/>
    <xf numFmtId="180" fontId="4" fillId="11" borderId="12" xfId="33" applyNumberFormat="1" applyFont="1" applyFill="1" applyBorder="1"/>
    <xf numFmtId="0" fontId="4" fillId="11" borderId="0" xfId="33" applyFont="1" applyFill="1" applyBorder="1"/>
    <xf numFmtId="164" fontId="4" fillId="11" borderId="2" xfId="33" applyNumberFormat="1" applyFont="1" applyFill="1" applyBorder="1" applyAlignment="1"/>
    <xf numFmtId="0" fontId="4" fillId="11" borderId="2" xfId="33" applyFont="1" applyFill="1" applyBorder="1" applyAlignment="1">
      <alignment horizontal="center" vertical="center"/>
    </xf>
    <xf numFmtId="171" fontId="4" fillId="11" borderId="13" xfId="45" applyNumberFormat="1" applyFont="1" applyFill="1" applyBorder="1"/>
    <xf numFmtId="180" fontId="4" fillId="11" borderId="13" xfId="33" applyNumberFormat="1" applyFont="1" applyFill="1" applyBorder="1"/>
    <xf numFmtId="164" fontId="4" fillId="11" borderId="5" xfId="33" applyNumberFormat="1" applyFont="1" applyFill="1" applyBorder="1" applyAlignment="1"/>
    <xf numFmtId="0" fontId="4" fillId="11" borderId="5" xfId="33" applyFont="1" applyFill="1" applyBorder="1" applyAlignment="1">
      <alignment horizontal="center" vertical="center"/>
    </xf>
    <xf numFmtId="0" fontId="12" fillId="12" borderId="7" xfId="33" applyFont="1" applyFill="1" applyBorder="1" applyAlignment="1">
      <alignment horizontal="center" vertical="center" wrapText="1"/>
    </xf>
    <xf numFmtId="0" fontId="4" fillId="4" borderId="16" xfId="33" applyFont="1" applyFill="1" applyBorder="1" applyAlignment="1">
      <alignment horizontal="center" vertical="center" wrapText="1"/>
    </xf>
    <xf numFmtId="0" fontId="4" fillId="4" borderId="8" xfId="33" applyFont="1" applyFill="1" applyBorder="1"/>
    <xf numFmtId="2" fontId="4" fillId="2" borderId="2" xfId="33" applyNumberFormat="1" applyFont="1" applyFill="1" applyBorder="1" applyAlignment="1">
      <alignment horizontal="center" vertical="center"/>
    </xf>
    <xf numFmtId="183" fontId="4" fillId="2" borderId="2" xfId="33" applyNumberFormat="1" applyFont="1" applyFill="1" applyBorder="1" applyAlignment="1"/>
    <xf numFmtId="0" fontId="4" fillId="2" borderId="0" xfId="33" applyFont="1" applyFill="1" applyAlignment="1">
      <alignment horizontal="center" vertical="center"/>
    </xf>
    <xf numFmtId="171" fontId="4" fillId="2" borderId="2" xfId="33" applyNumberFormat="1" applyFont="1" applyFill="1" applyBorder="1" applyAlignment="1">
      <alignment vertical="center"/>
    </xf>
    <xf numFmtId="0" fontId="12" fillId="12" borderId="4" xfId="33" applyFont="1" applyFill="1" applyBorder="1" applyAlignment="1">
      <alignment horizontal="centerContinuous" vertical="center" wrapText="1"/>
    </xf>
    <xf numFmtId="0" fontId="12" fillId="12" borderId="8" xfId="33" applyFont="1" applyFill="1" applyBorder="1" applyAlignment="1">
      <alignment horizontal="centerContinuous" vertical="center" wrapText="1"/>
    </xf>
    <xf numFmtId="0" fontId="12" fillId="12" borderId="13" xfId="33" applyFont="1" applyFill="1" applyBorder="1" applyAlignment="1">
      <alignment horizontal="centerContinuous" vertical="center" wrapText="1"/>
    </xf>
    <xf numFmtId="0" fontId="4" fillId="2" borderId="0" xfId="33" applyFont="1" applyFill="1" applyAlignment="1"/>
    <xf numFmtId="0" fontId="4" fillId="2" borderId="0" xfId="33" applyFont="1" applyFill="1" applyAlignment="1">
      <alignment horizontal="center"/>
    </xf>
    <xf numFmtId="0" fontId="26" fillId="2" borderId="0" xfId="33" applyFont="1" applyFill="1" applyAlignment="1">
      <alignment horizontal="center" vertical="center"/>
    </xf>
    <xf numFmtId="164" fontId="4" fillId="11" borderId="7" xfId="33" applyNumberFormat="1" applyFont="1" applyFill="1" applyBorder="1" applyAlignment="1">
      <alignment horizontal="center" vertical="center"/>
    </xf>
    <xf numFmtId="0" fontId="4" fillId="2" borderId="0" xfId="33" applyFont="1" applyFill="1" applyAlignment="1">
      <alignment vertical="center"/>
    </xf>
    <xf numFmtId="164" fontId="4" fillId="11" borderId="7" xfId="33" applyNumberFormat="1" applyFont="1" applyFill="1" applyBorder="1" applyAlignment="1">
      <alignment vertical="center"/>
    </xf>
    <xf numFmtId="2" fontId="4" fillId="2" borderId="11" xfId="33" applyNumberFormat="1" applyFont="1" applyFill="1" applyBorder="1" applyAlignment="1">
      <alignment horizontal="center" vertical="center"/>
    </xf>
    <xf numFmtId="2" fontId="4" fillId="2" borderId="12" xfId="33" applyNumberFormat="1" applyFont="1" applyFill="1" applyBorder="1" applyAlignment="1">
      <alignment horizontal="center" vertical="center"/>
    </xf>
    <xf numFmtId="2" fontId="4" fillId="2" borderId="0" xfId="33" applyNumberFormat="1" applyFont="1" applyFill="1"/>
    <xf numFmtId="0" fontId="27" fillId="2" borderId="0" xfId="33" applyFont="1" applyFill="1" applyAlignment="1">
      <alignment horizontal="center" vertical="center"/>
    </xf>
    <xf numFmtId="171" fontId="4" fillId="2" borderId="0" xfId="45" applyNumberFormat="1" applyFont="1" applyFill="1" applyBorder="1"/>
    <xf numFmtId="165" fontId="4" fillId="2" borderId="0" xfId="33" applyNumberFormat="1" applyFont="1" applyFill="1" applyBorder="1"/>
    <xf numFmtId="171" fontId="4" fillId="2" borderId="0" xfId="33" applyNumberFormat="1" applyFont="1" applyFill="1" applyBorder="1" applyAlignment="1"/>
    <xf numFmtId="164" fontId="4" fillId="2" borderId="0" xfId="33" applyNumberFormat="1" applyFont="1" applyFill="1" applyBorder="1" applyAlignment="1"/>
    <xf numFmtId="0" fontId="4" fillId="2" borderId="0" xfId="33" applyFont="1" applyFill="1" applyBorder="1" applyAlignment="1"/>
    <xf numFmtId="171" fontId="4" fillId="11" borderId="1" xfId="45" applyNumberFormat="1" applyFont="1" applyFill="1" applyBorder="1"/>
    <xf numFmtId="185" fontId="4" fillId="11" borderId="1" xfId="33" applyNumberFormat="1" applyFont="1" applyFill="1" applyBorder="1" applyAlignment="1"/>
    <xf numFmtId="171" fontId="4" fillId="11" borderId="1" xfId="33" applyNumberFormat="1" applyFont="1" applyFill="1" applyBorder="1" applyAlignment="1"/>
    <xf numFmtId="165" fontId="4" fillId="11" borderId="1" xfId="33" applyNumberFormat="1" applyFont="1" applyFill="1" applyBorder="1" applyAlignment="1"/>
    <xf numFmtId="180" fontId="4" fillId="11" borderId="1" xfId="33" applyNumberFormat="1" applyFont="1" applyFill="1" applyBorder="1" applyAlignment="1"/>
    <xf numFmtId="0" fontId="4" fillId="11" borderId="1" xfId="33" applyFont="1" applyFill="1" applyBorder="1" applyAlignment="1"/>
    <xf numFmtId="0" fontId="4" fillId="2" borderId="0" xfId="33" applyNumberFormat="1" applyFont="1" applyFill="1" applyBorder="1" applyAlignment="1"/>
    <xf numFmtId="171" fontId="4" fillId="11" borderId="2" xfId="45" applyNumberFormat="1" applyFont="1" applyFill="1" applyBorder="1"/>
    <xf numFmtId="185" fontId="4" fillId="11" borderId="2" xfId="33" applyNumberFormat="1" applyFont="1" applyFill="1" applyBorder="1" applyAlignment="1"/>
    <xf numFmtId="171" fontId="4" fillId="11" borderId="2" xfId="33" applyNumberFormat="1" applyFont="1" applyFill="1" applyBorder="1" applyAlignment="1"/>
    <xf numFmtId="165" fontId="4" fillId="11" borderId="2" xfId="33" applyNumberFormat="1" applyFont="1" applyFill="1" applyBorder="1" applyAlignment="1"/>
    <xf numFmtId="180" fontId="4" fillId="11" borderId="2" xfId="33" applyNumberFormat="1" applyFont="1" applyFill="1" applyBorder="1" applyAlignment="1"/>
    <xf numFmtId="0" fontId="4" fillId="11" borderId="2" xfId="33" applyFont="1" applyFill="1" applyBorder="1" applyAlignment="1"/>
    <xf numFmtId="2" fontId="4" fillId="2" borderId="0" xfId="33" applyNumberFormat="1" applyFont="1" applyFill="1" applyBorder="1" applyAlignment="1">
      <alignment horizontal="center" vertical="center"/>
    </xf>
    <xf numFmtId="0" fontId="4" fillId="2" borderId="0" xfId="33" applyFont="1" applyFill="1" applyBorder="1" applyAlignment="1">
      <alignment horizontal="center"/>
    </xf>
    <xf numFmtId="2" fontId="4" fillId="2" borderId="0" xfId="33" applyNumberFormat="1" applyFont="1" applyFill="1" applyBorder="1" applyAlignment="1"/>
    <xf numFmtId="2" fontId="4" fillId="2" borderId="0" xfId="33" applyNumberFormat="1" applyFont="1" applyFill="1" applyBorder="1"/>
    <xf numFmtId="171" fontId="4" fillId="11" borderId="7" xfId="45" applyNumberFormat="1" applyFont="1" applyFill="1" applyBorder="1"/>
    <xf numFmtId="185" fontId="5" fillId="11" borderId="7" xfId="33" applyNumberFormat="1" applyFont="1" applyFill="1" applyBorder="1" applyAlignment="1"/>
    <xf numFmtId="171" fontId="4" fillId="11" borderId="7" xfId="33" applyNumberFormat="1" applyFont="1" applyFill="1" applyBorder="1" applyAlignment="1"/>
    <xf numFmtId="165" fontId="4" fillId="11" borderId="7" xfId="33" applyNumberFormat="1" applyFont="1" applyFill="1" applyBorder="1" applyAlignment="1"/>
    <xf numFmtId="180" fontId="4" fillId="11" borderId="7" xfId="33" applyNumberFormat="1" applyFont="1" applyFill="1" applyBorder="1" applyAlignment="1"/>
    <xf numFmtId="164" fontId="4" fillId="11" borderId="7" xfId="33" applyNumberFormat="1" applyFont="1" applyFill="1" applyBorder="1" applyAlignment="1"/>
    <xf numFmtId="0" fontId="4" fillId="11" borderId="7" xfId="33" applyFont="1" applyFill="1" applyBorder="1" applyAlignment="1"/>
    <xf numFmtId="186" fontId="4" fillId="2" borderId="0" xfId="33" applyNumberFormat="1" applyFont="1" applyFill="1"/>
    <xf numFmtId="171" fontId="4" fillId="11" borderId="10" xfId="33" applyNumberFormat="1" applyFont="1" applyFill="1" applyBorder="1"/>
    <xf numFmtId="171" fontId="4" fillId="11" borderId="12" xfId="33" applyNumberFormat="1" applyFont="1" applyFill="1" applyBorder="1"/>
    <xf numFmtId="171" fontId="4" fillId="2" borderId="2" xfId="33" applyNumberFormat="1" applyFont="1" applyFill="1" applyBorder="1" applyAlignment="1"/>
    <xf numFmtId="0" fontId="12" fillId="12" borderId="7" xfId="33" applyFont="1" applyFill="1" applyBorder="1" applyAlignment="1">
      <alignment horizontal="centerContinuous" vertical="center" wrapText="1"/>
    </xf>
    <xf numFmtId="0" fontId="4" fillId="2" borderId="0" xfId="33" applyNumberFormat="1" applyFont="1" applyFill="1"/>
    <xf numFmtId="180" fontId="4" fillId="11" borderId="1" xfId="45" applyNumberFormat="1" applyFont="1" applyFill="1" applyBorder="1"/>
    <xf numFmtId="180" fontId="4" fillId="11" borderId="2" xfId="45" applyNumberFormat="1" applyFont="1" applyFill="1" applyBorder="1"/>
    <xf numFmtId="0" fontId="12" fillId="12" borderId="5" xfId="33" applyFont="1" applyFill="1" applyBorder="1" applyAlignment="1">
      <alignment horizontal="centerContinuous" vertical="center" wrapText="1"/>
    </xf>
    <xf numFmtId="0" fontId="11" fillId="7" borderId="11" xfId="31" applyFont="1" applyFill="1" applyBorder="1" applyAlignment="1">
      <alignment horizontal="right"/>
    </xf>
    <xf numFmtId="180" fontId="4" fillId="7" borderId="1" xfId="33" applyNumberFormat="1" applyFont="1" applyFill="1" applyBorder="1" applyAlignment="1">
      <alignment horizontal="center"/>
    </xf>
    <xf numFmtId="172" fontId="4" fillId="7" borderId="1" xfId="33" applyNumberFormat="1" applyFont="1" applyFill="1" applyBorder="1" applyAlignment="1">
      <alignment horizontal="right"/>
    </xf>
    <xf numFmtId="180" fontId="4" fillId="7" borderId="5" xfId="33" applyNumberFormat="1" applyFont="1" applyFill="1" applyBorder="1" applyAlignment="1">
      <alignment horizontal="center"/>
    </xf>
    <xf numFmtId="172" fontId="4" fillId="7" borderId="5" xfId="33" applyNumberFormat="1" applyFont="1" applyFill="1" applyBorder="1" applyAlignment="1">
      <alignment horizontal="right"/>
    </xf>
    <xf numFmtId="0" fontId="4" fillId="9" borderId="0" xfId="31" applyFont="1" applyFill="1" applyBorder="1"/>
    <xf numFmtId="0" fontId="4" fillId="9" borderId="12" xfId="31" applyFont="1" applyFill="1" applyBorder="1"/>
    <xf numFmtId="1" fontId="11" fillId="19" borderId="9" xfId="33" applyNumberFormat="1" applyFont="1" applyFill="1" applyBorder="1" applyAlignment="1">
      <alignment horizontal="left"/>
    </xf>
    <xf numFmtId="0" fontId="12" fillId="2" borderId="1" xfId="33" applyFont="1" applyFill="1" applyBorder="1" applyAlignment="1">
      <alignment horizontal="right"/>
    </xf>
    <xf numFmtId="182" fontId="4" fillId="19" borderId="4" xfId="33" quotePrefix="1" applyNumberFormat="1" applyFont="1" applyFill="1" applyBorder="1" applyAlignment="1">
      <alignment horizontal="center"/>
    </xf>
    <xf numFmtId="0" fontId="12" fillId="2" borderId="5" xfId="33" applyFont="1" applyFill="1" applyBorder="1" applyAlignment="1">
      <alignment horizontal="right"/>
    </xf>
    <xf numFmtId="172" fontId="4" fillId="9" borderId="0" xfId="45" applyNumberFormat="1" applyFont="1" applyFill="1" applyBorder="1" applyAlignment="1">
      <alignment horizontal="center"/>
    </xf>
    <xf numFmtId="0" fontId="4" fillId="9" borderId="0" xfId="31" applyFont="1" applyFill="1" applyBorder="1" applyAlignment="1">
      <alignment horizontal="right" vertical="center"/>
    </xf>
    <xf numFmtId="172" fontId="4" fillId="7" borderId="1" xfId="45" applyNumberFormat="1" applyFont="1" applyFill="1" applyBorder="1" applyAlignment="1">
      <alignment horizontal="center"/>
    </xf>
    <xf numFmtId="0" fontId="4" fillId="2" borderId="1" xfId="31" applyFont="1" applyFill="1" applyBorder="1" applyAlignment="1">
      <alignment horizontal="right" vertical="center"/>
    </xf>
    <xf numFmtId="172" fontId="4" fillId="7" borderId="2" xfId="45" applyNumberFormat="1" applyFont="1" applyFill="1" applyBorder="1" applyAlignment="1">
      <alignment horizontal="center"/>
    </xf>
    <xf numFmtId="0" fontId="4" fillId="2" borderId="2" xfId="31" applyFont="1" applyFill="1" applyBorder="1" applyAlignment="1">
      <alignment horizontal="right" vertical="center"/>
    </xf>
    <xf numFmtId="181" fontId="4" fillId="7" borderId="5" xfId="31" applyNumberFormat="1" applyFont="1" applyFill="1" applyBorder="1" applyAlignment="1">
      <alignment horizontal="center"/>
    </xf>
    <xf numFmtId="0" fontId="4" fillId="2" borderId="5" xfId="31" applyFont="1" applyFill="1" applyBorder="1" applyAlignment="1">
      <alignment horizontal="right" vertical="center"/>
    </xf>
    <xf numFmtId="0" fontId="4" fillId="9" borderId="11" xfId="31" applyFont="1" applyFill="1" applyBorder="1"/>
    <xf numFmtId="0" fontId="4" fillId="21" borderId="1" xfId="14" applyNumberFormat="1" applyFont="1" applyFill="1" applyBorder="1" applyAlignment="1">
      <alignment horizontal="center"/>
    </xf>
    <xf numFmtId="1" fontId="4" fillId="7" borderId="2" xfId="31" applyNumberFormat="1" applyFont="1" applyFill="1" applyBorder="1" applyAlignment="1">
      <alignment horizontal="center"/>
    </xf>
    <xf numFmtId="0" fontId="4" fillId="7" borderId="5" xfId="31" applyFont="1" applyFill="1" applyBorder="1" applyAlignment="1">
      <alignment horizontal="center"/>
    </xf>
    <xf numFmtId="0" fontId="22" fillId="4" borderId="24" xfId="12" applyFont="1" applyFill="1" applyBorder="1" applyAlignment="1">
      <alignment horizontal="centerContinuous" vertical="center"/>
    </xf>
    <xf numFmtId="0" fontId="22" fillId="4" borderId="25" xfId="12" applyFont="1" applyFill="1" applyBorder="1" applyAlignment="1">
      <alignment horizontal="centerContinuous" vertical="center"/>
    </xf>
    <xf numFmtId="0" fontId="16" fillId="7" borderId="3" xfId="31" applyFont="1" applyFill="1" applyBorder="1" applyAlignment="1">
      <alignment horizontal="right" vertical="center"/>
    </xf>
    <xf numFmtId="0" fontId="4" fillId="7" borderId="3" xfId="31" applyFont="1" applyFill="1" applyBorder="1" applyAlignment="1">
      <alignment horizontal="center"/>
    </xf>
    <xf numFmtId="0" fontId="11" fillId="7" borderId="0" xfId="31" quotePrefix="1" applyFont="1" applyFill="1" applyBorder="1" applyAlignment="1">
      <alignment horizontal="center" vertical="center"/>
    </xf>
    <xf numFmtId="0" fontId="16" fillId="7" borderId="0" xfId="31" applyFont="1" applyFill="1" applyBorder="1" applyAlignment="1">
      <alignment horizontal="right" vertical="center"/>
    </xf>
    <xf numFmtId="177" fontId="11" fillId="7" borderId="0" xfId="31" applyNumberFormat="1" applyFont="1" applyFill="1" applyBorder="1" applyAlignment="1">
      <alignment horizontal="right" vertical="center"/>
    </xf>
    <xf numFmtId="171" fontId="4" fillId="7" borderId="1" xfId="45" applyNumberFormat="1" applyFont="1" applyFill="1" applyBorder="1" applyAlignment="1">
      <alignment horizontal="center"/>
    </xf>
    <xf numFmtId="171" fontId="4" fillId="7" borderId="2" xfId="45" applyNumberFormat="1" applyFont="1" applyFill="1" applyBorder="1" applyAlignment="1">
      <alignment horizontal="center"/>
    </xf>
    <xf numFmtId="0" fontId="4" fillId="7" borderId="10" xfId="33" applyFont="1" applyFill="1" applyBorder="1"/>
    <xf numFmtId="0" fontId="4" fillId="7" borderId="1" xfId="31" applyFont="1" applyFill="1" applyBorder="1" applyAlignment="1">
      <alignment horizontal="center"/>
    </xf>
    <xf numFmtId="0" fontId="4" fillId="7" borderId="12" xfId="33" applyFont="1" applyFill="1" applyBorder="1"/>
    <xf numFmtId="1" fontId="4" fillId="7" borderId="2" xfId="45" applyNumberFormat="1" applyFont="1" applyFill="1" applyBorder="1" applyAlignment="1">
      <alignment horizontal="center"/>
    </xf>
    <xf numFmtId="181" fontId="4" fillId="7" borderId="2" xfId="31" applyNumberFormat="1" applyFont="1" applyFill="1" applyBorder="1" applyAlignment="1">
      <alignment horizontal="center"/>
    </xf>
    <xf numFmtId="164" fontId="4" fillId="7" borderId="2" xfId="31" applyNumberFormat="1" applyFont="1" applyFill="1" applyBorder="1" applyAlignment="1">
      <alignment horizontal="center"/>
    </xf>
    <xf numFmtId="164" fontId="4" fillId="12" borderId="7" xfId="31" applyNumberFormat="1" applyFont="1" applyFill="1" applyBorder="1" applyAlignment="1">
      <alignment horizontal="center"/>
    </xf>
    <xf numFmtId="0" fontId="4" fillId="2" borderId="5" xfId="31" applyFont="1" applyFill="1" applyBorder="1" applyAlignment="1">
      <alignment horizontal="right"/>
    </xf>
    <xf numFmtId="0" fontId="22" fillId="9" borderId="11" xfId="12" applyFont="1" applyFill="1" applyBorder="1" applyAlignment="1">
      <alignment horizontal="centerContinuous" vertical="center"/>
    </xf>
    <xf numFmtId="0" fontId="22" fillId="9" borderId="0" xfId="12" applyFont="1" applyFill="1" applyBorder="1" applyAlignment="1">
      <alignment horizontal="centerContinuous" vertical="center"/>
    </xf>
    <xf numFmtId="0" fontId="22" fillId="9" borderId="12" xfId="12" applyFont="1" applyFill="1" applyBorder="1" applyAlignment="1">
      <alignment horizontal="centerContinuous" vertical="center"/>
    </xf>
    <xf numFmtId="0" fontId="2" fillId="2" borderId="0" xfId="0" applyFont="1" applyFill="1" applyAlignment="1">
      <alignment horizontal="center"/>
    </xf>
    <xf numFmtId="0" fontId="2" fillId="2" borderId="0" xfId="0" applyFont="1" applyFill="1" applyAlignment="1">
      <alignment horizontal="right"/>
    </xf>
    <xf numFmtId="0" fontId="2" fillId="2" borderId="0" xfId="0" applyFont="1" applyFill="1" applyAlignment="1">
      <alignment horizontal="right" vertical="center"/>
    </xf>
    <xf numFmtId="179" fontId="4" fillId="9" borderId="1" xfId="1" applyNumberFormat="1" applyFont="1" applyFill="1" applyBorder="1" applyAlignment="1">
      <alignment horizontal="center"/>
    </xf>
    <xf numFmtId="187" fontId="4" fillId="7" borderId="1" xfId="1" applyNumberFormat="1" applyFont="1" applyFill="1" applyBorder="1" applyAlignment="1"/>
    <xf numFmtId="0" fontId="4" fillId="7" borderId="1" xfId="1" applyNumberFormat="1" applyFont="1" applyFill="1" applyBorder="1" applyAlignment="1">
      <alignment horizontal="center" vertical="center"/>
    </xf>
    <xf numFmtId="187" fontId="4" fillId="7" borderId="1" xfId="1" applyNumberFormat="1" applyFont="1" applyFill="1" applyBorder="1" applyAlignment="1">
      <alignment horizontal="right" vertical="center"/>
    </xf>
    <xf numFmtId="179" fontId="4" fillId="9" borderId="2" xfId="1" applyNumberFormat="1" applyFont="1" applyFill="1" applyBorder="1" applyAlignment="1">
      <alignment horizontal="center"/>
    </xf>
    <xf numFmtId="187" fontId="4" fillId="7" borderId="2" xfId="1" applyNumberFormat="1" applyFont="1" applyFill="1" applyBorder="1" applyAlignment="1"/>
    <xf numFmtId="0" fontId="4" fillId="7" borderId="2" xfId="1" applyNumberFormat="1" applyFont="1" applyFill="1" applyBorder="1" applyAlignment="1">
      <alignment horizontal="center" vertical="center"/>
    </xf>
    <xf numFmtId="187" fontId="4" fillId="7" borderId="2" xfId="1" applyNumberFormat="1" applyFont="1" applyFill="1" applyBorder="1" applyAlignment="1">
      <alignment horizontal="right" vertical="center"/>
    </xf>
    <xf numFmtId="179" fontId="4" fillId="9" borderId="2" xfId="1" applyNumberFormat="1" applyFont="1" applyFill="1" applyBorder="1" applyAlignment="1">
      <alignment horizontal="center" vertical="center"/>
    </xf>
    <xf numFmtId="180" fontId="2" fillId="0" borderId="1" xfId="0" applyNumberFormat="1" applyFont="1" applyBorder="1"/>
    <xf numFmtId="171" fontId="2" fillId="0" borderId="1" xfId="0" applyNumberFormat="1" applyFont="1" applyBorder="1" applyAlignment="1">
      <alignment horizontal="center" vertical="center"/>
    </xf>
    <xf numFmtId="171" fontId="2" fillId="0" borderId="1" xfId="0" applyNumberFormat="1" applyFont="1" applyBorder="1"/>
    <xf numFmtId="175" fontId="2" fillId="0" borderId="1" xfId="0" applyNumberFormat="1" applyFont="1" applyBorder="1" applyAlignment="1">
      <alignment horizontal="center"/>
    </xf>
    <xf numFmtId="0" fontId="2" fillId="0" borderId="1" xfId="0" applyFont="1" applyBorder="1" applyAlignment="1">
      <alignment horizontal="center" vertical="center"/>
    </xf>
    <xf numFmtId="0" fontId="2" fillId="0" borderId="1" xfId="0" applyFont="1" applyBorder="1" applyAlignment="1">
      <alignment horizontal="center"/>
    </xf>
    <xf numFmtId="171" fontId="2" fillId="0" borderId="1" xfId="0" applyNumberFormat="1" applyFont="1" applyBorder="1" applyAlignment="1">
      <alignment horizontal="center"/>
    </xf>
    <xf numFmtId="0" fontId="2" fillId="0" borderId="1" xfId="0" applyFont="1" applyBorder="1" applyAlignment="1"/>
    <xf numFmtId="187" fontId="2" fillId="0" borderId="1" xfId="0" applyNumberFormat="1" applyFont="1" applyBorder="1"/>
    <xf numFmtId="180" fontId="2" fillId="0" borderId="2" xfId="0" applyNumberFormat="1" applyFont="1" applyBorder="1"/>
    <xf numFmtId="171" fontId="2" fillId="0" borderId="2" xfId="0" applyNumberFormat="1" applyFont="1" applyBorder="1" applyAlignment="1">
      <alignment horizontal="center" vertical="center"/>
    </xf>
    <xf numFmtId="171" fontId="2" fillId="0" borderId="2" xfId="0" applyNumberFormat="1" applyFont="1" applyBorder="1"/>
    <xf numFmtId="175" fontId="2" fillId="0" borderId="2" xfId="0" applyNumberFormat="1" applyFont="1" applyBorder="1" applyAlignment="1">
      <alignment horizontal="center"/>
    </xf>
    <xf numFmtId="0" fontId="2" fillId="0" borderId="2" xfId="0" applyFont="1" applyBorder="1" applyAlignment="1">
      <alignment horizontal="center" vertical="center"/>
    </xf>
    <xf numFmtId="0" fontId="2" fillId="0" borderId="2" xfId="0" applyFont="1" applyBorder="1" applyAlignment="1">
      <alignment horizontal="center"/>
    </xf>
    <xf numFmtId="171" fontId="2" fillId="0" borderId="2" xfId="0" applyNumberFormat="1" applyFont="1" applyBorder="1" applyAlignment="1">
      <alignment horizontal="center"/>
    </xf>
    <xf numFmtId="0" fontId="2" fillId="0" borderId="2" xfId="0" applyFont="1" applyBorder="1" applyAlignment="1"/>
    <xf numFmtId="187" fontId="2" fillId="0" borderId="2" xfId="0" applyNumberFormat="1" applyFont="1" applyBorder="1"/>
    <xf numFmtId="179" fontId="4" fillId="9" borderId="5" xfId="1" applyNumberFormat="1" applyFont="1" applyFill="1" applyBorder="1" applyAlignment="1">
      <alignment horizontal="center" vertical="center"/>
    </xf>
    <xf numFmtId="187" fontId="4" fillId="7" borderId="5" xfId="1" applyNumberFormat="1" applyFont="1" applyFill="1" applyBorder="1" applyAlignment="1"/>
    <xf numFmtId="0" fontId="4" fillId="7" borderId="5" xfId="1" applyNumberFormat="1" applyFont="1" applyFill="1" applyBorder="1" applyAlignment="1">
      <alignment horizontal="center" vertical="center"/>
    </xf>
    <xf numFmtId="187" fontId="4" fillId="7" borderId="5" xfId="1" applyNumberFormat="1" applyFont="1" applyFill="1" applyBorder="1" applyAlignment="1">
      <alignment horizontal="right" vertical="center"/>
    </xf>
    <xf numFmtId="187" fontId="4" fillId="22" borderId="1" xfId="1" applyNumberFormat="1" applyFont="1" applyFill="1" applyBorder="1" applyAlignment="1">
      <alignment horizontal="center" vertical="center"/>
    </xf>
    <xf numFmtId="179" fontId="4" fillId="9" borderId="1" xfId="1" applyNumberFormat="1" applyFont="1" applyFill="1" applyBorder="1" applyAlignment="1"/>
    <xf numFmtId="187" fontId="4" fillId="7" borderId="1" xfId="1" applyNumberFormat="1" applyFont="1" applyFill="1" applyBorder="1" applyAlignment="1">
      <alignment horizontal="center" vertical="center"/>
    </xf>
    <xf numFmtId="0" fontId="4" fillId="7" borderId="1" xfId="1" applyNumberFormat="1" applyFont="1" applyFill="1" applyBorder="1" applyAlignment="1">
      <alignment horizontal="right" vertical="center"/>
    </xf>
    <xf numFmtId="175" fontId="2" fillId="0" borderId="5" xfId="0" applyNumberFormat="1" applyFont="1" applyBorder="1" applyAlignment="1">
      <alignment horizontal="center"/>
    </xf>
    <xf numFmtId="0" fontId="2" fillId="0" borderId="5" xfId="0" applyFont="1" applyBorder="1" applyAlignment="1">
      <alignment horizontal="center" vertical="center"/>
    </xf>
    <xf numFmtId="0" fontId="2" fillId="0" borderId="5" xfId="0" applyFont="1" applyBorder="1" applyAlignment="1">
      <alignment horizontal="center"/>
    </xf>
    <xf numFmtId="171" fontId="2" fillId="0" borderId="5" xfId="0" applyNumberFormat="1" applyFont="1" applyBorder="1" applyAlignment="1">
      <alignment horizontal="center"/>
    </xf>
    <xf numFmtId="0" fontId="2" fillId="0" borderId="5" xfId="0" applyFont="1" applyBorder="1" applyAlignment="1"/>
    <xf numFmtId="187" fontId="2" fillId="0" borderId="5" xfId="0" applyNumberFormat="1" applyFont="1" applyBorder="1"/>
    <xf numFmtId="187" fontId="4" fillId="22" borderId="2" xfId="1" applyNumberFormat="1" applyFont="1" applyFill="1" applyBorder="1" applyAlignment="1">
      <alignment horizontal="center" vertical="center"/>
    </xf>
    <xf numFmtId="179" fontId="4" fillId="9" borderId="2" xfId="1" applyNumberFormat="1" applyFont="1" applyFill="1" applyBorder="1" applyAlignment="1"/>
    <xf numFmtId="187" fontId="4" fillId="7" borderId="2" xfId="1" applyNumberFormat="1" applyFont="1" applyFill="1" applyBorder="1" applyAlignment="1">
      <alignment horizontal="center" vertical="center"/>
    </xf>
    <xf numFmtId="0" fontId="4" fillId="7" borderId="2" xfId="1" applyNumberFormat="1" applyFont="1" applyFill="1" applyBorder="1" applyAlignment="1">
      <alignment horizontal="right" vertical="center"/>
    </xf>
    <xf numFmtId="11" fontId="2" fillId="2" borderId="0" xfId="0" applyNumberFormat="1" applyFont="1" applyFill="1"/>
    <xf numFmtId="187" fontId="4" fillId="22" borderId="5" xfId="1" applyNumberFormat="1" applyFont="1" applyFill="1" applyBorder="1" applyAlignment="1">
      <alignment horizontal="center" vertical="center"/>
    </xf>
    <xf numFmtId="179" fontId="4" fillId="9" borderId="5" xfId="1" applyNumberFormat="1" applyFont="1" applyFill="1" applyBorder="1" applyAlignment="1"/>
    <xf numFmtId="187" fontId="4" fillId="7" borderId="5" xfId="1" applyNumberFormat="1" applyFont="1" applyFill="1" applyBorder="1" applyAlignment="1">
      <alignment horizontal="center" vertical="center"/>
    </xf>
    <xf numFmtId="0" fontId="4" fillId="7" borderId="5" xfId="1" applyNumberFormat="1" applyFont="1" applyFill="1" applyBorder="1" applyAlignment="1">
      <alignment horizontal="right" vertical="center"/>
    </xf>
    <xf numFmtId="179" fontId="4" fillId="9" borderId="1" xfId="1" applyNumberFormat="1" applyFont="1" applyFill="1" applyBorder="1" applyAlignment="1">
      <alignment horizontal="left"/>
    </xf>
    <xf numFmtId="0" fontId="4" fillId="7" borderId="26" xfId="1" applyNumberFormat="1" applyFont="1" applyFill="1" applyBorder="1" applyAlignment="1">
      <alignment horizontal="left"/>
    </xf>
    <xf numFmtId="187" fontId="4" fillId="22" borderId="26" xfId="1" applyNumberFormat="1" applyFont="1" applyFill="1" applyBorder="1" applyAlignment="1">
      <alignment horizontal="center" vertical="center"/>
    </xf>
    <xf numFmtId="179" fontId="4" fillId="9" borderId="26" xfId="1" applyNumberFormat="1" applyFont="1" applyFill="1" applyBorder="1" applyAlignment="1">
      <alignment horizontal="left"/>
    </xf>
    <xf numFmtId="0"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center" vertical="center"/>
    </xf>
    <xf numFmtId="187" fontId="4" fillId="7" borderId="26" xfId="1" applyNumberFormat="1" applyFont="1" applyFill="1" applyBorder="1" applyAlignment="1">
      <alignment horizontal="right" vertical="center"/>
    </xf>
    <xf numFmtId="187" fontId="4" fillId="7" borderId="26" xfId="1" applyNumberFormat="1" applyFont="1" applyFill="1" applyBorder="1" applyAlignment="1"/>
    <xf numFmtId="0" fontId="4" fillId="7" borderId="27" xfId="1" applyNumberFormat="1" applyFont="1" applyFill="1" applyBorder="1" applyAlignment="1">
      <alignment horizontal="left"/>
    </xf>
    <xf numFmtId="187" fontId="4" fillId="22" borderId="27" xfId="1" applyNumberFormat="1" applyFont="1" applyFill="1" applyBorder="1" applyAlignment="1">
      <alignment horizontal="center" vertical="center"/>
    </xf>
    <xf numFmtId="179" fontId="4" fillId="9" borderId="27" xfId="1" applyNumberFormat="1" applyFont="1" applyFill="1" applyBorder="1" applyAlignment="1">
      <alignment horizontal="left"/>
    </xf>
    <xf numFmtId="0"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center" vertical="center"/>
    </xf>
    <xf numFmtId="187" fontId="4" fillId="7" borderId="27" xfId="1" applyNumberFormat="1" applyFont="1" applyFill="1" applyBorder="1" applyAlignment="1">
      <alignment horizontal="right" vertical="center"/>
    </xf>
    <xf numFmtId="187" fontId="4" fillId="7" borderId="27" xfId="1" applyNumberFormat="1" applyFont="1" applyFill="1" applyBorder="1" applyAlignment="1"/>
    <xf numFmtId="179" fontId="4" fillId="9" borderId="2" xfId="1" applyNumberFormat="1" applyFont="1" applyFill="1" applyBorder="1" applyAlignment="1">
      <alignment horizontal="left"/>
    </xf>
    <xf numFmtId="0" fontId="4" fillId="18" borderId="7" xfId="1" applyFont="1" applyFill="1" applyBorder="1" applyAlignment="1">
      <alignment horizontal="center"/>
    </xf>
    <xf numFmtId="0" fontId="12" fillId="10" borderId="7" xfId="1" applyFont="1" applyFill="1" applyBorder="1" applyAlignment="1">
      <alignment horizontal="right"/>
    </xf>
    <xf numFmtId="0" fontId="4" fillId="7" borderId="28" xfId="1" applyNumberFormat="1" applyFont="1" applyFill="1" applyBorder="1" applyAlignment="1">
      <alignment horizontal="left"/>
    </xf>
    <xf numFmtId="187" fontId="4" fillId="22" borderId="28" xfId="1" applyNumberFormat="1" applyFont="1" applyFill="1" applyBorder="1" applyAlignment="1">
      <alignment horizontal="center" vertical="center"/>
    </xf>
    <xf numFmtId="179" fontId="4" fillId="9" borderId="28" xfId="1" applyNumberFormat="1" applyFont="1" applyFill="1" applyBorder="1" applyAlignment="1">
      <alignment horizontal="left"/>
    </xf>
    <xf numFmtId="0"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center" vertical="center"/>
    </xf>
    <xf numFmtId="187" fontId="4" fillId="7" borderId="28" xfId="1" applyNumberFormat="1" applyFont="1" applyFill="1" applyBorder="1" applyAlignment="1">
      <alignment horizontal="right" vertical="center"/>
    </xf>
    <xf numFmtId="187" fontId="4" fillId="7" borderId="28" xfId="1" applyNumberFormat="1" applyFont="1" applyFill="1" applyBorder="1" applyAlignment="1"/>
    <xf numFmtId="3" fontId="4" fillId="18" borderId="7" xfId="1" applyNumberFormat="1" applyFont="1" applyFill="1" applyBorder="1" applyAlignment="1">
      <alignment horizontal="center"/>
    </xf>
    <xf numFmtId="179" fontId="4" fillId="9" borderId="5" xfId="1" applyNumberFormat="1" applyFont="1" applyFill="1" applyBorder="1" applyAlignment="1">
      <alignment horizontal="left"/>
    </xf>
    <xf numFmtId="0" fontId="4" fillId="7" borderId="7" xfId="1" applyNumberFormat="1" applyFont="1" applyFill="1" applyBorder="1" applyAlignment="1">
      <alignment horizontal="left"/>
    </xf>
    <xf numFmtId="187" fontId="4" fillId="22" borderId="7" xfId="1" applyNumberFormat="1" applyFont="1" applyFill="1" applyBorder="1" applyAlignment="1">
      <alignment horizontal="center" vertical="center"/>
    </xf>
    <xf numFmtId="179" fontId="4" fillId="9" borderId="7" xfId="1" applyNumberFormat="1" applyFont="1" applyFill="1" applyBorder="1" applyAlignment="1">
      <alignment horizontal="left"/>
    </xf>
    <xf numFmtId="0"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center" vertical="center"/>
    </xf>
    <xf numFmtId="187" fontId="4" fillId="7" borderId="7" xfId="1" applyNumberFormat="1" applyFont="1" applyFill="1" applyBorder="1" applyAlignment="1">
      <alignment horizontal="right" vertical="center"/>
    </xf>
    <xf numFmtId="187" fontId="4" fillId="7" borderId="7" xfId="1" applyNumberFormat="1" applyFont="1" applyFill="1" applyBorder="1" applyAlignment="1"/>
    <xf numFmtId="0" fontId="12" fillId="4" borderId="6" xfId="1" applyFont="1" applyFill="1" applyBorder="1" applyAlignment="1">
      <alignment horizontal="centerContinuous" vertical="center" wrapText="1"/>
    </xf>
    <xf numFmtId="0" fontId="12" fillId="4" borderId="16" xfId="1" applyFont="1" applyFill="1" applyBorder="1" applyAlignment="1">
      <alignment horizontal="centerContinuous" vertical="center" wrapText="1"/>
    </xf>
    <xf numFmtId="180" fontId="2" fillId="0" borderId="5" xfId="0" applyNumberFormat="1" applyFont="1" applyBorder="1"/>
    <xf numFmtId="0" fontId="4" fillId="4" borderId="7" xfId="0" applyFont="1" applyFill="1" applyBorder="1" applyAlignment="1">
      <alignment horizontal="center" vertical="center" wrapText="1"/>
    </xf>
    <xf numFmtId="185" fontId="4" fillId="4" borderId="7" xfId="0" applyNumberFormat="1" applyFont="1" applyFill="1" applyBorder="1" applyAlignment="1">
      <alignment horizontal="center" vertical="center" wrapText="1"/>
    </xf>
    <xf numFmtId="0" fontId="4" fillId="2" borderId="0" xfId="0" applyFont="1" applyFill="1" applyBorder="1" applyAlignment="1">
      <alignment horizontal="center" vertical="center"/>
    </xf>
    <xf numFmtId="0" fontId="4" fillId="4" borderId="7" xfId="0" applyFont="1" applyFill="1" applyBorder="1" applyAlignment="1">
      <alignment horizontal="centerContinuous" vertical="center"/>
    </xf>
    <xf numFmtId="0" fontId="4" fillId="4" borderId="8" xfId="0" applyFont="1" applyFill="1" applyBorder="1" applyAlignment="1">
      <alignment horizontal="centerContinuous" vertical="center"/>
    </xf>
    <xf numFmtId="185" fontId="4" fillId="4" borderId="8" xfId="0" applyNumberFormat="1" applyFont="1" applyFill="1" applyBorder="1" applyAlignment="1">
      <alignment horizontal="centerContinuous" vertical="center"/>
    </xf>
    <xf numFmtId="0" fontId="4" fillId="4" borderId="13" xfId="0" applyFont="1" applyFill="1" applyBorder="1" applyAlignment="1">
      <alignment horizontal="centerContinuous" vertical="center"/>
    </xf>
    <xf numFmtId="0" fontId="4" fillId="4" borderId="6" xfId="0" applyFont="1" applyFill="1" applyBorder="1" applyAlignment="1">
      <alignment horizontal="centerContinuous" vertical="center"/>
    </xf>
    <xf numFmtId="0" fontId="4" fillId="4" borderId="14" xfId="0" applyFont="1" applyFill="1" applyBorder="1" applyAlignment="1">
      <alignment horizontal="centerContinuous" vertical="center"/>
    </xf>
    <xf numFmtId="0" fontId="4" fillId="4" borderId="16" xfId="0" applyFont="1" applyFill="1" applyBorder="1" applyAlignment="1">
      <alignment horizontal="centerContinuous" vertical="center"/>
    </xf>
    <xf numFmtId="179" fontId="4" fillId="9" borderId="1" xfId="1" applyNumberFormat="1" applyFont="1" applyFill="1" applyBorder="1" applyAlignment="1">
      <alignment vertical="center"/>
    </xf>
    <xf numFmtId="179" fontId="4" fillId="9" borderId="2" xfId="1" applyNumberFormat="1" applyFont="1" applyFill="1" applyBorder="1" applyAlignment="1">
      <alignment vertical="center"/>
    </xf>
    <xf numFmtId="187" fontId="2" fillId="2" borderId="0" xfId="0" applyNumberFormat="1" applyFont="1" applyFill="1"/>
    <xf numFmtId="0" fontId="2" fillId="9" borderId="1" xfId="0" applyFont="1" applyFill="1" applyBorder="1" applyAlignment="1">
      <alignment horizontal="center"/>
    </xf>
    <xf numFmtId="0" fontId="2" fillId="9" borderId="2" xfId="0" applyFont="1" applyFill="1" applyBorder="1" applyAlignment="1">
      <alignment horizontal="center"/>
    </xf>
    <xf numFmtId="0" fontId="2" fillId="9" borderId="5" xfId="0" applyFont="1" applyFill="1" applyBorder="1" applyAlignment="1">
      <alignment horizontal="center"/>
    </xf>
    <xf numFmtId="180" fontId="2" fillId="2" borderId="0" xfId="0" applyNumberFormat="1" applyFont="1" applyFill="1"/>
    <xf numFmtId="179" fontId="2" fillId="9" borderId="1" xfId="0" applyNumberFormat="1" applyFont="1" applyFill="1" applyBorder="1"/>
    <xf numFmtId="10" fontId="2" fillId="12" borderId="1" xfId="0" applyNumberFormat="1" applyFont="1" applyFill="1" applyBorder="1"/>
    <xf numFmtId="10" fontId="2" fillId="9" borderId="1" xfId="0" applyNumberFormat="1" applyFont="1" applyFill="1" applyBorder="1"/>
    <xf numFmtId="165" fontId="2" fillId="9" borderId="1" xfId="0" applyNumberFormat="1" applyFont="1" applyFill="1" applyBorder="1"/>
    <xf numFmtId="0" fontId="2" fillId="9" borderId="1" xfId="0" applyFont="1" applyFill="1" applyBorder="1"/>
    <xf numFmtId="164" fontId="2" fillId="9" borderId="1" xfId="0" applyNumberFormat="1" applyFont="1" applyFill="1" applyBorder="1"/>
    <xf numFmtId="179" fontId="2" fillId="9" borderId="2" xfId="0" applyNumberFormat="1" applyFont="1" applyFill="1" applyBorder="1"/>
    <xf numFmtId="10" fontId="2" fillId="12" borderId="2" xfId="0" applyNumberFormat="1" applyFont="1" applyFill="1" applyBorder="1"/>
    <xf numFmtId="10" fontId="2" fillId="9" borderId="2" xfId="0" applyNumberFormat="1" applyFont="1" applyFill="1" applyBorder="1"/>
    <xf numFmtId="165" fontId="2" fillId="9" borderId="2" xfId="0" applyNumberFormat="1" applyFont="1" applyFill="1" applyBorder="1"/>
    <xf numFmtId="0" fontId="2" fillId="9" borderId="2" xfId="0" applyFont="1" applyFill="1" applyBorder="1"/>
    <xf numFmtId="164" fontId="2" fillId="9" borderId="2" xfId="0" applyNumberFormat="1" applyFont="1" applyFill="1" applyBorder="1"/>
    <xf numFmtId="179" fontId="4" fillId="9" borderId="1" xfId="1" applyNumberFormat="1" applyFont="1" applyFill="1" applyBorder="1" applyAlignment="1">
      <alignment horizontal="center" vertical="center"/>
    </xf>
    <xf numFmtId="179" fontId="2" fillId="9" borderId="5" xfId="0" applyNumberFormat="1" applyFont="1" applyFill="1" applyBorder="1"/>
    <xf numFmtId="10" fontId="2" fillId="12" borderId="5" xfId="0" applyNumberFormat="1" applyFont="1" applyFill="1" applyBorder="1"/>
    <xf numFmtId="10" fontId="2" fillId="9" borderId="5" xfId="0" applyNumberFormat="1" applyFont="1" applyFill="1" applyBorder="1"/>
    <xf numFmtId="165" fontId="2" fillId="9" borderId="5" xfId="0" applyNumberFormat="1" applyFont="1" applyFill="1" applyBorder="1"/>
    <xf numFmtId="0" fontId="2" fillId="9" borderId="5" xfId="0" applyFont="1" applyFill="1" applyBorder="1"/>
    <xf numFmtId="164" fontId="2" fillId="9" borderId="5" xfId="0" applyNumberFormat="1" applyFont="1" applyFill="1" applyBorder="1"/>
    <xf numFmtId="3" fontId="4" fillId="18" borderId="1" xfId="1" applyNumberFormat="1" applyFont="1" applyFill="1" applyBorder="1" applyAlignment="1">
      <alignment horizontal="center"/>
    </xf>
    <xf numFmtId="0" fontId="12" fillId="10" borderId="1" xfId="1" applyFont="1" applyFill="1" applyBorder="1" applyAlignment="1">
      <alignment horizontal="right"/>
    </xf>
    <xf numFmtId="0" fontId="12" fillId="4" borderId="14" xfId="1" applyFont="1" applyFill="1" applyBorder="1" applyAlignment="1">
      <alignment horizontal="centerContinuous" vertical="center" wrapText="1"/>
    </xf>
    <xf numFmtId="179" fontId="2" fillId="12" borderId="1" xfId="0" applyNumberFormat="1" applyFont="1" applyFill="1" applyBorder="1"/>
    <xf numFmtId="179" fontId="2" fillId="12" borderId="2" xfId="0" applyNumberFormat="1" applyFont="1" applyFill="1" applyBorder="1"/>
    <xf numFmtId="179" fontId="2" fillId="12" borderId="5" xfId="0" applyNumberFormat="1" applyFont="1" applyFill="1" applyBorder="1"/>
    <xf numFmtId="175" fontId="2" fillId="9" borderId="1" xfId="0" applyNumberFormat="1" applyFont="1" applyFill="1" applyBorder="1" applyAlignment="1">
      <alignment horizontal="center"/>
    </xf>
    <xf numFmtId="171" fontId="2" fillId="9" borderId="1" xfId="0" applyNumberFormat="1" applyFont="1" applyFill="1" applyBorder="1" applyAlignment="1">
      <alignment horizontal="center"/>
    </xf>
    <xf numFmtId="0" fontId="2" fillId="9" borderId="1" xfId="0" applyFont="1" applyFill="1" applyBorder="1" applyAlignment="1"/>
    <xf numFmtId="187" fontId="2" fillId="9" borderId="1" xfId="0" applyNumberFormat="1" applyFont="1" applyFill="1" applyBorder="1"/>
    <xf numFmtId="175" fontId="2" fillId="9" borderId="2" xfId="0" applyNumberFormat="1" applyFont="1" applyFill="1" applyBorder="1" applyAlignment="1">
      <alignment horizontal="center"/>
    </xf>
    <xf numFmtId="171" fontId="2" fillId="9" borderId="2" xfId="0" applyNumberFormat="1" applyFont="1" applyFill="1" applyBorder="1" applyAlignment="1">
      <alignment horizontal="center"/>
    </xf>
    <xf numFmtId="0" fontId="2" fillId="9" borderId="2" xfId="0" applyFont="1" applyFill="1" applyBorder="1" applyAlignment="1"/>
    <xf numFmtId="187" fontId="2" fillId="9" borderId="2" xfId="0" applyNumberFormat="1" applyFont="1" applyFill="1" applyBorder="1"/>
    <xf numFmtId="179" fontId="4" fillId="9" borderId="26" xfId="1" applyNumberFormat="1" applyFont="1" applyFill="1" applyBorder="1" applyAlignment="1">
      <alignment horizontal="center" vertical="center"/>
    </xf>
    <xf numFmtId="0" fontId="4" fillId="7" borderId="26" xfId="1" applyNumberFormat="1" applyFont="1" applyFill="1" applyBorder="1" applyAlignment="1">
      <alignment horizontal="right" vertical="center"/>
    </xf>
    <xf numFmtId="179" fontId="4" fillId="9" borderId="27" xfId="1" applyNumberFormat="1" applyFont="1" applyFill="1" applyBorder="1" applyAlignment="1">
      <alignment horizontal="center" vertical="center"/>
    </xf>
    <xf numFmtId="0" fontId="4" fillId="7" borderId="27" xfId="1" applyNumberFormat="1" applyFont="1" applyFill="1" applyBorder="1" applyAlignment="1">
      <alignment horizontal="right" vertical="center"/>
    </xf>
    <xf numFmtId="175" fontId="2" fillId="9" borderId="5" xfId="0" applyNumberFormat="1" applyFont="1" applyFill="1" applyBorder="1" applyAlignment="1">
      <alignment horizontal="center"/>
    </xf>
    <xf numFmtId="171" fontId="2" fillId="9" borderId="5" xfId="0" applyNumberFormat="1" applyFont="1" applyFill="1" applyBorder="1" applyAlignment="1">
      <alignment horizontal="center"/>
    </xf>
    <xf numFmtId="0" fontId="2" fillId="9" borderId="5" xfId="0" applyFont="1" applyFill="1" applyBorder="1" applyAlignment="1"/>
    <xf numFmtId="187" fontId="2" fillId="9" borderId="5" xfId="0" applyNumberFormat="1" applyFont="1" applyFill="1" applyBorder="1"/>
    <xf numFmtId="0" fontId="2" fillId="9" borderId="2" xfId="0" applyFont="1" applyFill="1" applyBorder="1" applyAlignment="1">
      <alignment horizontal="center" vertical="center"/>
    </xf>
    <xf numFmtId="165" fontId="2" fillId="0" borderId="1" xfId="0" applyNumberFormat="1" applyFont="1" applyBorder="1" applyAlignment="1">
      <alignment horizontal="center"/>
    </xf>
    <xf numFmtId="165" fontId="2" fillId="0" borderId="2" xfId="0" applyNumberFormat="1" applyFont="1" applyBorder="1" applyAlignment="1">
      <alignment horizontal="center"/>
    </xf>
    <xf numFmtId="165" fontId="2" fillId="0" borderId="5" xfId="0" applyNumberFormat="1" applyFont="1" applyBorder="1" applyAlignment="1">
      <alignment horizontal="center"/>
    </xf>
    <xf numFmtId="179" fontId="4" fillId="9" borderId="1" xfId="1" applyNumberFormat="1" applyFont="1" applyFill="1" applyBorder="1" applyAlignment="1">
      <alignment horizontal="right"/>
    </xf>
    <xf numFmtId="179" fontId="4" fillId="9" borderId="2" xfId="1" applyNumberFormat="1" applyFont="1" applyFill="1" applyBorder="1" applyAlignment="1">
      <alignment horizontal="right"/>
    </xf>
    <xf numFmtId="179" fontId="4" fillId="9" borderId="5" xfId="1" applyNumberFormat="1" applyFont="1" applyFill="1" applyBorder="1" applyAlignment="1">
      <alignment horizontal="right"/>
    </xf>
    <xf numFmtId="0" fontId="2" fillId="0" borderId="1" xfId="0" applyNumberFormat="1" applyFont="1" applyBorder="1" applyAlignment="1">
      <alignment horizontal="center"/>
    </xf>
    <xf numFmtId="0" fontId="2" fillId="0" borderId="2" xfId="0" applyNumberFormat="1" applyFont="1" applyBorder="1" applyAlignment="1">
      <alignment horizontal="center"/>
    </xf>
    <xf numFmtId="175" fontId="4" fillId="7" borderId="1" xfId="1" applyNumberFormat="1" applyFont="1" applyFill="1" applyBorder="1" applyAlignment="1">
      <alignment horizontal="center" vertical="center"/>
    </xf>
    <xf numFmtId="0" fontId="2" fillId="0" borderId="5" xfId="0" applyNumberFormat="1" applyFont="1" applyBorder="1" applyAlignment="1">
      <alignment horizontal="center"/>
    </xf>
    <xf numFmtId="175" fontId="4" fillId="7" borderId="2" xfId="1" applyNumberFormat="1" applyFont="1" applyFill="1" applyBorder="1" applyAlignment="1">
      <alignment horizontal="center" vertical="center"/>
    </xf>
    <xf numFmtId="175" fontId="4" fillId="7" borderId="5" xfId="1" applyNumberFormat="1" applyFont="1" applyFill="1" applyBorder="1" applyAlignment="1">
      <alignment horizontal="center" vertical="center"/>
    </xf>
    <xf numFmtId="0" fontId="2" fillId="0" borderId="9" xfId="0" applyFont="1" applyBorder="1"/>
    <xf numFmtId="0" fontId="2" fillId="0" borderId="11" xfId="0" applyFont="1" applyBorder="1"/>
    <xf numFmtId="0" fontId="4" fillId="7" borderId="9" xfId="12" applyFont="1" applyFill="1" applyBorder="1"/>
    <xf numFmtId="0" fontId="4" fillId="7" borderId="1" xfId="12" applyFont="1" applyFill="1" applyBorder="1" applyAlignment="1">
      <alignment horizontal="right"/>
    </xf>
    <xf numFmtId="180" fontId="4" fillId="7" borderId="2" xfId="1" applyNumberFormat="1" applyFont="1" applyFill="1" applyBorder="1" applyAlignment="1">
      <alignment horizontal="center"/>
    </xf>
    <xf numFmtId="172" fontId="4" fillId="7" borderId="2" xfId="1" applyNumberFormat="1" applyFont="1" applyFill="1" applyBorder="1" applyAlignment="1">
      <alignment horizontal="right"/>
    </xf>
    <xf numFmtId="180" fontId="4" fillId="7" borderId="5" xfId="1" applyNumberFormat="1" applyFont="1" applyFill="1" applyBorder="1" applyAlignment="1">
      <alignment horizontal="center"/>
    </xf>
    <xf numFmtId="172" fontId="4" fillId="7" borderId="5" xfId="1" applyNumberFormat="1" applyFont="1" applyFill="1" applyBorder="1" applyAlignment="1">
      <alignment horizontal="right"/>
    </xf>
    <xf numFmtId="0" fontId="4" fillId="18" borderId="9" xfId="1" applyFont="1" applyFill="1" applyBorder="1" applyAlignment="1">
      <alignment horizontal="center"/>
    </xf>
    <xf numFmtId="0" fontId="12" fillId="4" borderId="1" xfId="1" applyFont="1" applyFill="1" applyBorder="1" applyAlignment="1">
      <alignment horizontal="right"/>
    </xf>
    <xf numFmtId="0" fontId="4" fillId="18" borderId="11" xfId="1" applyFont="1" applyFill="1" applyBorder="1" applyAlignment="1">
      <alignment horizontal="center"/>
    </xf>
    <xf numFmtId="0" fontId="12" fillId="4" borderId="2" xfId="1" applyFont="1" applyFill="1" applyBorder="1" applyAlignment="1">
      <alignment horizontal="right"/>
    </xf>
    <xf numFmtId="11" fontId="4" fillId="18" borderId="11" xfId="1" applyNumberFormat="1" applyFont="1" applyFill="1" applyBorder="1" applyAlignment="1">
      <alignment horizontal="center"/>
    </xf>
    <xf numFmtId="3" fontId="4" fillId="18" borderId="11" xfId="1" applyNumberFormat="1" applyFont="1" applyFill="1" applyBorder="1" applyAlignment="1">
      <alignment horizontal="center"/>
    </xf>
    <xf numFmtId="182" fontId="4" fillId="18" borderId="4" xfId="1" applyNumberFormat="1" applyFont="1" applyFill="1" applyBorder="1" applyAlignment="1">
      <alignment horizontal="center"/>
    </xf>
    <xf numFmtId="0" fontId="12" fillId="4" borderId="5" xfId="1" applyFont="1" applyFill="1" applyBorder="1" applyAlignment="1">
      <alignment horizontal="right"/>
    </xf>
    <xf numFmtId="0" fontId="2" fillId="0" borderId="11" xfId="0" applyFont="1" applyBorder="1" applyAlignment="1">
      <alignment horizontal="center" vertical="center"/>
    </xf>
    <xf numFmtId="178" fontId="4" fillId="2" borderId="0" xfId="12" applyNumberFormat="1" applyFont="1" applyFill="1" applyBorder="1" applyAlignment="1">
      <alignment horizontal="center"/>
    </xf>
    <xf numFmtId="0" fontId="2" fillId="0" borderId="4" xfId="0" applyFont="1" applyBorder="1" applyAlignment="1">
      <alignment horizontal="center" vertical="center"/>
    </xf>
    <xf numFmtId="0" fontId="2" fillId="0" borderId="4" xfId="0" applyFont="1" applyBorder="1"/>
    <xf numFmtId="0" fontId="2" fillId="0" borderId="8" xfId="0" applyFont="1" applyBorder="1"/>
    <xf numFmtId="0" fontId="2" fillId="0" borderId="13" xfId="0" applyFont="1" applyBorder="1"/>
    <xf numFmtId="0" fontId="2" fillId="0" borderId="12" xfId="0" applyFont="1" applyBorder="1"/>
    <xf numFmtId="0" fontId="2" fillId="0" borderId="14" xfId="0" applyFont="1" applyBorder="1"/>
    <xf numFmtId="188" fontId="4" fillId="9" borderId="3" xfId="1" applyNumberFormat="1" applyFont="1" applyFill="1" applyBorder="1" applyAlignment="1">
      <alignment horizontal="center"/>
    </xf>
    <xf numFmtId="0" fontId="4" fillId="4" borderId="1" xfId="1" applyFont="1" applyFill="1" applyBorder="1"/>
    <xf numFmtId="0" fontId="2" fillId="9" borderId="0" xfId="0" applyFont="1" applyFill="1"/>
    <xf numFmtId="0" fontId="4" fillId="9" borderId="12" xfId="12" applyFont="1" applyFill="1" applyBorder="1"/>
    <xf numFmtId="188" fontId="4" fillId="7" borderId="2" xfId="1" applyNumberFormat="1" applyFont="1" applyFill="1" applyBorder="1" applyAlignment="1">
      <alignment horizontal="center"/>
    </xf>
    <xf numFmtId="0" fontId="4" fillId="4" borderId="2" xfId="1" applyFont="1" applyFill="1" applyBorder="1"/>
    <xf numFmtId="188" fontId="4" fillId="10" borderId="7" xfId="1" applyNumberFormat="1" applyFont="1" applyFill="1" applyBorder="1" applyAlignment="1">
      <alignment horizontal="center"/>
    </xf>
    <xf numFmtId="188" fontId="4" fillId="7" borderId="5" xfId="1" applyNumberFormat="1" applyFont="1" applyFill="1" applyBorder="1" applyAlignment="1">
      <alignment horizontal="center"/>
    </xf>
    <xf numFmtId="0" fontId="4" fillId="4" borderId="5" xfId="1" applyFont="1" applyFill="1" applyBorder="1"/>
    <xf numFmtId="188" fontId="4" fillId="7" borderId="11" xfId="1" applyNumberFormat="1" applyFont="1" applyFill="1" applyBorder="1" applyAlignment="1">
      <alignment horizontal="center"/>
    </xf>
    <xf numFmtId="0" fontId="4" fillId="9" borderId="2" xfId="12" applyFont="1" applyFill="1" applyBorder="1"/>
    <xf numFmtId="0" fontId="2" fillId="9" borderId="14" xfId="0" applyFont="1" applyFill="1" applyBorder="1"/>
    <xf numFmtId="164" fontId="4" fillId="7" borderId="11" xfId="1" applyNumberFormat="1" applyFont="1" applyFill="1" applyBorder="1" applyAlignment="1">
      <alignment horizontal="center"/>
    </xf>
    <xf numFmtId="188" fontId="4" fillId="12" borderId="6" xfId="1" applyNumberFormat="1" applyFont="1" applyFill="1" applyBorder="1" applyAlignment="1">
      <alignment horizontal="center"/>
    </xf>
    <xf numFmtId="164" fontId="4" fillId="7" borderId="4" xfId="1" applyNumberFormat="1" applyFont="1" applyFill="1" applyBorder="1" applyAlignment="1">
      <alignment horizontal="center"/>
    </xf>
    <xf numFmtId="0" fontId="4" fillId="7" borderId="4" xfId="1" applyFont="1" applyFill="1" applyBorder="1" applyAlignment="1">
      <alignment horizontal="center"/>
    </xf>
    <xf numFmtId="0" fontId="2" fillId="9" borderId="5" xfId="0" applyFont="1" applyFill="1" applyBorder="1" applyAlignment="1">
      <alignment horizontal="center" vertical="center"/>
    </xf>
    <xf numFmtId="186" fontId="2" fillId="2" borderId="0" xfId="0" applyNumberFormat="1" applyFont="1" applyFill="1" applyAlignment="1"/>
    <xf numFmtId="11" fontId="2" fillId="2" borderId="0" xfId="0" applyNumberFormat="1" applyFont="1" applyFill="1" applyBorder="1"/>
    <xf numFmtId="171" fontId="2" fillId="0" borderId="5" xfId="0" applyNumberFormat="1" applyFont="1" applyBorder="1"/>
    <xf numFmtId="0" fontId="4" fillId="7" borderId="6" xfId="1" applyFont="1" applyFill="1" applyBorder="1" applyAlignment="1">
      <alignment horizontal="center"/>
    </xf>
    <xf numFmtId="188" fontId="4" fillId="10" borderId="9" xfId="1" applyNumberFormat="1" applyFont="1" applyFill="1" applyBorder="1" applyAlignment="1">
      <alignment horizontal="center"/>
    </xf>
    <xf numFmtId="188" fontId="4" fillId="7" borderId="9" xfId="1" applyNumberFormat="1" applyFont="1" applyFill="1" applyBorder="1" applyAlignment="1">
      <alignment horizontal="center"/>
    </xf>
    <xf numFmtId="188" fontId="4" fillId="22" borderId="11" xfId="1" applyNumberFormat="1" applyFont="1" applyFill="1" applyBorder="1" applyAlignment="1">
      <alignment horizontal="center"/>
    </xf>
    <xf numFmtId="0" fontId="4" fillId="0" borderId="0" xfId="33" applyFont="1"/>
    <xf numFmtId="0" fontId="4" fillId="0" borderId="0" xfId="33" applyFont="1" applyAlignment="1">
      <alignment horizontal="right"/>
    </xf>
    <xf numFmtId="0" fontId="4" fillId="0" borderId="0" xfId="33" applyNumberFormat="1" applyFont="1"/>
    <xf numFmtId="171" fontId="4" fillId="0" borderId="0" xfId="33" applyNumberFormat="1" applyFont="1"/>
    <xf numFmtId="9" fontId="4" fillId="0" borderId="0" xfId="33" applyNumberFormat="1" applyFont="1"/>
    <xf numFmtId="171" fontId="4" fillId="0" borderId="0" xfId="33" applyNumberFormat="1" applyFont="1" applyAlignment="1">
      <alignment horizontal="right"/>
    </xf>
    <xf numFmtId="165" fontId="4" fillId="0" borderId="0" xfId="33" applyNumberFormat="1" applyFont="1" applyAlignment="1">
      <alignment horizontal="right"/>
    </xf>
    <xf numFmtId="3" fontId="4" fillId="0" borderId="0" xfId="33" applyNumberFormat="1" applyFont="1" applyAlignment="1">
      <alignment horizontal="right"/>
    </xf>
    <xf numFmtId="164" fontId="4" fillId="0" borderId="0" xfId="33" applyNumberFormat="1" applyFont="1" applyAlignment="1">
      <alignment horizontal="right"/>
    </xf>
    <xf numFmtId="0" fontId="4" fillId="0" borderId="0" xfId="33" applyNumberFormat="1" applyFont="1" applyAlignment="1">
      <alignment horizontal="right"/>
    </xf>
    <xf numFmtId="43" fontId="4" fillId="0" borderId="0" xfId="33" applyNumberFormat="1" applyFont="1" applyAlignment="1">
      <alignment horizontal="right"/>
    </xf>
    <xf numFmtId="0" fontId="4" fillId="0" borderId="0" xfId="17" applyNumberFormat="1" applyFont="1"/>
    <xf numFmtId="0" fontId="4" fillId="0" borderId="29" xfId="17" applyNumberFormat="1" applyFont="1" applyBorder="1" applyAlignment="1">
      <alignment vertical="center" wrapText="1"/>
    </xf>
    <xf numFmtId="171" fontId="4" fillId="0" borderId="30" xfId="17" applyNumberFormat="1" applyFont="1" applyBorder="1" applyAlignment="1">
      <alignment vertical="center" wrapText="1"/>
    </xf>
    <xf numFmtId="9" fontId="4" fillId="0" borderId="30" xfId="17" applyNumberFormat="1" applyFont="1" applyBorder="1" applyAlignment="1">
      <alignment vertical="center" wrapText="1"/>
    </xf>
    <xf numFmtId="165" fontId="4" fillId="0" borderId="30" xfId="17" applyNumberFormat="1" applyFont="1" applyBorder="1" applyAlignment="1">
      <alignment vertical="center" wrapText="1"/>
    </xf>
    <xf numFmtId="3" fontId="4" fillId="0" borderId="30" xfId="33" applyNumberFormat="1" applyFont="1" applyBorder="1" applyAlignment="1">
      <alignment vertical="center" wrapText="1"/>
    </xf>
    <xf numFmtId="164" fontId="4" fillId="0" borderId="30" xfId="33" applyNumberFormat="1" applyFont="1" applyBorder="1" applyAlignment="1">
      <alignment vertical="center" wrapText="1"/>
    </xf>
    <xf numFmtId="3" fontId="4" fillId="0" borderId="30" xfId="17" applyNumberFormat="1" applyFont="1" applyBorder="1" applyAlignment="1">
      <alignment vertical="center" wrapText="1"/>
    </xf>
    <xf numFmtId="0" fontId="4" fillId="0" borderId="30" xfId="33" applyNumberFormat="1" applyFont="1" applyBorder="1" applyAlignment="1">
      <alignment vertical="center" wrapText="1"/>
    </xf>
    <xf numFmtId="43" fontId="4" fillId="0" borderId="30" xfId="33" applyNumberFormat="1" applyFont="1" applyBorder="1" applyAlignment="1">
      <alignment vertical="center" wrapText="1"/>
    </xf>
    <xf numFmtId="180" fontId="4" fillId="0" borderId="31" xfId="33" applyNumberFormat="1" applyFont="1" applyBorder="1" applyAlignment="1">
      <alignment vertical="center" wrapText="1"/>
    </xf>
    <xf numFmtId="0" fontId="4" fillId="0" borderId="32" xfId="17" applyNumberFormat="1" applyFont="1" applyBorder="1" applyAlignment="1">
      <alignment vertical="center" wrapText="1"/>
    </xf>
    <xf numFmtId="171" fontId="4" fillId="0" borderId="7" xfId="17" applyNumberFormat="1" applyFont="1" applyBorder="1" applyAlignment="1">
      <alignment vertical="center" wrapText="1"/>
    </xf>
    <xf numFmtId="9" fontId="4" fillId="0" borderId="7" xfId="17" applyNumberFormat="1" applyFont="1" applyBorder="1" applyAlignment="1">
      <alignment vertical="center" wrapText="1"/>
    </xf>
    <xf numFmtId="165" fontId="4" fillId="0" borderId="7" xfId="17" applyNumberFormat="1" applyFont="1" applyBorder="1" applyAlignment="1">
      <alignment vertical="center" wrapText="1"/>
    </xf>
    <xf numFmtId="3" fontId="4" fillId="0" borderId="7" xfId="33" applyNumberFormat="1" applyFont="1" applyBorder="1" applyAlignment="1">
      <alignment vertical="center" wrapText="1"/>
    </xf>
    <xf numFmtId="164" fontId="4" fillId="0" borderId="7" xfId="33" applyNumberFormat="1" applyFont="1" applyBorder="1" applyAlignment="1">
      <alignment vertical="center" wrapText="1"/>
    </xf>
    <xf numFmtId="3" fontId="4" fillId="0" borderId="7" xfId="17" applyNumberFormat="1" applyFont="1" applyBorder="1" applyAlignment="1">
      <alignment vertical="center" wrapText="1"/>
    </xf>
    <xf numFmtId="0" fontId="4" fillId="0" borderId="7" xfId="33" applyNumberFormat="1" applyFont="1" applyBorder="1" applyAlignment="1">
      <alignment vertical="center" wrapText="1"/>
    </xf>
    <xf numFmtId="43" fontId="4" fillId="0" borderId="7" xfId="33" applyNumberFormat="1" applyFont="1" applyBorder="1" applyAlignment="1">
      <alignment vertical="center" wrapText="1"/>
    </xf>
    <xf numFmtId="180" fontId="4" fillId="0" borderId="24" xfId="33" applyNumberFormat="1" applyFont="1" applyBorder="1" applyAlignment="1">
      <alignment vertical="center" wrapText="1"/>
    </xf>
    <xf numFmtId="0" fontId="4" fillId="0" borderId="33" xfId="17" applyNumberFormat="1" applyFont="1" applyBorder="1" applyAlignment="1">
      <alignment vertical="center" wrapText="1"/>
    </xf>
    <xf numFmtId="171" fontId="4" fillId="0" borderId="34" xfId="17" applyNumberFormat="1" applyFont="1" applyBorder="1" applyAlignment="1">
      <alignment vertical="center" wrapText="1"/>
    </xf>
    <xf numFmtId="9" fontId="4" fillId="0" borderId="34" xfId="17" applyNumberFormat="1" applyFont="1" applyBorder="1" applyAlignment="1">
      <alignment vertical="center" wrapText="1"/>
    </xf>
    <xf numFmtId="165" fontId="4" fillId="0" borderId="34" xfId="17" applyNumberFormat="1" applyFont="1" applyBorder="1" applyAlignment="1">
      <alignment vertical="center" wrapText="1"/>
    </xf>
    <xf numFmtId="3" fontId="4" fillId="0" borderId="34" xfId="33" applyNumberFormat="1" applyFont="1" applyBorder="1" applyAlignment="1">
      <alignment vertical="center" wrapText="1"/>
    </xf>
    <xf numFmtId="164" fontId="4" fillId="0" borderId="34" xfId="33" applyNumberFormat="1" applyFont="1" applyBorder="1" applyAlignment="1">
      <alignment vertical="center" wrapText="1"/>
    </xf>
    <xf numFmtId="3" fontId="4" fillId="0" borderId="34" xfId="17" applyNumberFormat="1" applyFont="1" applyBorder="1" applyAlignment="1">
      <alignment vertical="center" wrapText="1"/>
    </xf>
    <xf numFmtId="0" fontId="4" fillId="0" borderId="34" xfId="33" applyNumberFormat="1" applyFont="1" applyBorder="1" applyAlignment="1">
      <alignment vertical="center" wrapText="1"/>
    </xf>
    <xf numFmtId="43" fontId="4" fillId="0" borderId="34" xfId="33" applyNumberFormat="1" applyFont="1" applyBorder="1" applyAlignment="1">
      <alignment vertical="center" wrapText="1"/>
    </xf>
    <xf numFmtId="180" fontId="4" fillId="0" borderId="35" xfId="33" applyNumberFormat="1" applyFont="1" applyBorder="1" applyAlignment="1">
      <alignment vertical="center" wrapText="1"/>
    </xf>
    <xf numFmtId="0" fontId="12" fillId="16" borderId="36" xfId="33" applyFont="1" applyFill="1" applyBorder="1" applyAlignment="1">
      <alignment horizontal="center" vertical="center" wrapText="1"/>
    </xf>
    <xf numFmtId="0" fontId="12" fillId="16" borderId="37" xfId="33" applyFont="1" applyFill="1" applyBorder="1" applyAlignment="1">
      <alignment horizontal="center" vertical="center" wrapText="1"/>
    </xf>
    <xf numFmtId="0" fontId="12" fillId="16" borderId="38" xfId="33" applyFont="1" applyFill="1" applyBorder="1" applyAlignment="1">
      <alignment horizontal="center" vertical="center" wrapText="1"/>
    </xf>
    <xf numFmtId="0" fontId="24" fillId="0" borderId="0" xfId="33"/>
    <xf numFmtId="8" fontId="24" fillId="0" borderId="9" xfId="33" applyNumberFormat="1" applyBorder="1"/>
    <xf numFmtId="4" fontId="24" fillId="0" borderId="10" xfId="33" applyNumberFormat="1" applyBorder="1"/>
    <xf numFmtId="4" fontId="24" fillId="0" borderId="1" xfId="33" applyNumberFormat="1" applyBorder="1"/>
    <xf numFmtId="4" fontId="24" fillId="0" borderId="3" xfId="33" applyNumberFormat="1" applyBorder="1"/>
    <xf numFmtId="164" fontId="24" fillId="0" borderId="10" xfId="33" applyNumberFormat="1" applyBorder="1"/>
    <xf numFmtId="8" fontId="24" fillId="0" borderId="11" xfId="33" applyNumberFormat="1" applyBorder="1"/>
    <xf numFmtId="4" fontId="24" fillId="0" borderId="12" xfId="33" applyNumberFormat="1" applyBorder="1"/>
    <xf numFmtId="4" fontId="24" fillId="0" borderId="2" xfId="33" applyNumberFormat="1" applyBorder="1"/>
    <xf numFmtId="4" fontId="24" fillId="0" borderId="0" xfId="33" applyNumberFormat="1" applyBorder="1"/>
    <xf numFmtId="164" fontId="24" fillId="0" borderId="12" xfId="33" applyNumberFormat="1" applyBorder="1"/>
    <xf numFmtId="8" fontId="24" fillId="0" borderId="4" xfId="33" applyNumberFormat="1" applyBorder="1"/>
    <xf numFmtId="4" fontId="24" fillId="24" borderId="13" xfId="33" applyNumberFormat="1" applyFill="1" applyBorder="1"/>
    <xf numFmtId="4" fontId="24" fillId="24" borderId="5" xfId="33" applyNumberFormat="1" applyFill="1" applyBorder="1"/>
    <xf numFmtId="4" fontId="24" fillId="0" borderId="5" xfId="33" applyNumberFormat="1" applyBorder="1"/>
    <xf numFmtId="0" fontId="24" fillId="0" borderId="6" xfId="33" applyBorder="1"/>
    <xf numFmtId="0" fontId="24" fillId="0" borderId="16" xfId="33" applyBorder="1" applyAlignment="1">
      <alignment horizontal="center"/>
    </xf>
    <xf numFmtId="0" fontId="24" fillId="0" borderId="7" xfId="33" applyBorder="1" applyAlignment="1">
      <alignment horizontal="center"/>
    </xf>
    <xf numFmtId="0" fontId="24" fillId="0" borderId="14" xfId="33" applyBorder="1" applyAlignment="1">
      <alignment horizontal="center"/>
    </xf>
    <xf numFmtId="8" fontId="24" fillId="0" borderId="0" xfId="33" applyNumberFormat="1" applyFill="1"/>
    <xf numFmtId="10" fontId="0" fillId="24" borderId="0" xfId="17" applyNumberFormat="1" applyFont="1" applyFill="1"/>
    <xf numFmtId="4" fontId="24" fillId="0" borderId="0" xfId="33" applyNumberFormat="1"/>
    <xf numFmtId="0" fontId="24" fillId="0" borderId="0" xfId="33" applyNumberFormat="1" applyAlignment="1">
      <alignment horizontal="center"/>
    </xf>
    <xf numFmtId="4" fontId="24" fillId="24" borderId="0" xfId="33" applyNumberFormat="1" applyFill="1" applyAlignment="1">
      <alignment horizontal="center"/>
    </xf>
    <xf numFmtId="0" fontId="24" fillId="24" borderId="0" xfId="33" applyFill="1"/>
    <xf numFmtId="10" fontId="7" fillId="24" borderId="0" xfId="17" applyNumberFormat="1" applyFill="1"/>
    <xf numFmtId="0" fontId="4" fillId="0" borderId="0" xfId="33" applyFont="1" applyBorder="1"/>
    <xf numFmtId="0" fontId="4" fillId="7" borderId="0" xfId="33" applyFont="1" applyFill="1"/>
    <xf numFmtId="2" fontId="4" fillId="25" borderId="7" xfId="33" applyNumberFormat="1" applyFont="1" applyFill="1" applyBorder="1" applyAlignment="1" applyProtection="1">
      <alignment horizontal="right"/>
    </xf>
    <xf numFmtId="170" fontId="4" fillId="25" borderId="7" xfId="33" applyNumberFormat="1" applyFont="1" applyFill="1" applyBorder="1" applyAlignment="1" applyProtection="1">
      <alignment horizontal="right"/>
    </xf>
    <xf numFmtId="0" fontId="4" fillId="7" borderId="0" xfId="33" applyFont="1" applyFill="1" applyProtection="1"/>
    <xf numFmtId="2" fontId="4" fillId="25" borderId="6" xfId="33" applyNumberFormat="1" applyFont="1" applyFill="1" applyBorder="1" applyAlignment="1" applyProtection="1">
      <alignment horizontal="right"/>
    </xf>
    <xf numFmtId="170" fontId="4" fillId="25" borderId="16" xfId="33" applyNumberFormat="1" applyFont="1" applyFill="1" applyBorder="1" applyAlignment="1" applyProtection="1">
      <alignment horizontal="right"/>
    </xf>
    <xf numFmtId="0" fontId="4" fillId="7" borderId="14" xfId="33" applyFont="1" applyFill="1" applyBorder="1" applyProtection="1"/>
    <xf numFmtId="0" fontId="12" fillId="16" borderId="16" xfId="33" applyFont="1" applyFill="1" applyBorder="1" applyProtection="1"/>
    <xf numFmtId="4" fontId="4" fillId="25" borderId="2" xfId="17" applyNumberFormat="1" applyFont="1" applyFill="1" applyBorder="1" applyAlignment="1" applyProtection="1">
      <alignment horizontal="right"/>
    </xf>
    <xf numFmtId="4" fontId="4" fillId="25" borderId="2" xfId="33" applyNumberFormat="1" applyFont="1" applyFill="1" applyBorder="1" applyAlignment="1" applyProtection="1">
      <alignment horizontal="right"/>
    </xf>
    <xf numFmtId="4" fontId="4" fillId="25" borderId="6" xfId="17" applyNumberFormat="1" applyFont="1" applyFill="1" applyBorder="1" applyAlignment="1" applyProtection="1">
      <alignment horizontal="right"/>
    </xf>
    <xf numFmtId="4" fontId="4" fillId="25" borderId="16" xfId="33" applyNumberFormat="1" applyFont="1" applyFill="1" applyBorder="1" applyAlignment="1" applyProtection="1">
      <alignment horizontal="right"/>
    </xf>
    <xf numFmtId="4" fontId="4" fillId="7" borderId="14" xfId="33" applyNumberFormat="1" applyFont="1" applyFill="1" applyBorder="1" applyProtection="1"/>
    <xf numFmtId="0" fontId="12" fillId="16" borderId="12" xfId="33" applyFont="1" applyFill="1" applyBorder="1" applyProtection="1"/>
    <xf numFmtId="171" fontId="4" fillId="25" borderId="7" xfId="17" applyNumberFormat="1" applyFont="1" applyFill="1" applyBorder="1" applyAlignment="1" applyProtection="1">
      <alignment horizontal="right"/>
    </xf>
    <xf numFmtId="171" fontId="4" fillId="25" borderId="6" xfId="17" applyNumberFormat="1" applyFont="1" applyFill="1" applyBorder="1" applyAlignment="1" applyProtection="1">
      <alignment horizontal="right"/>
    </xf>
    <xf numFmtId="0" fontId="4" fillId="7" borderId="0" xfId="33" applyFont="1" applyFill="1" applyBorder="1" applyProtection="1"/>
    <xf numFmtId="171" fontId="4" fillId="7" borderId="0" xfId="33" applyNumberFormat="1" applyFont="1" applyFill="1"/>
    <xf numFmtId="171" fontId="4" fillId="7" borderId="0" xfId="17" applyNumberFormat="1" applyFont="1" applyFill="1" applyBorder="1" applyProtection="1"/>
    <xf numFmtId="4" fontId="29" fillId="25" borderId="6" xfId="33" applyNumberFormat="1" applyFont="1" applyFill="1" applyBorder="1" applyAlignment="1" applyProtection="1">
      <alignment horizontal="right"/>
    </xf>
    <xf numFmtId="0" fontId="4" fillId="25" borderId="14" xfId="33" applyFont="1" applyFill="1" applyBorder="1" applyAlignment="1" applyProtection="1">
      <alignment horizontal="right"/>
    </xf>
    <xf numFmtId="0" fontId="12" fillId="16" borderId="7" xfId="33" applyFont="1" applyFill="1" applyBorder="1" applyProtection="1"/>
    <xf numFmtId="0" fontId="4" fillId="7" borderId="0" xfId="33" applyFont="1" applyFill="1" applyBorder="1" applyAlignment="1" applyProtection="1">
      <alignment horizontal="right"/>
    </xf>
    <xf numFmtId="0" fontId="4" fillId="7" borderId="0" xfId="33" applyFont="1" applyFill="1" applyBorder="1" applyProtection="1">
      <protection locked="0"/>
    </xf>
    <xf numFmtId="0" fontId="4" fillId="7" borderId="0" xfId="33" applyFont="1" applyFill="1" applyAlignment="1" applyProtection="1">
      <alignment horizontal="right"/>
    </xf>
    <xf numFmtId="0" fontId="4" fillId="25" borderId="6" xfId="33" applyNumberFormat="1" applyFont="1" applyFill="1" applyBorder="1" applyAlignment="1" applyProtection="1">
      <alignment horizontal="right"/>
    </xf>
    <xf numFmtId="170" fontId="4" fillId="25" borderId="14" xfId="33" applyNumberFormat="1" applyFont="1" applyFill="1" applyBorder="1" applyAlignment="1" applyProtection="1">
      <alignment horizontal="right"/>
    </xf>
    <xf numFmtId="0" fontId="12" fillId="16" borderId="10" xfId="33" applyFont="1" applyFill="1" applyBorder="1" applyProtection="1"/>
    <xf numFmtId="0" fontId="4" fillId="0" borderId="1" xfId="33" applyFont="1" applyFill="1" applyBorder="1" applyAlignment="1" applyProtection="1">
      <alignment horizontal="right"/>
    </xf>
    <xf numFmtId="4" fontId="4" fillId="25" borderId="1" xfId="33" applyNumberFormat="1" applyFont="1" applyFill="1" applyBorder="1" applyAlignment="1" applyProtection="1">
      <alignment horizontal="right"/>
    </xf>
    <xf numFmtId="0" fontId="4" fillId="0" borderId="0" xfId="33" applyFont="1" applyBorder="1" applyAlignment="1" applyProtection="1">
      <alignment horizontal="right"/>
      <protection locked="0"/>
    </xf>
    <xf numFmtId="0" fontId="12" fillId="16" borderId="1" xfId="33" applyFont="1" applyFill="1" applyBorder="1" applyProtection="1"/>
    <xf numFmtId="164" fontId="4" fillId="0" borderId="2" xfId="50" applyNumberFormat="1" applyFont="1" applyFill="1" applyBorder="1" applyAlignment="1" applyProtection="1">
      <alignment horizontal="right"/>
    </xf>
    <xf numFmtId="164" fontId="4" fillId="25" borderId="2" xfId="33" applyNumberFormat="1" applyFont="1" applyFill="1" applyBorder="1" applyAlignment="1" applyProtection="1">
      <alignment horizontal="right"/>
    </xf>
    <xf numFmtId="164" fontId="4" fillId="0" borderId="0" xfId="33" applyNumberFormat="1" applyFont="1" applyFill="1" applyBorder="1" applyAlignment="1" applyProtection="1">
      <alignment horizontal="right"/>
      <protection locked="0"/>
    </xf>
    <xf numFmtId="0" fontId="12" fillId="16" borderId="2" xfId="33" applyFont="1" applyFill="1" applyBorder="1" applyProtection="1"/>
    <xf numFmtId="43" fontId="4" fillId="0" borderId="5" xfId="50" applyFont="1" applyFill="1" applyBorder="1" applyAlignment="1" applyProtection="1">
      <alignment horizontal="right"/>
    </xf>
    <xf numFmtId="4" fontId="4" fillId="25" borderId="5" xfId="33" applyNumberFormat="1" applyFont="1" applyFill="1" applyBorder="1" applyAlignment="1" applyProtection="1">
      <alignment horizontal="right"/>
    </xf>
    <xf numFmtId="171" fontId="4" fillId="0" borderId="8" xfId="33" applyNumberFormat="1" applyFont="1" applyFill="1" applyBorder="1" applyAlignment="1" applyProtection="1">
      <alignment horizontal="right"/>
      <protection locked="0"/>
    </xf>
    <xf numFmtId="0" fontId="12" fillId="16" borderId="5" xfId="33" applyFont="1" applyFill="1" applyBorder="1" applyProtection="1"/>
    <xf numFmtId="43" fontId="4" fillId="0" borderId="7" xfId="50" applyFont="1" applyFill="1" applyBorder="1" applyAlignment="1" applyProtection="1">
      <alignment horizontal="right"/>
    </xf>
    <xf numFmtId="4" fontId="4" fillId="25" borderId="7" xfId="33" applyNumberFormat="1" applyFont="1" applyFill="1" applyBorder="1" applyAlignment="1" applyProtection="1">
      <alignment horizontal="right"/>
    </xf>
    <xf numFmtId="171" fontId="4" fillId="0" borderId="14" xfId="33" applyNumberFormat="1" applyFont="1" applyFill="1" applyBorder="1" applyAlignment="1" applyProtection="1">
      <alignment horizontal="right"/>
      <protection locked="0"/>
    </xf>
    <xf numFmtId="0" fontId="4" fillId="7" borderId="1" xfId="33" applyFont="1" applyFill="1" applyBorder="1" applyAlignment="1" applyProtection="1">
      <alignment horizontal="right"/>
      <protection locked="0"/>
    </xf>
    <xf numFmtId="171" fontId="4" fillId="25" borderId="1" xfId="17" applyNumberFormat="1" applyFont="1" applyFill="1" applyBorder="1" applyAlignment="1" applyProtection="1">
      <alignment horizontal="right"/>
    </xf>
    <xf numFmtId="170" fontId="4" fillId="25" borderId="1" xfId="33" applyNumberFormat="1" applyFont="1" applyFill="1" applyBorder="1" applyAlignment="1" applyProtection="1">
      <alignment horizontal="right"/>
    </xf>
    <xf numFmtId="0" fontId="4" fillId="7" borderId="7" xfId="33" applyFont="1" applyFill="1" applyBorder="1" applyAlignment="1" applyProtection="1">
      <alignment horizontal="right"/>
      <protection locked="0"/>
    </xf>
    <xf numFmtId="4" fontId="4" fillId="0" borderId="7" xfId="33" applyNumberFormat="1" applyFont="1" applyFill="1" applyBorder="1" applyAlignment="1" applyProtection="1">
      <alignment horizontal="right"/>
    </xf>
    <xf numFmtId="9" fontId="4" fillId="0" borderId="7" xfId="33" applyNumberFormat="1" applyFont="1" applyFill="1" applyBorder="1" applyAlignment="1" applyProtection="1">
      <alignment horizontal="right"/>
      <protection locked="0"/>
    </xf>
    <xf numFmtId="0" fontId="12" fillId="16" borderId="24" xfId="33" applyFont="1" applyFill="1" applyBorder="1" applyProtection="1"/>
    <xf numFmtId="0" fontId="4" fillId="7" borderId="1" xfId="33" applyFont="1" applyFill="1" applyBorder="1" applyAlignment="1" applyProtection="1">
      <alignment horizontal="right"/>
    </xf>
    <xf numFmtId="171" fontId="4" fillId="25" borderId="1" xfId="33" applyNumberFormat="1" applyFont="1" applyFill="1" applyBorder="1" applyAlignment="1" applyProtection="1">
      <alignment horizontal="right"/>
    </xf>
    <xf numFmtId="171" fontId="4" fillId="0" borderId="1" xfId="33" applyNumberFormat="1" applyFont="1" applyFill="1" applyBorder="1" applyAlignment="1" applyProtection="1">
      <alignment horizontal="right"/>
      <protection locked="0"/>
    </xf>
    <xf numFmtId="171" fontId="4" fillId="25" borderId="10" xfId="33" applyNumberFormat="1" applyFont="1" applyFill="1" applyBorder="1" applyAlignment="1" applyProtection="1">
      <alignment horizontal="right"/>
    </xf>
    <xf numFmtId="0" fontId="12" fillId="16" borderId="43" xfId="33" applyFont="1" applyFill="1" applyBorder="1" applyProtection="1"/>
    <xf numFmtId="171" fontId="4" fillId="0" borderId="7" xfId="33" applyNumberFormat="1" applyFont="1" applyBorder="1" applyAlignment="1" applyProtection="1">
      <alignment horizontal="right"/>
      <protection locked="0"/>
    </xf>
    <xf numFmtId="171" fontId="4" fillId="25" borderId="7" xfId="33" applyNumberFormat="1" applyFont="1" applyFill="1" applyBorder="1" applyAlignment="1" applyProtection="1">
      <alignment horizontal="right"/>
    </xf>
    <xf numFmtId="171" fontId="4" fillId="0" borderId="7" xfId="33" applyNumberFormat="1" applyFont="1" applyFill="1" applyBorder="1" applyAlignment="1" applyProtection="1">
      <alignment horizontal="right"/>
      <protection locked="0"/>
    </xf>
    <xf numFmtId="171" fontId="4" fillId="25" borderId="16" xfId="33" applyNumberFormat="1" applyFont="1" applyFill="1" applyBorder="1" applyAlignment="1" applyProtection="1">
      <alignment horizontal="right"/>
    </xf>
    <xf numFmtId="0" fontId="4" fillId="0" borderId="7" xfId="33" applyFont="1" applyBorder="1" applyAlignment="1" applyProtection="1">
      <alignment horizontal="right"/>
      <protection locked="0"/>
    </xf>
    <xf numFmtId="0" fontId="4" fillId="0" borderId="14" xfId="33" applyFont="1" applyFill="1" applyBorder="1" applyAlignment="1" applyProtection="1">
      <alignment horizontal="right"/>
      <protection locked="0"/>
    </xf>
    <xf numFmtId="0" fontId="30" fillId="16" borderId="7" xfId="33" applyFont="1" applyFill="1" applyBorder="1" applyProtection="1"/>
    <xf numFmtId="171" fontId="4" fillId="7" borderId="8" xfId="17" applyNumberFormat="1" applyFont="1" applyFill="1" applyBorder="1" applyAlignment="1" applyProtection="1">
      <alignment horizontal="right"/>
    </xf>
    <xf numFmtId="170" fontId="4" fillId="25" borderId="7" xfId="33" quotePrefix="1" applyNumberFormat="1" applyFont="1" applyFill="1" applyBorder="1" applyAlignment="1" applyProtection="1">
      <alignment horizontal="right"/>
    </xf>
    <xf numFmtId="0" fontId="4" fillId="0" borderId="7" xfId="33" applyFont="1" applyFill="1" applyBorder="1" applyAlignment="1" applyProtection="1">
      <alignment horizontal="right"/>
      <protection locked="0"/>
    </xf>
    <xf numFmtId="0" fontId="4" fillId="0" borderId="9" xfId="33" applyFont="1" applyFill="1" applyBorder="1" applyAlignment="1" applyProtection="1">
      <alignment horizontal="right"/>
      <protection locked="0"/>
    </xf>
    <xf numFmtId="0" fontId="4" fillId="0" borderId="10" xfId="33" applyFont="1" applyFill="1" applyBorder="1" applyAlignment="1" applyProtection="1">
      <alignment horizontal="right"/>
      <protection locked="0"/>
    </xf>
    <xf numFmtId="171" fontId="4" fillId="25" borderId="12" xfId="17" applyNumberFormat="1" applyFont="1" applyFill="1" applyBorder="1" applyAlignment="1" applyProtection="1">
      <alignment horizontal="right"/>
    </xf>
    <xf numFmtId="49" fontId="4" fillId="7" borderId="4" xfId="33" applyNumberFormat="1" applyFont="1" applyFill="1" applyBorder="1" applyAlignment="1" applyProtection="1">
      <alignment horizontal="right"/>
      <protection locked="0"/>
    </xf>
    <xf numFmtId="0" fontId="12" fillId="16" borderId="2" xfId="49" applyFont="1" applyFill="1" applyBorder="1" applyProtection="1"/>
    <xf numFmtId="43" fontId="4" fillId="7" borderId="11" xfId="33" applyNumberFormat="1" applyFont="1" applyFill="1" applyBorder="1"/>
    <xf numFmtId="164" fontId="4" fillId="7" borderId="12" xfId="33" applyNumberFormat="1" applyFont="1" applyFill="1" applyBorder="1"/>
    <xf numFmtId="171" fontId="4" fillId="0" borderId="9" xfId="17" applyNumberFormat="1" applyFont="1" applyFill="1" applyBorder="1" applyAlignment="1" applyProtection="1">
      <alignment horizontal="right"/>
      <protection locked="0"/>
    </xf>
    <xf numFmtId="2" fontId="4" fillId="0" borderId="10" xfId="33" applyNumberFormat="1" applyFont="1" applyFill="1" applyBorder="1" applyAlignment="1" applyProtection="1">
      <alignment horizontal="right"/>
      <protection locked="0"/>
    </xf>
    <xf numFmtId="171" fontId="4" fillId="25" borderId="10" xfId="17" applyNumberFormat="1" applyFont="1" applyFill="1" applyBorder="1" applyAlignment="1" applyProtection="1">
      <alignment horizontal="right"/>
    </xf>
    <xf numFmtId="0" fontId="4" fillId="0" borderId="6" xfId="33" applyFont="1" applyBorder="1" applyAlignment="1" applyProtection="1">
      <alignment horizontal="right"/>
      <protection locked="0"/>
    </xf>
    <xf numFmtId="171" fontId="4" fillId="0" borderId="11" xfId="17" applyNumberFormat="1" applyFont="1" applyFill="1" applyBorder="1" applyAlignment="1" applyProtection="1">
      <alignment horizontal="right"/>
      <protection locked="0"/>
    </xf>
    <xf numFmtId="171" fontId="4" fillId="0" borderId="12" xfId="17" applyNumberFormat="1" applyFont="1" applyFill="1" applyBorder="1" applyAlignment="1" applyProtection="1">
      <alignment horizontal="right"/>
      <protection locked="0"/>
    </xf>
    <xf numFmtId="171" fontId="4" fillId="0" borderId="1" xfId="17" applyNumberFormat="1" applyFont="1" applyFill="1" applyBorder="1" applyAlignment="1" applyProtection="1">
      <alignment horizontal="right"/>
      <protection locked="0"/>
    </xf>
    <xf numFmtId="0" fontId="4" fillId="0" borderId="11" xfId="33" applyFont="1" applyFill="1" applyBorder="1" applyAlignment="1" applyProtection="1">
      <alignment horizontal="right"/>
      <protection locked="0"/>
    </xf>
    <xf numFmtId="0" fontId="4" fillId="0" borderId="12" xfId="33" applyFont="1" applyFill="1" applyBorder="1" applyAlignment="1" applyProtection="1">
      <alignment horizontal="right"/>
      <protection locked="0"/>
    </xf>
    <xf numFmtId="0" fontId="4" fillId="0" borderId="1" xfId="33" applyFont="1" applyFill="1" applyBorder="1" applyAlignment="1" applyProtection="1">
      <alignment horizontal="right"/>
      <protection locked="0"/>
    </xf>
    <xf numFmtId="2" fontId="4" fillId="25" borderId="10" xfId="17" applyNumberFormat="1" applyFont="1" applyFill="1" applyBorder="1" applyAlignment="1" applyProtection="1">
      <alignment horizontal="right"/>
    </xf>
    <xf numFmtId="2" fontId="4" fillId="0" borderId="11" xfId="33" applyNumberFormat="1" applyFont="1" applyFill="1" applyBorder="1" applyAlignment="1" applyProtection="1">
      <alignment horizontal="right"/>
      <protection locked="0"/>
    </xf>
    <xf numFmtId="2" fontId="4" fillId="0" borderId="12" xfId="33" applyNumberFormat="1" applyFont="1" applyFill="1" applyBorder="1" applyAlignment="1" applyProtection="1">
      <alignment horizontal="right"/>
      <protection locked="0"/>
    </xf>
    <xf numFmtId="2" fontId="4" fillId="25" borderId="1" xfId="17" applyNumberFormat="1" applyFont="1" applyFill="1" applyBorder="1" applyAlignment="1" applyProtection="1">
      <alignment horizontal="right"/>
    </xf>
    <xf numFmtId="2" fontId="4" fillId="0" borderId="1" xfId="33" applyNumberFormat="1" applyFont="1" applyFill="1" applyBorder="1" applyAlignment="1" applyProtection="1">
      <alignment horizontal="right"/>
      <protection locked="0"/>
    </xf>
    <xf numFmtId="2" fontId="4" fillId="0" borderId="6" xfId="33" applyNumberFormat="1" applyFont="1" applyFill="1" applyBorder="1" applyAlignment="1" applyProtection="1">
      <alignment horizontal="right"/>
      <protection locked="0"/>
    </xf>
    <xf numFmtId="0" fontId="4" fillId="0" borderId="11" xfId="17" applyNumberFormat="1" applyFont="1" applyFill="1" applyBorder="1" applyAlignment="1" applyProtection="1">
      <alignment horizontal="right"/>
      <protection locked="0"/>
    </xf>
    <xf numFmtId="0" fontId="4" fillId="25" borderId="1" xfId="33" applyNumberFormat="1" applyFont="1" applyFill="1" applyBorder="1" applyAlignment="1" applyProtection="1">
      <alignment horizontal="right"/>
    </xf>
    <xf numFmtId="0" fontId="4" fillId="0" borderId="1" xfId="33" applyNumberFormat="1" applyFont="1" applyFill="1" applyBorder="1" applyAlignment="1" applyProtection="1">
      <alignment horizontal="right"/>
      <protection locked="0"/>
    </xf>
    <xf numFmtId="0" fontId="4" fillId="0" borderId="12" xfId="17" applyNumberFormat="1" applyFont="1" applyFill="1" applyBorder="1" applyAlignment="1" applyProtection="1">
      <alignment horizontal="right"/>
      <protection locked="0"/>
    </xf>
    <xf numFmtId="0" fontId="4" fillId="25" borderId="10" xfId="17" applyNumberFormat="1" applyFont="1" applyFill="1" applyBorder="1" applyAlignment="1" applyProtection="1">
      <alignment horizontal="right"/>
    </xf>
    <xf numFmtId="0" fontId="4" fillId="0" borderId="9" xfId="33" applyNumberFormat="1" applyFont="1" applyFill="1" applyBorder="1" applyAlignment="1" applyProtection="1">
      <alignment horizontal="right"/>
      <protection locked="0"/>
    </xf>
    <xf numFmtId="171" fontId="4" fillId="0" borderId="12" xfId="33" applyNumberFormat="1" applyFont="1" applyFill="1" applyBorder="1" applyAlignment="1" applyProtection="1">
      <alignment horizontal="right"/>
      <protection locked="0"/>
    </xf>
    <xf numFmtId="0" fontId="4" fillId="0" borderId="11" xfId="17" quotePrefix="1" applyNumberFormat="1" applyFont="1" applyFill="1" applyBorder="1" applyAlignment="1" applyProtection="1">
      <alignment horizontal="right"/>
    </xf>
    <xf numFmtId="0" fontId="4" fillId="0" borderId="12" xfId="17" applyNumberFormat="1" applyFont="1" applyFill="1" applyBorder="1" applyAlignment="1" applyProtection="1">
      <alignment horizontal="right"/>
    </xf>
    <xf numFmtId="1" fontId="4" fillId="25" borderId="7" xfId="17" applyNumberFormat="1" applyFont="1" applyFill="1" applyBorder="1" applyAlignment="1" applyProtection="1">
      <alignment horizontal="right"/>
    </xf>
    <xf numFmtId="0" fontId="4" fillId="0" borderId="1" xfId="17" applyNumberFormat="1" applyFont="1" applyFill="1" applyBorder="1" applyAlignment="1" applyProtection="1">
      <alignment horizontal="right"/>
      <protection locked="0"/>
    </xf>
    <xf numFmtId="1" fontId="4" fillId="25" borderId="10" xfId="17" applyNumberFormat="1" applyFont="1" applyFill="1" applyBorder="1" applyAlignment="1" applyProtection="1">
      <alignment horizontal="right"/>
    </xf>
    <xf numFmtId="0" fontId="4" fillId="0" borderId="9" xfId="17" applyNumberFormat="1" applyFont="1" applyFill="1" applyBorder="1" applyAlignment="1" applyProtection="1">
      <alignment horizontal="right"/>
      <protection locked="0"/>
    </xf>
    <xf numFmtId="4" fontId="4" fillId="0" borderId="11" xfId="50" applyNumberFormat="1" applyFont="1" applyFill="1" applyBorder="1" applyAlignment="1" applyProtection="1">
      <alignment horizontal="right"/>
      <protection locked="0"/>
    </xf>
    <xf numFmtId="4" fontId="4" fillId="0" borderId="12" xfId="50" applyNumberFormat="1" applyFont="1" applyFill="1" applyBorder="1" applyAlignment="1" applyProtection="1">
      <alignment horizontal="right"/>
      <protection locked="0"/>
    </xf>
    <xf numFmtId="4" fontId="4" fillId="0" borderId="1" xfId="33" applyNumberFormat="1" applyFont="1" applyFill="1" applyBorder="1" applyAlignment="1" applyProtection="1">
      <alignment horizontal="right"/>
      <protection locked="0"/>
    </xf>
    <xf numFmtId="4" fontId="4" fillId="25" borderId="10" xfId="33" applyNumberFormat="1" applyFont="1" applyFill="1" applyBorder="1" applyAlignment="1" applyProtection="1">
      <alignment horizontal="right"/>
    </xf>
    <xf numFmtId="4" fontId="4" fillId="0" borderId="9" xfId="33" applyNumberFormat="1" applyFont="1" applyFill="1" applyBorder="1" applyAlignment="1" applyProtection="1">
      <alignment horizontal="right"/>
      <protection locked="0"/>
    </xf>
    <xf numFmtId="4" fontId="4" fillId="0" borderId="7" xfId="33" applyNumberFormat="1" applyFont="1" applyFill="1" applyBorder="1" applyAlignment="1" applyProtection="1">
      <alignment horizontal="right"/>
      <protection locked="0"/>
    </xf>
    <xf numFmtId="4" fontId="4" fillId="0" borderId="6" xfId="33" applyNumberFormat="1" applyFont="1" applyFill="1" applyBorder="1" applyAlignment="1" applyProtection="1">
      <alignment horizontal="right"/>
      <protection locked="0"/>
    </xf>
    <xf numFmtId="4" fontId="4" fillId="0" borderId="4" xfId="50" applyNumberFormat="1" applyFont="1" applyFill="1" applyBorder="1" applyAlignment="1" applyProtection="1">
      <alignment horizontal="right"/>
      <protection locked="0"/>
    </xf>
    <xf numFmtId="0" fontId="4" fillId="0" borderId="13" xfId="33" applyFont="1" applyBorder="1" applyAlignment="1" applyProtection="1">
      <alignment horizontal="right"/>
    </xf>
    <xf numFmtId="4" fontId="4" fillId="0" borderId="5" xfId="33" applyNumberFormat="1" applyFont="1" applyFill="1" applyBorder="1" applyAlignment="1" applyProtection="1">
      <alignment horizontal="right"/>
      <protection locked="0"/>
    </xf>
    <xf numFmtId="4" fontId="4" fillId="25" borderId="13" xfId="33" applyNumberFormat="1" applyFont="1" applyFill="1" applyBorder="1" applyAlignment="1" applyProtection="1">
      <alignment horizontal="right"/>
    </xf>
    <xf numFmtId="4" fontId="4" fillId="0" borderId="4" xfId="33" applyNumberFormat="1" applyFont="1" applyFill="1" applyBorder="1" applyAlignment="1" applyProtection="1">
      <alignment horizontal="right"/>
      <protection locked="0"/>
    </xf>
    <xf numFmtId="0" fontId="4" fillId="0" borderId="9" xfId="33" applyFont="1" applyBorder="1" applyAlignment="1" applyProtection="1">
      <alignment horizontal="right"/>
      <protection locked="0"/>
    </xf>
    <xf numFmtId="0" fontId="4" fillId="0" borderId="10" xfId="33" applyFont="1" applyBorder="1" applyAlignment="1" applyProtection="1">
      <alignment horizontal="right"/>
      <protection locked="0"/>
    </xf>
    <xf numFmtId="0" fontId="4" fillId="25" borderId="1" xfId="33" applyFont="1" applyFill="1" applyBorder="1" applyAlignment="1" applyProtection="1">
      <alignment horizontal="right"/>
    </xf>
    <xf numFmtId="0" fontId="4" fillId="25" borderId="10" xfId="33" applyFont="1" applyFill="1" applyBorder="1" applyAlignment="1" applyProtection="1">
      <alignment horizontal="right"/>
    </xf>
    <xf numFmtId="0" fontId="4" fillId="0" borderId="16" xfId="33" applyFont="1" applyBorder="1" applyAlignment="1" applyProtection="1">
      <alignment horizontal="right"/>
      <protection locked="0"/>
    </xf>
    <xf numFmtId="170" fontId="4" fillId="25" borderId="16" xfId="33" quotePrefix="1" applyNumberFormat="1" applyFont="1" applyFill="1" applyBorder="1" applyAlignment="1" applyProtection="1">
      <alignment horizontal="right"/>
    </xf>
    <xf numFmtId="0" fontId="4" fillId="0" borderId="14" xfId="33" applyFont="1" applyBorder="1" applyAlignment="1" applyProtection="1">
      <alignment horizontal="right"/>
      <protection locked="0"/>
    </xf>
    <xf numFmtId="164" fontId="4" fillId="0" borderId="6" xfId="33" applyNumberFormat="1" applyFont="1" applyBorder="1" applyAlignment="1" applyProtection="1">
      <alignment horizontal="right"/>
      <protection locked="0"/>
    </xf>
    <xf numFmtId="164" fontId="4" fillId="0" borderId="16" xfId="33" applyNumberFormat="1" applyFont="1" applyBorder="1" applyAlignment="1" applyProtection="1">
      <alignment horizontal="right"/>
      <protection locked="0"/>
    </xf>
    <xf numFmtId="164" fontId="4" fillId="25" borderId="7" xfId="33" quotePrefix="1" applyNumberFormat="1" applyFont="1" applyFill="1" applyBorder="1" applyAlignment="1" applyProtection="1">
      <alignment horizontal="right"/>
    </xf>
    <xf numFmtId="164" fontId="4" fillId="7" borderId="7" xfId="33" applyNumberFormat="1" applyFont="1" applyFill="1" applyBorder="1" applyAlignment="1" applyProtection="1">
      <alignment horizontal="right"/>
      <protection locked="0"/>
    </xf>
    <xf numFmtId="164" fontId="4" fillId="25" borderId="16" xfId="33" quotePrefix="1" applyNumberFormat="1" applyFont="1" applyFill="1" applyBorder="1" applyAlignment="1" applyProtection="1">
      <alignment horizontal="right"/>
    </xf>
    <xf numFmtId="164" fontId="4" fillId="0" borderId="14" xfId="33" applyNumberFormat="1" applyFont="1" applyBorder="1" applyAlignment="1" applyProtection="1">
      <alignment horizontal="right"/>
      <protection locked="0"/>
    </xf>
    <xf numFmtId="1" fontId="4" fillId="0" borderId="6" xfId="33" applyNumberFormat="1" applyFont="1" applyBorder="1" applyAlignment="1" applyProtection="1">
      <alignment horizontal="right"/>
      <protection locked="0"/>
    </xf>
    <xf numFmtId="1" fontId="4" fillId="0" borderId="16" xfId="33" applyNumberFormat="1" applyFont="1" applyBorder="1" applyAlignment="1" applyProtection="1">
      <alignment horizontal="right"/>
      <protection locked="0"/>
    </xf>
    <xf numFmtId="0" fontId="4" fillId="25" borderId="7" xfId="33" quotePrefix="1" applyNumberFormat="1" applyFont="1" applyFill="1" applyBorder="1" applyAlignment="1" applyProtection="1">
      <alignment horizontal="right"/>
    </xf>
    <xf numFmtId="0" fontId="4" fillId="25" borderId="16" xfId="33" quotePrefix="1" applyNumberFormat="1" applyFont="1" applyFill="1" applyBorder="1" applyAlignment="1" applyProtection="1">
      <alignment horizontal="right"/>
    </xf>
    <xf numFmtId="1" fontId="4" fillId="0" borderId="14" xfId="33" applyNumberFormat="1" applyFont="1" applyBorder="1" applyAlignment="1" applyProtection="1">
      <alignment horizontal="right"/>
      <protection locked="0"/>
    </xf>
    <xf numFmtId="4" fontId="4" fillId="7" borderId="3" xfId="33" applyNumberFormat="1" applyFont="1" applyFill="1" applyBorder="1"/>
    <xf numFmtId="171" fontId="4" fillId="7" borderId="0" xfId="33" applyNumberFormat="1" applyFont="1" applyFill="1" applyBorder="1"/>
    <xf numFmtId="43" fontId="4" fillId="7" borderId="4" xfId="33" applyNumberFormat="1" applyFont="1" applyFill="1" applyBorder="1"/>
    <xf numFmtId="164" fontId="4" fillId="7" borderId="13" xfId="33" applyNumberFormat="1" applyFont="1" applyFill="1" applyBorder="1"/>
    <xf numFmtId="171" fontId="4" fillId="7" borderId="8" xfId="33" applyNumberFormat="1" applyFont="1" applyFill="1" applyBorder="1"/>
    <xf numFmtId="0" fontId="4" fillId="7" borderId="8" xfId="33" applyFont="1" applyFill="1" applyBorder="1"/>
    <xf numFmtId="0" fontId="12" fillId="16" borderId="6" xfId="33" applyFont="1" applyFill="1" applyBorder="1" applyAlignment="1">
      <alignment horizontal="center"/>
    </xf>
    <xf numFmtId="0" fontId="12" fillId="16" borderId="16" xfId="33" applyFont="1" applyFill="1" applyBorder="1" applyAlignment="1">
      <alignment horizontal="center"/>
    </xf>
    <xf numFmtId="0" fontId="4" fillId="0" borderId="22" xfId="33" applyFont="1" applyBorder="1" applyAlignment="1">
      <alignment horizontal="center"/>
    </xf>
    <xf numFmtId="164" fontId="4" fillId="7" borderId="21" xfId="33" applyNumberFormat="1" applyFont="1" applyFill="1" applyBorder="1" applyAlignment="1" applyProtection="1">
      <alignment horizontal="center"/>
    </xf>
    <xf numFmtId="0" fontId="4" fillId="0" borderId="6" xfId="33" applyFont="1" applyBorder="1" applyAlignment="1">
      <alignment horizontal="center"/>
    </xf>
    <xf numFmtId="164" fontId="4" fillId="7" borderId="7" xfId="33" applyNumberFormat="1" applyFont="1" applyFill="1" applyBorder="1" applyAlignment="1" applyProtection="1">
      <alignment horizontal="center"/>
    </xf>
    <xf numFmtId="0" fontId="29" fillId="7" borderId="7" xfId="33" applyFont="1" applyFill="1" applyBorder="1" applyAlignment="1" applyProtection="1">
      <alignment horizontal="center" vertical="center"/>
    </xf>
    <xf numFmtId="0" fontId="24" fillId="26" borderId="0" xfId="33" applyFill="1"/>
    <xf numFmtId="0" fontId="24" fillId="9" borderId="44" xfId="33" applyFill="1" applyBorder="1"/>
    <xf numFmtId="0" fontId="24" fillId="9" borderId="17" xfId="33" applyFill="1" applyBorder="1"/>
    <xf numFmtId="0" fontId="24" fillId="9" borderId="45" xfId="33" applyFill="1" applyBorder="1"/>
    <xf numFmtId="0" fontId="24" fillId="9" borderId="39" xfId="33" applyFill="1" applyBorder="1"/>
    <xf numFmtId="0" fontId="4" fillId="25" borderId="7" xfId="33" applyNumberFormat="1" applyFont="1" applyFill="1" applyBorder="1" applyAlignment="1" applyProtection="1">
      <alignment horizontal="center"/>
    </xf>
    <xf numFmtId="0" fontId="24" fillId="9" borderId="20" xfId="33" applyFill="1" applyBorder="1"/>
    <xf numFmtId="0" fontId="24" fillId="9" borderId="0" xfId="33" applyFill="1" applyBorder="1"/>
    <xf numFmtId="164" fontId="4" fillId="25" borderId="7" xfId="33" applyNumberFormat="1" applyFont="1" applyFill="1" applyBorder="1" applyAlignment="1" applyProtection="1">
      <alignment horizontal="right"/>
    </xf>
    <xf numFmtId="0" fontId="24" fillId="9" borderId="46" xfId="33" applyFill="1" applyBorder="1"/>
    <xf numFmtId="0" fontId="24" fillId="9" borderId="22" xfId="33" applyFill="1" applyBorder="1"/>
    <xf numFmtId="0" fontId="24" fillId="9" borderId="47" xfId="33" applyFill="1" applyBorder="1"/>
    <xf numFmtId="0" fontId="4" fillId="26" borderId="0" xfId="32" applyFont="1" applyFill="1"/>
    <xf numFmtId="0" fontId="4" fillId="16" borderId="0" xfId="32" applyFont="1" applyFill="1"/>
    <xf numFmtId="0" fontId="4" fillId="0" borderId="44" xfId="32" applyFont="1" applyFill="1" applyBorder="1"/>
    <xf numFmtId="0" fontId="4" fillId="0" borderId="49" xfId="32" applyFont="1" applyFill="1" applyBorder="1"/>
    <xf numFmtId="0" fontId="4" fillId="0" borderId="45" xfId="32" applyFont="1" applyFill="1" applyBorder="1"/>
    <xf numFmtId="0" fontId="4" fillId="0" borderId="39" xfId="32" applyFont="1" applyFill="1" applyBorder="1"/>
    <xf numFmtId="165" fontId="5" fillId="0" borderId="9" xfId="14" applyNumberFormat="1" applyFont="1" applyFill="1" applyBorder="1" applyAlignment="1">
      <alignment vertical="center"/>
    </xf>
    <xf numFmtId="180" fontId="4" fillId="0" borderId="3" xfId="32" applyNumberFormat="1" applyFont="1" applyFill="1" applyBorder="1" applyAlignment="1">
      <alignment vertical="center"/>
    </xf>
    <xf numFmtId="164" fontId="4" fillId="0" borderId="3" xfId="32" applyNumberFormat="1" applyFont="1" applyFill="1" applyBorder="1" applyAlignment="1">
      <alignment vertical="center"/>
    </xf>
    <xf numFmtId="0" fontId="4" fillId="2" borderId="10" xfId="32" applyFont="1" applyFill="1" applyBorder="1" applyAlignment="1">
      <alignment vertical="center"/>
    </xf>
    <xf numFmtId="0" fontId="4" fillId="0" borderId="20" xfId="32" applyFont="1" applyFill="1" applyBorder="1"/>
    <xf numFmtId="165" fontId="5" fillId="0" borderId="4" xfId="14" applyNumberFormat="1" applyFont="1" applyFill="1" applyBorder="1" applyAlignment="1">
      <alignment vertical="center"/>
    </xf>
    <xf numFmtId="180" fontId="4" fillId="0" borderId="8" xfId="32" applyNumberFormat="1" applyFont="1" applyFill="1" applyBorder="1" applyAlignment="1">
      <alignment vertical="center"/>
    </xf>
    <xf numFmtId="164" fontId="4" fillId="0" borderId="8" xfId="32" applyNumberFormat="1" applyFont="1" applyFill="1" applyBorder="1" applyAlignment="1">
      <alignment vertical="center"/>
    </xf>
    <xf numFmtId="0" fontId="4" fillId="2" borderId="13" xfId="32" applyFont="1" applyFill="1" applyBorder="1" applyAlignment="1">
      <alignment vertical="center"/>
    </xf>
    <xf numFmtId="15" fontId="4" fillId="0" borderId="17" xfId="32" applyNumberFormat="1" applyFont="1" applyFill="1" applyBorder="1"/>
    <xf numFmtId="0" fontId="4" fillId="0" borderId="45" xfId="32" applyFont="1" applyFill="1" applyBorder="1" applyAlignment="1">
      <alignment horizontal="left"/>
    </xf>
    <xf numFmtId="165" fontId="5" fillId="0" borderId="11" xfId="14" applyNumberFormat="1" applyFont="1" applyFill="1" applyBorder="1" applyAlignment="1">
      <alignment vertical="center"/>
    </xf>
    <xf numFmtId="180" fontId="4" fillId="0" borderId="0" xfId="32" applyNumberFormat="1" applyFont="1" applyFill="1" applyBorder="1" applyAlignment="1">
      <alignment vertical="center"/>
    </xf>
    <xf numFmtId="164" fontId="4" fillId="0" borderId="0" xfId="32" applyNumberFormat="1" applyFont="1" applyFill="1" applyBorder="1" applyAlignment="1">
      <alignment vertical="center"/>
    </xf>
    <xf numFmtId="0" fontId="4" fillId="2" borderId="12" xfId="32" applyFont="1" applyFill="1" applyBorder="1" applyAlignment="1">
      <alignment vertical="center"/>
    </xf>
    <xf numFmtId="15" fontId="4" fillId="0" borderId="0" xfId="32" applyNumberFormat="1" applyFont="1" applyFill="1" applyBorder="1"/>
    <xf numFmtId="0" fontId="4" fillId="0" borderId="20" xfId="32" applyFont="1" applyFill="1" applyBorder="1" applyAlignment="1">
      <alignment horizontal="left"/>
    </xf>
    <xf numFmtId="0" fontId="4" fillId="0" borderId="46" xfId="32" applyFont="1" applyFill="1" applyBorder="1"/>
    <xf numFmtId="15" fontId="4" fillId="0" borderId="22" xfId="32" applyNumberFormat="1" applyFont="1" applyFill="1" applyBorder="1"/>
    <xf numFmtId="0" fontId="4" fillId="0" borderId="47" xfId="32" applyFont="1" applyFill="1" applyBorder="1"/>
    <xf numFmtId="165" fontId="5" fillId="0" borderId="11" xfId="32" applyNumberFormat="1" applyFont="1" applyFill="1" applyBorder="1" applyAlignment="1">
      <alignment vertical="center"/>
    </xf>
    <xf numFmtId="0" fontId="4" fillId="0" borderId="44" xfId="1" applyFont="1" applyFill="1" applyBorder="1"/>
    <xf numFmtId="0" fontId="4" fillId="0" borderId="17" xfId="1" applyFont="1" applyFill="1" applyBorder="1"/>
    <xf numFmtId="15" fontId="4" fillId="0" borderId="17" xfId="1" applyNumberFormat="1" applyFont="1" applyFill="1" applyBorder="1"/>
    <xf numFmtId="0" fontId="4" fillId="0" borderId="17" xfId="1" applyFont="1" applyFill="1" applyBorder="1" applyAlignment="1">
      <alignment horizontal="left"/>
    </xf>
    <xf numFmtId="0" fontId="4" fillId="0" borderId="45" xfId="1" applyFont="1" applyFill="1" applyBorder="1" applyAlignment="1">
      <alignment horizontal="left"/>
    </xf>
    <xf numFmtId="0" fontId="5" fillId="0" borderId="9" xfId="32" applyFont="1" applyFill="1" applyBorder="1" applyAlignment="1">
      <alignment vertical="center"/>
    </xf>
    <xf numFmtId="171" fontId="4" fillId="0" borderId="3" xfId="14" applyNumberFormat="1" applyFont="1" applyFill="1" applyBorder="1" applyAlignment="1">
      <alignment vertical="center"/>
    </xf>
    <xf numFmtId="0" fontId="4" fillId="0" borderId="39" xfId="1" applyFont="1" applyFill="1" applyBorder="1"/>
    <xf numFmtId="0" fontId="4" fillId="0" borderId="0" xfId="1" applyFont="1" applyFill="1" applyBorder="1"/>
    <xf numFmtId="0" fontId="4" fillId="0" borderId="20" xfId="1" applyFont="1" applyFill="1" applyBorder="1"/>
    <xf numFmtId="0" fontId="5" fillId="0" borderId="4" xfId="32" applyFont="1" applyFill="1" applyBorder="1" applyAlignment="1">
      <alignment vertical="center"/>
    </xf>
    <xf numFmtId="171" fontId="4" fillId="0" borderId="8" xfId="14" applyNumberFormat="1" applyFont="1" applyFill="1" applyBorder="1" applyAlignment="1">
      <alignment vertical="center"/>
    </xf>
    <xf numFmtId="0" fontId="12" fillId="4" borderId="11" xfId="32" applyFont="1" applyFill="1" applyBorder="1" applyAlignment="1">
      <alignment horizontal="center"/>
    </xf>
    <xf numFmtId="0" fontId="12" fillId="4" borderId="0" xfId="32" applyFont="1" applyFill="1" applyBorder="1" applyAlignment="1">
      <alignment horizontal="center"/>
    </xf>
    <xf numFmtId="0" fontId="12" fillId="4" borderId="12" xfId="32" applyFont="1" applyFill="1" applyBorder="1" applyAlignment="1">
      <alignment horizontal="center"/>
    </xf>
    <xf numFmtId="0" fontId="17" fillId="4" borderId="4" xfId="32" applyFont="1" applyFill="1" applyBorder="1" applyAlignment="1">
      <alignment horizontal="centerContinuous" vertical="center"/>
    </xf>
    <xf numFmtId="0" fontId="17" fillId="4" borderId="8" xfId="32" applyFont="1" applyFill="1" applyBorder="1" applyAlignment="1">
      <alignment horizontal="centerContinuous" vertical="center"/>
    </xf>
    <xf numFmtId="0" fontId="17" fillId="4" borderId="13" xfId="32" applyFont="1" applyFill="1" applyBorder="1" applyAlignment="1">
      <alignment horizontal="centerContinuous" vertical="center"/>
    </xf>
    <xf numFmtId="0" fontId="4" fillId="0" borderId="11" xfId="32" applyFont="1" applyBorder="1" applyAlignment="1">
      <alignment vertical="center"/>
    </xf>
    <xf numFmtId="165" fontId="4" fillId="0" borderId="0" xfId="32" applyNumberFormat="1" applyFont="1" applyFill="1" applyBorder="1" applyAlignment="1">
      <alignment vertical="center"/>
    </xf>
    <xf numFmtId="165" fontId="4" fillId="0" borderId="0" xfId="32" applyNumberFormat="1" applyFont="1" applyFill="1" applyBorder="1" applyAlignment="1">
      <alignment horizontal="right" vertical="center"/>
    </xf>
    <xf numFmtId="0" fontId="4" fillId="0" borderId="20" xfId="32" applyFont="1" applyFill="1" applyBorder="1" applyAlignment="1">
      <alignment horizontal="centerContinuous" vertical="center"/>
    </xf>
    <xf numFmtId="0" fontId="4" fillId="0" borderId="7" xfId="32" applyNumberFormat="1" applyFont="1" applyFill="1" applyBorder="1" applyAlignment="1" applyProtection="1">
      <alignment horizontal="center"/>
    </xf>
    <xf numFmtId="0" fontId="4" fillId="4" borderId="7" xfId="51" applyNumberFormat="1" applyFont="1" applyFill="1" applyBorder="1" applyAlignment="1">
      <alignment horizontal="center"/>
    </xf>
    <xf numFmtId="0" fontId="4" fillId="0" borderId="4" xfId="32" applyFont="1" applyFill="1" applyBorder="1" applyAlignment="1">
      <alignment vertical="center"/>
    </xf>
    <xf numFmtId="165" fontId="4" fillId="0" borderId="8" xfId="32" applyNumberFormat="1" applyFont="1" applyFill="1" applyBorder="1" applyAlignment="1">
      <alignment vertical="center"/>
    </xf>
    <xf numFmtId="0" fontId="4" fillId="0" borderId="46" xfId="1" applyFont="1" applyFill="1" applyBorder="1"/>
    <xf numFmtId="0" fontId="4" fillId="0" borderId="22" xfId="1" applyFont="1" applyFill="1" applyBorder="1"/>
    <xf numFmtId="0" fontId="4" fillId="0" borderId="47" xfId="1" applyFont="1" applyFill="1" applyBorder="1"/>
    <xf numFmtId="189" fontId="4" fillId="0" borderId="7" xfId="32" applyNumberFormat="1" applyFont="1" applyFill="1" applyBorder="1" applyAlignment="1" applyProtection="1">
      <alignment horizontal="center"/>
    </xf>
    <xf numFmtId="0" fontId="4" fillId="0" borderId="22" xfId="32" applyFont="1" applyFill="1" applyBorder="1"/>
    <xf numFmtId="0" fontId="0" fillId="28" borderId="15" xfId="0" applyFill="1" applyBorder="1"/>
    <xf numFmtId="0" fontId="0" fillId="28" borderId="51" xfId="0" applyFill="1" applyBorder="1"/>
    <xf numFmtId="178" fontId="4" fillId="0" borderId="5" xfId="1" applyNumberFormat="1" applyFont="1" applyFill="1" applyBorder="1" applyAlignment="1">
      <alignment horizontal="center"/>
    </xf>
    <xf numFmtId="1" fontId="0" fillId="0" borderId="50" xfId="0" applyNumberFormat="1" applyBorder="1"/>
    <xf numFmtId="1" fontId="0" fillId="0" borderId="52" xfId="0" applyNumberFormat="1" applyBorder="1"/>
    <xf numFmtId="1" fontId="0" fillId="0" borderId="50" xfId="0" quotePrefix="1" applyNumberFormat="1" applyBorder="1"/>
    <xf numFmtId="0" fontId="12" fillId="16" borderId="16" xfId="33" applyFont="1" applyFill="1" applyBorder="1" applyAlignment="1" applyProtection="1">
      <alignment horizontal="center"/>
    </xf>
    <xf numFmtId="0" fontId="12" fillId="16" borderId="6" xfId="33" applyFont="1" applyFill="1" applyBorder="1" applyAlignment="1" applyProtection="1">
      <alignment horizontal="center"/>
    </xf>
    <xf numFmtId="0" fontId="28" fillId="23" borderId="42" xfId="33" applyFont="1" applyFill="1" applyBorder="1" applyAlignment="1">
      <alignment horizontal="center"/>
    </xf>
    <xf numFmtId="0" fontId="4" fillId="0" borderId="41" xfId="33" applyFont="1" applyBorder="1" applyAlignment="1"/>
    <xf numFmtId="0" fontId="4" fillId="0" borderId="40" xfId="33" applyFont="1" applyBorder="1" applyAlignment="1"/>
    <xf numFmtId="0" fontId="28" fillId="23" borderId="0" xfId="33" applyFont="1" applyFill="1" applyBorder="1" applyAlignment="1">
      <alignment horizontal="center"/>
    </xf>
    <xf numFmtId="0" fontId="4" fillId="0" borderId="0" xfId="33" applyFont="1" applyAlignment="1"/>
    <xf numFmtId="0" fontId="4" fillId="0" borderId="39" xfId="33" applyFont="1" applyBorder="1" applyAlignment="1"/>
    <xf numFmtId="0" fontId="12" fillId="4" borderId="13" xfId="1" applyFont="1" applyFill="1" applyBorder="1" applyAlignment="1">
      <alignment horizontal="center" vertical="center" wrapText="1"/>
    </xf>
    <xf numFmtId="0" fontId="12" fillId="4" borderId="4" xfId="1" applyFont="1" applyFill="1" applyBorder="1" applyAlignment="1">
      <alignment horizontal="center" vertical="center" wrapText="1"/>
    </xf>
    <xf numFmtId="0" fontId="4" fillId="2" borderId="0" xfId="33" applyFont="1" applyFill="1" applyAlignment="1">
      <alignment horizontal="center" vertical="center"/>
    </xf>
    <xf numFmtId="0" fontId="4" fillId="2" borderId="0" xfId="33" applyFont="1" applyFill="1" applyBorder="1" applyAlignment="1">
      <alignment horizontal="center" vertical="center"/>
    </xf>
    <xf numFmtId="0" fontId="4" fillId="2" borderId="2" xfId="33" applyFont="1" applyFill="1" applyBorder="1" applyAlignment="1">
      <alignment horizontal="center" vertical="center"/>
    </xf>
    <xf numFmtId="0" fontId="12" fillId="4" borderId="16" xfId="32" applyFont="1" applyFill="1" applyBorder="1" applyAlignment="1">
      <alignment horizontal="center" vertical="center" wrapText="1"/>
    </xf>
    <xf numFmtId="0" fontId="12" fillId="4" borderId="14" xfId="32" applyFont="1" applyFill="1" applyBorder="1" applyAlignment="1">
      <alignment horizontal="center" vertical="center" wrapText="1"/>
    </xf>
    <xf numFmtId="0" fontId="12" fillId="4" borderId="6" xfId="32" applyFont="1" applyFill="1" applyBorder="1" applyAlignment="1">
      <alignment horizontal="center" vertical="center" wrapText="1"/>
    </xf>
    <xf numFmtId="165" fontId="12" fillId="4" borderId="16" xfId="14" applyNumberFormat="1" applyFont="1" applyFill="1" applyBorder="1" applyAlignment="1">
      <alignment horizontal="center" vertical="center" wrapText="1"/>
    </xf>
    <xf numFmtId="0" fontId="4" fillId="4" borderId="6" xfId="1" applyFont="1" applyFill="1" applyBorder="1" applyAlignment="1">
      <alignment horizontal="center" vertical="center" wrapText="1"/>
    </xf>
  </cellXfs>
  <cellStyles count="52">
    <cellStyle name="Comma 2" xfId="50"/>
    <cellStyle name="Euro" xfId="2"/>
    <cellStyle name="Euro 2" xfId="3"/>
    <cellStyle name="Euro 3" xfId="4"/>
    <cellStyle name="Migliaia (0)_AZIONI" xfId="5"/>
    <cellStyle name="Migliaia_AZIONI" xfId="6"/>
    <cellStyle name="Normal" xfId="0" builtinId="0"/>
    <cellStyle name="Normal 2" xfId="1"/>
    <cellStyle name="Normal 2 2" xfId="7"/>
    <cellStyle name="Normal 2 2 2" xfId="34"/>
    <cellStyle name="Normal 3" xfId="8"/>
    <cellStyle name="Normal 3 2" xfId="9"/>
    <cellStyle name="Normal 3 2 2" xfId="35"/>
    <cellStyle name="Normal 3 2 2 2" xfId="36"/>
    <cellStyle name="Normal 3 2 3" xfId="37"/>
    <cellStyle name="Normal 3 2 4" xfId="38"/>
    <cellStyle name="Normal 3 3" xfId="10"/>
    <cellStyle name="Normal 3 4" xfId="11"/>
    <cellStyle name="Normal 3 5" xfId="39"/>
    <cellStyle name="Normal 4" xfId="32"/>
    <cellStyle name="Normal 5" xfId="33"/>
    <cellStyle name="Normal 6" xfId="40"/>
    <cellStyle name="Normal 6 2" xfId="41"/>
    <cellStyle name="Normal 7" xfId="42"/>
    <cellStyle name="Normal 8" xfId="43"/>
    <cellStyle name="Normal_EUR_SynthDepoQuotesFeed" xfId="30"/>
    <cellStyle name="Normal_EUR_TurnOfYearQuotesFeed2" xfId="29"/>
    <cellStyle name="Normal_InterestRateQuotesFeed" xfId="31"/>
    <cellStyle name="Normal_Pricing" xfId="49"/>
    <cellStyle name="Normal_SwaptionATMVols" xfId="12"/>
    <cellStyle name="Normal_TestSyntDisc" xfId="28"/>
    <cellStyle name="Normale_AZIONI" xfId="13"/>
    <cellStyle name="Note 2" xfId="51"/>
    <cellStyle name="Percent 2" xfId="14"/>
    <cellStyle name="Percent 2 2" xfId="15"/>
    <cellStyle name="Percent 2 2 2" xfId="44"/>
    <cellStyle name="Percent 2 3" xfId="16"/>
    <cellStyle name="Percent 3" xfId="17"/>
    <cellStyle name="Percent 3 2" xfId="18"/>
    <cellStyle name="Percent 3 2 2" xfId="19"/>
    <cellStyle name="Percent 3 2 3" xfId="20"/>
    <cellStyle name="Percent 3 3" xfId="21"/>
    <cellStyle name="Percent 4" xfId="22"/>
    <cellStyle name="Percent 4 2" xfId="23"/>
    <cellStyle name="Percent 4 3" xfId="24"/>
    <cellStyle name="Percent 5" xfId="45"/>
    <cellStyle name="Percent 5 2" xfId="46"/>
    <cellStyle name="Percent 6" xfId="47"/>
    <cellStyle name="Percent 7" xfId="48"/>
    <cellStyle name="result" xfId="25"/>
    <cellStyle name="Valuta (0)_AZIONI" xfId="26"/>
    <cellStyle name="Valuta_AZIONI" xfId="27"/>
  </cellStyles>
  <dxfs count="49">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ndense val="0"/>
        <extend val="0"/>
        <color indexed="57"/>
      </font>
    </dxf>
    <dxf>
      <font>
        <condense val="0"/>
        <extend val="0"/>
        <color indexed="57"/>
      </font>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'1MSynthDepo'!$AD$2</c:f>
              <c:strCache>
                <c:ptCount val="1"/>
                <c:pt idx="0">
                  <c:v>Flat</c:v>
                </c:pt>
              </c:strCache>
            </c:strRef>
          </c:tx>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'1MSynthDepo'!$AE$2</c:f>
              <c:strCache>
                <c:ptCount val="1"/>
                <c:pt idx="0">
                  <c:v>Linear</c:v>
                </c:pt>
              </c:strCache>
            </c:strRef>
          </c:tx>
          <c:spPr>
            <a:ln>
              <a:prstDash val="sysDot"/>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'1MSynthDepo'!$AF$2</c:f>
              <c:strCache>
                <c:ptCount val="1"/>
                <c:pt idx="0">
                  <c:v>Quadratic</c:v>
                </c:pt>
              </c:strCache>
            </c:strRef>
          </c:tx>
          <c:spPr>
            <a:ln>
              <a:prstDash val="dash"/>
            </a:ln>
          </c:spPr>
          <c:marker>
            <c:symbol val="none"/>
          </c:marker>
          <c:cat>
            <c:numRef>
              <c:f>'1MSynthDepo'!$AB$3:$AB$90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224825728"/>
        <c:axId val="224827264"/>
      </c:lineChart>
      <c:dateAx>
        <c:axId val="224825728"/>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4827264"/>
        <c:crosses val="autoZero"/>
        <c:auto val="1"/>
        <c:lblOffset val="100"/>
        <c:baseTimeUnit val="days"/>
      </c:dateAx>
      <c:valAx>
        <c:axId val="224827264"/>
        <c:scaling>
          <c:orientation val="minMax"/>
        </c:scaling>
        <c:delete val="0"/>
        <c:axPos val="l"/>
        <c:majorGridlines/>
        <c:numFmt formatCode="0.00%" sourceLinked="0"/>
        <c:majorTickMark val="out"/>
        <c:minorTickMark val="none"/>
        <c:tickLblPos val="nextTo"/>
        <c:crossAx val="224825728"/>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'3MSynthDepo'!$AH$2</c:f>
              <c:strCache>
                <c:ptCount val="1"/>
                <c:pt idx="0">
                  <c:v>Flat</c:v>
                </c:pt>
              </c:strCache>
            </c:strRef>
          </c:tx>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'3MSynthDepo'!$AI$2</c:f>
              <c:strCache>
                <c:ptCount val="1"/>
                <c:pt idx="0">
                  <c:v>Linear</c:v>
                </c:pt>
              </c:strCache>
            </c:strRef>
          </c:tx>
          <c:spPr>
            <a:ln>
              <a:prstDash val="sysDot"/>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'3MSynthDepo'!$AJ$2</c:f>
              <c:strCache>
                <c:ptCount val="1"/>
                <c:pt idx="0">
                  <c:v>Quadratic</c:v>
                </c:pt>
              </c:strCache>
            </c:strRef>
          </c:tx>
          <c:spPr>
            <a:ln>
              <a:prstDash val="dash"/>
            </a:ln>
          </c:spPr>
          <c:marker>
            <c:symbol val="none"/>
          </c:marker>
          <c:cat>
            <c:numRef>
              <c:f>'3MSynthDepo'!$AF$3:$AF$132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225567104"/>
        <c:axId val="225568640"/>
      </c:lineChart>
      <c:dateAx>
        <c:axId val="22556710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5568640"/>
        <c:crosses val="autoZero"/>
        <c:auto val="1"/>
        <c:lblOffset val="100"/>
        <c:baseTimeUnit val="days"/>
      </c:dateAx>
      <c:valAx>
        <c:axId val="225568640"/>
        <c:scaling>
          <c:orientation val="minMax"/>
        </c:scaling>
        <c:delete val="0"/>
        <c:axPos val="l"/>
        <c:majorGridlines/>
        <c:numFmt formatCode="0.00%" sourceLinked="0"/>
        <c:majorTickMark val="out"/>
        <c:minorTickMark val="none"/>
        <c:tickLblPos val="nextTo"/>
        <c:crossAx val="22556710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'6MSynthDepo'!$AH$2</c:f>
              <c:strCache>
                <c:ptCount val="1"/>
                <c:pt idx="0">
                  <c:v>Flat</c:v>
                </c:pt>
              </c:strCache>
            </c:strRef>
          </c:tx>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'6MSynthDepo'!$AI$2</c:f>
              <c:strCache>
                <c:ptCount val="1"/>
                <c:pt idx="0">
                  <c:v>Linear</c:v>
                </c:pt>
              </c:strCache>
            </c:strRef>
          </c:tx>
          <c:spPr>
            <a:ln>
              <a:prstDash val="sysDot"/>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'6MSynthDepo'!$AJ$2</c:f>
              <c:strCache>
                <c:ptCount val="1"/>
                <c:pt idx="0">
                  <c:v>Quadratic</c:v>
                </c:pt>
              </c:strCache>
            </c:strRef>
          </c:tx>
          <c:spPr>
            <a:ln>
              <a:prstDash val="dash"/>
            </a:ln>
          </c:spPr>
          <c:marker>
            <c:symbol val="none"/>
          </c:marker>
          <c:cat>
            <c:numRef>
              <c:f>'6MSynthDepo'!$AF$3:$AF$132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26099200"/>
        <c:axId val="226100736"/>
      </c:lineChart>
      <c:dateAx>
        <c:axId val="226099200"/>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26100736"/>
        <c:crosses val="autoZero"/>
        <c:auto val="1"/>
        <c:lblOffset val="100"/>
        <c:baseTimeUnit val="days"/>
      </c:dateAx>
      <c:valAx>
        <c:axId val="226100736"/>
        <c:scaling>
          <c:orientation val="minMax"/>
        </c:scaling>
        <c:delete val="0"/>
        <c:axPos val="l"/>
        <c:majorGridlines/>
        <c:numFmt formatCode="0.00%" sourceLinked="0"/>
        <c:majorTickMark val="out"/>
        <c:minorTickMark val="none"/>
        <c:tickLblPos val="nextTo"/>
        <c:crossAx val="226099200"/>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'12MSynthDepo'!$AH$2</c:f>
              <c:strCache>
                <c:ptCount val="1"/>
                <c:pt idx="0">
                  <c:v>Flat</c:v>
                </c:pt>
              </c:strCache>
            </c:strRef>
          </c:tx>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'12MSynthDepo'!$AH$3:$AH$259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1"/>
          <c:order val="1"/>
          <c:tx>
            <c:strRef>
              <c:f>'12MSynthDepo'!$AI$2</c:f>
              <c:strCache>
                <c:ptCount val="1"/>
                <c:pt idx="0">
                  <c:v>Linear</c:v>
                </c:pt>
              </c:strCache>
            </c:strRef>
          </c:tx>
          <c:spPr>
            <a:ln>
              <a:prstDash val="sysDot"/>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'12MSynthDepo'!$AI$3:$AI$259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ser>
          <c:idx val="2"/>
          <c:order val="2"/>
          <c:tx>
            <c:strRef>
              <c:f>'12MSynthDepo'!$AJ$2</c:f>
              <c:strCache>
                <c:ptCount val="1"/>
                <c:pt idx="0">
                  <c:v>Quadratic</c:v>
                </c:pt>
              </c:strCache>
            </c:strRef>
          </c:tx>
          <c:spPr>
            <a:ln>
              <a:prstDash val="dash"/>
            </a:ln>
          </c:spPr>
          <c:marker>
            <c:symbol val="none"/>
          </c:marker>
          <c:cat>
            <c:numRef>
              <c:f>'12MSynthDepo'!$AF$3:$AF$259</c:f>
              <c:numCache>
                <c:formatCode>ddd\,\ dd\-mmm\-yyyy</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cat>
          <c:val>
            <c:numRef>
              <c:f>'12MSynthDepo'!$AJ$3:$AJ$259</c:f>
              <c:numCache>
                <c:formatCode>0.0000%</c:formatCode>
                <c:ptCount val="25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numCache>
            </c:numRef>
          </c:val>
          <c:smooth val="0"/>
        </c:ser>
        <c:dLbls>
          <c:showLegendKey val="0"/>
          <c:showVal val="0"/>
          <c:showCatName val="0"/>
          <c:showSerName val="0"/>
          <c:showPercent val="0"/>
          <c:showBubbleSize val="0"/>
        </c:dLbls>
        <c:marker val="1"/>
        <c:smooth val="0"/>
        <c:axId val="226202752"/>
        <c:axId val="226204288"/>
      </c:lineChart>
      <c:dateAx>
        <c:axId val="22620275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26204288"/>
        <c:crosses val="autoZero"/>
        <c:auto val="1"/>
        <c:lblOffset val="100"/>
        <c:baseTimeUnit val="days"/>
      </c:dateAx>
      <c:valAx>
        <c:axId val="226204288"/>
        <c:scaling>
          <c:orientation val="minMax"/>
        </c:scaling>
        <c:delete val="0"/>
        <c:axPos val="l"/>
        <c:majorGridlines/>
        <c:numFmt formatCode="0.00%" sourceLinked="0"/>
        <c:majorTickMark val="out"/>
        <c:minorTickMark val="none"/>
        <c:tickLblPos val="nextTo"/>
        <c:crossAx val="226202752"/>
        <c:crosses val="autoZero"/>
        <c:crossBetween val="between"/>
      </c:valAx>
    </c:plotArea>
    <c:legend>
      <c:legendPos val="r"/>
      <c:layout>
        <c:manualLayout>
          <c:xMode val="edge"/>
          <c:yMode val="edge"/>
          <c:x val="0.76701919067983371"/>
          <c:y val="7.6320488208664383E-2"/>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3M'!$E$3</c:f>
              <c:numCache>
                <c:formatCode>ddd\,\ dd\-mmm\-yyyy</c:formatCode>
                <c:ptCount val="1"/>
                <c:pt idx="0">
                  <c:v>0</c:v>
                </c:pt>
              </c:numCache>
            </c:numRef>
          </c:xVal>
          <c:yVal>
            <c:numRef>
              <c:f>'Delta 3M'!$L$3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3M'!$L$4:$L$15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Fut</c:v>
          </c:tx>
          <c:spPr>
            <a:ln w="28575">
              <a:noFill/>
            </a:ln>
          </c:spPr>
          <c:marker>
            <c:symbol val="circle"/>
            <c:size val="5"/>
            <c:spPr>
              <a:solidFill>
                <a:srgbClr val="7030A0"/>
              </a:solidFill>
              <a:ln>
                <a:solidFill>
                  <a:srgbClr val="7030A0"/>
                </a:solidFill>
              </a:ln>
            </c:spPr>
          </c:marker>
          <c:xVal>
            <c:numRef>
              <c:f>'Delta 3M'!$E$16:$E$20</c:f>
              <c:numCache>
                <c:formatCode>ddd\,\ dd\-mmm\-yyyy</c:formatCode>
                <c:ptCount val="5"/>
                <c:pt idx="0">
                  <c:v>0</c:v>
                </c:pt>
                <c:pt idx="1">
                  <c:v>0</c:v>
                </c:pt>
                <c:pt idx="2">
                  <c:v>0</c:v>
                </c:pt>
                <c:pt idx="3">
                  <c:v>0</c:v>
                </c:pt>
                <c:pt idx="4">
                  <c:v>0</c:v>
                </c:pt>
              </c:numCache>
            </c:numRef>
          </c:xVal>
          <c:yVal>
            <c:numRef>
              <c:f>'Delta 3M'!$L$16:$L$20</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3M'!$R$3:$R$261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3M'!$S$3:$S$261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225776768"/>
        <c:axId val="225778304"/>
      </c:scatterChart>
      <c:valAx>
        <c:axId val="225776768"/>
        <c:scaling>
          <c:orientation val="minMax"/>
        </c:scaling>
        <c:delete val="0"/>
        <c:axPos val="b"/>
        <c:numFmt formatCode="[$-409]mmm\-yy;@" sourceLinked="0"/>
        <c:majorTickMark val="out"/>
        <c:minorTickMark val="none"/>
        <c:tickLblPos val="low"/>
        <c:txPr>
          <a:bodyPr rot="-2700000"/>
          <a:lstStyle/>
          <a:p>
            <a:pPr>
              <a:defRPr/>
            </a:pPr>
            <a:endParaRPr lang="en-US"/>
          </a:p>
        </c:txPr>
        <c:crossAx val="225778304"/>
        <c:crosses val="autoZero"/>
        <c:crossBetween val="midCat"/>
      </c:valAx>
      <c:valAx>
        <c:axId val="225778304"/>
        <c:scaling>
          <c:orientation val="minMax"/>
        </c:scaling>
        <c:delete val="0"/>
        <c:axPos val="l"/>
        <c:majorGridlines/>
        <c:numFmt formatCode="0.0000%" sourceLinked="0"/>
        <c:majorTickMark val="out"/>
        <c:minorTickMark val="none"/>
        <c:tickLblPos val="nextTo"/>
        <c:crossAx val="225776768"/>
        <c:crosses val="autoZero"/>
        <c:crossBetween val="midCat"/>
        <c:majorUnit val="1.0000000000000003E-4"/>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 '!$E$3</c:f>
              <c:numCache>
                <c:formatCode>ddd\,\ dd\-mmm\-yyyy</c:formatCode>
                <c:ptCount val="1"/>
                <c:pt idx="0">
                  <c:v>0</c:v>
                </c:pt>
              </c:numCache>
            </c:numRef>
          </c:xVal>
          <c:yVal>
            <c:numRef>
              <c:f>'Delta 6M '!$L$3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 '!$E$4:$E$15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 '!$L$4:$L$21</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 '!$R$3:$R$262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 '!$S$3:$S$262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30929536"/>
        <c:axId val="230931072"/>
      </c:scatterChart>
      <c:valAx>
        <c:axId val="230929536"/>
        <c:scaling>
          <c:orientation val="minMax"/>
        </c:scaling>
        <c:delete val="0"/>
        <c:axPos val="b"/>
        <c:numFmt formatCode="[$-409]mmm\-yy;@" sourceLinked="0"/>
        <c:majorTickMark val="out"/>
        <c:minorTickMark val="none"/>
        <c:tickLblPos val="low"/>
        <c:txPr>
          <a:bodyPr rot="-2700000"/>
          <a:lstStyle/>
          <a:p>
            <a:pPr>
              <a:defRPr/>
            </a:pPr>
            <a:endParaRPr lang="en-US"/>
          </a:p>
        </c:txPr>
        <c:crossAx val="230931072"/>
        <c:crosses val="autoZero"/>
        <c:crossBetween val="midCat"/>
      </c:valAx>
      <c:valAx>
        <c:axId val="230931072"/>
        <c:scaling>
          <c:orientation val="minMax"/>
          <c:max val="2.5000000000000005E-3"/>
          <c:min val="1.5000000000000005E-3"/>
        </c:scaling>
        <c:delete val="0"/>
        <c:axPos val="l"/>
        <c:majorGridlines/>
        <c:numFmt formatCode="0.00%" sourceLinked="0"/>
        <c:majorTickMark val="out"/>
        <c:minorTickMark val="none"/>
        <c:tickLblPos val="nextTo"/>
        <c:crossAx val="230929536"/>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12M'!$E$3</c:f>
              <c:numCache>
                <c:formatCode>ddd\,\ dd\-mmm\-yyyy</c:formatCode>
                <c:ptCount val="1"/>
                <c:pt idx="0">
                  <c:v>0</c:v>
                </c:pt>
              </c:numCache>
            </c:numRef>
          </c:xVal>
          <c:yVal>
            <c:numRef>
              <c:f>'Delta 12M'!$L$3</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12M'!$E$4:$E$15</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12M'!$L$4:$L$15</c:f>
              <c:numCache>
                <c:formatCode>0.0000%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yVal>
          <c:smooth val="0"/>
        </c:ser>
        <c:ser>
          <c:idx val="2"/>
          <c:order val="2"/>
          <c:tx>
            <c:v>Basis Interp</c:v>
          </c:tx>
          <c:spPr>
            <a:ln w="28575">
              <a:solidFill>
                <a:srgbClr val="92D050"/>
              </a:solidFill>
            </a:ln>
          </c:spPr>
          <c:marker>
            <c:symbol val="none"/>
          </c:marker>
          <c:xVal>
            <c:numRef>
              <c:f>'Delta 12M'!$R$3:$R$262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12M'!$S$3:$S$262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31117952"/>
        <c:axId val="231119488"/>
      </c:scatterChart>
      <c:valAx>
        <c:axId val="231117952"/>
        <c:scaling>
          <c:orientation val="minMax"/>
        </c:scaling>
        <c:delete val="0"/>
        <c:axPos val="b"/>
        <c:numFmt formatCode="[$-409]mmm\-yy;@" sourceLinked="0"/>
        <c:majorTickMark val="out"/>
        <c:minorTickMark val="none"/>
        <c:tickLblPos val="low"/>
        <c:txPr>
          <a:bodyPr rot="-2700000"/>
          <a:lstStyle/>
          <a:p>
            <a:pPr>
              <a:defRPr/>
            </a:pPr>
            <a:endParaRPr lang="en-US"/>
          </a:p>
        </c:txPr>
        <c:crossAx val="231119488"/>
        <c:crosses val="autoZero"/>
        <c:crossBetween val="midCat"/>
      </c:valAx>
      <c:valAx>
        <c:axId val="231119488"/>
        <c:scaling>
          <c:orientation val="minMax"/>
        </c:scaling>
        <c:delete val="0"/>
        <c:axPos val="l"/>
        <c:majorGridlines/>
        <c:numFmt formatCode="0.00%" sourceLinked="0"/>
        <c:majorTickMark val="out"/>
        <c:minorTickMark val="none"/>
        <c:tickLblPos val="nextTo"/>
        <c:crossAx val="231117952"/>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v>Fwd</c:v>
          </c:tx>
          <c:spPr>
            <a:ln w="28575">
              <a:noFill/>
            </a:ln>
          </c:spPr>
          <c:xVal>
            <c:numRef>
              <c:f>Calculation!$K$4:$K$27</c:f>
              <c:numCache>
                <c:formatCode>ddd\,\ dd\-mmm\-yyyy</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xVal>
          <c:yVal>
            <c:numRef>
              <c:f>Calculation!$J$4:$J$27</c:f>
              <c:numCache>
                <c:formatCode>0.0000%</c:formatCode>
                <c:ptCount val="2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yVal>
          <c:smooth val="0"/>
        </c:ser>
        <c:ser>
          <c:idx val="1"/>
          <c:order val="1"/>
          <c:tx>
            <c:v>Interp</c:v>
          </c:tx>
          <c:spPr>
            <a:ln w="28575">
              <a:noFill/>
            </a:ln>
          </c:spPr>
          <c:marker>
            <c:symbol val="square"/>
            <c:size val="4"/>
          </c:marker>
          <c:xVal>
            <c:numRef>
              <c:f>Calculation!$K$5:$K$27</c:f>
              <c:numCache>
                <c:formatCode>ddd\,\ dd\-mmm\-yyyy</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xVal>
          <c:yVal>
            <c:numRef>
              <c:f>Calculation!$BJ$5:$BJ$27</c:f>
              <c:numCache>
                <c:formatCode>0.0000%</c:formatCode>
                <c:ptCount val="2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numCache>
            </c:numRef>
          </c:yVal>
          <c:smooth val="0"/>
        </c:ser>
        <c:dLbls>
          <c:showLegendKey val="0"/>
          <c:showVal val="0"/>
          <c:showCatName val="0"/>
          <c:showSerName val="0"/>
          <c:showPercent val="0"/>
          <c:showBubbleSize val="0"/>
        </c:dLbls>
        <c:axId val="226597888"/>
        <c:axId val="226616064"/>
      </c:scatterChart>
      <c:valAx>
        <c:axId val="226597888"/>
        <c:scaling>
          <c:orientation val="minMax"/>
        </c:scaling>
        <c:delete val="0"/>
        <c:axPos val="b"/>
        <c:numFmt formatCode="[$-409]mmm\-yy;@" sourceLinked="0"/>
        <c:majorTickMark val="out"/>
        <c:minorTickMark val="none"/>
        <c:tickLblPos val="low"/>
        <c:txPr>
          <a:bodyPr rot="-2700000"/>
          <a:lstStyle/>
          <a:p>
            <a:pPr>
              <a:defRPr/>
            </a:pPr>
            <a:endParaRPr lang="en-US"/>
          </a:p>
        </c:txPr>
        <c:crossAx val="226616064"/>
        <c:crosses val="autoZero"/>
        <c:crossBetween val="midCat"/>
      </c:valAx>
      <c:valAx>
        <c:axId val="226616064"/>
        <c:scaling>
          <c:orientation val="minMax"/>
        </c:scaling>
        <c:delete val="0"/>
        <c:axPos val="l"/>
        <c:majorGridlines/>
        <c:numFmt formatCode="0.0000%" sourceLinked="1"/>
        <c:majorTickMark val="out"/>
        <c:minorTickMark val="none"/>
        <c:tickLblPos val="nextTo"/>
        <c:crossAx val="226597888"/>
        <c:crosses val="autoZero"/>
        <c:crossBetween val="midCat"/>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spPr>
            <a:ln>
              <a:noFill/>
            </a:ln>
          </c:spPr>
          <c:marker>
            <c:symbol val="square"/>
            <c:size val="2"/>
          </c:marker>
          <c:cat>
            <c:numRef>
              <c:f>Contribution!$Q$3:$Q$515</c:f>
              <c:numCache>
                <c:formatCode>ddd\,\ dd\-mmm\-yyyy</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cat>
          <c:val>
            <c:numRef>
              <c:f>Contribution!$R$3:$R$515</c:f>
              <c:numCache>
                <c:formatCode>0.0000%</c:formatCode>
                <c:ptCount val="51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numCache>
            </c:numRef>
          </c:val>
          <c:smooth val="0"/>
        </c:ser>
        <c:dLbls>
          <c:showLegendKey val="0"/>
          <c:showVal val="0"/>
          <c:showCatName val="0"/>
          <c:showSerName val="0"/>
          <c:showPercent val="0"/>
          <c:showBubbleSize val="0"/>
        </c:dLbls>
        <c:marker val="1"/>
        <c:smooth val="0"/>
        <c:axId val="232233600"/>
        <c:axId val="232333696"/>
      </c:lineChart>
      <c:dateAx>
        <c:axId val="232233600"/>
        <c:scaling>
          <c:orientation val="minMax"/>
        </c:scaling>
        <c:delete val="0"/>
        <c:axPos val="b"/>
        <c:numFmt formatCode="[$-409]mmm\-yy;@" sourceLinked="0"/>
        <c:majorTickMark val="out"/>
        <c:minorTickMark val="none"/>
        <c:tickLblPos val="low"/>
        <c:txPr>
          <a:bodyPr rot="-2700000"/>
          <a:lstStyle/>
          <a:p>
            <a:pPr>
              <a:defRPr/>
            </a:pPr>
            <a:endParaRPr lang="en-US"/>
          </a:p>
        </c:txPr>
        <c:crossAx val="232333696"/>
        <c:crosses val="autoZero"/>
        <c:auto val="1"/>
        <c:lblOffset val="100"/>
        <c:baseTimeUnit val="days"/>
      </c:dateAx>
      <c:valAx>
        <c:axId val="232333696"/>
        <c:scaling>
          <c:orientation val="minMax"/>
        </c:scaling>
        <c:delete val="0"/>
        <c:axPos val="l"/>
        <c:majorGridlines/>
        <c:numFmt formatCode="0.0000%" sourceLinked="1"/>
        <c:majorTickMark val="out"/>
        <c:minorTickMark val="none"/>
        <c:tickLblPos val="nextTo"/>
        <c:crossAx val="232233600"/>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7" name="CommandButton1" hidden="1">
              <a:extLst>
                <a:ext uri="{63B3BB69-23CF-44E3-9099-C40C66FF867C}">
                  <a14:compatExt spid="_x0000_s45057"/>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45058" name="CommandButton2" hidden="1">
              <a:extLst>
                <a:ext uri="{63B3BB69-23CF-44E3-9099-C40C66FF867C}">
                  <a14:compatExt spid="_x0000_s45058"/>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xdr:wsDr xmlns:xdr="http://schemas.openxmlformats.org/drawingml/2006/spreadsheetDrawing" xmlns:a="http://schemas.openxmlformats.org/drawingml/2006/main">
  <xdr:oneCellAnchor>
    <xdr:from>
      <xdr:col>0</xdr:col>
      <xdr:colOff>0</xdr:colOff>
      <xdr:row>24</xdr:row>
      <xdr:rowOff>76199</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21</xdr:row>
      <xdr:rowOff>9525</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15</xdr:row>
      <xdr:rowOff>57150</xdr:rowOff>
    </xdr:from>
    <xdr:ext cx="7920000" cy="3600000"/>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9.xml><?xml version="1.0" encoding="utf-8"?>
<xdr:wsDr xmlns:xdr="http://schemas.openxmlformats.org/drawingml/2006/spreadsheetDrawing" xmlns:a="http://schemas.openxmlformats.org/drawingml/2006/main">
  <xdr:twoCellAnchor>
    <xdr:from>
      <xdr:col>66</xdr:col>
      <xdr:colOff>561974</xdr:colOff>
      <xdr:row>0</xdr:row>
      <xdr:rowOff>0</xdr:rowOff>
    </xdr:from>
    <xdr:to>
      <xdr:col>80</xdr:col>
      <xdr:colOff>304799</xdr:colOff>
      <xdr:row>33</xdr:row>
      <xdr:rowOff>123825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16</xdr:row>
      <xdr:rowOff>9525</xdr:rowOff>
    </xdr:from>
    <xdr:to>
      <xdr:col>11</xdr:col>
      <xdr:colOff>609600</xdr:colOff>
      <xdr:row>39</xdr:row>
      <xdr:rowOff>133350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4.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2.vml"/><Relationship Id="rId1" Type="http://schemas.openxmlformats.org/officeDocument/2006/relationships/printerSettings" Target="../printerSettings/printerSettings1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B1:H7"/>
  <sheetViews>
    <sheetView workbookViewId="0"/>
  </sheetViews>
  <sheetFormatPr defaultRowHeight="11.25" x14ac:dyDescent="0.2"/>
  <cols>
    <col min="1" max="2" width="2.42578125" style="1291" customWidth="1"/>
    <col min="3" max="3" width="23.5703125" style="1291" bestFit="1" customWidth="1"/>
    <col min="4" max="4" width="17.28515625" style="1291" bestFit="1" customWidth="1"/>
    <col min="5" max="5" width="2.42578125" style="1291" customWidth="1"/>
    <col min="6" max="16384" width="9.140625" style="1291"/>
  </cols>
  <sheetData>
    <row r="1" spans="2:8" ht="12" thickBot="1" x14ac:dyDescent="0.25"/>
    <row r="2" spans="2:8" ht="15" x14ac:dyDescent="0.25">
      <c r="B2" s="1302"/>
      <c r="C2" s="1301"/>
      <c r="D2" s="1301"/>
      <c r="E2" s="1300"/>
      <c r="G2" s="1361" t="s">
        <v>529</v>
      </c>
      <c r="H2" s="1364" t="e">
        <f ca="1">_xll.ohTrigger(MainChecks!Trigger2)</f>
        <v>#NAME?</v>
      </c>
    </row>
    <row r="3" spans="2:8" ht="15.75" thickBot="1" x14ac:dyDescent="0.3">
      <c r="B3" s="1297"/>
      <c r="C3" s="1168" t="s">
        <v>239</v>
      </c>
      <c r="D3" s="1299"/>
      <c r="E3" s="1295"/>
      <c r="G3" s="1362" t="s">
        <v>530</v>
      </c>
      <c r="H3" s="1365"/>
    </row>
    <row r="4" spans="2:8" x14ac:dyDescent="0.2">
      <c r="B4" s="1297"/>
      <c r="C4" s="1168" t="s">
        <v>307</v>
      </c>
      <c r="D4" s="1299" t="e">
        <f ca="1">_xll.qlSettingsEvaluationDate(Trigger)</f>
        <v>#NAME?</v>
      </c>
      <c r="E4" s="1295"/>
    </row>
    <row r="5" spans="2:8" x14ac:dyDescent="0.2">
      <c r="B5" s="1297"/>
      <c r="C5" s="1298"/>
      <c r="D5" s="1298"/>
      <c r="E5" s="1295"/>
    </row>
    <row r="6" spans="2:8" x14ac:dyDescent="0.2">
      <c r="B6" s="1297"/>
      <c r="C6" s="1168" t="s">
        <v>300</v>
      </c>
      <c r="D6" s="1296"/>
      <c r="E6" s="1295"/>
    </row>
    <row r="7" spans="2:8" ht="12" thickBot="1" x14ac:dyDescent="0.25">
      <c r="B7" s="1294"/>
      <c r="C7" s="1293"/>
      <c r="D7" s="1293"/>
      <c r="E7" s="1292"/>
    </row>
  </sheetData>
  <pageMargins left="0.75" right="0.75" top="1" bottom="1" header="0.5" footer="0.5"/>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8"/>
  <dimension ref="A1:S52"/>
  <sheetViews>
    <sheetView workbookViewId="0">
      <selection activeCell="S2" sqref="S2:S3"/>
    </sheetView>
  </sheetViews>
  <sheetFormatPr defaultRowHeight="11.25" outlineLevelRow="1" outlineLevelCol="1" x14ac:dyDescent="0.2"/>
  <cols>
    <col min="1" max="1" width="30.85546875" style="1075" bestFit="1" customWidth="1"/>
    <col min="2" max="2" width="21.42578125" style="1075" bestFit="1" customWidth="1"/>
    <col min="3" max="3" width="22.5703125" style="1075" bestFit="1" customWidth="1"/>
    <col min="4" max="4" width="18.5703125" style="1075" hidden="1" customWidth="1" outlineLevel="1"/>
    <col min="5" max="5" width="22.5703125" style="1075" hidden="1" customWidth="1" outlineLevel="1"/>
    <col min="6" max="6" width="17.140625" style="1076" customWidth="1" collapsed="1"/>
    <col min="7" max="7" width="22.5703125" style="1076" bestFit="1" customWidth="1"/>
    <col min="8" max="9" width="19.42578125" style="1075" hidden="1" customWidth="1" outlineLevel="1"/>
    <col min="10" max="11" width="14.140625" style="1075" hidden="1" customWidth="1" outlineLevel="1"/>
    <col min="12" max="12" width="17.28515625" style="1075" bestFit="1" customWidth="1" collapsed="1"/>
    <col min="13" max="13" width="15.28515625" style="1075" bestFit="1" customWidth="1"/>
    <col min="14" max="14" width="15.28515625" style="1075" hidden="1" customWidth="1" outlineLevel="1"/>
    <col min="15" max="15" width="6" style="1146" hidden="1" customWidth="1" outlineLevel="1"/>
    <col min="16" max="16" width="9.140625" style="1146" collapsed="1"/>
    <col min="17" max="16384" width="9.140625" style="1146"/>
  </cols>
  <sheetData>
    <row r="1" spans="1:19" ht="12" thickBot="1" x14ac:dyDescent="0.25">
      <c r="A1" s="1168" t="s">
        <v>231</v>
      </c>
      <c r="B1" s="1266" t="s">
        <v>230</v>
      </c>
      <c r="C1" s="1210" t="str">
        <f>UPPER(IF(ISBLANK(B1),D1,B1))</f>
        <v>EUR</v>
      </c>
      <c r="D1" s="1264" t="s">
        <v>230</v>
      </c>
      <c r="E1" s="1222" t="s">
        <v>230</v>
      </c>
      <c r="F1" s="1169"/>
      <c r="G1" s="1169"/>
      <c r="H1" s="1169"/>
      <c r="I1" s="1169"/>
      <c r="J1" s="1169"/>
      <c r="K1" s="1169"/>
      <c r="L1" s="1169"/>
      <c r="M1" s="1169"/>
      <c r="N1" s="1169"/>
      <c r="O1" s="1147"/>
      <c r="P1" s="1147"/>
    </row>
    <row r="2" spans="1:19" ht="15" x14ac:dyDescent="0.25">
      <c r="A2" s="1290" t="s">
        <v>484</v>
      </c>
      <c r="B2" s="1367" t="s">
        <v>483</v>
      </c>
      <c r="C2" s="1368"/>
      <c r="D2" s="1289" t="s">
        <v>481</v>
      </c>
      <c r="E2" s="1288" t="s">
        <v>480</v>
      </c>
      <c r="F2" s="1367" t="s">
        <v>482</v>
      </c>
      <c r="G2" s="1368"/>
      <c r="H2" s="1287" t="s">
        <v>481</v>
      </c>
      <c r="I2" s="1286" t="s">
        <v>480</v>
      </c>
      <c r="J2" s="1285" t="s">
        <v>479</v>
      </c>
      <c r="K2" s="1284" t="s">
        <v>478</v>
      </c>
      <c r="L2" s="1367" t="s">
        <v>477</v>
      </c>
      <c r="M2" s="1368"/>
      <c r="N2" s="1147"/>
      <c r="O2" s="1147"/>
      <c r="P2" s="1147"/>
      <c r="R2" s="1361" t="s">
        <v>529</v>
      </c>
      <c r="S2" s="1364" t="e">
        <f ca="1">_xll.ohTrigger(Triggers!Trigger)</f>
        <v>#NAME?</v>
      </c>
    </row>
    <row r="3" spans="1:19" ht="15.75" thickBot="1" x14ac:dyDescent="0.3">
      <c r="A3" s="1168" t="s">
        <v>216</v>
      </c>
      <c r="B3" s="1266"/>
      <c r="C3" s="1265" t="e">
        <f t="shared" ref="C3:C14" ca="1" si="0">IF(ISBLANK(B3),D3,B3)</f>
        <v>#NAME?</v>
      </c>
      <c r="D3" s="1264" t="e">
        <f t="shared" ref="D3:D8" ca="1" si="1">IF(ISBLANK(F3),E3,G3)</f>
        <v>#NAME?</v>
      </c>
      <c r="E3" s="1222" t="e">
        <f ca="1">_xll.qlIndexFixingCalendar(C$24,Trigger)</f>
        <v>#NAME?</v>
      </c>
      <c r="F3" s="1264"/>
      <c r="G3" s="1210" t="e">
        <f t="shared" ref="G3:G14" ca="1" si="2">IF(ISBLANK(F3),H3,F3)</f>
        <v>#NAME?</v>
      </c>
      <c r="H3" s="1264" t="e">
        <f t="shared" ref="H3:H8" ca="1" si="3">IF(ISBLANK(B3),I3,C3)</f>
        <v>#NAME?</v>
      </c>
      <c r="I3" s="1222" t="e">
        <f ca="1">_xll.qlIndexFixingCalendar(G$24,Trigger)</f>
        <v>#NAME?</v>
      </c>
      <c r="J3" s="1283" t="e">
        <f ca="1">FirstLegCF</f>
        <v>#NAME?</v>
      </c>
      <c r="K3" s="1282" t="b">
        <f>C27</f>
        <v>1</v>
      </c>
      <c r="L3" s="1281" t="e">
        <f ca="1">EvaluationDate</f>
        <v>#NAME?</v>
      </c>
      <c r="M3" s="1280">
        <v>0</v>
      </c>
      <c r="N3" s="1147" t="e">
        <f ca="1">_xll.qlLeg(,M3,L3,,,EvaluationDate)</f>
        <v>#NAME?</v>
      </c>
      <c r="O3" s="1147" t="b">
        <v>1</v>
      </c>
      <c r="P3" s="1147"/>
      <c r="R3" s="1362" t="s">
        <v>530</v>
      </c>
      <c r="S3" s="1365"/>
    </row>
    <row r="4" spans="1:19" ht="12" customHeight="1" x14ac:dyDescent="0.2">
      <c r="A4" s="1168" t="s">
        <v>86</v>
      </c>
      <c r="B4" s="1272"/>
      <c r="C4" s="1271" t="e">
        <f t="shared" ca="1" si="0"/>
        <v>#NAME?</v>
      </c>
      <c r="D4" s="1268" t="e">
        <f t="shared" ca="1" si="1"/>
        <v>#NAME?</v>
      </c>
      <c r="E4" s="1267" t="e">
        <f ca="1">_xll.qlInterestRateIndexValueDate(C24,EvaluationDate)</f>
        <v>#NAME?</v>
      </c>
      <c r="F4" s="1270"/>
      <c r="G4" s="1269" t="e">
        <f t="shared" ca="1" si="2"/>
        <v>#NAME?</v>
      </c>
      <c r="H4" s="1268" t="e">
        <f t="shared" ca="1" si="3"/>
        <v>#NAME?</v>
      </c>
      <c r="I4" s="1267" t="e">
        <f ca="1">_xll.qlInterestRateIndexValueDate(G24,EvaluationDate)</f>
        <v>#NAME?</v>
      </c>
      <c r="J4" s="702" t="e">
        <f ca="1">SecondLegCF</f>
        <v>#NAME?</v>
      </c>
      <c r="K4" s="1279" t="b">
        <f>G27</f>
        <v>0</v>
      </c>
      <c r="L4" s="1218" t="e">
        <f ca="1">_xll.qlCalendarAdvance($C$3,L3,"1D","f")</f>
        <v>#NAME?</v>
      </c>
      <c r="M4" s="1217">
        <v>0</v>
      </c>
      <c r="N4" s="1147" t="e">
        <f ca="1">_xll.qlLeg(,M4,L4,,,EvaluationDate)</f>
        <v>#NAME?</v>
      </c>
      <c r="O4" s="1147" t="b">
        <f t="shared" ref="O4:O26" si="4">NOT(M4=0)</f>
        <v>0</v>
      </c>
      <c r="P4" s="1147"/>
    </row>
    <row r="5" spans="1:19" x14ac:dyDescent="0.2">
      <c r="A5" s="1168" t="s">
        <v>476</v>
      </c>
      <c r="B5" s="1272"/>
      <c r="C5" s="1265" t="e">
        <f t="shared" si="0"/>
        <v>#N/A</v>
      </c>
      <c r="D5" s="1268" t="e">
        <f t="shared" si="1"/>
        <v>#N/A</v>
      </c>
      <c r="E5" s="1267" t="e">
        <f>NA()</f>
        <v>#N/A</v>
      </c>
      <c r="F5" s="1270"/>
      <c r="G5" s="1210" t="e">
        <f t="shared" si="2"/>
        <v>#N/A</v>
      </c>
      <c r="H5" s="1268" t="e">
        <f t="shared" si="3"/>
        <v>#N/A</v>
      </c>
      <c r="I5" s="1267" t="e">
        <f>NA()</f>
        <v>#N/A</v>
      </c>
      <c r="J5" s="1278" t="e">
        <f ca="1">AdditionalCF</f>
        <v>#NAME?</v>
      </c>
      <c r="K5" s="1278" t="b">
        <v>0</v>
      </c>
      <c r="L5" s="1218" t="e">
        <f ca="1">_xll.qlCalendarAdvance($C$3,L4,"1D","f")</f>
        <v>#NAME?</v>
      </c>
      <c r="M5" s="1217">
        <v>0</v>
      </c>
      <c r="N5" s="1147" t="e">
        <f ca="1">_xll.qlLeg(,M5,L5,,,EvaluationDate)</f>
        <v>#NAME?</v>
      </c>
      <c r="O5" s="1147" t="b">
        <f t="shared" si="4"/>
        <v>0</v>
      </c>
      <c r="P5" s="1147"/>
    </row>
    <row r="6" spans="1:19" x14ac:dyDescent="0.2">
      <c r="A6" s="1168" t="s">
        <v>475</v>
      </c>
      <c r="B6" s="1272"/>
      <c r="C6" s="1265" t="e">
        <f t="shared" si="0"/>
        <v>#N/A</v>
      </c>
      <c r="D6" s="1268" t="e">
        <f t="shared" si="1"/>
        <v>#N/A</v>
      </c>
      <c r="E6" s="1267" t="e">
        <f>NA()</f>
        <v>#N/A</v>
      </c>
      <c r="F6" s="1270"/>
      <c r="G6" s="1210" t="e">
        <f t="shared" si="2"/>
        <v>#N/A</v>
      </c>
      <c r="H6" s="1268" t="e">
        <f t="shared" si="3"/>
        <v>#N/A</v>
      </c>
      <c r="I6" s="1267" t="e">
        <f>NA()</f>
        <v>#N/A</v>
      </c>
      <c r="J6" s="1150"/>
      <c r="K6" s="1150"/>
      <c r="L6" s="1218" t="e">
        <f ca="1">_xll.qlCalendarAdvance($C$3,L5,"1D","f")</f>
        <v>#NAME?</v>
      </c>
      <c r="M6" s="1217">
        <v>0</v>
      </c>
      <c r="N6" s="1147" t="e">
        <f ca="1">_xll.qlLeg(,M6,L6,,,EvaluationDate)</f>
        <v>#NAME?</v>
      </c>
      <c r="O6" s="1147" t="b">
        <f t="shared" si="4"/>
        <v>0</v>
      </c>
      <c r="P6" s="1147"/>
    </row>
    <row r="7" spans="1:19" ht="12" customHeight="1" x14ac:dyDescent="0.2">
      <c r="A7" s="1182" t="s">
        <v>474</v>
      </c>
      <c r="B7" s="1277" t="s">
        <v>46</v>
      </c>
      <c r="C7" s="1276" t="str">
        <f t="shared" si="0"/>
        <v>10Y</v>
      </c>
      <c r="D7" s="1274" t="str">
        <f t="shared" si="1"/>
        <v>10Y</v>
      </c>
      <c r="E7" s="1273" t="s">
        <v>46</v>
      </c>
      <c r="F7" s="1274"/>
      <c r="G7" s="1275" t="str">
        <f t="shared" si="2"/>
        <v>10Y</v>
      </c>
      <c r="H7" s="1274" t="str">
        <f t="shared" si="3"/>
        <v>10Y</v>
      </c>
      <c r="I7" s="1273" t="s">
        <v>46</v>
      </c>
      <c r="J7" s="1150"/>
      <c r="K7" s="1150"/>
      <c r="L7" s="1218"/>
      <c r="M7" s="1217">
        <v>0</v>
      </c>
      <c r="N7" s="1147" t="e">
        <f ca="1">_xll.qlLeg(,M7,L7,,,EvaluationDate)</f>
        <v>#NAME?</v>
      </c>
      <c r="O7" s="1147" t="b">
        <f t="shared" si="4"/>
        <v>0</v>
      </c>
      <c r="P7" s="1147"/>
    </row>
    <row r="8" spans="1:19" x14ac:dyDescent="0.2">
      <c r="A8" s="1168" t="s">
        <v>473</v>
      </c>
      <c r="B8" s="1272"/>
      <c r="C8" s="1271" t="e">
        <f t="shared" ca="1" si="0"/>
        <v>#NAME?</v>
      </c>
      <c r="D8" s="1268" t="e">
        <f t="shared" ca="1" si="1"/>
        <v>#NAME?</v>
      </c>
      <c r="E8" s="1267" t="e">
        <f ca="1">_xll.qlCalendarAdvance("NULLCALENDAR",C$4,C$7,"Unadjusted")</f>
        <v>#NAME?</v>
      </c>
      <c r="F8" s="1270"/>
      <c r="G8" s="1269" t="e">
        <f t="shared" ca="1" si="2"/>
        <v>#NAME?</v>
      </c>
      <c r="H8" s="1268" t="e">
        <f t="shared" ca="1" si="3"/>
        <v>#NAME?</v>
      </c>
      <c r="I8" s="1267" t="e">
        <f ca="1">_xll.qlCalendarAdvance("NULLCALENDAR",G$4,G$7,"Unadjusted")</f>
        <v>#NAME?</v>
      </c>
      <c r="J8" s="1150"/>
      <c r="K8" s="1150"/>
      <c r="L8" s="1218"/>
      <c r="M8" s="1217">
        <v>0</v>
      </c>
      <c r="N8" s="1147" t="e">
        <f ca="1">_xll.qlLeg(,M8,L8,,,EvaluationDate)</f>
        <v>#NAME?</v>
      </c>
      <c r="O8" s="1147" t="b">
        <f t="shared" si="4"/>
        <v>0</v>
      </c>
      <c r="P8" s="1147"/>
    </row>
    <row r="9" spans="1:19" x14ac:dyDescent="0.2">
      <c r="A9" s="1168" t="s">
        <v>107</v>
      </c>
      <c r="B9" s="1266"/>
      <c r="C9" s="1265" t="str">
        <f t="shared" si="0"/>
        <v>6M</v>
      </c>
      <c r="D9" s="1264" t="str">
        <f>IF(C23,IF(ISBLANK(F9),E9,G9),E9)</f>
        <v>6M</v>
      </c>
      <c r="E9" s="1222" t="s">
        <v>92</v>
      </c>
      <c r="F9" s="1264"/>
      <c r="G9" s="1210" t="e">
        <f t="shared" ca="1" si="2"/>
        <v>#NAME?</v>
      </c>
      <c r="H9" s="1264" t="e">
        <f ca="1">IF(G23,IF(ISBLANK(J9),I9,K9),I9)</f>
        <v>#NAME?</v>
      </c>
      <c r="I9" s="1222" t="e">
        <f ca="1">IF(G23,_xll.qlInterestRateIndexTenor(G$24,Trigger),IF(Currency="GBP","6M","1Y"))</f>
        <v>#NAME?</v>
      </c>
      <c r="J9" s="1150"/>
      <c r="K9" s="1150"/>
      <c r="L9" s="1218"/>
      <c r="M9" s="1217">
        <v>0</v>
      </c>
      <c r="N9" s="1147" t="e">
        <f ca="1">_xll.qlLeg(,M9,L9,,,EvaluationDate)</f>
        <v>#NAME?</v>
      </c>
      <c r="O9" s="1147" t="b">
        <f t="shared" si="4"/>
        <v>0</v>
      </c>
      <c r="P9" s="1147"/>
    </row>
    <row r="10" spans="1:19" x14ac:dyDescent="0.2">
      <c r="A10" s="1168" t="s">
        <v>329</v>
      </c>
      <c r="B10" s="1266"/>
      <c r="C10" s="1265" t="e">
        <f t="shared" ca="1" si="0"/>
        <v>#NAME?</v>
      </c>
      <c r="D10" s="1264" t="e">
        <f ca="1">IF(ISBLANK(F10),E10,G10)</f>
        <v>#NAME?</v>
      </c>
      <c r="E10" s="1222" t="e">
        <f ca="1">_xll.qlIborIndexBusinessDayConv(C$24,Trigger)</f>
        <v>#NAME?</v>
      </c>
      <c r="F10" s="1264"/>
      <c r="G10" s="1210" t="e">
        <f t="shared" ca="1" si="2"/>
        <v>#NAME?</v>
      </c>
      <c r="H10" s="1264" t="e">
        <f ca="1">IF(ISBLANK(B10),I10,C10)</f>
        <v>#NAME?</v>
      </c>
      <c r="I10" s="1222" t="e">
        <f ca="1">_xll.qlIborIndexBusinessDayConv(G$24,Trigger)</f>
        <v>#NAME?</v>
      </c>
      <c r="J10" s="1150"/>
      <c r="K10" s="1150"/>
      <c r="L10" s="1218"/>
      <c r="M10" s="1217">
        <v>0</v>
      </c>
      <c r="N10" s="1147" t="e">
        <f ca="1">_xll.qlLeg(,M10,L10,,,EvaluationDate)</f>
        <v>#NAME?</v>
      </c>
      <c r="O10" s="1147" t="b">
        <f t="shared" si="4"/>
        <v>0</v>
      </c>
      <c r="P10" s="1147"/>
    </row>
    <row r="11" spans="1:19" x14ac:dyDescent="0.2">
      <c r="A11" s="1168" t="s">
        <v>472</v>
      </c>
      <c r="B11" s="1266"/>
      <c r="C11" s="1265" t="e">
        <f t="shared" ca="1" si="0"/>
        <v>#NAME?</v>
      </c>
      <c r="D11" s="1264" t="e">
        <f ca="1">IF(ISBLANK(F11),E11,G11)</f>
        <v>#NAME?</v>
      </c>
      <c r="E11" s="1222" t="e">
        <f ca="1">_xll.qlIborIndexBusinessDayConv(C$24,Trigger)</f>
        <v>#NAME?</v>
      </c>
      <c r="F11" s="1264"/>
      <c r="G11" s="1210" t="e">
        <f t="shared" ca="1" si="2"/>
        <v>#NAME?</v>
      </c>
      <c r="H11" s="1264" t="e">
        <f ca="1">IF(ISBLANK(B11),I11,C11)</f>
        <v>#NAME?</v>
      </c>
      <c r="I11" s="1222" t="e">
        <f ca="1">_xll.qlIborIndexBusinessDayConv(G$24,Trigger)</f>
        <v>#NAME?</v>
      </c>
      <c r="J11" s="1150"/>
      <c r="K11" s="1150"/>
      <c r="L11" s="1218"/>
      <c r="M11" s="1217">
        <v>0</v>
      </c>
      <c r="N11" s="1147" t="e">
        <f ca="1">_xll.qlLeg(,M11,L11,,,EvaluationDate)</f>
        <v>#NAME?</v>
      </c>
      <c r="O11" s="1147" t="b">
        <f t="shared" si="4"/>
        <v>0</v>
      </c>
      <c r="P11" s="1147"/>
    </row>
    <row r="12" spans="1:19" x14ac:dyDescent="0.2">
      <c r="A12" s="1168" t="s">
        <v>471</v>
      </c>
      <c r="B12" s="1266"/>
      <c r="C12" s="1265" t="str">
        <f t="shared" si="0"/>
        <v>Backward</v>
      </c>
      <c r="D12" s="1264" t="str">
        <f>IF(ISBLANK(F12),E12,G12)</f>
        <v>Backward</v>
      </c>
      <c r="E12" s="1222" t="s">
        <v>470</v>
      </c>
      <c r="F12" s="1264"/>
      <c r="G12" s="1210" t="str">
        <f t="shared" si="2"/>
        <v>Backward</v>
      </c>
      <c r="H12" s="1264" t="str">
        <f>IF(ISBLANK(B12),I12,C12)</f>
        <v>Backward</v>
      </c>
      <c r="I12" s="1222" t="s">
        <v>470</v>
      </c>
      <c r="J12" s="1150"/>
      <c r="K12" s="1150"/>
      <c r="L12" s="1218"/>
      <c r="M12" s="1217">
        <v>0</v>
      </c>
      <c r="N12" s="1147" t="e">
        <f ca="1">_xll.qlLeg(,M12,L12,,,EvaluationDate)</f>
        <v>#NAME?</v>
      </c>
      <c r="O12" s="1147" t="b">
        <f t="shared" si="4"/>
        <v>0</v>
      </c>
      <c r="P12" s="1147"/>
    </row>
    <row r="13" spans="1:19" x14ac:dyDescent="0.2">
      <c r="A13" s="1178" t="s">
        <v>469</v>
      </c>
      <c r="B13" s="1266"/>
      <c r="C13" s="1265" t="b">
        <f t="shared" si="0"/>
        <v>0</v>
      </c>
      <c r="D13" s="1264" t="b">
        <f>IF(ISBLANK(F13),E13,G13)</f>
        <v>0</v>
      </c>
      <c r="E13" s="1222" t="b">
        <v>0</v>
      </c>
      <c r="F13" s="1264"/>
      <c r="G13" s="1210" t="b">
        <f t="shared" si="2"/>
        <v>0</v>
      </c>
      <c r="H13" s="1264" t="b">
        <f>IF(ISBLANK(B13),I13,C13)</f>
        <v>0</v>
      </c>
      <c r="I13" s="1222" t="b">
        <v>0</v>
      </c>
      <c r="J13" s="1150"/>
      <c r="K13" s="1150"/>
      <c r="L13" s="1218"/>
      <c r="M13" s="1217">
        <v>0</v>
      </c>
      <c r="N13" s="1147" t="e">
        <f ca="1">_xll.qlLeg(,M13,L13,,,EvaluationDate)</f>
        <v>#NAME?</v>
      </c>
      <c r="O13" s="1147" t="b">
        <f t="shared" si="4"/>
        <v>0</v>
      </c>
      <c r="P13" s="1147"/>
    </row>
    <row r="14" spans="1:19" x14ac:dyDescent="0.2">
      <c r="A14" s="1178" t="s">
        <v>468</v>
      </c>
      <c r="B14" s="1222"/>
      <c r="C14" s="1263" t="e">
        <f t="shared" ca="1" si="0"/>
        <v>#NAME?</v>
      </c>
      <c r="D14" s="1261" t="e">
        <f ca="1">_xll.qlSchedule(,C4,C8,C9,C3,C10,C11,C12,C13,C5,C6)</f>
        <v>#NAME?</v>
      </c>
      <c r="E14" s="1260"/>
      <c r="F14" s="1206"/>
      <c r="G14" s="1262" t="e">
        <f t="shared" ca="1" si="2"/>
        <v>#NAME?</v>
      </c>
      <c r="H14" s="1261" t="e">
        <f ca="1">_xll.qlSchedule(,G4,G8,G9,G3,G10,G11,G12,G13,G5,G6)</f>
        <v>#NAME?</v>
      </c>
      <c r="I14" s="1260"/>
      <c r="J14" s="1150"/>
      <c r="K14" s="1150"/>
      <c r="L14" s="1218"/>
      <c r="M14" s="1217">
        <v>0</v>
      </c>
      <c r="N14" s="1147" t="e">
        <f ca="1">_xll.qlLeg(,M14,L14,,,EvaluationDate)</f>
        <v>#NAME?</v>
      </c>
      <c r="O14" s="1147" t="b">
        <f t="shared" si="4"/>
        <v>0</v>
      </c>
      <c r="P14" s="1147"/>
    </row>
    <row r="15" spans="1:19" x14ac:dyDescent="0.2">
      <c r="A15" s="1163"/>
      <c r="B15" s="1170"/>
      <c r="C15" s="1163"/>
      <c r="D15" s="1163"/>
      <c r="E15" s="1163"/>
      <c r="F15" s="1169"/>
      <c r="G15" s="1169"/>
      <c r="H15" s="1169"/>
      <c r="I15" s="1169"/>
      <c r="J15" s="1150"/>
      <c r="K15" s="1150"/>
      <c r="L15" s="1218"/>
      <c r="M15" s="1217">
        <v>0</v>
      </c>
      <c r="N15" s="1147" t="e">
        <f ca="1">_xll.qlLeg(,M15,L15,,,EvaluationDate)</f>
        <v>#NAME?</v>
      </c>
      <c r="O15" s="1147" t="b">
        <f t="shared" si="4"/>
        <v>0</v>
      </c>
      <c r="P15" s="1147"/>
    </row>
    <row r="16" spans="1:19" x14ac:dyDescent="0.2">
      <c r="A16" s="1186" t="s">
        <v>467</v>
      </c>
      <c r="B16" s="1259"/>
      <c r="C16" s="1258" t="str">
        <f t="shared" ref="C16:C28" si="5">IF(ISBLANK(B16),D16,B16)</f>
        <v>Following</v>
      </c>
      <c r="D16" s="1256" t="str">
        <f>IF(ISBLANK(F16),E16,G16)</f>
        <v>Following</v>
      </c>
      <c r="E16" s="1255" t="s">
        <v>417</v>
      </c>
      <c r="F16" s="1257"/>
      <c r="G16" s="1184" t="str">
        <f t="shared" ref="G16:G28" si="6">IF(ISBLANK(F16),H16,F16)</f>
        <v>Following</v>
      </c>
      <c r="H16" s="1256" t="str">
        <f>IF(ISBLANK(B16),I16,C16)</f>
        <v>Following</v>
      </c>
      <c r="I16" s="1255" t="s">
        <v>417</v>
      </c>
      <c r="J16" s="1150"/>
      <c r="K16" s="1150"/>
      <c r="L16" s="1218"/>
      <c r="M16" s="1217">
        <v>0</v>
      </c>
      <c r="N16" s="1147" t="e">
        <f ca="1">_xll.qlLeg(,M16,L16,,,EvaluationDate)</f>
        <v>#NAME?</v>
      </c>
      <c r="O16" s="1147" t="b">
        <f t="shared" si="4"/>
        <v>0</v>
      </c>
      <c r="P16" s="1147"/>
    </row>
    <row r="17" spans="1:16" x14ac:dyDescent="0.2">
      <c r="A17" s="1168" t="s">
        <v>466</v>
      </c>
      <c r="B17" s="1254"/>
      <c r="C17" s="1158">
        <f t="shared" si="5"/>
        <v>1000000</v>
      </c>
      <c r="D17" s="1249">
        <f>IF(ISBLANK(F17),E17,G17)</f>
        <v>1000000</v>
      </c>
      <c r="E17" s="1248">
        <v>1000000</v>
      </c>
      <c r="F17" s="1253"/>
      <c r="G17" s="1188">
        <f t="shared" si="6"/>
        <v>1000000</v>
      </c>
      <c r="H17" s="1249">
        <f>IF(ISBLANK(B17),I17,C17)</f>
        <v>1000000</v>
      </c>
      <c r="I17" s="1248">
        <v>1000000</v>
      </c>
      <c r="J17" s="1150"/>
      <c r="K17" s="1150"/>
      <c r="L17" s="1218"/>
      <c r="M17" s="1217">
        <v>0</v>
      </c>
      <c r="N17" s="1147" t="e">
        <f ca="1">_xll.qlLeg(,M17,L17,,,EvaluationDate)</f>
        <v>#NAME?</v>
      </c>
      <c r="O17" s="1147" t="b">
        <f t="shared" si="4"/>
        <v>0</v>
      </c>
      <c r="P17" s="1147"/>
    </row>
    <row r="18" spans="1:16" x14ac:dyDescent="0.2">
      <c r="A18" s="1168" t="s">
        <v>465</v>
      </c>
      <c r="B18" s="1252"/>
      <c r="C18" s="1251" t="str">
        <f t="shared" si="5"/>
        <v>None</v>
      </c>
      <c r="D18" s="1249" t="str">
        <f>IF(ISBLANK(F18),E18,"Mirror")</f>
        <v>None</v>
      </c>
      <c r="E18" s="1248" t="s">
        <v>439</v>
      </c>
      <c r="F18" s="1250"/>
      <c r="G18" s="1176" t="str">
        <f t="shared" si="6"/>
        <v>None</v>
      </c>
      <c r="H18" s="1249" t="str">
        <f>IF(ISBLANK(B18),I18,"Mirror")</f>
        <v>None</v>
      </c>
      <c r="I18" s="1248" t="s">
        <v>439</v>
      </c>
      <c r="J18" s="1150"/>
      <c r="K18" s="1150"/>
      <c r="L18" s="1218"/>
      <c r="M18" s="1217">
        <v>0</v>
      </c>
      <c r="N18" s="1147" t="e">
        <f ca="1">_xll.qlLeg(,M18,L18,,,EvaluationDate)</f>
        <v>#NAME?</v>
      </c>
      <c r="O18" s="1147" t="b">
        <f t="shared" si="4"/>
        <v>0</v>
      </c>
      <c r="P18" s="1147"/>
    </row>
    <row r="19" spans="1:16" x14ac:dyDescent="0.2">
      <c r="A19" s="1168" t="s">
        <v>464</v>
      </c>
      <c r="B19" s="1247"/>
      <c r="C19" s="1246" t="e">
        <f t="shared" ca="1" si="5"/>
        <v>#NAME?</v>
      </c>
      <c r="D19" s="1243" t="e">
        <f ca="1">IF(ISBLANK(F19),E19,G19)</f>
        <v>#NAME?</v>
      </c>
      <c r="E19" s="1242" t="e">
        <f ca="1">_xll.qlInterestRateIndexFixingDays(C$24,Trigger)</f>
        <v>#NAME?</v>
      </c>
      <c r="F19" s="1245"/>
      <c r="G19" s="1244" t="e">
        <f t="shared" ca="1" si="6"/>
        <v>#NAME?</v>
      </c>
      <c r="H19" s="1243" t="e">
        <f ca="1">IF(ISBLANK(B19),I19,C19)</f>
        <v>#NAME?</v>
      </c>
      <c r="I19" s="1242" t="e">
        <f ca="1">_xll.qlInterestRateIndexFixingDays(G$24,Trigger)</f>
        <v>#NAME?</v>
      </c>
      <c r="J19" s="1150"/>
      <c r="K19" s="1150"/>
      <c r="L19" s="1218"/>
      <c r="M19" s="1217">
        <v>0</v>
      </c>
      <c r="N19" s="1147" t="e">
        <f ca="1">_xll.qlLeg(,M19,L19,,,EvaluationDate)</f>
        <v>#NAME?</v>
      </c>
      <c r="O19" s="1147" t="b">
        <f t="shared" si="4"/>
        <v>0</v>
      </c>
      <c r="P19" s="1147"/>
    </row>
    <row r="20" spans="1:16" x14ac:dyDescent="0.2">
      <c r="A20" s="1168" t="s">
        <v>463</v>
      </c>
      <c r="B20" s="1219"/>
      <c r="C20" s="1221" t="b">
        <f t="shared" si="5"/>
        <v>0</v>
      </c>
      <c r="D20" s="1241" t="b">
        <f>E20</f>
        <v>0</v>
      </c>
      <c r="E20" s="1223" t="b">
        <v>0</v>
      </c>
      <c r="F20" s="1225"/>
      <c r="G20" s="1176" t="b">
        <f t="shared" si="6"/>
        <v>0</v>
      </c>
      <c r="H20" s="1241" t="b">
        <f>I20</f>
        <v>0</v>
      </c>
      <c r="I20" s="1223" t="b">
        <v>0</v>
      </c>
      <c r="J20" s="1150"/>
      <c r="K20" s="1150"/>
      <c r="L20" s="1218"/>
      <c r="M20" s="1217">
        <v>0</v>
      </c>
      <c r="N20" s="1147" t="e">
        <f ca="1">_xll.qlLeg(,M20,L20,,,EvaluationDate)</f>
        <v>#NAME?</v>
      </c>
      <c r="O20" s="1147" t="b">
        <f t="shared" si="4"/>
        <v>0</v>
      </c>
      <c r="P20" s="1147"/>
    </row>
    <row r="21" spans="1:16" x14ac:dyDescent="0.2">
      <c r="A21" s="1168" t="s">
        <v>462</v>
      </c>
      <c r="B21" s="1240"/>
      <c r="C21" s="1239" t="str">
        <f t="shared" si="5"/>
        <v>30/360 (Bond Basis)</v>
      </c>
      <c r="D21" s="1238" t="str">
        <f>E21</f>
        <v>30/360 (Bond Basis)</v>
      </c>
      <c r="E21" s="1235" t="str">
        <f>IF(C23,_xll.qlInterestRateIndexDayCounter(C$24),IF(Currency="JPY","Actual/365 (Fixed)","30/360 (Bond Basis)"))</f>
        <v>30/360 (Bond Basis)</v>
      </c>
      <c r="F21" s="1237"/>
      <c r="G21" s="1236" t="e">
        <f t="shared" ca="1" si="6"/>
        <v>#NAME?</v>
      </c>
      <c r="H21" s="1224" t="e">
        <f ca="1">I21</f>
        <v>#NAME?</v>
      </c>
      <c r="I21" s="1235" t="e">
        <f ca="1">IF(G23,_xll.qlInterestRateIndexDayCounter(G$24,Trigger),IF(Currency="JPY","Actual/365 (Fixed)","30/360 (Bond Basis)"))</f>
        <v>#NAME?</v>
      </c>
      <c r="J21" s="1150"/>
      <c r="K21" s="1150"/>
      <c r="L21" s="1218"/>
      <c r="M21" s="1217">
        <v>0</v>
      </c>
      <c r="N21" s="1147" t="e">
        <f ca="1">_xll.qlLeg(,M21,L21,,,EvaluationDate)</f>
        <v>#NAME?</v>
      </c>
      <c r="O21" s="1147" t="b">
        <f t="shared" si="4"/>
        <v>0</v>
      </c>
      <c r="P21" s="1147"/>
    </row>
    <row r="22" spans="1:16" x14ac:dyDescent="0.2">
      <c r="A22" s="1168" t="s">
        <v>461</v>
      </c>
      <c r="B22" s="1219"/>
      <c r="C22" s="1221" t="e">
        <f t="shared" si="5"/>
        <v>#N/A</v>
      </c>
      <c r="D22" s="1224" t="e">
        <f>E22</f>
        <v>#N/A</v>
      </c>
      <c r="E22" s="1223" t="e">
        <f>NA()</f>
        <v>#N/A</v>
      </c>
      <c r="F22" s="1225"/>
      <c r="G22" s="1191" t="e">
        <f t="shared" si="6"/>
        <v>#N/A</v>
      </c>
      <c r="H22" s="1224" t="e">
        <f>I22</f>
        <v>#N/A</v>
      </c>
      <c r="I22" s="1223" t="e">
        <f>NA()</f>
        <v>#N/A</v>
      </c>
      <c r="J22" s="1150"/>
      <c r="K22" s="1150"/>
      <c r="L22" s="1218"/>
      <c r="M22" s="1217">
        <v>0</v>
      </c>
      <c r="N22" s="1147" t="e">
        <f ca="1">_xll.qlLeg(,M22,L22,,,EvaluationDate)</f>
        <v>#NAME?</v>
      </c>
      <c r="O22" s="1147" t="b">
        <f t="shared" si="4"/>
        <v>0</v>
      </c>
      <c r="P22" s="1147"/>
    </row>
    <row r="23" spans="1:16" x14ac:dyDescent="0.2">
      <c r="A23" s="1168" t="s">
        <v>460</v>
      </c>
      <c r="B23" s="1234">
        <v>0</v>
      </c>
      <c r="C23" s="1229">
        <f t="shared" si="5"/>
        <v>0</v>
      </c>
      <c r="D23" s="1231">
        <f>IF(ISBLANK(F23),E23,NOT(F23)*1)</f>
        <v>0</v>
      </c>
      <c r="E23" s="1230">
        <v>0</v>
      </c>
      <c r="F23" s="1233">
        <v>1</v>
      </c>
      <c r="G23" s="1232">
        <f t="shared" si="6"/>
        <v>1</v>
      </c>
      <c r="H23" s="1231">
        <f>IF(ISBLANK(B23),I23,NOT(B23)*1)</f>
        <v>1</v>
      </c>
      <c r="I23" s="1230">
        <v>1</v>
      </c>
      <c r="J23" s="1150"/>
      <c r="K23" s="1150"/>
      <c r="L23" s="1218"/>
      <c r="M23" s="1217">
        <v>0</v>
      </c>
      <c r="N23" s="1147" t="e">
        <f ca="1">_xll.qlLeg(,M23,L23,,,EvaluationDate)</f>
        <v>#NAME?</v>
      </c>
      <c r="O23" s="1147" t="b">
        <f t="shared" si="4"/>
        <v>0</v>
      </c>
      <c r="P23" s="1147"/>
    </row>
    <row r="24" spans="1:16" x14ac:dyDescent="0.2">
      <c r="A24" s="1168" t="s">
        <v>14</v>
      </c>
      <c r="B24" s="1228" t="s">
        <v>16</v>
      </c>
      <c r="C24" s="1229" t="str">
        <f t="shared" si="5"/>
        <v>Euribor6M</v>
      </c>
      <c r="D24" s="1227" t="str">
        <f>E24</f>
        <v>EurLibor6M</v>
      </c>
      <c r="E24" s="1226" t="str">
        <f>PROPER(Currency)&amp;"Libor"&amp;"6M"</f>
        <v>EurLibor6M</v>
      </c>
      <c r="F24" s="1228" t="s">
        <v>16</v>
      </c>
      <c r="G24" s="1176" t="str">
        <f t="shared" si="6"/>
        <v>Euribor6M</v>
      </c>
      <c r="H24" s="1227" t="str">
        <f>I24</f>
        <v>Euribor6M</v>
      </c>
      <c r="I24" s="1226" t="str">
        <f>PROPER(Currency)&amp;IF(UPPER(Currency)="EUR","ibor","Libor")&amp;"6M"</f>
        <v>Euribor6M</v>
      </c>
      <c r="J24" s="1150"/>
      <c r="K24" s="1150"/>
      <c r="L24" s="1218"/>
      <c r="M24" s="1217">
        <v>0</v>
      </c>
      <c r="N24" s="1147" t="e">
        <f ca="1">_xll.qlLeg(,M24,L24,,,EvaluationDate)</f>
        <v>#NAME?</v>
      </c>
      <c r="O24" s="1147" t="b">
        <f t="shared" si="4"/>
        <v>0</v>
      </c>
      <c r="P24" s="1147"/>
    </row>
    <row r="25" spans="1:16" x14ac:dyDescent="0.2">
      <c r="A25" s="1168" t="s">
        <v>459</v>
      </c>
      <c r="B25" s="1219"/>
      <c r="C25" s="1221">
        <f t="shared" si="5"/>
        <v>0</v>
      </c>
      <c r="D25" s="1224">
        <f>E25</f>
        <v>0</v>
      </c>
      <c r="E25" s="1223">
        <v>0</v>
      </c>
      <c r="F25" s="1225"/>
      <c r="G25" s="1191">
        <f t="shared" si="6"/>
        <v>0</v>
      </c>
      <c r="H25" s="1224">
        <f>I25</f>
        <v>0</v>
      </c>
      <c r="I25" s="1223">
        <v>0</v>
      </c>
      <c r="J25" s="1150"/>
      <c r="K25" s="1150"/>
      <c r="L25" s="1218"/>
      <c r="M25" s="1217">
        <v>0</v>
      </c>
      <c r="N25" s="1147" t="e">
        <f ca="1">_xll.qlLeg(,M25,L25,,,EvaluationDate)</f>
        <v>#NAME?</v>
      </c>
      <c r="O25" s="1147" t="b">
        <f t="shared" si="4"/>
        <v>0</v>
      </c>
      <c r="P25" s="1147"/>
    </row>
    <row r="26" spans="1:16" x14ac:dyDescent="0.2">
      <c r="A26" s="1168" t="s">
        <v>458</v>
      </c>
      <c r="B26" s="1219"/>
      <c r="C26" s="1221" t="e">
        <f t="shared" si="5"/>
        <v>#N/A</v>
      </c>
      <c r="D26" s="1224" t="e">
        <f>E26</f>
        <v>#N/A</v>
      </c>
      <c r="E26" s="1223" t="e">
        <f>NA()</f>
        <v>#N/A</v>
      </c>
      <c r="F26" s="1225"/>
      <c r="G26" s="1191" t="e">
        <f t="shared" si="6"/>
        <v>#N/A</v>
      </c>
      <c r="H26" s="1224" t="e">
        <f>I26</f>
        <v>#N/A</v>
      </c>
      <c r="I26" s="1223" t="e">
        <f>NA()</f>
        <v>#N/A</v>
      </c>
      <c r="J26" s="1150"/>
      <c r="K26" s="1150"/>
      <c r="L26" s="1218"/>
      <c r="M26" s="1217">
        <v>0</v>
      </c>
      <c r="N26" s="1147" t="e">
        <f ca="1">_xll.qlLeg(,M26,L26,,,EvaluationDate)</f>
        <v>#NAME?</v>
      </c>
      <c r="O26" s="1147" t="b">
        <f t="shared" si="4"/>
        <v>0</v>
      </c>
      <c r="P26" s="1147"/>
    </row>
    <row r="27" spans="1:16" x14ac:dyDescent="0.2">
      <c r="A27" s="1168" t="s">
        <v>457</v>
      </c>
      <c r="B27" s="1222"/>
      <c r="C27" s="1221" t="b">
        <f t="shared" si="5"/>
        <v>1</v>
      </c>
      <c r="D27" s="1220" t="b">
        <f>IF(ISBLANK(F27),E27,NOT(G27))</f>
        <v>1</v>
      </c>
      <c r="E27" s="1219" t="b">
        <v>1</v>
      </c>
      <c r="F27" s="1206"/>
      <c r="G27" s="1176" t="b">
        <f t="shared" si="6"/>
        <v>0</v>
      </c>
      <c r="H27" s="1220" t="b">
        <f>IF(ISBLANK(B27),I27,NOT(C27))</f>
        <v>0</v>
      </c>
      <c r="I27" s="1219" t="b">
        <v>0</v>
      </c>
      <c r="J27" s="1150"/>
      <c r="K27" s="1150"/>
      <c r="L27" s="1218" t="e">
        <f ca="1">_xll.qlCalendarAdjust($C$3,E8,$C$11)</f>
        <v>#NAME?</v>
      </c>
      <c r="M27" s="1217">
        <v>0</v>
      </c>
      <c r="N27" s="1147" t="e">
        <f ca="1">_xll.qlLeg(,M27,L27,,,EvaluationDate)</f>
        <v>#NAME?</v>
      </c>
      <c r="O27" s="1147" t="b">
        <v>1</v>
      </c>
      <c r="P27" s="1147"/>
    </row>
    <row r="28" spans="1:16" x14ac:dyDescent="0.2">
      <c r="A28" s="1216" t="s">
        <v>456</v>
      </c>
      <c r="B28" s="1215"/>
      <c r="C28" s="1214" t="e">
        <f t="shared" ca="1" si="5"/>
        <v>#NAME?</v>
      </c>
      <c r="D28" s="1213" t="e">
        <f ca="1">_xll.qlIborLeg(B28,C16,_xll.ohPack([0]!Effective),C14,C19,C20,C21,C22,C23,C24,C25,C26)</f>
        <v>#NAME?</v>
      </c>
      <c r="E28" s="1212"/>
      <c r="F28" s="1206"/>
      <c r="G28" s="1191" t="e">
        <f t="shared" ca="1" si="6"/>
        <v>#NAME?</v>
      </c>
      <c r="H28" s="1213" t="e">
        <f ca="1">_xll.qlIborLeg(F28,G16,_xll.ohPack([0]!Effective),G14,G19,G20,G21,G22,G23,G24,G25,G26)</f>
        <v>#NAME?</v>
      </c>
      <c r="I28" s="1212"/>
      <c r="J28" s="1150"/>
      <c r="K28" s="1150"/>
      <c r="L28" s="1211"/>
      <c r="M28" s="1210" t="e">
        <f ca="1">IF(ISBLANK(L28),N28,L28)</f>
        <v>#NAME?</v>
      </c>
      <c r="N28" s="1209" t="e">
        <f ca="1">_xll.qlMultiPhaseLeg(,_xll.ohFilter(N3:N27,O3:O27),FALSE)</f>
        <v>#NAME?</v>
      </c>
      <c r="O28" s="1147"/>
      <c r="P28" s="1147"/>
    </row>
    <row r="29" spans="1:16" x14ac:dyDescent="0.2">
      <c r="A29" s="1208" t="s">
        <v>187</v>
      </c>
      <c r="B29" s="1207"/>
      <c r="C29" s="1188" t="e">
        <f ca="1">_xll.qlSwap(B29,$J$3:$J$5,$K$3:$K$5)</f>
        <v>#NAME?</v>
      </c>
      <c r="D29" s="1150"/>
      <c r="E29" s="1163"/>
      <c r="F29" s="1150"/>
      <c r="G29" s="1163"/>
      <c r="H29" s="1150"/>
      <c r="I29" s="1150"/>
      <c r="J29" s="1150"/>
      <c r="K29" s="1150"/>
      <c r="L29" s="1147"/>
      <c r="M29" s="1147"/>
      <c r="N29" s="1147"/>
      <c r="O29" s="1147"/>
      <c r="P29" s="1147"/>
    </row>
    <row r="30" spans="1:16" x14ac:dyDescent="0.2">
      <c r="A30" s="1163"/>
      <c r="B30" s="1170"/>
      <c r="C30" s="1163"/>
      <c r="D30" s="1163"/>
      <c r="E30" s="1163"/>
      <c r="F30" s="1169"/>
      <c r="G30" s="1169"/>
      <c r="H30" s="1169"/>
      <c r="I30" s="1169"/>
      <c r="J30" s="1150"/>
      <c r="K30" s="1150"/>
      <c r="L30" s="1147"/>
      <c r="M30" s="1147"/>
      <c r="N30" s="1147"/>
      <c r="O30" s="1147"/>
      <c r="P30" s="1147"/>
    </row>
    <row r="31" spans="1:16" x14ac:dyDescent="0.2">
      <c r="A31" s="1168" t="s">
        <v>455</v>
      </c>
      <c r="B31" s="1195"/>
      <c r="C31" s="1158" t="e">
        <f ca="1">IF(ISBLANK(B31),D31,IF(ISNUMBER(B31),_xll.qlConstantOptionletVol(,_xll.qlSimpleQuote(,B31),C3),B31))</f>
        <v>#NAME?</v>
      </c>
      <c r="D31" s="1206" t="e">
        <f ca="1">E31</f>
        <v>#NAME?</v>
      </c>
      <c r="E31" s="1206" t="e">
        <f ca="1">PROPER(Currency)&amp;_xll.qlInterestRateIndexTenor(C24,Trigger)&amp;"CapletVol"</f>
        <v>#NAME?</v>
      </c>
      <c r="F31" s="1195"/>
      <c r="G31" s="1188" t="e">
        <f ca="1">IF(ISBLANK(F31),H31,IF(ISNUMBER(F31),_xll.qlConstantOptionletVol(,_xll.qlSimpleQuote(,F31),G3,"Actual/365 (Fixed)",,EvaluationDate),F31))</f>
        <v>#NAME?</v>
      </c>
      <c r="H31" s="1206" t="e">
        <f ca="1">I31</f>
        <v>#NAME?</v>
      </c>
      <c r="I31" s="1206" t="e">
        <f ca="1">PROPER(Currency)&amp;_xll.qlInterestRateIndexTenor(G24,Trigger)&amp;"CapletVol"</f>
        <v>#NAME?</v>
      </c>
      <c r="J31" s="1150"/>
      <c r="K31" s="1150"/>
      <c r="L31" s="1147"/>
      <c r="M31" s="1147"/>
      <c r="N31" s="1147"/>
      <c r="O31" s="1147"/>
      <c r="P31" s="1147"/>
    </row>
    <row r="32" spans="1:16" x14ac:dyDescent="0.2">
      <c r="A32" s="1168" t="s">
        <v>454</v>
      </c>
      <c r="B32" s="1204"/>
      <c r="C32" s="1205">
        <f>IF(ISBLANK(B32),D32,B32)</f>
        <v>0</v>
      </c>
      <c r="D32" s="1202">
        <f>E32</f>
        <v>0</v>
      </c>
      <c r="E32" s="1202">
        <v>0</v>
      </c>
      <c r="F32" s="1204"/>
      <c r="G32" s="1203">
        <f>IF(ISBLANK(F32),H32,F32)</f>
        <v>0</v>
      </c>
      <c r="H32" s="1202">
        <f>I32</f>
        <v>0</v>
      </c>
      <c r="I32" s="1202">
        <v>0</v>
      </c>
      <c r="J32" s="1150"/>
      <c r="K32" s="1150"/>
      <c r="L32" s="1147"/>
      <c r="M32" s="1147"/>
      <c r="N32" s="1147"/>
      <c r="O32" s="1147"/>
      <c r="P32" s="1147"/>
    </row>
    <row r="33" spans="1:16" hidden="1" outlineLevel="1" x14ac:dyDescent="0.2">
      <c r="A33" s="1201" t="s">
        <v>453</v>
      </c>
      <c r="B33" s="1199"/>
      <c r="C33" s="1200" t="e">
        <f ca="1">IF(ISBLANK(B33),D33,B33)</f>
        <v>#NAME?</v>
      </c>
      <c r="D33" s="1197" t="e">
        <f ca="1">_xll.qlSpreadedOptionletVolatility(,C31,C32)</f>
        <v>#NAME?</v>
      </c>
      <c r="E33" s="1197"/>
      <c r="F33" s="1199"/>
      <c r="G33" s="1198" t="e">
        <f ca="1">IF(ISBLANK(F33),H33,F33)</f>
        <v>#NAME?</v>
      </c>
      <c r="H33" s="1197" t="e">
        <f ca="1">_xll.qlSpreadedOptionletVolatility(,G31,G32)</f>
        <v>#NAME?</v>
      </c>
      <c r="I33" s="1197"/>
      <c r="J33" s="1150"/>
      <c r="K33" s="1150"/>
      <c r="L33" s="1147"/>
      <c r="M33" s="1147"/>
      <c r="N33" s="1147"/>
      <c r="O33" s="1147"/>
      <c r="P33" s="1147"/>
    </row>
    <row r="34" spans="1:16" hidden="1" outlineLevel="1" x14ac:dyDescent="0.2">
      <c r="A34" s="1196" t="s">
        <v>452</v>
      </c>
      <c r="B34" s="1195"/>
      <c r="C34" s="1158" t="e">
        <f ca="1">IF(ISBLANK(B34),D34,B34)</f>
        <v>#NAME?</v>
      </c>
      <c r="D34" s="1194" t="e">
        <f ca="1">_xll.qlIborCouponPricer(,C33,"IborByBlack")</f>
        <v>#NAME?</v>
      </c>
      <c r="E34" s="1194"/>
      <c r="F34" s="1195"/>
      <c r="G34" s="1188" t="e">
        <f ca="1">IF(ISBLANK(F34),H34,F34)</f>
        <v>#NAME?</v>
      </c>
      <c r="H34" s="1194" t="e">
        <f ca="1">_xll.qlIborCouponPricer(,G33,"IborByBlack")</f>
        <v>#NAME?</v>
      </c>
      <c r="I34" s="1194"/>
      <c r="J34" s="1150"/>
      <c r="K34" s="1150"/>
      <c r="L34" s="1147"/>
      <c r="M34" s="1147"/>
      <c r="N34" s="1147"/>
      <c r="O34" s="1147"/>
      <c r="P34" s="1147"/>
    </row>
    <row r="35" spans="1:16" hidden="1" outlineLevel="1" x14ac:dyDescent="0.2">
      <c r="A35" s="1168" t="s">
        <v>451</v>
      </c>
      <c r="B35" s="1149"/>
      <c r="C35" s="1161" t="e">
        <f ca="1">_xll.qlLegSetCouponPricers(FirstLegCF,C34)</f>
        <v>#NAME?</v>
      </c>
      <c r="D35" s="1193"/>
      <c r="E35" s="1190"/>
      <c r="F35" s="1192"/>
      <c r="G35" s="1191" t="e">
        <f ca="1">_xll.qlLegSetCouponPricers(SecondLegCF,G34)</f>
        <v>#NAME?</v>
      </c>
      <c r="H35" s="1190"/>
      <c r="I35" s="1190"/>
      <c r="J35" s="1150"/>
      <c r="K35" s="1150"/>
      <c r="L35" s="1147"/>
      <c r="M35" s="1147"/>
      <c r="N35" s="1147"/>
      <c r="O35" s="1147"/>
      <c r="P35" s="1147"/>
    </row>
    <row r="36" spans="1:16" collapsed="1" x14ac:dyDescent="0.2">
      <c r="A36" s="1147"/>
      <c r="B36" s="1147"/>
      <c r="C36" s="1147"/>
      <c r="D36" s="1147"/>
      <c r="E36" s="1147"/>
      <c r="F36" s="1147"/>
      <c r="G36" s="1147"/>
      <c r="H36" s="1147"/>
      <c r="I36" s="1147"/>
      <c r="J36" s="1147"/>
      <c r="K36" s="1147"/>
      <c r="L36" s="1147"/>
      <c r="M36" s="1147"/>
      <c r="N36" s="1147"/>
      <c r="O36" s="1147"/>
      <c r="P36" s="1147"/>
    </row>
    <row r="37" spans="1:16" x14ac:dyDescent="0.2">
      <c r="A37" s="1168" t="s">
        <v>450</v>
      </c>
      <c r="B37" s="1189"/>
      <c r="C37" s="1188" t="str">
        <f>IF(ISBLANK(B37),D37, IF(ISNUMBER(B37),_xll.qlFlatForward(,0,"NullCalendar",B37,,"continuous","annual"),B37))</f>
        <v>EURON</v>
      </c>
      <c r="D37" s="1187" t="s">
        <v>381</v>
      </c>
      <c r="E37" s="1169"/>
      <c r="F37" s="1169"/>
      <c r="G37" s="1169"/>
      <c r="H37" s="1169"/>
      <c r="I37" s="1169"/>
      <c r="J37" s="1150"/>
      <c r="K37" s="1150"/>
      <c r="L37" s="1147"/>
      <c r="M37" s="1147"/>
      <c r="N37" s="1147"/>
      <c r="O37" s="1147"/>
      <c r="P37" s="1147"/>
    </row>
    <row r="38" spans="1:16" x14ac:dyDescent="0.2">
      <c r="A38" s="1169"/>
      <c r="B38" s="1169"/>
      <c r="C38" s="1169"/>
      <c r="D38" s="1169"/>
      <c r="E38" s="1169"/>
      <c r="F38" s="1169"/>
      <c r="G38" s="1169"/>
      <c r="H38" s="1169"/>
      <c r="I38" s="1169"/>
      <c r="J38" s="1150"/>
      <c r="K38" s="1150"/>
      <c r="L38" s="1147"/>
      <c r="M38" s="1147"/>
      <c r="N38" s="1147"/>
      <c r="O38" s="1147"/>
      <c r="P38" s="1147"/>
    </row>
    <row r="39" spans="1:16" hidden="1" outlineLevel="1" x14ac:dyDescent="0.2">
      <c r="A39" s="1186" t="s">
        <v>449</v>
      </c>
      <c r="B39" s="1185"/>
      <c r="C39" s="1184" t="b">
        <f>IF(ISBLANK(B39),D39,B39)</f>
        <v>1</v>
      </c>
      <c r="D39" s="1183" t="b">
        <v>1</v>
      </c>
      <c r="E39" s="1169"/>
      <c r="F39" s="1169"/>
      <c r="G39" s="1169"/>
      <c r="H39" s="1169"/>
      <c r="I39" s="1169"/>
      <c r="J39" s="1150"/>
      <c r="K39" s="1150"/>
      <c r="L39" s="1147"/>
      <c r="M39" s="1147"/>
      <c r="N39" s="1147"/>
      <c r="O39" s="1147"/>
      <c r="P39" s="1147"/>
    </row>
    <row r="40" spans="1:16" hidden="1" outlineLevel="1" x14ac:dyDescent="0.2">
      <c r="A40" s="1182" t="s">
        <v>448</v>
      </c>
      <c r="B40" s="1181"/>
      <c r="C40" s="1180" t="e">
        <f ca="1">IF(ISBLANK(B40),D40,B40)</f>
        <v>#NAME?</v>
      </c>
      <c r="D40" s="1179" t="e">
        <f ca="1">EvaluationDate</f>
        <v>#NAME?</v>
      </c>
      <c r="E40" s="1169"/>
      <c r="F40" s="1169"/>
      <c r="G40" s="1169"/>
      <c r="H40" s="1169"/>
      <c r="I40" s="1169"/>
      <c r="J40" s="1150"/>
      <c r="K40" s="1150"/>
      <c r="L40" s="1147"/>
      <c r="M40" s="1147"/>
      <c r="N40" s="1147"/>
      <c r="O40" s="1147"/>
      <c r="P40" s="1147"/>
    </row>
    <row r="41" spans="1:16" hidden="1" outlineLevel="1" x14ac:dyDescent="0.2">
      <c r="A41" s="1182" t="s">
        <v>447</v>
      </c>
      <c r="B41" s="1181"/>
      <c r="C41" s="1180" t="e">
        <f ca="1">IF(ISBLANK(B41),D41,B41)</f>
        <v>#NAME?</v>
      </c>
      <c r="D41" s="1179" t="e">
        <f ca="1">E4</f>
        <v>#NAME?</v>
      </c>
      <c r="E41" s="1169"/>
      <c r="F41" s="1169"/>
      <c r="G41" s="1169"/>
      <c r="H41" s="1169"/>
      <c r="I41" s="1169"/>
      <c r="J41" s="1150"/>
      <c r="K41" s="1150"/>
      <c r="L41" s="1147"/>
      <c r="M41" s="1147"/>
      <c r="N41" s="1147"/>
      <c r="O41" s="1147"/>
      <c r="P41" s="1147"/>
    </row>
    <row r="42" spans="1:16" hidden="1" outlineLevel="1" x14ac:dyDescent="0.2">
      <c r="A42" s="1178" t="s">
        <v>446</v>
      </c>
      <c r="B42" s="1177"/>
      <c r="C42" s="1176" t="e">
        <f ca="1">IF(ISBLANK(B42),D42,B42)</f>
        <v>#NAME?</v>
      </c>
      <c r="D42" s="1175" t="e">
        <f ca="1">_xll.qlDiscountingSwapEngine(,DiscountCurve,IncludeSettlementDate,SettlementDate,NPVDate)</f>
        <v>#NAME?</v>
      </c>
      <c r="E42" s="1169"/>
      <c r="F42" s="1169"/>
      <c r="G42" s="1169"/>
      <c r="H42" s="1169"/>
      <c r="I42" s="1169"/>
      <c r="J42" s="1150"/>
      <c r="K42" s="1150"/>
      <c r="L42" s="1147"/>
      <c r="M42" s="1147"/>
      <c r="N42" s="1147"/>
      <c r="O42" s="1147"/>
      <c r="P42" s="1147"/>
    </row>
    <row r="43" spans="1:16" hidden="1" outlineLevel="1" x14ac:dyDescent="0.2">
      <c r="A43" s="1174" t="s">
        <v>445</v>
      </c>
      <c r="B43" s="1152"/>
      <c r="C43" s="1162" t="e">
        <f ca="1">_xll.qlInstrumentSetPricingEngine(SwapID,C42)</f>
        <v>#NAME?</v>
      </c>
      <c r="D43" s="1169"/>
      <c r="E43" s="1169"/>
      <c r="F43" s="1169"/>
      <c r="G43" s="1169"/>
      <c r="H43" s="1169"/>
      <c r="I43" s="1169"/>
      <c r="J43" s="1150"/>
      <c r="K43" s="1150"/>
      <c r="L43" s="1147"/>
      <c r="M43" s="1147"/>
      <c r="N43" s="1147"/>
      <c r="O43" s="1147"/>
      <c r="P43" s="1147"/>
    </row>
    <row r="44" spans="1:16" hidden="1" outlineLevel="1" x14ac:dyDescent="0.2">
      <c r="A44" s="1163"/>
      <c r="B44" s="1170"/>
      <c r="C44" s="1163"/>
      <c r="D44" s="1163"/>
      <c r="E44" s="1169"/>
      <c r="F44" s="1169"/>
      <c r="G44" s="1169"/>
      <c r="H44" s="1169"/>
      <c r="I44" s="1169"/>
      <c r="J44" s="1150"/>
      <c r="K44" s="1150"/>
      <c r="L44" s="1147"/>
      <c r="M44" s="1147"/>
      <c r="N44" s="1147"/>
      <c r="O44" s="1147"/>
      <c r="P44" s="1147"/>
    </row>
    <row r="45" spans="1:16" collapsed="1" x14ac:dyDescent="0.2">
      <c r="A45" s="1168" t="s">
        <v>239</v>
      </c>
      <c r="B45" s="1173"/>
      <c r="C45" s="1172" t="e">
        <f ca="1">_xll.ohTrigger(AllTriggers,C43,ISERROR(C35),ISERROR(G35))</f>
        <v>#NAME?</v>
      </c>
      <c r="D45" s="1171"/>
      <c r="E45" s="1171"/>
      <c r="F45" s="1146"/>
      <c r="G45" s="1165"/>
      <c r="H45" s="1150"/>
      <c r="I45" s="1150"/>
      <c r="J45" s="1150"/>
      <c r="K45" s="1150"/>
      <c r="L45" s="1147"/>
      <c r="M45" s="1147"/>
      <c r="N45" s="1147"/>
      <c r="O45" s="1147"/>
      <c r="P45" s="1147"/>
    </row>
    <row r="46" spans="1:16" x14ac:dyDescent="0.2">
      <c r="A46" s="1163"/>
      <c r="B46" s="1170"/>
      <c r="C46" s="1163"/>
      <c r="D46" s="1163"/>
      <c r="E46" s="1169"/>
      <c r="F46" s="1169"/>
      <c r="G46" s="1165"/>
      <c r="H46" s="1169"/>
      <c r="I46" s="1169"/>
      <c r="J46" s="1150"/>
      <c r="K46" s="1150"/>
      <c r="L46" s="1165"/>
      <c r="M46" s="1164"/>
      <c r="N46" s="1147"/>
      <c r="O46" s="1147"/>
      <c r="P46" s="1147"/>
    </row>
    <row r="47" spans="1:16" x14ac:dyDescent="0.2">
      <c r="A47" s="1168" t="s">
        <v>444</v>
      </c>
      <c r="B47" s="1167"/>
      <c r="C47" s="1166" t="e">
        <f ca="1">_xll.qlInstrumentNPV(SwapID,C45)</f>
        <v>#NAME?</v>
      </c>
      <c r="D47" s="1163"/>
      <c r="E47" s="1163"/>
      <c r="F47" s="1163"/>
      <c r="G47" s="1165"/>
      <c r="H47" s="1150"/>
      <c r="I47" s="1150"/>
      <c r="J47" s="1150"/>
      <c r="K47" s="1150"/>
      <c r="L47" s="1165"/>
      <c r="M47" s="1164"/>
      <c r="N47" s="1147"/>
      <c r="O47" s="1147"/>
      <c r="P47" s="1147"/>
    </row>
    <row r="48" spans="1:16" x14ac:dyDescent="0.2">
      <c r="A48" s="1163"/>
      <c r="B48" s="1163"/>
      <c r="C48" s="1163"/>
      <c r="D48" s="1163"/>
      <c r="E48" s="1163"/>
      <c r="F48" s="1163"/>
      <c r="G48" s="1163"/>
      <c r="H48" s="1150"/>
      <c r="I48" s="1150"/>
      <c r="J48" s="1150"/>
      <c r="K48" s="1150"/>
      <c r="L48" s="1147"/>
      <c r="M48" s="1147"/>
      <c r="N48" s="1147"/>
      <c r="O48" s="1147"/>
      <c r="P48" s="1147"/>
    </row>
    <row r="49" spans="1:16" x14ac:dyDescent="0.2">
      <c r="A49" s="1154" t="s">
        <v>443</v>
      </c>
      <c r="B49" s="1152"/>
      <c r="C49" s="1162" t="e">
        <f ca="1">C$25-NPV/C$51/10000</f>
        <v>#NAME?</v>
      </c>
      <c r="D49" s="1153"/>
      <c r="E49" s="1153"/>
      <c r="F49" s="1152"/>
      <c r="G49" s="1162" t="e">
        <f ca="1">G$25-NPV/G$51/10000</f>
        <v>#NAME?</v>
      </c>
      <c r="H49" s="1150"/>
      <c r="I49" s="1150"/>
      <c r="J49" s="1150"/>
      <c r="K49" s="1150"/>
      <c r="L49" s="1149"/>
      <c r="M49" s="1161"/>
      <c r="N49" s="1147"/>
      <c r="O49" s="1147"/>
      <c r="P49" s="1147"/>
    </row>
    <row r="50" spans="1:16" x14ac:dyDescent="0.2">
      <c r="A50" s="1160" t="s">
        <v>442</v>
      </c>
      <c r="B50" s="1152"/>
      <c r="C50" s="1157" t="e">
        <f ca="1">_xll.qlSwapLegNPV(SwapID,0,$C$45)</f>
        <v>#NAME?</v>
      </c>
      <c r="D50" s="1159"/>
      <c r="E50" s="1159"/>
      <c r="F50" s="1158"/>
      <c r="G50" s="1157" t="e">
        <f ca="1">_xll.qlSwapLegNPV(SwapID,1,$C$45)</f>
        <v>#NAME?</v>
      </c>
      <c r="H50" s="1150"/>
      <c r="I50" s="1150"/>
      <c r="J50" s="1150"/>
      <c r="K50" s="1150"/>
      <c r="L50" s="1156"/>
      <c r="M50" s="1155" t="e">
        <f ca="1">_xll.qlSwapLegNPV(SwapID,2,$C$45)</f>
        <v>#NAME?</v>
      </c>
      <c r="N50" s="1147"/>
      <c r="O50" s="1147"/>
      <c r="P50" s="1147"/>
    </row>
    <row r="51" spans="1:16" x14ac:dyDescent="0.2">
      <c r="A51" s="1154" t="s">
        <v>441</v>
      </c>
      <c r="B51" s="1152"/>
      <c r="C51" s="1151" t="e">
        <f ca="1">_xll.qlSwapLegBPS(SwapID,0,C45)</f>
        <v>#NAME?</v>
      </c>
      <c r="D51" s="1153"/>
      <c r="E51" s="1153"/>
      <c r="F51" s="1152"/>
      <c r="G51" s="1151" t="e">
        <f ca="1">_xll.qlSwapLegBPS(SwapID,1,C45)</f>
        <v>#NAME?</v>
      </c>
      <c r="H51" s="1150"/>
      <c r="I51" s="1150"/>
      <c r="J51" s="1150"/>
      <c r="K51" s="1150"/>
      <c r="L51" s="1149"/>
      <c r="M51" s="1148" t="e">
        <f ca="1">_xll.qlSwapLegBPS(SwapID,2,C45)</f>
        <v>#NAME?</v>
      </c>
      <c r="N51" s="1147"/>
      <c r="O51" s="1147"/>
      <c r="P51" s="1147"/>
    </row>
    <row r="52" spans="1:16" x14ac:dyDescent="0.2">
      <c r="A52" s="1147"/>
      <c r="B52" s="1147"/>
      <c r="C52" s="1147"/>
      <c r="D52" s="1147"/>
      <c r="E52" s="1147"/>
      <c r="F52" s="702"/>
      <c r="G52" s="702"/>
      <c r="H52" s="1147"/>
      <c r="I52" s="1147"/>
      <c r="J52" s="1147"/>
      <c r="K52" s="1147"/>
      <c r="L52" s="1147"/>
      <c r="M52" s="1147"/>
      <c r="N52" s="1147"/>
      <c r="O52" s="1147"/>
      <c r="P52" s="1147"/>
    </row>
  </sheetData>
  <mergeCells count="3">
    <mergeCell ref="B2:C2"/>
    <mergeCell ref="F2:G2"/>
    <mergeCell ref="L2:M2"/>
  </mergeCells>
  <conditionalFormatting sqref="C9 G9">
    <cfRule type="cellIs" dxfId="48" priority="1" stopIfTrue="1" operator="equal">
      <formula>"Please Insert Frequency in C8"</formula>
    </cfRule>
  </conditionalFormatting>
  <dataValidations count="7">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7"/>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2" thickBot="1" x14ac:dyDescent="0.25">
      <c r="B1" s="1144" t="e">
        <f ca="1">Pricing!$C$14</f>
        <v>#NAME?</v>
      </c>
      <c r="C1" s="1143" t="str">
        <f>UPPER(Pricing!$C$18)</f>
        <v>NONE</v>
      </c>
      <c r="D1" s="1143">
        <f>Pricing!$C$17</f>
        <v>1000000</v>
      </c>
      <c r="F1" s="1142" t="e">
        <f ca="1">_xll.qlScheduleSize(Schedule)-1</f>
        <v>#NAME?</v>
      </c>
      <c r="G1" s="1141" t="e">
        <f ca="1">FirstNominal/Payments</f>
        <v>#NAME?</v>
      </c>
      <c r="H1" s="1145">
        <f>Pricing!$C$25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VLOOKUP(Dates,SecondLegAdmortization!$B$4:$C$123,2)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6"/>
  <dimension ref="A1:X122"/>
  <sheetViews>
    <sheetView topLeftCell="E1" workbookViewId="0">
      <pane ySplit="2" topLeftCell="A3" activePane="bottomLeft" state="frozen"/>
      <selection pane="bottomLeft" activeCell="X4" sqref="X4:X5"/>
    </sheetView>
  </sheetViews>
  <sheetFormatPr defaultRowHeight="11.25" x14ac:dyDescent="0.2"/>
  <cols>
    <col min="1" max="1" width="13.28515625" style="1120" customWidth="1"/>
    <col min="2" max="2" width="17.28515625" style="1120" bestFit="1" customWidth="1"/>
    <col min="3" max="3" width="12.140625" style="1120" bestFit="1" customWidth="1"/>
    <col min="4" max="4" width="15.28515625" style="1120" bestFit="1" customWidth="1"/>
    <col min="5" max="6" width="17.28515625" style="1120" bestFit="1" customWidth="1"/>
    <col min="7" max="7" width="9.140625" style="1120"/>
    <col min="8" max="8" width="30.7109375" style="1120" customWidth="1"/>
    <col min="9" max="9" width="7" style="1120" bestFit="1" customWidth="1"/>
    <col min="10" max="10" width="17.28515625" style="1120" bestFit="1" customWidth="1"/>
    <col min="11" max="11" width="20.42578125" style="1120" bestFit="1" customWidth="1"/>
    <col min="12" max="12" width="9.140625" style="1120"/>
    <col min="13" max="13" width="15.28515625" style="1120" bestFit="1" customWidth="1"/>
    <col min="14" max="14" width="6" style="1120" bestFit="1" customWidth="1"/>
    <col min="15" max="15" width="9.140625" style="1120"/>
    <col min="16" max="18" width="8" style="1120" bestFit="1" customWidth="1"/>
    <col min="19" max="19" width="5" style="1120" bestFit="1" customWidth="1"/>
    <col min="20" max="16384" width="9.140625" style="1120"/>
  </cols>
  <sheetData>
    <row r="1" spans="1:24" ht="17.25" thickBot="1" x14ac:dyDescent="0.35">
      <c r="A1" s="1369" t="s">
        <v>440</v>
      </c>
      <c r="B1" s="1370"/>
      <c r="C1" s="1370"/>
      <c r="D1" s="1370"/>
      <c r="E1" s="1370"/>
      <c r="F1" s="1370"/>
      <c r="G1" s="1370"/>
      <c r="H1" s="1370"/>
      <c r="I1" s="1370"/>
      <c r="J1" s="1370"/>
      <c r="K1" s="1370"/>
      <c r="L1" s="1370"/>
      <c r="M1" s="1370"/>
      <c r="N1" s="1370"/>
      <c r="O1" s="1370"/>
      <c r="P1" s="1370"/>
      <c r="Q1" s="1370"/>
      <c r="R1" s="1370"/>
      <c r="S1" s="1370"/>
      <c r="T1" s="1370"/>
      <c r="U1" s="1371"/>
    </row>
    <row r="2" spans="1:24" ht="34.5" thickBot="1" x14ac:dyDescent="0.25">
      <c r="A2" s="1119" t="s">
        <v>321</v>
      </c>
      <c r="B2" s="1118" t="e">
        <f t="array" aca="1" ref="B2:U122" ca="1">_xll.qlSwapLegAnalysis(SwapID,0)</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24"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row>
    <row r="4" spans="1:24"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W4" s="1361" t="s">
        <v>529</v>
      </c>
      <c r="X4" s="1364" t="e">
        <f ca="1">_xll.ohTrigger(Triggers!Trigger)</f>
        <v>#NAME?</v>
      </c>
    </row>
    <row r="5" spans="1:24"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W5" s="1362" t="s">
        <v>530</v>
      </c>
      <c r="X5" s="1365"/>
    </row>
    <row r="6" spans="1:24"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row>
    <row r="7" spans="1:24"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row>
    <row r="8" spans="1:24"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row>
    <row r="9" spans="1:24"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row>
    <row r="10" spans="1:24"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row>
    <row r="11" spans="1:24"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row>
    <row r="12" spans="1:24"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row>
    <row r="13" spans="1:24"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row>
    <row r="14" spans="1:24"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row>
    <row r="15" spans="1:24"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row>
    <row r="16" spans="1:24"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row>
    <row r="17" spans="1:21"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row>
    <row r="18" spans="1:21"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row>
    <row r="19" spans="1:21"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row>
    <row r="20" spans="1:21"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row>
    <row r="21" spans="1:21"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row>
    <row r="22" spans="1:21"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row>
    <row r="23" spans="1:21"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row>
    <row r="24" spans="1:21"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row>
    <row r="25" spans="1:21"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row>
    <row r="26" spans="1:21"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row>
    <row r="27" spans="1:21"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row>
    <row r="28" spans="1:21"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row>
    <row r="29" spans="1:21"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row>
    <row r="30" spans="1:21"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row>
    <row r="31" spans="1:21"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row>
    <row r="32" spans="1:21"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row>
    <row r="33" spans="1:21"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row>
    <row r="34" spans="1:21"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row>
    <row r="35" spans="1:21"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row>
    <row r="36" spans="1:21"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row>
    <row r="37" spans="1:21"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row>
    <row r="38" spans="1:21"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row>
    <row r="39" spans="1:21"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row>
    <row r="40" spans="1:21"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row>
    <row r="41" spans="1:21"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row>
    <row r="42" spans="1:21"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row>
    <row r="43" spans="1:21"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row>
    <row r="44" spans="1:21"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row>
    <row r="45" spans="1:21"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row>
    <row r="46" spans="1:21"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row>
    <row r="47" spans="1:21"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row>
    <row r="48" spans="1:21"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row>
    <row r="49" spans="1:21"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row>
    <row r="50" spans="1:21"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row>
    <row r="51" spans="1:21"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row>
    <row r="52" spans="1:21"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row>
    <row r="53" spans="1:21"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row>
    <row r="54" spans="1:21"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row>
    <row r="55" spans="1:21"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row>
    <row r="56" spans="1:21"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row>
    <row r="57" spans="1:21"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row>
    <row r="58" spans="1:21"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row>
    <row r="59" spans="1:21"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row>
    <row r="60" spans="1:21"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row>
    <row r="61" spans="1:21"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row>
    <row r="62" spans="1:21"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row>
    <row r="63" spans="1:21"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row>
    <row r="64" spans="1:21"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row>
    <row r="65" spans="1:21"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row>
    <row r="66" spans="1:21"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row>
    <row r="67" spans="1:21"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row>
    <row r="68" spans="1:21"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row>
    <row r="69" spans="1:21"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row>
    <row r="70" spans="1:21"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row>
    <row r="71" spans="1:21"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row>
    <row r="72" spans="1:21"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row>
    <row r="73" spans="1:21"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row>
    <row r="74" spans="1:21"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row>
    <row r="75" spans="1:21"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row>
    <row r="76" spans="1:21"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row>
    <row r="77" spans="1:21"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row>
    <row r="78" spans="1:21"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row>
    <row r="79" spans="1:21"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row>
    <row r="80" spans="1:21"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row>
    <row r="81" spans="1:21"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row>
    <row r="82" spans="1:21"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row>
    <row r="83" spans="1:21"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row>
    <row r="84" spans="1:21"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row>
    <row r="85" spans="1:21"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row>
    <row r="86" spans="1:21"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row>
    <row r="87" spans="1:21"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row>
    <row r="88" spans="1:21"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row>
    <row r="89" spans="1:21"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row>
    <row r="90" spans="1:21"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row>
    <row r="91" spans="1:21"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row>
    <row r="92" spans="1:21"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row>
    <row r="93" spans="1:21"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row>
    <row r="94" spans="1:21"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row>
    <row r="95" spans="1:21"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row>
    <row r="96" spans="1:21"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row>
    <row r="97" spans="1:21"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row>
    <row r="98" spans="1:21"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row>
    <row r="99" spans="1:21"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row>
    <row r="100" spans="1:21"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row>
    <row r="101" spans="1:21"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row>
    <row r="102" spans="1:21"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row>
    <row r="103" spans="1:21"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row>
    <row r="104" spans="1:21"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row>
    <row r="105" spans="1:21"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row>
    <row r="106" spans="1:21"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row>
    <row r="107" spans="1:21"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row>
    <row r="108" spans="1:21"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row>
    <row r="109" spans="1:21"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row>
    <row r="110" spans="1:21"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row>
    <row r="111" spans="1:21"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row>
    <row r="112" spans="1:21"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row>
    <row r="113" spans="1:21"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row>
    <row r="114" spans="1:21"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row>
    <row r="115" spans="1:21"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row>
    <row r="116" spans="1:21"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row>
    <row r="117" spans="1:21"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row>
    <row r="118" spans="1:21"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row>
    <row r="119" spans="1:21"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row>
    <row r="120" spans="1:21"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row>
    <row r="121" spans="1:21"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row>
    <row r="122" spans="1:21"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row>
  </sheetData>
  <mergeCells count="1">
    <mergeCell ref="A1:U1"/>
  </mergeCells>
  <pageMargins left="0.75" right="0.75" top="1" bottom="1" header="0.5" footer="0.5"/>
  <pageSetup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L123"/>
  <sheetViews>
    <sheetView workbookViewId="0">
      <selection activeCell="L2" sqref="L2:L3"/>
    </sheetView>
  </sheetViews>
  <sheetFormatPr defaultRowHeight="11.25" x14ac:dyDescent="0.2"/>
  <cols>
    <col min="1" max="1" width="3.5703125" style="1120" bestFit="1" customWidth="1"/>
    <col min="2" max="2" width="13.85546875" style="1120" bestFit="1" customWidth="1"/>
    <col min="3" max="4" width="10" style="1120" bestFit="1" customWidth="1"/>
    <col min="5" max="5" width="10" style="1120" customWidth="1"/>
    <col min="6" max="8" width="10" style="1120" bestFit="1" customWidth="1"/>
    <col min="9" max="9" width="12.140625" style="1120" bestFit="1" customWidth="1"/>
    <col min="10" max="16384" width="9.140625" style="1120"/>
  </cols>
  <sheetData>
    <row r="1" spans="1:12" ht="15.75" thickBot="1" x14ac:dyDescent="0.3">
      <c r="B1" s="1144" t="e">
        <f ca="1">Pricing!$G$14</f>
        <v>#NAME?</v>
      </c>
      <c r="C1" s="1143" t="str">
        <f>UPPER(Pricing!$G$18)</f>
        <v>NONE</v>
      </c>
      <c r="D1" s="1143">
        <f>Pricing!$G$17</f>
        <v>1000000</v>
      </c>
      <c r="F1" s="1142" t="e">
        <f ca="1">_xll.qlScheduleSize(Schedule)-1</f>
        <v>#NAME?</v>
      </c>
      <c r="G1" s="1141" t="e">
        <f ca="1">FirstNominal/Payments</f>
        <v>#NAME?</v>
      </c>
      <c r="H1" s="1140">
        <f>Pricing!$G$25</f>
        <v>0</v>
      </c>
      <c r="I1" s="1139" t="e">
        <f ca="1">SUM(_xll.ohPack(I4:I123))</f>
        <v>#NAME?</v>
      </c>
    </row>
    <row r="2" spans="1:12" ht="15" x14ac:dyDescent="0.25">
      <c r="K2" s="1361" t="s">
        <v>529</v>
      </c>
      <c r="L2" s="1364" t="e">
        <f ca="1">_xll.ohTrigger(Triggers!Trigger)</f>
        <v>#NAME?</v>
      </c>
    </row>
    <row r="3" spans="1:12" ht="15.75" thickBot="1" x14ac:dyDescent="0.3">
      <c r="B3" s="1136" t="s">
        <v>409</v>
      </c>
      <c r="C3" s="1138" t="s">
        <v>77</v>
      </c>
      <c r="D3" s="1137" t="s">
        <v>439</v>
      </c>
      <c r="E3" s="1137" t="s">
        <v>438</v>
      </c>
      <c r="F3" s="1137" t="s">
        <v>437</v>
      </c>
      <c r="G3" s="1137" t="s">
        <v>436</v>
      </c>
      <c r="H3" s="1136" t="s">
        <v>435</v>
      </c>
      <c r="I3" s="1135"/>
      <c r="K3" s="1362" t="s">
        <v>530</v>
      </c>
      <c r="L3" s="1365"/>
    </row>
    <row r="4" spans="1:12" x14ac:dyDescent="0.2">
      <c r="A4" s="1120">
        <v>1</v>
      </c>
      <c r="B4" s="1130" t="e">
        <f t="array" aca="1" ref="B4:B123" ca="1">_xll.qlScheduleDates(Schedule)</f>
        <v>#NAME?</v>
      </c>
      <c r="C4" s="1129" t="e">
        <f t="array" ref="C4:C123" ca="1">IF(Type="MIRROR",E4:E123,IF(Type="CUSTOM",F4:F123,IF(Type="STEP",G4:G123,IF(Type="FRENCH",H4:H123,D4:D123))))</f>
        <v>#N/A</v>
      </c>
      <c r="D4" s="1134" t="e">
        <f t="shared" ref="D4:D35" ca="1" si="0">IF(ISNUMBER($B5),FirstNominal,NA())</f>
        <v>#N/A</v>
      </c>
      <c r="E4" s="1133" t="e">
        <f t="array" aca="1" ref="E4:E123" ca="1">VLOOKUP(Dates,FirstLegAdmortization!$B$4:$C$123,2)</f>
        <v>#NAME?</v>
      </c>
      <c r="F4" s="1134" t="e">
        <f t="shared" ref="F4:F35" ca="1" si="1">IF(ISNUMBER($B5),FirstNominal,NA())</f>
        <v>#N/A</v>
      </c>
      <c r="G4" s="1133">
        <f>FirstNominal</f>
        <v>1000000</v>
      </c>
      <c r="H4" s="1132">
        <f>FirstNominal</f>
        <v>1000000</v>
      </c>
      <c r="I4" s="1131" t="e">
        <f t="shared" ref="I4:I35" ca="1" si="2">PPMT(Rate,$A4,Payments,FirstNominal)</f>
        <v>#NAME?</v>
      </c>
    </row>
    <row r="5" spans="1:12" x14ac:dyDescent="0.2">
      <c r="A5" s="1120">
        <v>2</v>
      </c>
      <c r="B5" s="1130" t="e">
        <f ca="1"/>
        <v>#NAME?</v>
      </c>
      <c r="C5" s="1129" t="e">
        <f ca="1"/>
        <v>#N/A</v>
      </c>
      <c r="D5" s="1128" t="e">
        <f t="shared" ca="1" si="0"/>
        <v>#N/A</v>
      </c>
      <c r="E5" s="1128" t="e">
        <f ca="1"/>
        <v>#NAME?</v>
      </c>
      <c r="F5" s="1128" t="e">
        <f t="shared" ca="1" si="1"/>
        <v>#N/A</v>
      </c>
      <c r="G5" s="1128" t="e">
        <f t="shared" ref="G5:G36" ca="1" si="3">IF(ISNA($B6),NA(),MAX(G4-StepDecrement,0))</f>
        <v>#NAME?</v>
      </c>
      <c r="H5" s="1127" t="e">
        <f t="shared" ref="H5:H36" ca="1" si="4">IF(ISNA($B6),NA(),H4+I4)</f>
        <v>#NAME?</v>
      </c>
      <c r="I5" s="1126" t="e">
        <f t="shared" ca="1" si="2"/>
        <v>#NAME?</v>
      </c>
    </row>
    <row r="6" spans="1:12" x14ac:dyDescent="0.2">
      <c r="A6" s="1120">
        <v>3</v>
      </c>
      <c r="B6" s="1130" t="e">
        <f ca="1"/>
        <v>#NAME?</v>
      </c>
      <c r="C6" s="1129" t="e">
        <f ca="1"/>
        <v>#N/A</v>
      </c>
      <c r="D6" s="1128" t="e">
        <f t="shared" ca="1" si="0"/>
        <v>#N/A</v>
      </c>
      <c r="E6" s="1128" t="e">
        <f ca="1"/>
        <v>#NAME?</v>
      </c>
      <c r="F6" s="1128" t="e">
        <f t="shared" ca="1" si="1"/>
        <v>#N/A</v>
      </c>
      <c r="G6" s="1128" t="e">
        <f t="shared" ca="1" si="3"/>
        <v>#NAME?</v>
      </c>
      <c r="H6" s="1127" t="e">
        <f t="shared" ca="1" si="4"/>
        <v>#NAME?</v>
      </c>
      <c r="I6" s="1126" t="e">
        <f t="shared" ca="1" si="2"/>
        <v>#NAME?</v>
      </c>
    </row>
    <row r="7" spans="1:12" x14ac:dyDescent="0.2">
      <c r="A7" s="1120">
        <v>4</v>
      </c>
      <c r="B7" s="1130" t="e">
        <f ca="1"/>
        <v>#NAME?</v>
      </c>
      <c r="C7" s="1129" t="e">
        <f ca="1"/>
        <v>#N/A</v>
      </c>
      <c r="D7" s="1128" t="e">
        <f t="shared" ca="1" si="0"/>
        <v>#N/A</v>
      </c>
      <c r="E7" s="1128" t="e">
        <f ca="1"/>
        <v>#NAME?</v>
      </c>
      <c r="F7" s="1128" t="e">
        <f t="shared" ca="1" si="1"/>
        <v>#N/A</v>
      </c>
      <c r="G7" s="1128" t="e">
        <f t="shared" ca="1" si="3"/>
        <v>#NAME?</v>
      </c>
      <c r="H7" s="1127" t="e">
        <f t="shared" ca="1" si="4"/>
        <v>#NAME?</v>
      </c>
      <c r="I7" s="1126" t="e">
        <f t="shared" ca="1" si="2"/>
        <v>#NAME?</v>
      </c>
    </row>
    <row r="8" spans="1:12" x14ac:dyDescent="0.2">
      <c r="A8" s="1120">
        <v>5</v>
      </c>
      <c r="B8" s="1130" t="e">
        <f ca="1"/>
        <v>#NAME?</v>
      </c>
      <c r="C8" s="1129" t="e">
        <f ca="1"/>
        <v>#N/A</v>
      </c>
      <c r="D8" s="1128" t="e">
        <f t="shared" ca="1" si="0"/>
        <v>#N/A</v>
      </c>
      <c r="E8" s="1128" t="e">
        <f ca="1"/>
        <v>#NAME?</v>
      </c>
      <c r="F8" s="1128" t="e">
        <f t="shared" ca="1" si="1"/>
        <v>#N/A</v>
      </c>
      <c r="G8" s="1128" t="e">
        <f t="shared" ca="1" si="3"/>
        <v>#NAME?</v>
      </c>
      <c r="H8" s="1127" t="e">
        <f t="shared" ca="1" si="4"/>
        <v>#NAME?</v>
      </c>
      <c r="I8" s="1126" t="e">
        <f t="shared" ca="1" si="2"/>
        <v>#NAME?</v>
      </c>
    </row>
    <row r="9" spans="1:12" x14ac:dyDescent="0.2">
      <c r="A9" s="1120">
        <v>6</v>
      </c>
      <c r="B9" s="1130" t="e">
        <f ca="1"/>
        <v>#NAME?</v>
      </c>
      <c r="C9" s="1129" t="e">
        <f ca="1"/>
        <v>#N/A</v>
      </c>
      <c r="D9" s="1128" t="e">
        <f t="shared" ca="1" si="0"/>
        <v>#N/A</v>
      </c>
      <c r="E9" s="1128" t="e">
        <f ca="1"/>
        <v>#NAME?</v>
      </c>
      <c r="F9" s="1128" t="e">
        <f t="shared" ca="1" si="1"/>
        <v>#N/A</v>
      </c>
      <c r="G9" s="1128" t="e">
        <f t="shared" ca="1" si="3"/>
        <v>#NAME?</v>
      </c>
      <c r="H9" s="1127" t="e">
        <f t="shared" ca="1" si="4"/>
        <v>#NAME?</v>
      </c>
      <c r="I9" s="1126" t="e">
        <f t="shared" ca="1" si="2"/>
        <v>#NAME?</v>
      </c>
    </row>
    <row r="10" spans="1:12" x14ac:dyDescent="0.2">
      <c r="A10" s="1120">
        <v>7</v>
      </c>
      <c r="B10" s="1130" t="e">
        <f ca="1"/>
        <v>#NAME?</v>
      </c>
      <c r="C10" s="1129" t="e">
        <f ca="1"/>
        <v>#N/A</v>
      </c>
      <c r="D10" s="1128" t="e">
        <f t="shared" ca="1" si="0"/>
        <v>#N/A</v>
      </c>
      <c r="E10" s="1128" t="e">
        <f ca="1"/>
        <v>#NAME?</v>
      </c>
      <c r="F10" s="1128" t="e">
        <f t="shared" ca="1" si="1"/>
        <v>#N/A</v>
      </c>
      <c r="G10" s="1128" t="e">
        <f t="shared" ca="1" si="3"/>
        <v>#NAME?</v>
      </c>
      <c r="H10" s="1127" t="e">
        <f t="shared" ca="1" si="4"/>
        <v>#NAME?</v>
      </c>
      <c r="I10" s="1126" t="e">
        <f t="shared" ca="1" si="2"/>
        <v>#NAME?</v>
      </c>
    </row>
    <row r="11" spans="1:12" x14ac:dyDescent="0.2">
      <c r="A11" s="1120">
        <v>8</v>
      </c>
      <c r="B11" s="1130" t="e">
        <f ca="1"/>
        <v>#NAME?</v>
      </c>
      <c r="C11" s="1129" t="e">
        <f ca="1"/>
        <v>#N/A</v>
      </c>
      <c r="D11" s="1128" t="e">
        <f t="shared" ca="1" si="0"/>
        <v>#N/A</v>
      </c>
      <c r="E11" s="1128" t="e">
        <f ca="1"/>
        <v>#NAME?</v>
      </c>
      <c r="F11" s="1128" t="e">
        <f t="shared" ca="1" si="1"/>
        <v>#N/A</v>
      </c>
      <c r="G11" s="1128" t="e">
        <f t="shared" ca="1" si="3"/>
        <v>#NAME?</v>
      </c>
      <c r="H11" s="1127" t="e">
        <f t="shared" ca="1" si="4"/>
        <v>#NAME?</v>
      </c>
      <c r="I11" s="1126" t="e">
        <f t="shared" ca="1" si="2"/>
        <v>#NAME?</v>
      </c>
    </row>
    <row r="12" spans="1:12" x14ac:dyDescent="0.2">
      <c r="A12" s="1120">
        <v>9</v>
      </c>
      <c r="B12" s="1130" t="e">
        <f ca="1"/>
        <v>#NAME?</v>
      </c>
      <c r="C12" s="1129" t="e">
        <f ca="1"/>
        <v>#N/A</v>
      </c>
      <c r="D12" s="1128" t="e">
        <f t="shared" ca="1" si="0"/>
        <v>#N/A</v>
      </c>
      <c r="E12" s="1128" t="e">
        <f ca="1"/>
        <v>#NAME?</v>
      </c>
      <c r="F12" s="1128" t="e">
        <f t="shared" ca="1" si="1"/>
        <v>#N/A</v>
      </c>
      <c r="G12" s="1128" t="e">
        <f t="shared" ca="1" si="3"/>
        <v>#NAME?</v>
      </c>
      <c r="H12" s="1127" t="e">
        <f t="shared" ca="1" si="4"/>
        <v>#NAME?</v>
      </c>
      <c r="I12" s="1126" t="e">
        <f t="shared" ca="1" si="2"/>
        <v>#NAME?</v>
      </c>
    </row>
    <row r="13" spans="1:12" x14ac:dyDescent="0.2">
      <c r="A13" s="1120">
        <v>10</v>
      </c>
      <c r="B13" s="1130" t="e">
        <f ca="1"/>
        <v>#NAME?</v>
      </c>
      <c r="C13" s="1129" t="e">
        <f ca="1"/>
        <v>#N/A</v>
      </c>
      <c r="D13" s="1128" t="e">
        <f t="shared" ca="1" si="0"/>
        <v>#N/A</v>
      </c>
      <c r="E13" s="1128" t="e">
        <f ca="1"/>
        <v>#NAME?</v>
      </c>
      <c r="F13" s="1128" t="e">
        <f t="shared" ca="1" si="1"/>
        <v>#N/A</v>
      </c>
      <c r="G13" s="1128" t="e">
        <f t="shared" ca="1" si="3"/>
        <v>#NAME?</v>
      </c>
      <c r="H13" s="1127" t="e">
        <f t="shared" ca="1" si="4"/>
        <v>#NAME?</v>
      </c>
      <c r="I13" s="1126" t="e">
        <f t="shared" ca="1" si="2"/>
        <v>#NAME?</v>
      </c>
    </row>
    <row r="14" spans="1:12" x14ac:dyDescent="0.2">
      <c r="A14" s="1120">
        <v>11</v>
      </c>
      <c r="B14" s="1130" t="e">
        <f ca="1"/>
        <v>#NAME?</v>
      </c>
      <c r="C14" s="1129" t="e">
        <f ca="1"/>
        <v>#N/A</v>
      </c>
      <c r="D14" s="1128" t="e">
        <f t="shared" ca="1" si="0"/>
        <v>#N/A</v>
      </c>
      <c r="E14" s="1128" t="e">
        <f ca="1"/>
        <v>#NAME?</v>
      </c>
      <c r="F14" s="1128" t="e">
        <f t="shared" ca="1" si="1"/>
        <v>#N/A</v>
      </c>
      <c r="G14" s="1128" t="e">
        <f t="shared" ca="1" si="3"/>
        <v>#NAME?</v>
      </c>
      <c r="H14" s="1127" t="e">
        <f t="shared" ca="1" si="4"/>
        <v>#NAME?</v>
      </c>
      <c r="I14" s="1126" t="e">
        <f t="shared" ca="1" si="2"/>
        <v>#NAME?</v>
      </c>
    </row>
    <row r="15" spans="1:12" x14ac:dyDescent="0.2">
      <c r="A15" s="1120">
        <v>12</v>
      </c>
      <c r="B15" s="1130" t="e">
        <f ca="1"/>
        <v>#NAME?</v>
      </c>
      <c r="C15" s="1129" t="e">
        <f ca="1"/>
        <v>#N/A</v>
      </c>
      <c r="D15" s="1128" t="e">
        <f t="shared" ca="1" si="0"/>
        <v>#N/A</v>
      </c>
      <c r="E15" s="1128" t="e">
        <f ca="1"/>
        <v>#NAME?</v>
      </c>
      <c r="F15" s="1128" t="e">
        <f t="shared" ca="1" si="1"/>
        <v>#N/A</v>
      </c>
      <c r="G15" s="1128" t="e">
        <f t="shared" ca="1" si="3"/>
        <v>#NAME?</v>
      </c>
      <c r="H15" s="1127" t="e">
        <f t="shared" ca="1" si="4"/>
        <v>#NAME?</v>
      </c>
      <c r="I15" s="1126" t="e">
        <f t="shared" ca="1" si="2"/>
        <v>#NAME?</v>
      </c>
    </row>
    <row r="16" spans="1:12" x14ac:dyDescent="0.2">
      <c r="A16" s="1120">
        <v>13</v>
      </c>
      <c r="B16" s="1130" t="e">
        <f ca="1"/>
        <v>#NAME?</v>
      </c>
      <c r="C16" s="1129" t="e">
        <f ca="1"/>
        <v>#N/A</v>
      </c>
      <c r="D16" s="1128" t="e">
        <f t="shared" ca="1" si="0"/>
        <v>#N/A</v>
      </c>
      <c r="E16" s="1128" t="e">
        <f ca="1"/>
        <v>#NAME?</v>
      </c>
      <c r="F16" s="1128" t="e">
        <f t="shared" ca="1" si="1"/>
        <v>#N/A</v>
      </c>
      <c r="G16" s="1128" t="e">
        <f t="shared" ca="1" si="3"/>
        <v>#NAME?</v>
      </c>
      <c r="H16" s="1127" t="e">
        <f t="shared" ca="1" si="4"/>
        <v>#NAME?</v>
      </c>
      <c r="I16" s="1126" t="e">
        <f t="shared" ca="1" si="2"/>
        <v>#NAME?</v>
      </c>
    </row>
    <row r="17" spans="1:9" x14ac:dyDescent="0.2">
      <c r="A17" s="1120">
        <v>14</v>
      </c>
      <c r="B17" s="1130" t="e">
        <f ca="1"/>
        <v>#NAME?</v>
      </c>
      <c r="C17" s="1129" t="e">
        <f ca="1"/>
        <v>#N/A</v>
      </c>
      <c r="D17" s="1128" t="e">
        <f t="shared" ca="1" si="0"/>
        <v>#N/A</v>
      </c>
      <c r="E17" s="1128" t="e">
        <f ca="1"/>
        <v>#NAME?</v>
      </c>
      <c r="F17" s="1128" t="e">
        <f t="shared" ca="1" si="1"/>
        <v>#N/A</v>
      </c>
      <c r="G17" s="1128" t="e">
        <f t="shared" ca="1" si="3"/>
        <v>#NAME?</v>
      </c>
      <c r="H17" s="1127" t="e">
        <f t="shared" ca="1" si="4"/>
        <v>#NAME?</v>
      </c>
      <c r="I17" s="1126" t="e">
        <f t="shared" ca="1" si="2"/>
        <v>#NAME?</v>
      </c>
    </row>
    <row r="18" spans="1:9" x14ac:dyDescent="0.2">
      <c r="A18" s="1120">
        <v>15</v>
      </c>
      <c r="B18" s="1130" t="e">
        <f ca="1"/>
        <v>#NAME?</v>
      </c>
      <c r="C18" s="1129" t="e">
        <f ca="1"/>
        <v>#N/A</v>
      </c>
      <c r="D18" s="1128" t="e">
        <f t="shared" ca="1" si="0"/>
        <v>#N/A</v>
      </c>
      <c r="E18" s="1128" t="e">
        <f ca="1"/>
        <v>#NAME?</v>
      </c>
      <c r="F18" s="1128" t="e">
        <f t="shared" ca="1" si="1"/>
        <v>#N/A</v>
      </c>
      <c r="G18" s="1128" t="e">
        <f t="shared" ca="1" si="3"/>
        <v>#NAME?</v>
      </c>
      <c r="H18" s="1127" t="e">
        <f t="shared" ca="1" si="4"/>
        <v>#NAME?</v>
      </c>
      <c r="I18" s="1126" t="e">
        <f t="shared" ca="1" si="2"/>
        <v>#NAME?</v>
      </c>
    </row>
    <row r="19" spans="1:9" x14ac:dyDescent="0.2">
      <c r="A19" s="1120">
        <v>16</v>
      </c>
      <c r="B19" s="1130" t="e">
        <f ca="1"/>
        <v>#NAME?</v>
      </c>
      <c r="C19" s="1129" t="e">
        <f ca="1"/>
        <v>#N/A</v>
      </c>
      <c r="D19" s="1128" t="e">
        <f t="shared" ca="1" si="0"/>
        <v>#N/A</v>
      </c>
      <c r="E19" s="1128" t="e">
        <f ca="1"/>
        <v>#NAME?</v>
      </c>
      <c r="F19" s="1128" t="e">
        <f t="shared" ca="1" si="1"/>
        <v>#N/A</v>
      </c>
      <c r="G19" s="1128" t="e">
        <f t="shared" ca="1" si="3"/>
        <v>#NAME?</v>
      </c>
      <c r="H19" s="1127" t="e">
        <f t="shared" ca="1" si="4"/>
        <v>#NAME?</v>
      </c>
      <c r="I19" s="1126" t="e">
        <f t="shared" ca="1" si="2"/>
        <v>#NAME?</v>
      </c>
    </row>
    <row r="20" spans="1:9" x14ac:dyDescent="0.2">
      <c r="A20" s="1120">
        <v>17</v>
      </c>
      <c r="B20" s="1130" t="e">
        <f ca="1"/>
        <v>#NAME?</v>
      </c>
      <c r="C20" s="1129" t="e">
        <f ca="1"/>
        <v>#N/A</v>
      </c>
      <c r="D20" s="1128" t="e">
        <f t="shared" ca="1" si="0"/>
        <v>#N/A</v>
      </c>
      <c r="E20" s="1128" t="e">
        <f ca="1"/>
        <v>#NAME?</v>
      </c>
      <c r="F20" s="1128" t="e">
        <f t="shared" ca="1" si="1"/>
        <v>#N/A</v>
      </c>
      <c r="G20" s="1128" t="e">
        <f t="shared" ca="1" si="3"/>
        <v>#NAME?</v>
      </c>
      <c r="H20" s="1127" t="e">
        <f t="shared" ca="1" si="4"/>
        <v>#NAME?</v>
      </c>
      <c r="I20" s="1126" t="e">
        <f t="shared" ca="1" si="2"/>
        <v>#NAME?</v>
      </c>
    </row>
    <row r="21" spans="1:9" x14ac:dyDescent="0.2">
      <c r="A21" s="1120">
        <v>18</v>
      </c>
      <c r="B21" s="1130" t="e">
        <f ca="1"/>
        <v>#NAME?</v>
      </c>
      <c r="C21" s="1129" t="e">
        <f ca="1"/>
        <v>#N/A</v>
      </c>
      <c r="D21" s="1128" t="e">
        <f t="shared" ca="1" si="0"/>
        <v>#N/A</v>
      </c>
      <c r="E21" s="1128" t="e">
        <f ca="1"/>
        <v>#NAME?</v>
      </c>
      <c r="F21" s="1128" t="e">
        <f t="shared" ca="1" si="1"/>
        <v>#N/A</v>
      </c>
      <c r="G21" s="1128" t="e">
        <f t="shared" ca="1" si="3"/>
        <v>#NAME?</v>
      </c>
      <c r="H21" s="1127" t="e">
        <f t="shared" ca="1" si="4"/>
        <v>#NAME?</v>
      </c>
      <c r="I21" s="1126" t="e">
        <f t="shared" ca="1" si="2"/>
        <v>#NAME?</v>
      </c>
    </row>
    <row r="22" spans="1:9" x14ac:dyDescent="0.2">
      <c r="A22" s="1120">
        <v>19</v>
      </c>
      <c r="B22" s="1130" t="e">
        <f ca="1"/>
        <v>#NAME?</v>
      </c>
      <c r="C22" s="1129" t="e">
        <f ca="1"/>
        <v>#N/A</v>
      </c>
      <c r="D22" s="1128" t="e">
        <f t="shared" ca="1" si="0"/>
        <v>#N/A</v>
      </c>
      <c r="E22" s="1128" t="e">
        <f ca="1"/>
        <v>#NAME?</v>
      </c>
      <c r="F22" s="1128" t="e">
        <f t="shared" ca="1" si="1"/>
        <v>#N/A</v>
      </c>
      <c r="G22" s="1128" t="e">
        <f t="shared" ca="1" si="3"/>
        <v>#NAME?</v>
      </c>
      <c r="H22" s="1127" t="e">
        <f t="shared" ca="1" si="4"/>
        <v>#NAME?</v>
      </c>
      <c r="I22" s="1126" t="e">
        <f t="shared" ca="1" si="2"/>
        <v>#NAME?</v>
      </c>
    </row>
    <row r="23" spans="1:9" x14ac:dyDescent="0.2">
      <c r="A23" s="1120">
        <v>20</v>
      </c>
      <c r="B23" s="1130" t="e">
        <f ca="1"/>
        <v>#NAME?</v>
      </c>
      <c r="C23" s="1129" t="e">
        <f ca="1"/>
        <v>#N/A</v>
      </c>
      <c r="D23" s="1128" t="e">
        <f t="shared" ca="1" si="0"/>
        <v>#N/A</v>
      </c>
      <c r="E23" s="1128" t="e">
        <f ca="1"/>
        <v>#NAME?</v>
      </c>
      <c r="F23" s="1128" t="e">
        <f t="shared" ca="1" si="1"/>
        <v>#N/A</v>
      </c>
      <c r="G23" s="1128" t="e">
        <f t="shared" ca="1" si="3"/>
        <v>#NAME?</v>
      </c>
      <c r="H23" s="1127" t="e">
        <f t="shared" ca="1" si="4"/>
        <v>#NAME?</v>
      </c>
      <c r="I23" s="1126" t="e">
        <f t="shared" ca="1" si="2"/>
        <v>#NAME?</v>
      </c>
    </row>
    <row r="24" spans="1:9" x14ac:dyDescent="0.2">
      <c r="A24" s="1120">
        <v>21</v>
      </c>
      <c r="B24" s="1130" t="e">
        <f ca="1"/>
        <v>#NAME?</v>
      </c>
      <c r="C24" s="1129" t="e">
        <f ca="1"/>
        <v>#N/A</v>
      </c>
      <c r="D24" s="1128" t="e">
        <f t="shared" ca="1" si="0"/>
        <v>#N/A</v>
      </c>
      <c r="E24" s="1128" t="e">
        <f ca="1"/>
        <v>#NAME?</v>
      </c>
      <c r="F24" s="1128" t="e">
        <f t="shared" ca="1" si="1"/>
        <v>#N/A</v>
      </c>
      <c r="G24" s="1128" t="e">
        <f t="shared" ca="1" si="3"/>
        <v>#NAME?</v>
      </c>
      <c r="H24" s="1127" t="e">
        <f t="shared" ca="1" si="4"/>
        <v>#NAME?</v>
      </c>
      <c r="I24" s="1126" t="e">
        <f t="shared" ca="1" si="2"/>
        <v>#NAME?</v>
      </c>
    </row>
    <row r="25" spans="1:9" x14ac:dyDescent="0.2">
      <c r="A25" s="1120">
        <v>22</v>
      </c>
      <c r="B25" s="1130" t="e">
        <f ca="1"/>
        <v>#NAME?</v>
      </c>
      <c r="C25" s="1129" t="e">
        <f ca="1"/>
        <v>#N/A</v>
      </c>
      <c r="D25" s="1128" t="e">
        <f t="shared" ca="1" si="0"/>
        <v>#N/A</v>
      </c>
      <c r="E25" s="1128" t="e">
        <f ca="1"/>
        <v>#NAME?</v>
      </c>
      <c r="F25" s="1128" t="e">
        <f t="shared" ca="1" si="1"/>
        <v>#N/A</v>
      </c>
      <c r="G25" s="1128" t="e">
        <f t="shared" ca="1" si="3"/>
        <v>#NAME?</v>
      </c>
      <c r="H25" s="1127" t="e">
        <f t="shared" ca="1" si="4"/>
        <v>#NAME?</v>
      </c>
      <c r="I25" s="1126" t="e">
        <f t="shared" ca="1" si="2"/>
        <v>#NAME?</v>
      </c>
    </row>
    <row r="26" spans="1:9" x14ac:dyDescent="0.2">
      <c r="A26" s="1120">
        <v>23</v>
      </c>
      <c r="B26" s="1130" t="e">
        <f ca="1"/>
        <v>#NAME?</v>
      </c>
      <c r="C26" s="1129" t="e">
        <f ca="1"/>
        <v>#N/A</v>
      </c>
      <c r="D26" s="1128" t="e">
        <f t="shared" ca="1" si="0"/>
        <v>#N/A</v>
      </c>
      <c r="E26" s="1128" t="e">
        <f ca="1"/>
        <v>#NAME?</v>
      </c>
      <c r="F26" s="1128" t="e">
        <f t="shared" ca="1" si="1"/>
        <v>#N/A</v>
      </c>
      <c r="G26" s="1128" t="e">
        <f t="shared" ca="1" si="3"/>
        <v>#NAME?</v>
      </c>
      <c r="H26" s="1127" t="e">
        <f t="shared" ca="1" si="4"/>
        <v>#NAME?</v>
      </c>
      <c r="I26" s="1126" t="e">
        <f t="shared" ca="1" si="2"/>
        <v>#NAME?</v>
      </c>
    </row>
    <row r="27" spans="1:9" x14ac:dyDescent="0.2">
      <c r="A27" s="1120">
        <v>24</v>
      </c>
      <c r="B27" s="1130" t="e">
        <f ca="1"/>
        <v>#NAME?</v>
      </c>
      <c r="C27" s="1129" t="e">
        <f ca="1"/>
        <v>#N/A</v>
      </c>
      <c r="D27" s="1128" t="e">
        <f t="shared" ca="1" si="0"/>
        <v>#N/A</v>
      </c>
      <c r="E27" s="1128" t="e">
        <f ca="1"/>
        <v>#NAME?</v>
      </c>
      <c r="F27" s="1128" t="e">
        <f t="shared" ca="1" si="1"/>
        <v>#N/A</v>
      </c>
      <c r="G27" s="1128" t="e">
        <f t="shared" ca="1" si="3"/>
        <v>#NAME?</v>
      </c>
      <c r="H27" s="1127" t="e">
        <f t="shared" ca="1" si="4"/>
        <v>#NAME?</v>
      </c>
      <c r="I27" s="1126" t="e">
        <f t="shared" ca="1" si="2"/>
        <v>#NAME?</v>
      </c>
    </row>
    <row r="28" spans="1:9" x14ac:dyDescent="0.2">
      <c r="A28" s="1120">
        <v>25</v>
      </c>
      <c r="B28" s="1130" t="e">
        <f ca="1"/>
        <v>#NAME?</v>
      </c>
      <c r="C28" s="1129" t="e">
        <f ca="1"/>
        <v>#N/A</v>
      </c>
      <c r="D28" s="1128" t="e">
        <f t="shared" ca="1" si="0"/>
        <v>#N/A</v>
      </c>
      <c r="E28" s="1128" t="e">
        <f ca="1"/>
        <v>#NAME?</v>
      </c>
      <c r="F28" s="1128" t="e">
        <f t="shared" ca="1" si="1"/>
        <v>#N/A</v>
      </c>
      <c r="G28" s="1128" t="e">
        <f t="shared" ca="1" si="3"/>
        <v>#NAME?</v>
      </c>
      <c r="H28" s="1127" t="e">
        <f t="shared" ca="1" si="4"/>
        <v>#NAME?</v>
      </c>
      <c r="I28" s="1126" t="e">
        <f t="shared" ca="1" si="2"/>
        <v>#NAME?</v>
      </c>
    </row>
    <row r="29" spans="1:9" x14ac:dyDescent="0.2">
      <c r="A29" s="1120">
        <v>26</v>
      </c>
      <c r="B29" s="1130" t="e">
        <f ca="1"/>
        <v>#NAME?</v>
      </c>
      <c r="C29" s="1129" t="e">
        <f ca="1"/>
        <v>#N/A</v>
      </c>
      <c r="D29" s="1128" t="e">
        <f t="shared" ca="1" si="0"/>
        <v>#N/A</v>
      </c>
      <c r="E29" s="1128" t="e">
        <f ca="1"/>
        <v>#NAME?</v>
      </c>
      <c r="F29" s="1128" t="e">
        <f t="shared" ca="1" si="1"/>
        <v>#N/A</v>
      </c>
      <c r="G29" s="1128" t="e">
        <f t="shared" ca="1" si="3"/>
        <v>#NAME?</v>
      </c>
      <c r="H29" s="1127" t="e">
        <f t="shared" ca="1" si="4"/>
        <v>#NAME?</v>
      </c>
      <c r="I29" s="1126" t="e">
        <f t="shared" ca="1" si="2"/>
        <v>#NAME?</v>
      </c>
    </row>
    <row r="30" spans="1:9" x14ac:dyDescent="0.2">
      <c r="A30" s="1120">
        <v>27</v>
      </c>
      <c r="B30" s="1130" t="e">
        <f ca="1"/>
        <v>#NAME?</v>
      </c>
      <c r="C30" s="1129" t="e">
        <f ca="1"/>
        <v>#N/A</v>
      </c>
      <c r="D30" s="1128" t="e">
        <f t="shared" ca="1" si="0"/>
        <v>#N/A</v>
      </c>
      <c r="E30" s="1128" t="e">
        <f ca="1"/>
        <v>#NAME?</v>
      </c>
      <c r="F30" s="1128" t="e">
        <f t="shared" ca="1" si="1"/>
        <v>#N/A</v>
      </c>
      <c r="G30" s="1128" t="e">
        <f t="shared" ca="1" si="3"/>
        <v>#NAME?</v>
      </c>
      <c r="H30" s="1127" t="e">
        <f t="shared" ca="1" si="4"/>
        <v>#NAME?</v>
      </c>
      <c r="I30" s="1126" t="e">
        <f t="shared" ca="1" si="2"/>
        <v>#NAME?</v>
      </c>
    </row>
    <row r="31" spans="1:9" x14ac:dyDescent="0.2">
      <c r="A31" s="1120">
        <v>28</v>
      </c>
      <c r="B31" s="1130" t="e">
        <f ca="1"/>
        <v>#NAME?</v>
      </c>
      <c r="C31" s="1129" t="e">
        <f ca="1"/>
        <v>#N/A</v>
      </c>
      <c r="D31" s="1128" t="e">
        <f t="shared" ca="1" si="0"/>
        <v>#N/A</v>
      </c>
      <c r="E31" s="1128" t="e">
        <f ca="1"/>
        <v>#NAME?</v>
      </c>
      <c r="F31" s="1128" t="e">
        <f t="shared" ca="1" si="1"/>
        <v>#N/A</v>
      </c>
      <c r="G31" s="1128" t="e">
        <f t="shared" ca="1" si="3"/>
        <v>#NAME?</v>
      </c>
      <c r="H31" s="1127" t="e">
        <f t="shared" ca="1" si="4"/>
        <v>#NAME?</v>
      </c>
      <c r="I31" s="1126" t="e">
        <f t="shared" ca="1" si="2"/>
        <v>#NAME?</v>
      </c>
    </row>
    <row r="32" spans="1:9" x14ac:dyDescent="0.2">
      <c r="A32" s="1120">
        <v>29</v>
      </c>
      <c r="B32" s="1130" t="e">
        <f ca="1"/>
        <v>#NAME?</v>
      </c>
      <c r="C32" s="1129" t="e">
        <f ca="1"/>
        <v>#N/A</v>
      </c>
      <c r="D32" s="1128" t="e">
        <f t="shared" ca="1" si="0"/>
        <v>#N/A</v>
      </c>
      <c r="E32" s="1128" t="e">
        <f ca="1"/>
        <v>#NAME?</v>
      </c>
      <c r="F32" s="1128" t="e">
        <f t="shared" ca="1" si="1"/>
        <v>#N/A</v>
      </c>
      <c r="G32" s="1128" t="e">
        <f t="shared" ca="1" si="3"/>
        <v>#NAME?</v>
      </c>
      <c r="H32" s="1127" t="e">
        <f t="shared" ca="1" si="4"/>
        <v>#NAME?</v>
      </c>
      <c r="I32" s="1126" t="e">
        <f t="shared" ca="1" si="2"/>
        <v>#NAME?</v>
      </c>
    </row>
    <row r="33" spans="1:9" x14ac:dyDescent="0.2">
      <c r="A33" s="1120">
        <v>30</v>
      </c>
      <c r="B33" s="1130" t="e">
        <f ca="1"/>
        <v>#NAME?</v>
      </c>
      <c r="C33" s="1129" t="e">
        <f ca="1"/>
        <v>#N/A</v>
      </c>
      <c r="D33" s="1128" t="e">
        <f t="shared" ca="1" si="0"/>
        <v>#N/A</v>
      </c>
      <c r="E33" s="1128" t="e">
        <f ca="1"/>
        <v>#NAME?</v>
      </c>
      <c r="F33" s="1128" t="e">
        <f t="shared" ca="1" si="1"/>
        <v>#N/A</v>
      </c>
      <c r="G33" s="1128" t="e">
        <f t="shared" ca="1" si="3"/>
        <v>#NAME?</v>
      </c>
      <c r="H33" s="1127" t="e">
        <f t="shared" ca="1" si="4"/>
        <v>#NAME?</v>
      </c>
      <c r="I33" s="1126" t="e">
        <f t="shared" ca="1" si="2"/>
        <v>#NAME?</v>
      </c>
    </row>
    <row r="34" spans="1:9" x14ac:dyDescent="0.2">
      <c r="A34" s="1120">
        <v>31</v>
      </c>
      <c r="B34" s="1130" t="e">
        <f ca="1"/>
        <v>#NAME?</v>
      </c>
      <c r="C34" s="1129" t="e">
        <f ca="1"/>
        <v>#N/A</v>
      </c>
      <c r="D34" s="1128" t="e">
        <f t="shared" ca="1" si="0"/>
        <v>#N/A</v>
      </c>
      <c r="E34" s="1128" t="e">
        <f ca="1"/>
        <v>#NAME?</v>
      </c>
      <c r="F34" s="1128" t="e">
        <f t="shared" ca="1" si="1"/>
        <v>#N/A</v>
      </c>
      <c r="G34" s="1128" t="e">
        <f t="shared" ca="1" si="3"/>
        <v>#NAME?</v>
      </c>
      <c r="H34" s="1127" t="e">
        <f t="shared" ca="1" si="4"/>
        <v>#NAME?</v>
      </c>
      <c r="I34" s="1126" t="e">
        <f t="shared" ca="1" si="2"/>
        <v>#NAME?</v>
      </c>
    </row>
    <row r="35" spans="1:9" x14ac:dyDescent="0.2">
      <c r="A35" s="1120">
        <v>32</v>
      </c>
      <c r="B35" s="1130" t="e">
        <f ca="1"/>
        <v>#NAME?</v>
      </c>
      <c r="C35" s="1129" t="e">
        <f ca="1"/>
        <v>#N/A</v>
      </c>
      <c r="D35" s="1128" t="e">
        <f t="shared" ca="1" si="0"/>
        <v>#N/A</v>
      </c>
      <c r="E35" s="1128" t="e">
        <f ca="1"/>
        <v>#NAME?</v>
      </c>
      <c r="F35" s="1128" t="e">
        <f t="shared" ca="1" si="1"/>
        <v>#N/A</v>
      </c>
      <c r="G35" s="1128" t="e">
        <f t="shared" ca="1" si="3"/>
        <v>#NAME?</v>
      </c>
      <c r="H35" s="1127" t="e">
        <f t="shared" ca="1" si="4"/>
        <v>#NAME?</v>
      </c>
      <c r="I35" s="1126" t="e">
        <f t="shared" ca="1" si="2"/>
        <v>#NAME?</v>
      </c>
    </row>
    <row r="36" spans="1:9" x14ac:dyDescent="0.2">
      <c r="A36" s="1120">
        <v>33</v>
      </c>
      <c r="B36" s="1130" t="e">
        <f ca="1"/>
        <v>#NAME?</v>
      </c>
      <c r="C36" s="1129" t="e">
        <f ca="1"/>
        <v>#N/A</v>
      </c>
      <c r="D36" s="1128" t="e">
        <f t="shared" ref="D36:D67" ca="1" si="5">IF(ISNUMBER($B37),FirstNominal,NA())</f>
        <v>#N/A</v>
      </c>
      <c r="E36" s="1128" t="e">
        <f ca="1"/>
        <v>#NAME?</v>
      </c>
      <c r="F36" s="1128" t="e">
        <f t="shared" ref="F36:F67" ca="1" si="6">IF(ISNUMBER($B37),FirstNominal,NA())</f>
        <v>#N/A</v>
      </c>
      <c r="G36" s="1128" t="e">
        <f t="shared" ca="1" si="3"/>
        <v>#NAME?</v>
      </c>
      <c r="H36" s="1127" t="e">
        <f t="shared" ca="1" si="4"/>
        <v>#NAME?</v>
      </c>
      <c r="I36" s="1126" t="e">
        <f t="shared" ref="I36:I67" ca="1" si="7">PPMT(Rate,$A36,Payments,FirstNominal)</f>
        <v>#NAME?</v>
      </c>
    </row>
    <row r="37" spans="1:9" x14ac:dyDescent="0.2">
      <c r="A37" s="1120">
        <v>34</v>
      </c>
      <c r="B37" s="1130" t="e">
        <f ca="1"/>
        <v>#NAME?</v>
      </c>
      <c r="C37" s="1129" t="e">
        <f ca="1"/>
        <v>#N/A</v>
      </c>
      <c r="D37" s="1128" t="e">
        <f t="shared" ca="1" si="5"/>
        <v>#N/A</v>
      </c>
      <c r="E37" s="1128" t="e">
        <f ca="1"/>
        <v>#NAME?</v>
      </c>
      <c r="F37" s="1128" t="e">
        <f t="shared" ca="1" si="6"/>
        <v>#N/A</v>
      </c>
      <c r="G37" s="1128" t="e">
        <f t="shared" ref="G37:G68" ca="1" si="8">IF(ISNA($B38),NA(),MAX(G36-StepDecrement,0))</f>
        <v>#NAME?</v>
      </c>
      <c r="H37" s="1127" t="e">
        <f t="shared" ref="H37:H68" ca="1" si="9">IF(ISNA($B38),NA(),H36+I36)</f>
        <v>#NAME?</v>
      </c>
      <c r="I37" s="1126" t="e">
        <f t="shared" ca="1" si="7"/>
        <v>#NAME?</v>
      </c>
    </row>
    <row r="38" spans="1:9" x14ac:dyDescent="0.2">
      <c r="A38" s="1120">
        <v>35</v>
      </c>
      <c r="B38" s="1130" t="e">
        <f ca="1"/>
        <v>#NAME?</v>
      </c>
      <c r="C38" s="1129" t="e">
        <f ca="1"/>
        <v>#N/A</v>
      </c>
      <c r="D38" s="1128" t="e">
        <f t="shared" ca="1" si="5"/>
        <v>#N/A</v>
      </c>
      <c r="E38" s="1128" t="e">
        <f ca="1"/>
        <v>#NAME?</v>
      </c>
      <c r="F38" s="1128" t="e">
        <f t="shared" ca="1" si="6"/>
        <v>#N/A</v>
      </c>
      <c r="G38" s="1128" t="e">
        <f t="shared" ca="1" si="8"/>
        <v>#NAME?</v>
      </c>
      <c r="H38" s="1127" t="e">
        <f t="shared" ca="1" si="9"/>
        <v>#NAME?</v>
      </c>
      <c r="I38" s="1126" t="e">
        <f t="shared" ca="1" si="7"/>
        <v>#NAME?</v>
      </c>
    </row>
    <row r="39" spans="1:9" x14ac:dyDescent="0.2">
      <c r="A39" s="1120">
        <v>36</v>
      </c>
      <c r="B39" s="1130" t="e">
        <f ca="1"/>
        <v>#NAME?</v>
      </c>
      <c r="C39" s="1129" t="e">
        <f ca="1"/>
        <v>#N/A</v>
      </c>
      <c r="D39" s="1128" t="e">
        <f t="shared" ca="1" si="5"/>
        <v>#N/A</v>
      </c>
      <c r="E39" s="1128" t="e">
        <f ca="1"/>
        <v>#NAME?</v>
      </c>
      <c r="F39" s="1128" t="e">
        <f t="shared" ca="1" si="6"/>
        <v>#N/A</v>
      </c>
      <c r="G39" s="1128" t="e">
        <f t="shared" ca="1" si="8"/>
        <v>#NAME?</v>
      </c>
      <c r="H39" s="1127" t="e">
        <f t="shared" ca="1" si="9"/>
        <v>#NAME?</v>
      </c>
      <c r="I39" s="1126" t="e">
        <f t="shared" ca="1" si="7"/>
        <v>#NAME?</v>
      </c>
    </row>
    <row r="40" spans="1:9" x14ac:dyDescent="0.2">
      <c r="A40" s="1120">
        <v>37</v>
      </c>
      <c r="B40" s="1130" t="e">
        <f ca="1"/>
        <v>#NAME?</v>
      </c>
      <c r="C40" s="1129" t="e">
        <f ca="1"/>
        <v>#N/A</v>
      </c>
      <c r="D40" s="1128" t="e">
        <f t="shared" ca="1" si="5"/>
        <v>#N/A</v>
      </c>
      <c r="E40" s="1128" t="e">
        <f ca="1"/>
        <v>#NAME?</v>
      </c>
      <c r="F40" s="1128" t="e">
        <f t="shared" ca="1" si="6"/>
        <v>#N/A</v>
      </c>
      <c r="G40" s="1128" t="e">
        <f t="shared" ca="1" si="8"/>
        <v>#NAME?</v>
      </c>
      <c r="H40" s="1127" t="e">
        <f t="shared" ca="1" si="9"/>
        <v>#NAME?</v>
      </c>
      <c r="I40" s="1126" t="e">
        <f t="shared" ca="1" si="7"/>
        <v>#NAME?</v>
      </c>
    </row>
    <row r="41" spans="1:9" x14ac:dyDescent="0.2">
      <c r="A41" s="1120">
        <v>38</v>
      </c>
      <c r="B41" s="1130" t="e">
        <f ca="1"/>
        <v>#NAME?</v>
      </c>
      <c r="C41" s="1129" t="e">
        <f ca="1"/>
        <v>#N/A</v>
      </c>
      <c r="D41" s="1128" t="e">
        <f t="shared" ca="1" si="5"/>
        <v>#N/A</v>
      </c>
      <c r="E41" s="1128" t="e">
        <f ca="1"/>
        <v>#NAME?</v>
      </c>
      <c r="F41" s="1128" t="e">
        <f t="shared" ca="1" si="6"/>
        <v>#N/A</v>
      </c>
      <c r="G41" s="1128" t="e">
        <f t="shared" ca="1" si="8"/>
        <v>#NAME?</v>
      </c>
      <c r="H41" s="1127" t="e">
        <f t="shared" ca="1" si="9"/>
        <v>#NAME?</v>
      </c>
      <c r="I41" s="1126" t="e">
        <f t="shared" ca="1" si="7"/>
        <v>#NAME?</v>
      </c>
    </row>
    <row r="42" spans="1:9" x14ac:dyDescent="0.2">
      <c r="A42" s="1120">
        <v>39</v>
      </c>
      <c r="B42" s="1130" t="e">
        <f ca="1"/>
        <v>#NAME?</v>
      </c>
      <c r="C42" s="1129" t="e">
        <f ca="1"/>
        <v>#N/A</v>
      </c>
      <c r="D42" s="1128" t="e">
        <f t="shared" ca="1" si="5"/>
        <v>#N/A</v>
      </c>
      <c r="E42" s="1128" t="e">
        <f ca="1"/>
        <v>#NAME?</v>
      </c>
      <c r="F42" s="1128" t="e">
        <f t="shared" ca="1" si="6"/>
        <v>#N/A</v>
      </c>
      <c r="G42" s="1128" t="e">
        <f t="shared" ca="1" si="8"/>
        <v>#NAME?</v>
      </c>
      <c r="H42" s="1127" t="e">
        <f t="shared" ca="1" si="9"/>
        <v>#NAME?</v>
      </c>
      <c r="I42" s="1126" t="e">
        <f t="shared" ca="1" si="7"/>
        <v>#NAME?</v>
      </c>
    </row>
    <row r="43" spans="1:9" x14ac:dyDescent="0.2">
      <c r="A43" s="1120">
        <v>40</v>
      </c>
      <c r="B43" s="1130" t="e">
        <f ca="1"/>
        <v>#NAME?</v>
      </c>
      <c r="C43" s="1129" t="e">
        <f ca="1"/>
        <v>#N/A</v>
      </c>
      <c r="D43" s="1128" t="e">
        <f t="shared" ca="1" si="5"/>
        <v>#N/A</v>
      </c>
      <c r="E43" s="1128" t="e">
        <f ca="1"/>
        <v>#NAME?</v>
      </c>
      <c r="F43" s="1128" t="e">
        <f t="shared" ca="1" si="6"/>
        <v>#N/A</v>
      </c>
      <c r="G43" s="1128" t="e">
        <f t="shared" ca="1" si="8"/>
        <v>#NAME?</v>
      </c>
      <c r="H43" s="1127" t="e">
        <f t="shared" ca="1" si="9"/>
        <v>#NAME?</v>
      </c>
      <c r="I43" s="1126" t="e">
        <f t="shared" ca="1" si="7"/>
        <v>#NAME?</v>
      </c>
    </row>
    <row r="44" spans="1:9" x14ac:dyDescent="0.2">
      <c r="A44" s="1120">
        <v>41</v>
      </c>
      <c r="B44" s="1130" t="e">
        <f ca="1"/>
        <v>#NAME?</v>
      </c>
      <c r="C44" s="1129" t="e">
        <f ca="1"/>
        <v>#N/A</v>
      </c>
      <c r="D44" s="1128" t="e">
        <f t="shared" ca="1" si="5"/>
        <v>#N/A</v>
      </c>
      <c r="E44" s="1128" t="e">
        <f ca="1"/>
        <v>#NAME?</v>
      </c>
      <c r="F44" s="1128" t="e">
        <f t="shared" ca="1" si="6"/>
        <v>#N/A</v>
      </c>
      <c r="G44" s="1128" t="e">
        <f t="shared" ca="1" si="8"/>
        <v>#NAME?</v>
      </c>
      <c r="H44" s="1127" t="e">
        <f t="shared" ca="1" si="9"/>
        <v>#NAME?</v>
      </c>
      <c r="I44" s="1126" t="e">
        <f t="shared" ca="1" si="7"/>
        <v>#NAME?</v>
      </c>
    </row>
    <row r="45" spans="1:9" x14ac:dyDescent="0.2">
      <c r="A45" s="1120">
        <v>42</v>
      </c>
      <c r="B45" s="1130" t="e">
        <f ca="1"/>
        <v>#NAME?</v>
      </c>
      <c r="C45" s="1129" t="e">
        <f ca="1"/>
        <v>#N/A</v>
      </c>
      <c r="D45" s="1128" t="e">
        <f t="shared" ca="1" si="5"/>
        <v>#N/A</v>
      </c>
      <c r="E45" s="1128" t="e">
        <f ca="1"/>
        <v>#NAME?</v>
      </c>
      <c r="F45" s="1128" t="e">
        <f t="shared" ca="1" si="6"/>
        <v>#N/A</v>
      </c>
      <c r="G45" s="1128" t="e">
        <f t="shared" ca="1" si="8"/>
        <v>#NAME?</v>
      </c>
      <c r="H45" s="1127" t="e">
        <f t="shared" ca="1" si="9"/>
        <v>#NAME?</v>
      </c>
      <c r="I45" s="1126" t="e">
        <f t="shared" ca="1" si="7"/>
        <v>#NAME?</v>
      </c>
    </row>
    <row r="46" spans="1:9" x14ac:dyDescent="0.2">
      <c r="A46" s="1120">
        <v>43</v>
      </c>
      <c r="B46" s="1130" t="e">
        <f ca="1"/>
        <v>#NAME?</v>
      </c>
      <c r="C46" s="1129" t="e">
        <f ca="1"/>
        <v>#N/A</v>
      </c>
      <c r="D46" s="1128" t="e">
        <f t="shared" ca="1" si="5"/>
        <v>#N/A</v>
      </c>
      <c r="E46" s="1128" t="e">
        <f ca="1"/>
        <v>#NAME?</v>
      </c>
      <c r="F46" s="1128" t="e">
        <f t="shared" ca="1" si="6"/>
        <v>#N/A</v>
      </c>
      <c r="G46" s="1128" t="e">
        <f t="shared" ca="1" si="8"/>
        <v>#NAME?</v>
      </c>
      <c r="H46" s="1127" t="e">
        <f t="shared" ca="1" si="9"/>
        <v>#NAME?</v>
      </c>
      <c r="I46" s="1126" t="e">
        <f t="shared" ca="1" si="7"/>
        <v>#NAME?</v>
      </c>
    </row>
    <row r="47" spans="1:9" x14ac:dyDescent="0.2">
      <c r="A47" s="1120">
        <v>44</v>
      </c>
      <c r="B47" s="1130" t="e">
        <f ca="1"/>
        <v>#NAME?</v>
      </c>
      <c r="C47" s="1129" t="e">
        <f ca="1"/>
        <v>#N/A</v>
      </c>
      <c r="D47" s="1128" t="e">
        <f t="shared" ca="1" si="5"/>
        <v>#N/A</v>
      </c>
      <c r="E47" s="1128" t="e">
        <f ca="1"/>
        <v>#NAME?</v>
      </c>
      <c r="F47" s="1128" t="e">
        <f t="shared" ca="1" si="6"/>
        <v>#N/A</v>
      </c>
      <c r="G47" s="1128" t="e">
        <f t="shared" ca="1" si="8"/>
        <v>#NAME?</v>
      </c>
      <c r="H47" s="1127" t="e">
        <f t="shared" ca="1" si="9"/>
        <v>#NAME?</v>
      </c>
      <c r="I47" s="1126" t="e">
        <f t="shared" ca="1" si="7"/>
        <v>#NAME?</v>
      </c>
    </row>
    <row r="48" spans="1:9" x14ac:dyDescent="0.2">
      <c r="A48" s="1120">
        <v>45</v>
      </c>
      <c r="B48" s="1130" t="e">
        <f ca="1"/>
        <v>#NAME?</v>
      </c>
      <c r="C48" s="1129" t="e">
        <f ca="1"/>
        <v>#N/A</v>
      </c>
      <c r="D48" s="1128" t="e">
        <f t="shared" ca="1" si="5"/>
        <v>#N/A</v>
      </c>
      <c r="E48" s="1128" t="e">
        <f ca="1"/>
        <v>#NAME?</v>
      </c>
      <c r="F48" s="1128" t="e">
        <f t="shared" ca="1" si="6"/>
        <v>#N/A</v>
      </c>
      <c r="G48" s="1128" t="e">
        <f t="shared" ca="1" si="8"/>
        <v>#NAME?</v>
      </c>
      <c r="H48" s="1127" t="e">
        <f t="shared" ca="1" si="9"/>
        <v>#NAME?</v>
      </c>
      <c r="I48" s="1126" t="e">
        <f t="shared" ca="1" si="7"/>
        <v>#NAME?</v>
      </c>
    </row>
    <row r="49" spans="1:9" x14ac:dyDescent="0.2">
      <c r="A49" s="1120">
        <v>46</v>
      </c>
      <c r="B49" s="1130" t="e">
        <f ca="1"/>
        <v>#NAME?</v>
      </c>
      <c r="C49" s="1129" t="e">
        <f ca="1"/>
        <v>#N/A</v>
      </c>
      <c r="D49" s="1128" t="e">
        <f t="shared" ca="1" si="5"/>
        <v>#N/A</v>
      </c>
      <c r="E49" s="1128" t="e">
        <f ca="1"/>
        <v>#NAME?</v>
      </c>
      <c r="F49" s="1128" t="e">
        <f t="shared" ca="1" si="6"/>
        <v>#N/A</v>
      </c>
      <c r="G49" s="1128" t="e">
        <f t="shared" ca="1" si="8"/>
        <v>#NAME?</v>
      </c>
      <c r="H49" s="1127" t="e">
        <f t="shared" ca="1" si="9"/>
        <v>#NAME?</v>
      </c>
      <c r="I49" s="1126" t="e">
        <f t="shared" ca="1" si="7"/>
        <v>#NAME?</v>
      </c>
    </row>
    <row r="50" spans="1:9" x14ac:dyDescent="0.2">
      <c r="A50" s="1120">
        <v>47</v>
      </c>
      <c r="B50" s="1130" t="e">
        <f ca="1"/>
        <v>#NAME?</v>
      </c>
      <c r="C50" s="1129" t="e">
        <f ca="1"/>
        <v>#N/A</v>
      </c>
      <c r="D50" s="1128" t="e">
        <f t="shared" ca="1" si="5"/>
        <v>#N/A</v>
      </c>
      <c r="E50" s="1128" t="e">
        <f ca="1"/>
        <v>#NAME?</v>
      </c>
      <c r="F50" s="1128" t="e">
        <f t="shared" ca="1" si="6"/>
        <v>#N/A</v>
      </c>
      <c r="G50" s="1128" t="e">
        <f t="shared" ca="1" si="8"/>
        <v>#NAME?</v>
      </c>
      <c r="H50" s="1127" t="e">
        <f t="shared" ca="1" si="9"/>
        <v>#NAME?</v>
      </c>
      <c r="I50" s="1126" t="e">
        <f t="shared" ca="1" si="7"/>
        <v>#NAME?</v>
      </c>
    </row>
    <row r="51" spans="1:9" x14ac:dyDescent="0.2">
      <c r="A51" s="1120">
        <v>48</v>
      </c>
      <c r="B51" s="1130" t="e">
        <f ca="1"/>
        <v>#NAME?</v>
      </c>
      <c r="C51" s="1129" t="e">
        <f ca="1"/>
        <v>#N/A</v>
      </c>
      <c r="D51" s="1128" t="e">
        <f t="shared" ca="1" si="5"/>
        <v>#N/A</v>
      </c>
      <c r="E51" s="1128" t="e">
        <f ca="1"/>
        <v>#NAME?</v>
      </c>
      <c r="F51" s="1128" t="e">
        <f t="shared" ca="1" si="6"/>
        <v>#N/A</v>
      </c>
      <c r="G51" s="1128" t="e">
        <f t="shared" ca="1" si="8"/>
        <v>#NAME?</v>
      </c>
      <c r="H51" s="1127" t="e">
        <f t="shared" ca="1" si="9"/>
        <v>#NAME?</v>
      </c>
      <c r="I51" s="1126" t="e">
        <f t="shared" ca="1" si="7"/>
        <v>#NAME?</v>
      </c>
    </row>
    <row r="52" spans="1:9" x14ac:dyDescent="0.2">
      <c r="A52" s="1120">
        <v>49</v>
      </c>
      <c r="B52" s="1130" t="e">
        <f ca="1"/>
        <v>#NAME?</v>
      </c>
      <c r="C52" s="1129" t="e">
        <f ca="1"/>
        <v>#N/A</v>
      </c>
      <c r="D52" s="1128" t="e">
        <f t="shared" ca="1" si="5"/>
        <v>#N/A</v>
      </c>
      <c r="E52" s="1128" t="e">
        <f ca="1"/>
        <v>#NAME?</v>
      </c>
      <c r="F52" s="1128" t="e">
        <f t="shared" ca="1" si="6"/>
        <v>#N/A</v>
      </c>
      <c r="G52" s="1128" t="e">
        <f t="shared" ca="1" si="8"/>
        <v>#NAME?</v>
      </c>
      <c r="H52" s="1127" t="e">
        <f t="shared" ca="1" si="9"/>
        <v>#NAME?</v>
      </c>
      <c r="I52" s="1126" t="e">
        <f t="shared" ca="1" si="7"/>
        <v>#NAME?</v>
      </c>
    </row>
    <row r="53" spans="1:9" x14ac:dyDescent="0.2">
      <c r="A53" s="1120">
        <v>50</v>
      </c>
      <c r="B53" s="1130" t="e">
        <f ca="1"/>
        <v>#NAME?</v>
      </c>
      <c r="C53" s="1129" t="e">
        <f ca="1"/>
        <v>#N/A</v>
      </c>
      <c r="D53" s="1128" t="e">
        <f t="shared" ca="1" si="5"/>
        <v>#N/A</v>
      </c>
      <c r="E53" s="1128" t="e">
        <f ca="1"/>
        <v>#NAME?</v>
      </c>
      <c r="F53" s="1128" t="e">
        <f t="shared" ca="1" si="6"/>
        <v>#N/A</v>
      </c>
      <c r="G53" s="1128" t="e">
        <f t="shared" ca="1" si="8"/>
        <v>#NAME?</v>
      </c>
      <c r="H53" s="1127" t="e">
        <f t="shared" ca="1" si="9"/>
        <v>#NAME?</v>
      </c>
      <c r="I53" s="1126" t="e">
        <f t="shared" ca="1" si="7"/>
        <v>#NAME?</v>
      </c>
    </row>
    <row r="54" spans="1:9" x14ac:dyDescent="0.2">
      <c r="A54" s="1120">
        <v>51</v>
      </c>
      <c r="B54" s="1130" t="e">
        <f ca="1"/>
        <v>#NAME?</v>
      </c>
      <c r="C54" s="1129" t="e">
        <f ca="1"/>
        <v>#N/A</v>
      </c>
      <c r="D54" s="1128" t="e">
        <f t="shared" ca="1" si="5"/>
        <v>#N/A</v>
      </c>
      <c r="E54" s="1128" t="e">
        <f ca="1"/>
        <v>#NAME?</v>
      </c>
      <c r="F54" s="1128" t="e">
        <f t="shared" ca="1" si="6"/>
        <v>#N/A</v>
      </c>
      <c r="G54" s="1128" t="e">
        <f t="shared" ca="1" si="8"/>
        <v>#NAME?</v>
      </c>
      <c r="H54" s="1127" t="e">
        <f t="shared" ca="1" si="9"/>
        <v>#NAME?</v>
      </c>
      <c r="I54" s="1126" t="e">
        <f t="shared" ca="1" si="7"/>
        <v>#NAME?</v>
      </c>
    </row>
    <row r="55" spans="1:9" x14ac:dyDescent="0.2">
      <c r="A55" s="1120">
        <v>52</v>
      </c>
      <c r="B55" s="1130" t="e">
        <f ca="1"/>
        <v>#NAME?</v>
      </c>
      <c r="C55" s="1129" t="e">
        <f ca="1"/>
        <v>#N/A</v>
      </c>
      <c r="D55" s="1128" t="e">
        <f t="shared" ca="1" si="5"/>
        <v>#N/A</v>
      </c>
      <c r="E55" s="1128" t="e">
        <f ca="1"/>
        <v>#NAME?</v>
      </c>
      <c r="F55" s="1128" t="e">
        <f t="shared" ca="1" si="6"/>
        <v>#N/A</v>
      </c>
      <c r="G55" s="1128" t="e">
        <f t="shared" ca="1" si="8"/>
        <v>#NAME?</v>
      </c>
      <c r="H55" s="1127" t="e">
        <f t="shared" ca="1" si="9"/>
        <v>#NAME?</v>
      </c>
      <c r="I55" s="1126" t="e">
        <f t="shared" ca="1" si="7"/>
        <v>#NAME?</v>
      </c>
    </row>
    <row r="56" spans="1:9" x14ac:dyDescent="0.2">
      <c r="A56" s="1120">
        <v>53</v>
      </c>
      <c r="B56" s="1130" t="e">
        <f ca="1"/>
        <v>#NAME?</v>
      </c>
      <c r="C56" s="1129" t="e">
        <f ca="1"/>
        <v>#N/A</v>
      </c>
      <c r="D56" s="1128" t="e">
        <f t="shared" ca="1" si="5"/>
        <v>#N/A</v>
      </c>
      <c r="E56" s="1128" t="e">
        <f ca="1"/>
        <v>#NAME?</v>
      </c>
      <c r="F56" s="1128" t="e">
        <f t="shared" ca="1" si="6"/>
        <v>#N/A</v>
      </c>
      <c r="G56" s="1128" t="e">
        <f t="shared" ca="1" si="8"/>
        <v>#NAME?</v>
      </c>
      <c r="H56" s="1127" t="e">
        <f t="shared" ca="1" si="9"/>
        <v>#NAME?</v>
      </c>
      <c r="I56" s="1126" t="e">
        <f t="shared" ca="1" si="7"/>
        <v>#NAME?</v>
      </c>
    </row>
    <row r="57" spans="1:9" x14ac:dyDescent="0.2">
      <c r="A57" s="1120">
        <v>54</v>
      </c>
      <c r="B57" s="1130" t="e">
        <f ca="1"/>
        <v>#NAME?</v>
      </c>
      <c r="C57" s="1129" t="e">
        <f ca="1"/>
        <v>#N/A</v>
      </c>
      <c r="D57" s="1128" t="e">
        <f t="shared" ca="1" si="5"/>
        <v>#N/A</v>
      </c>
      <c r="E57" s="1128" t="e">
        <f ca="1"/>
        <v>#NAME?</v>
      </c>
      <c r="F57" s="1128" t="e">
        <f t="shared" ca="1" si="6"/>
        <v>#N/A</v>
      </c>
      <c r="G57" s="1128" t="e">
        <f t="shared" ca="1" si="8"/>
        <v>#NAME?</v>
      </c>
      <c r="H57" s="1127" t="e">
        <f t="shared" ca="1" si="9"/>
        <v>#NAME?</v>
      </c>
      <c r="I57" s="1126" t="e">
        <f t="shared" ca="1" si="7"/>
        <v>#NAME?</v>
      </c>
    </row>
    <row r="58" spans="1:9" x14ac:dyDescent="0.2">
      <c r="A58" s="1120">
        <v>55</v>
      </c>
      <c r="B58" s="1130" t="e">
        <f ca="1"/>
        <v>#NAME?</v>
      </c>
      <c r="C58" s="1129" t="e">
        <f ca="1"/>
        <v>#N/A</v>
      </c>
      <c r="D58" s="1128" t="e">
        <f t="shared" ca="1" si="5"/>
        <v>#N/A</v>
      </c>
      <c r="E58" s="1128" t="e">
        <f ca="1"/>
        <v>#NAME?</v>
      </c>
      <c r="F58" s="1128" t="e">
        <f t="shared" ca="1" si="6"/>
        <v>#N/A</v>
      </c>
      <c r="G58" s="1128" t="e">
        <f t="shared" ca="1" si="8"/>
        <v>#NAME?</v>
      </c>
      <c r="H58" s="1127" t="e">
        <f t="shared" ca="1" si="9"/>
        <v>#NAME?</v>
      </c>
      <c r="I58" s="1126" t="e">
        <f t="shared" ca="1" si="7"/>
        <v>#NAME?</v>
      </c>
    </row>
    <row r="59" spans="1:9" x14ac:dyDescent="0.2">
      <c r="A59" s="1120">
        <v>56</v>
      </c>
      <c r="B59" s="1130" t="e">
        <f ca="1"/>
        <v>#NAME?</v>
      </c>
      <c r="C59" s="1129" t="e">
        <f ca="1"/>
        <v>#N/A</v>
      </c>
      <c r="D59" s="1128" t="e">
        <f t="shared" ca="1" si="5"/>
        <v>#N/A</v>
      </c>
      <c r="E59" s="1128" t="e">
        <f ca="1"/>
        <v>#NAME?</v>
      </c>
      <c r="F59" s="1128" t="e">
        <f t="shared" ca="1" si="6"/>
        <v>#N/A</v>
      </c>
      <c r="G59" s="1128" t="e">
        <f t="shared" ca="1" si="8"/>
        <v>#NAME?</v>
      </c>
      <c r="H59" s="1127" t="e">
        <f t="shared" ca="1" si="9"/>
        <v>#NAME?</v>
      </c>
      <c r="I59" s="1126" t="e">
        <f t="shared" ca="1" si="7"/>
        <v>#NAME?</v>
      </c>
    </row>
    <row r="60" spans="1:9" x14ac:dyDescent="0.2">
      <c r="A60" s="1120">
        <v>57</v>
      </c>
      <c r="B60" s="1130" t="e">
        <f ca="1"/>
        <v>#NAME?</v>
      </c>
      <c r="C60" s="1129" t="e">
        <f ca="1"/>
        <v>#N/A</v>
      </c>
      <c r="D60" s="1128" t="e">
        <f t="shared" ca="1" si="5"/>
        <v>#N/A</v>
      </c>
      <c r="E60" s="1128" t="e">
        <f ca="1"/>
        <v>#NAME?</v>
      </c>
      <c r="F60" s="1128" t="e">
        <f t="shared" ca="1" si="6"/>
        <v>#N/A</v>
      </c>
      <c r="G60" s="1128" t="e">
        <f t="shared" ca="1" si="8"/>
        <v>#NAME?</v>
      </c>
      <c r="H60" s="1127" t="e">
        <f t="shared" ca="1" si="9"/>
        <v>#NAME?</v>
      </c>
      <c r="I60" s="1126" t="e">
        <f t="shared" ca="1" si="7"/>
        <v>#NAME?</v>
      </c>
    </row>
    <row r="61" spans="1:9" x14ac:dyDescent="0.2">
      <c r="A61" s="1120">
        <v>58</v>
      </c>
      <c r="B61" s="1130" t="e">
        <f ca="1"/>
        <v>#NAME?</v>
      </c>
      <c r="C61" s="1129" t="e">
        <f ca="1"/>
        <v>#N/A</v>
      </c>
      <c r="D61" s="1128" t="e">
        <f t="shared" ca="1" si="5"/>
        <v>#N/A</v>
      </c>
      <c r="E61" s="1128" t="e">
        <f ca="1"/>
        <v>#NAME?</v>
      </c>
      <c r="F61" s="1128" t="e">
        <f t="shared" ca="1" si="6"/>
        <v>#N/A</v>
      </c>
      <c r="G61" s="1128" t="e">
        <f t="shared" ca="1" si="8"/>
        <v>#NAME?</v>
      </c>
      <c r="H61" s="1127" t="e">
        <f t="shared" ca="1" si="9"/>
        <v>#NAME?</v>
      </c>
      <c r="I61" s="1126" t="e">
        <f t="shared" ca="1" si="7"/>
        <v>#NAME?</v>
      </c>
    </row>
    <row r="62" spans="1:9" x14ac:dyDescent="0.2">
      <c r="A62" s="1120">
        <v>59</v>
      </c>
      <c r="B62" s="1130" t="e">
        <f ca="1"/>
        <v>#NAME?</v>
      </c>
      <c r="C62" s="1129" t="e">
        <f ca="1"/>
        <v>#N/A</v>
      </c>
      <c r="D62" s="1128" t="e">
        <f t="shared" ca="1" si="5"/>
        <v>#N/A</v>
      </c>
      <c r="E62" s="1128" t="e">
        <f ca="1"/>
        <v>#NAME?</v>
      </c>
      <c r="F62" s="1128" t="e">
        <f t="shared" ca="1" si="6"/>
        <v>#N/A</v>
      </c>
      <c r="G62" s="1128" t="e">
        <f t="shared" ca="1" si="8"/>
        <v>#NAME?</v>
      </c>
      <c r="H62" s="1127" t="e">
        <f t="shared" ca="1" si="9"/>
        <v>#NAME?</v>
      </c>
      <c r="I62" s="1126" t="e">
        <f t="shared" ca="1" si="7"/>
        <v>#NAME?</v>
      </c>
    </row>
    <row r="63" spans="1:9" x14ac:dyDescent="0.2">
      <c r="A63" s="1120">
        <v>60</v>
      </c>
      <c r="B63" s="1130" t="e">
        <f ca="1"/>
        <v>#NAME?</v>
      </c>
      <c r="C63" s="1129" t="e">
        <f ca="1"/>
        <v>#N/A</v>
      </c>
      <c r="D63" s="1128" t="e">
        <f t="shared" ca="1" si="5"/>
        <v>#N/A</v>
      </c>
      <c r="E63" s="1128" t="e">
        <f ca="1"/>
        <v>#NAME?</v>
      </c>
      <c r="F63" s="1128" t="e">
        <f t="shared" ca="1" si="6"/>
        <v>#N/A</v>
      </c>
      <c r="G63" s="1128" t="e">
        <f t="shared" ca="1" si="8"/>
        <v>#NAME?</v>
      </c>
      <c r="H63" s="1127" t="e">
        <f t="shared" ca="1" si="9"/>
        <v>#NAME?</v>
      </c>
      <c r="I63" s="1126" t="e">
        <f t="shared" ca="1" si="7"/>
        <v>#NAME?</v>
      </c>
    </row>
    <row r="64" spans="1:9" x14ac:dyDescent="0.2">
      <c r="A64" s="1120">
        <v>61</v>
      </c>
      <c r="B64" s="1130" t="e">
        <f ca="1"/>
        <v>#NAME?</v>
      </c>
      <c r="C64" s="1129" t="e">
        <f ca="1"/>
        <v>#N/A</v>
      </c>
      <c r="D64" s="1128" t="e">
        <f t="shared" ca="1" si="5"/>
        <v>#N/A</v>
      </c>
      <c r="E64" s="1128" t="e">
        <f ca="1"/>
        <v>#NAME?</v>
      </c>
      <c r="F64" s="1128" t="e">
        <f t="shared" ca="1" si="6"/>
        <v>#N/A</v>
      </c>
      <c r="G64" s="1128" t="e">
        <f t="shared" ca="1" si="8"/>
        <v>#NAME?</v>
      </c>
      <c r="H64" s="1127" t="e">
        <f t="shared" ca="1" si="9"/>
        <v>#NAME?</v>
      </c>
      <c r="I64" s="1126" t="e">
        <f t="shared" ca="1" si="7"/>
        <v>#NAME?</v>
      </c>
    </row>
    <row r="65" spans="1:9" x14ac:dyDescent="0.2">
      <c r="A65" s="1120">
        <v>62</v>
      </c>
      <c r="B65" s="1130" t="e">
        <f ca="1"/>
        <v>#NAME?</v>
      </c>
      <c r="C65" s="1129" t="e">
        <f ca="1"/>
        <v>#N/A</v>
      </c>
      <c r="D65" s="1128" t="e">
        <f t="shared" ca="1" si="5"/>
        <v>#N/A</v>
      </c>
      <c r="E65" s="1128" t="e">
        <f ca="1"/>
        <v>#NAME?</v>
      </c>
      <c r="F65" s="1128" t="e">
        <f t="shared" ca="1" si="6"/>
        <v>#N/A</v>
      </c>
      <c r="G65" s="1128" t="e">
        <f t="shared" ca="1" si="8"/>
        <v>#NAME?</v>
      </c>
      <c r="H65" s="1127" t="e">
        <f t="shared" ca="1" si="9"/>
        <v>#NAME?</v>
      </c>
      <c r="I65" s="1126" t="e">
        <f t="shared" ca="1" si="7"/>
        <v>#NAME?</v>
      </c>
    </row>
    <row r="66" spans="1:9" x14ac:dyDescent="0.2">
      <c r="A66" s="1120">
        <v>63</v>
      </c>
      <c r="B66" s="1130" t="e">
        <f ca="1"/>
        <v>#NAME?</v>
      </c>
      <c r="C66" s="1129" t="e">
        <f ca="1"/>
        <v>#N/A</v>
      </c>
      <c r="D66" s="1128" t="e">
        <f t="shared" ca="1" si="5"/>
        <v>#N/A</v>
      </c>
      <c r="E66" s="1128" t="e">
        <f ca="1"/>
        <v>#NAME?</v>
      </c>
      <c r="F66" s="1128" t="e">
        <f t="shared" ca="1" si="6"/>
        <v>#N/A</v>
      </c>
      <c r="G66" s="1128" t="e">
        <f t="shared" ca="1" si="8"/>
        <v>#NAME?</v>
      </c>
      <c r="H66" s="1127" t="e">
        <f t="shared" ca="1" si="9"/>
        <v>#NAME?</v>
      </c>
      <c r="I66" s="1126" t="e">
        <f t="shared" ca="1" si="7"/>
        <v>#NAME?</v>
      </c>
    </row>
    <row r="67" spans="1:9" x14ac:dyDescent="0.2">
      <c r="A67" s="1120">
        <v>64</v>
      </c>
      <c r="B67" s="1130" t="e">
        <f ca="1"/>
        <v>#NAME?</v>
      </c>
      <c r="C67" s="1129" t="e">
        <f ca="1"/>
        <v>#N/A</v>
      </c>
      <c r="D67" s="1128" t="e">
        <f t="shared" ca="1" si="5"/>
        <v>#N/A</v>
      </c>
      <c r="E67" s="1128" t="e">
        <f ca="1"/>
        <v>#NAME?</v>
      </c>
      <c r="F67" s="1128" t="e">
        <f t="shared" ca="1" si="6"/>
        <v>#N/A</v>
      </c>
      <c r="G67" s="1128" t="e">
        <f t="shared" ca="1" si="8"/>
        <v>#NAME?</v>
      </c>
      <c r="H67" s="1127" t="e">
        <f t="shared" ca="1" si="9"/>
        <v>#NAME?</v>
      </c>
      <c r="I67" s="1126" t="e">
        <f t="shared" ca="1" si="7"/>
        <v>#NAME?</v>
      </c>
    </row>
    <row r="68" spans="1:9" x14ac:dyDescent="0.2">
      <c r="A68" s="1120">
        <v>65</v>
      </c>
      <c r="B68" s="1130" t="e">
        <f ca="1"/>
        <v>#NAME?</v>
      </c>
      <c r="C68" s="1129" t="e">
        <f ca="1"/>
        <v>#N/A</v>
      </c>
      <c r="D68" s="1128" t="e">
        <f t="shared" ref="D68:D99" ca="1" si="10">IF(ISNUMBER($B69),FirstNominal,NA())</f>
        <v>#N/A</v>
      </c>
      <c r="E68" s="1128" t="e">
        <f ca="1"/>
        <v>#NAME?</v>
      </c>
      <c r="F68" s="1128" t="e">
        <f t="shared" ref="F68:F99" ca="1" si="11">IF(ISNUMBER($B69),FirstNominal,NA())</f>
        <v>#N/A</v>
      </c>
      <c r="G68" s="1128" t="e">
        <f t="shared" ca="1" si="8"/>
        <v>#NAME?</v>
      </c>
      <c r="H68" s="1127" t="e">
        <f t="shared" ca="1" si="9"/>
        <v>#NAME?</v>
      </c>
      <c r="I68" s="1126" t="e">
        <f t="shared" ref="I68:I99" ca="1" si="12">PPMT(Rate,$A68,Payments,FirstNominal)</f>
        <v>#NAME?</v>
      </c>
    </row>
    <row r="69" spans="1:9" x14ac:dyDescent="0.2">
      <c r="A69" s="1120">
        <v>66</v>
      </c>
      <c r="B69" s="1130" t="e">
        <f ca="1"/>
        <v>#NAME?</v>
      </c>
      <c r="C69" s="1129" t="e">
        <f ca="1"/>
        <v>#N/A</v>
      </c>
      <c r="D69" s="1128" t="e">
        <f t="shared" ca="1" si="10"/>
        <v>#N/A</v>
      </c>
      <c r="E69" s="1128" t="e">
        <f ca="1"/>
        <v>#NAME?</v>
      </c>
      <c r="F69" s="1128" t="e">
        <f t="shared" ca="1" si="11"/>
        <v>#N/A</v>
      </c>
      <c r="G69" s="1128" t="e">
        <f t="shared" ref="G69:G100" ca="1" si="13">IF(ISNA($B70),NA(),MAX(G68-StepDecrement,0))</f>
        <v>#NAME?</v>
      </c>
      <c r="H69" s="1127" t="e">
        <f t="shared" ref="H69:H100" ca="1" si="14">IF(ISNA($B70),NA(),H68+I68)</f>
        <v>#NAME?</v>
      </c>
      <c r="I69" s="1126" t="e">
        <f t="shared" ca="1" si="12"/>
        <v>#NAME?</v>
      </c>
    </row>
    <row r="70" spans="1:9" x14ac:dyDescent="0.2">
      <c r="A70" s="1120">
        <v>67</v>
      </c>
      <c r="B70" s="1130" t="e">
        <f ca="1"/>
        <v>#NAME?</v>
      </c>
      <c r="C70" s="1129" t="e">
        <f ca="1"/>
        <v>#N/A</v>
      </c>
      <c r="D70" s="1128" t="e">
        <f t="shared" ca="1" si="10"/>
        <v>#N/A</v>
      </c>
      <c r="E70" s="1128" t="e">
        <f ca="1"/>
        <v>#NAME?</v>
      </c>
      <c r="F70" s="1128" t="e">
        <f t="shared" ca="1" si="11"/>
        <v>#N/A</v>
      </c>
      <c r="G70" s="1128" t="e">
        <f t="shared" ca="1" si="13"/>
        <v>#NAME?</v>
      </c>
      <c r="H70" s="1127" t="e">
        <f t="shared" ca="1" si="14"/>
        <v>#NAME?</v>
      </c>
      <c r="I70" s="1126" t="e">
        <f t="shared" ca="1" si="12"/>
        <v>#NAME?</v>
      </c>
    </row>
    <row r="71" spans="1:9" x14ac:dyDescent="0.2">
      <c r="A71" s="1120">
        <v>68</v>
      </c>
      <c r="B71" s="1130" t="e">
        <f ca="1"/>
        <v>#NAME?</v>
      </c>
      <c r="C71" s="1129" t="e">
        <f ca="1"/>
        <v>#N/A</v>
      </c>
      <c r="D71" s="1128" t="e">
        <f t="shared" ca="1" si="10"/>
        <v>#N/A</v>
      </c>
      <c r="E71" s="1128" t="e">
        <f ca="1"/>
        <v>#NAME?</v>
      </c>
      <c r="F71" s="1128" t="e">
        <f t="shared" ca="1" si="11"/>
        <v>#N/A</v>
      </c>
      <c r="G71" s="1128" t="e">
        <f t="shared" ca="1" si="13"/>
        <v>#NAME?</v>
      </c>
      <c r="H71" s="1127" t="e">
        <f t="shared" ca="1" si="14"/>
        <v>#NAME?</v>
      </c>
      <c r="I71" s="1126" t="e">
        <f t="shared" ca="1" si="12"/>
        <v>#NAME?</v>
      </c>
    </row>
    <row r="72" spans="1:9" x14ac:dyDescent="0.2">
      <c r="A72" s="1120">
        <v>69</v>
      </c>
      <c r="B72" s="1130" t="e">
        <f ca="1"/>
        <v>#NAME?</v>
      </c>
      <c r="C72" s="1129" t="e">
        <f ca="1"/>
        <v>#N/A</v>
      </c>
      <c r="D72" s="1128" t="e">
        <f t="shared" ca="1" si="10"/>
        <v>#N/A</v>
      </c>
      <c r="E72" s="1128" t="e">
        <f ca="1"/>
        <v>#NAME?</v>
      </c>
      <c r="F72" s="1128" t="e">
        <f t="shared" ca="1" si="11"/>
        <v>#N/A</v>
      </c>
      <c r="G72" s="1128" t="e">
        <f t="shared" ca="1" si="13"/>
        <v>#NAME?</v>
      </c>
      <c r="H72" s="1127" t="e">
        <f t="shared" ca="1" si="14"/>
        <v>#NAME?</v>
      </c>
      <c r="I72" s="1126" t="e">
        <f t="shared" ca="1" si="12"/>
        <v>#NAME?</v>
      </c>
    </row>
    <row r="73" spans="1:9" x14ac:dyDescent="0.2">
      <c r="A73" s="1120">
        <v>70</v>
      </c>
      <c r="B73" s="1130" t="e">
        <f ca="1"/>
        <v>#NAME?</v>
      </c>
      <c r="C73" s="1129" t="e">
        <f ca="1"/>
        <v>#N/A</v>
      </c>
      <c r="D73" s="1128" t="e">
        <f t="shared" ca="1" si="10"/>
        <v>#N/A</v>
      </c>
      <c r="E73" s="1128" t="e">
        <f ca="1"/>
        <v>#NAME?</v>
      </c>
      <c r="F73" s="1128" t="e">
        <f t="shared" ca="1" si="11"/>
        <v>#N/A</v>
      </c>
      <c r="G73" s="1128" t="e">
        <f t="shared" ca="1" si="13"/>
        <v>#NAME?</v>
      </c>
      <c r="H73" s="1127" t="e">
        <f t="shared" ca="1" si="14"/>
        <v>#NAME?</v>
      </c>
      <c r="I73" s="1126" t="e">
        <f t="shared" ca="1" si="12"/>
        <v>#NAME?</v>
      </c>
    </row>
    <row r="74" spans="1:9" x14ac:dyDescent="0.2">
      <c r="A74" s="1120">
        <v>71</v>
      </c>
      <c r="B74" s="1130" t="e">
        <f ca="1"/>
        <v>#NAME?</v>
      </c>
      <c r="C74" s="1129" t="e">
        <f ca="1"/>
        <v>#N/A</v>
      </c>
      <c r="D74" s="1128" t="e">
        <f t="shared" ca="1" si="10"/>
        <v>#N/A</v>
      </c>
      <c r="E74" s="1128" t="e">
        <f ca="1"/>
        <v>#NAME?</v>
      </c>
      <c r="F74" s="1128" t="e">
        <f t="shared" ca="1" si="11"/>
        <v>#N/A</v>
      </c>
      <c r="G74" s="1128" t="e">
        <f t="shared" ca="1" si="13"/>
        <v>#NAME?</v>
      </c>
      <c r="H74" s="1127" t="e">
        <f t="shared" ca="1" si="14"/>
        <v>#NAME?</v>
      </c>
      <c r="I74" s="1126" t="e">
        <f t="shared" ca="1" si="12"/>
        <v>#NAME?</v>
      </c>
    </row>
    <row r="75" spans="1:9" x14ac:dyDescent="0.2">
      <c r="A75" s="1120">
        <v>72</v>
      </c>
      <c r="B75" s="1130" t="e">
        <f ca="1"/>
        <v>#NAME?</v>
      </c>
      <c r="C75" s="1129" t="e">
        <f ca="1"/>
        <v>#N/A</v>
      </c>
      <c r="D75" s="1128" t="e">
        <f t="shared" ca="1" si="10"/>
        <v>#N/A</v>
      </c>
      <c r="E75" s="1128" t="e">
        <f ca="1"/>
        <v>#NAME?</v>
      </c>
      <c r="F75" s="1128" t="e">
        <f t="shared" ca="1" si="11"/>
        <v>#N/A</v>
      </c>
      <c r="G75" s="1128" t="e">
        <f t="shared" ca="1" si="13"/>
        <v>#NAME?</v>
      </c>
      <c r="H75" s="1127" t="e">
        <f t="shared" ca="1" si="14"/>
        <v>#NAME?</v>
      </c>
      <c r="I75" s="1126" t="e">
        <f t="shared" ca="1" si="12"/>
        <v>#NAME?</v>
      </c>
    </row>
    <row r="76" spans="1:9" x14ac:dyDescent="0.2">
      <c r="A76" s="1120">
        <v>73</v>
      </c>
      <c r="B76" s="1130" t="e">
        <f ca="1"/>
        <v>#NAME?</v>
      </c>
      <c r="C76" s="1129" t="e">
        <f ca="1"/>
        <v>#N/A</v>
      </c>
      <c r="D76" s="1128" t="e">
        <f t="shared" ca="1" si="10"/>
        <v>#N/A</v>
      </c>
      <c r="E76" s="1128" t="e">
        <f ca="1"/>
        <v>#NAME?</v>
      </c>
      <c r="F76" s="1128" t="e">
        <f t="shared" ca="1" si="11"/>
        <v>#N/A</v>
      </c>
      <c r="G76" s="1128" t="e">
        <f t="shared" ca="1" si="13"/>
        <v>#NAME?</v>
      </c>
      <c r="H76" s="1127" t="e">
        <f t="shared" ca="1" si="14"/>
        <v>#NAME?</v>
      </c>
      <c r="I76" s="1126" t="e">
        <f t="shared" ca="1" si="12"/>
        <v>#NAME?</v>
      </c>
    </row>
    <row r="77" spans="1:9" x14ac:dyDescent="0.2">
      <c r="A77" s="1120">
        <v>74</v>
      </c>
      <c r="B77" s="1130" t="e">
        <f ca="1"/>
        <v>#NAME?</v>
      </c>
      <c r="C77" s="1129" t="e">
        <f ca="1"/>
        <v>#N/A</v>
      </c>
      <c r="D77" s="1128" t="e">
        <f t="shared" ca="1" si="10"/>
        <v>#N/A</v>
      </c>
      <c r="E77" s="1128" t="e">
        <f ca="1"/>
        <v>#NAME?</v>
      </c>
      <c r="F77" s="1128" t="e">
        <f t="shared" ca="1" si="11"/>
        <v>#N/A</v>
      </c>
      <c r="G77" s="1128" t="e">
        <f t="shared" ca="1" si="13"/>
        <v>#NAME?</v>
      </c>
      <c r="H77" s="1127" t="e">
        <f t="shared" ca="1" si="14"/>
        <v>#NAME?</v>
      </c>
      <c r="I77" s="1126" t="e">
        <f t="shared" ca="1" si="12"/>
        <v>#NAME?</v>
      </c>
    </row>
    <row r="78" spans="1:9" x14ac:dyDescent="0.2">
      <c r="A78" s="1120">
        <v>75</v>
      </c>
      <c r="B78" s="1130" t="e">
        <f ca="1"/>
        <v>#NAME?</v>
      </c>
      <c r="C78" s="1129" t="e">
        <f ca="1"/>
        <v>#N/A</v>
      </c>
      <c r="D78" s="1128" t="e">
        <f t="shared" ca="1" si="10"/>
        <v>#N/A</v>
      </c>
      <c r="E78" s="1128" t="e">
        <f ca="1"/>
        <v>#NAME?</v>
      </c>
      <c r="F78" s="1128" t="e">
        <f t="shared" ca="1" si="11"/>
        <v>#N/A</v>
      </c>
      <c r="G78" s="1128" t="e">
        <f t="shared" ca="1" si="13"/>
        <v>#NAME?</v>
      </c>
      <c r="H78" s="1127" t="e">
        <f t="shared" ca="1" si="14"/>
        <v>#NAME?</v>
      </c>
      <c r="I78" s="1126" t="e">
        <f t="shared" ca="1" si="12"/>
        <v>#NAME?</v>
      </c>
    </row>
    <row r="79" spans="1:9" x14ac:dyDescent="0.2">
      <c r="A79" s="1120">
        <v>76</v>
      </c>
      <c r="B79" s="1130" t="e">
        <f ca="1"/>
        <v>#NAME?</v>
      </c>
      <c r="C79" s="1129" t="e">
        <f ca="1"/>
        <v>#N/A</v>
      </c>
      <c r="D79" s="1128" t="e">
        <f t="shared" ca="1" si="10"/>
        <v>#N/A</v>
      </c>
      <c r="E79" s="1128" t="e">
        <f ca="1"/>
        <v>#NAME?</v>
      </c>
      <c r="F79" s="1128" t="e">
        <f t="shared" ca="1" si="11"/>
        <v>#N/A</v>
      </c>
      <c r="G79" s="1128" t="e">
        <f t="shared" ca="1" si="13"/>
        <v>#NAME?</v>
      </c>
      <c r="H79" s="1127" t="e">
        <f t="shared" ca="1" si="14"/>
        <v>#NAME?</v>
      </c>
      <c r="I79" s="1126" t="e">
        <f t="shared" ca="1" si="12"/>
        <v>#NAME?</v>
      </c>
    </row>
    <row r="80" spans="1:9" x14ac:dyDescent="0.2">
      <c r="A80" s="1120">
        <v>77</v>
      </c>
      <c r="B80" s="1130" t="e">
        <f ca="1"/>
        <v>#NAME?</v>
      </c>
      <c r="C80" s="1129" t="e">
        <f ca="1"/>
        <v>#N/A</v>
      </c>
      <c r="D80" s="1128" t="e">
        <f t="shared" ca="1" si="10"/>
        <v>#N/A</v>
      </c>
      <c r="E80" s="1128" t="e">
        <f ca="1"/>
        <v>#NAME?</v>
      </c>
      <c r="F80" s="1128" t="e">
        <f t="shared" ca="1" si="11"/>
        <v>#N/A</v>
      </c>
      <c r="G80" s="1128" t="e">
        <f t="shared" ca="1" si="13"/>
        <v>#NAME?</v>
      </c>
      <c r="H80" s="1127" t="e">
        <f t="shared" ca="1" si="14"/>
        <v>#NAME?</v>
      </c>
      <c r="I80" s="1126" t="e">
        <f t="shared" ca="1" si="12"/>
        <v>#NAME?</v>
      </c>
    </row>
    <row r="81" spans="1:9" x14ac:dyDescent="0.2">
      <c r="A81" s="1120">
        <v>78</v>
      </c>
      <c r="B81" s="1130" t="e">
        <f ca="1"/>
        <v>#NAME?</v>
      </c>
      <c r="C81" s="1129" t="e">
        <f ca="1"/>
        <v>#N/A</v>
      </c>
      <c r="D81" s="1128" t="e">
        <f t="shared" ca="1" si="10"/>
        <v>#N/A</v>
      </c>
      <c r="E81" s="1128" t="e">
        <f ca="1"/>
        <v>#NAME?</v>
      </c>
      <c r="F81" s="1128" t="e">
        <f t="shared" ca="1" si="11"/>
        <v>#N/A</v>
      </c>
      <c r="G81" s="1128" t="e">
        <f t="shared" ca="1" si="13"/>
        <v>#NAME?</v>
      </c>
      <c r="H81" s="1127" t="e">
        <f t="shared" ca="1" si="14"/>
        <v>#NAME?</v>
      </c>
      <c r="I81" s="1126" t="e">
        <f t="shared" ca="1" si="12"/>
        <v>#NAME?</v>
      </c>
    </row>
    <row r="82" spans="1:9" x14ac:dyDescent="0.2">
      <c r="A82" s="1120">
        <v>79</v>
      </c>
      <c r="B82" s="1130" t="e">
        <f ca="1"/>
        <v>#NAME?</v>
      </c>
      <c r="C82" s="1129" t="e">
        <f ca="1"/>
        <v>#N/A</v>
      </c>
      <c r="D82" s="1128" t="e">
        <f t="shared" ca="1" si="10"/>
        <v>#N/A</v>
      </c>
      <c r="E82" s="1128" t="e">
        <f ca="1"/>
        <v>#NAME?</v>
      </c>
      <c r="F82" s="1128" t="e">
        <f t="shared" ca="1" si="11"/>
        <v>#N/A</v>
      </c>
      <c r="G82" s="1128" t="e">
        <f t="shared" ca="1" si="13"/>
        <v>#NAME?</v>
      </c>
      <c r="H82" s="1127" t="e">
        <f t="shared" ca="1" si="14"/>
        <v>#NAME?</v>
      </c>
      <c r="I82" s="1126" t="e">
        <f t="shared" ca="1" si="12"/>
        <v>#NAME?</v>
      </c>
    </row>
    <row r="83" spans="1:9" x14ac:dyDescent="0.2">
      <c r="A83" s="1120">
        <v>80</v>
      </c>
      <c r="B83" s="1130" t="e">
        <f ca="1"/>
        <v>#NAME?</v>
      </c>
      <c r="C83" s="1129" t="e">
        <f ca="1"/>
        <v>#N/A</v>
      </c>
      <c r="D83" s="1128" t="e">
        <f t="shared" ca="1" si="10"/>
        <v>#N/A</v>
      </c>
      <c r="E83" s="1128" t="e">
        <f ca="1"/>
        <v>#NAME?</v>
      </c>
      <c r="F83" s="1128" t="e">
        <f t="shared" ca="1" si="11"/>
        <v>#N/A</v>
      </c>
      <c r="G83" s="1128" t="e">
        <f t="shared" ca="1" si="13"/>
        <v>#NAME?</v>
      </c>
      <c r="H83" s="1127" t="e">
        <f t="shared" ca="1" si="14"/>
        <v>#NAME?</v>
      </c>
      <c r="I83" s="1126" t="e">
        <f t="shared" ca="1" si="12"/>
        <v>#NAME?</v>
      </c>
    </row>
    <row r="84" spans="1:9" x14ac:dyDescent="0.2">
      <c r="A84" s="1120">
        <v>81</v>
      </c>
      <c r="B84" s="1130" t="e">
        <f ca="1"/>
        <v>#NAME?</v>
      </c>
      <c r="C84" s="1129" t="e">
        <f ca="1"/>
        <v>#N/A</v>
      </c>
      <c r="D84" s="1128" t="e">
        <f t="shared" ca="1" si="10"/>
        <v>#N/A</v>
      </c>
      <c r="E84" s="1128" t="e">
        <f ca="1"/>
        <v>#NAME?</v>
      </c>
      <c r="F84" s="1128" t="e">
        <f t="shared" ca="1" si="11"/>
        <v>#N/A</v>
      </c>
      <c r="G84" s="1128" t="e">
        <f t="shared" ca="1" si="13"/>
        <v>#NAME?</v>
      </c>
      <c r="H84" s="1127" t="e">
        <f t="shared" ca="1" si="14"/>
        <v>#NAME?</v>
      </c>
      <c r="I84" s="1126" t="e">
        <f t="shared" ca="1" si="12"/>
        <v>#NAME?</v>
      </c>
    </row>
    <row r="85" spans="1:9" x14ac:dyDescent="0.2">
      <c r="A85" s="1120">
        <v>82</v>
      </c>
      <c r="B85" s="1130" t="e">
        <f ca="1"/>
        <v>#NAME?</v>
      </c>
      <c r="C85" s="1129" t="e">
        <f ca="1"/>
        <v>#N/A</v>
      </c>
      <c r="D85" s="1128" t="e">
        <f t="shared" ca="1" si="10"/>
        <v>#N/A</v>
      </c>
      <c r="E85" s="1128" t="e">
        <f ca="1"/>
        <v>#NAME?</v>
      </c>
      <c r="F85" s="1128" t="e">
        <f t="shared" ca="1" si="11"/>
        <v>#N/A</v>
      </c>
      <c r="G85" s="1128" t="e">
        <f t="shared" ca="1" si="13"/>
        <v>#NAME?</v>
      </c>
      <c r="H85" s="1127" t="e">
        <f t="shared" ca="1" si="14"/>
        <v>#NAME?</v>
      </c>
      <c r="I85" s="1126" t="e">
        <f t="shared" ca="1" si="12"/>
        <v>#NAME?</v>
      </c>
    </row>
    <row r="86" spans="1:9" x14ac:dyDescent="0.2">
      <c r="A86" s="1120">
        <v>83</v>
      </c>
      <c r="B86" s="1130" t="e">
        <f ca="1"/>
        <v>#NAME?</v>
      </c>
      <c r="C86" s="1129" t="e">
        <f ca="1"/>
        <v>#N/A</v>
      </c>
      <c r="D86" s="1128" t="e">
        <f t="shared" ca="1" si="10"/>
        <v>#N/A</v>
      </c>
      <c r="E86" s="1128" t="e">
        <f ca="1"/>
        <v>#NAME?</v>
      </c>
      <c r="F86" s="1128" t="e">
        <f t="shared" ca="1" si="11"/>
        <v>#N/A</v>
      </c>
      <c r="G86" s="1128" t="e">
        <f t="shared" ca="1" si="13"/>
        <v>#NAME?</v>
      </c>
      <c r="H86" s="1127" t="e">
        <f t="shared" ca="1" si="14"/>
        <v>#NAME?</v>
      </c>
      <c r="I86" s="1126" t="e">
        <f t="shared" ca="1" si="12"/>
        <v>#NAME?</v>
      </c>
    </row>
    <row r="87" spans="1:9" x14ac:dyDescent="0.2">
      <c r="A87" s="1120">
        <v>84</v>
      </c>
      <c r="B87" s="1130" t="e">
        <f ca="1"/>
        <v>#NAME?</v>
      </c>
      <c r="C87" s="1129" t="e">
        <f ca="1"/>
        <v>#N/A</v>
      </c>
      <c r="D87" s="1128" t="e">
        <f t="shared" ca="1" si="10"/>
        <v>#N/A</v>
      </c>
      <c r="E87" s="1128" t="e">
        <f ca="1"/>
        <v>#NAME?</v>
      </c>
      <c r="F87" s="1128" t="e">
        <f t="shared" ca="1" si="11"/>
        <v>#N/A</v>
      </c>
      <c r="G87" s="1128" t="e">
        <f t="shared" ca="1" si="13"/>
        <v>#NAME?</v>
      </c>
      <c r="H87" s="1127" t="e">
        <f t="shared" ca="1" si="14"/>
        <v>#NAME?</v>
      </c>
      <c r="I87" s="1126" t="e">
        <f t="shared" ca="1" si="12"/>
        <v>#NAME?</v>
      </c>
    </row>
    <row r="88" spans="1:9" x14ac:dyDescent="0.2">
      <c r="A88" s="1120">
        <v>85</v>
      </c>
      <c r="B88" s="1130" t="e">
        <f ca="1"/>
        <v>#NAME?</v>
      </c>
      <c r="C88" s="1129" t="e">
        <f ca="1"/>
        <v>#N/A</v>
      </c>
      <c r="D88" s="1128" t="e">
        <f t="shared" ca="1" si="10"/>
        <v>#N/A</v>
      </c>
      <c r="E88" s="1128" t="e">
        <f ca="1"/>
        <v>#NAME?</v>
      </c>
      <c r="F88" s="1128" t="e">
        <f t="shared" ca="1" si="11"/>
        <v>#N/A</v>
      </c>
      <c r="G88" s="1128" t="e">
        <f t="shared" ca="1" si="13"/>
        <v>#NAME?</v>
      </c>
      <c r="H88" s="1127" t="e">
        <f t="shared" ca="1" si="14"/>
        <v>#NAME?</v>
      </c>
      <c r="I88" s="1126" t="e">
        <f t="shared" ca="1" si="12"/>
        <v>#NAME?</v>
      </c>
    </row>
    <row r="89" spans="1:9" x14ac:dyDescent="0.2">
      <c r="A89" s="1120">
        <v>86</v>
      </c>
      <c r="B89" s="1130" t="e">
        <f ca="1"/>
        <v>#NAME?</v>
      </c>
      <c r="C89" s="1129" t="e">
        <f ca="1"/>
        <v>#N/A</v>
      </c>
      <c r="D89" s="1128" t="e">
        <f t="shared" ca="1" si="10"/>
        <v>#N/A</v>
      </c>
      <c r="E89" s="1128" t="e">
        <f ca="1"/>
        <v>#NAME?</v>
      </c>
      <c r="F89" s="1128" t="e">
        <f t="shared" ca="1" si="11"/>
        <v>#N/A</v>
      </c>
      <c r="G89" s="1128" t="e">
        <f t="shared" ca="1" si="13"/>
        <v>#NAME?</v>
      </c>
      <c r="H89" s="1127" t="e">
        <f t="shared" ca="1" si="14"/>
        <v>#NAME?</v>
      </c>
      <c r="I89" s="1126" t="e">
        <f t="shared" ca="1" si="12"/>
        <v>#NAME?</v>
      </c>
    </row>
    <row r="90" spans="1:9" x14ac:dyDescent="0.2">
      <c r="A90" s="1120">
        <v>87</v>
      </c>
      <c r="B90" s="1130" t="e">
        <f ca="1"/>
        <v>#NAME?</v>
      </c>
      <c r="C90" s="1129" t="e">
        <f ca="1"/>
        <v>#N/A</v>
      </c>
      <c r="D90" s="1128" t="e">
        <f t="shared" ca="1" si="10"/>
        <v>#N/A</v>
      </c>
      <c r="E90" s="1128" t="e">
        <f ca="1"/>
        <v>#NAME?</v>
      </c>
      <c r="F90" s="1128" t="e">
        <f t="shared" ca="1" si="11"/>
        <v>#N/A</v>
      </c>
      <c r="G90" s="1128" t="e">
        <f t="shared" ca="1" si="13"/>
        <v>#NAME?</v>
      </c>
      <c r="H90" s="1127" t="e">
        <f t="shared" ca="1" si="14"/>
        <v>#NAME?</v>
      </c>
      <c r="I90" s="1126" t="e">
        <f t="shared" ca="1" si="12"/>
        <v>#NAME?</v>
      </c>
    </row>
    <row r="91" spans="1:9" x14ac:dyDescent="0.2">
      <c r="A91" s="1120">
        <v>88</v>
      </c>
      <c r="B91" s="1130" t="e">
        <f ca="1"/>
        <v>#NAME?</v>
      </c>
      <c r="C91" s="1129" t="e">
        <f ca="1"/>
        <v>#N/A</v>
      </c>
      <c r="D91" s="1128" t="e">
        <f t="shared" ca="1" si="10"/>
        <v>#N/A</v>
      </c>
      <c r="E91" s="1128" t="e">
        <f ca="1"/>
        <v>#NAME?</v>
      </c>
      <c r="F91" s="1128" t="e">
        <f t="shared" ca="1" si="11"/>
        <v>#N/A</v>
      </c>
      <c r="G91" s="1128" t="e">
        <f t="shared" ca="1" si="13"/>
        <v>#NAME?</v>
      </c>
      <c r="H91" s="1127" t="e">
        <f t="shared" ca="1" si="14"/>
        <v>#NAME?</v>
      </c>
      <c r="I91" s="1126" t="e">
        <f t="shared" ca="1" si="12"/>
        <v>#NAME?</v>
      </c>
    </row>
    <row r="92" spans="1:9" x14ac:dyDescent="0.2">
      <c r="A92" s="1120">
        <v>89</v>
      </c>
      <c r="B92" s="1130" t="e">
        <f ca="1"/>
        <v>#NAME?</v>
      </c>
      <c r="C92" s="1129" t="e">
        <f ca="1"/>
        <v>#N/A</v>
      </c>
      <c r="D92" s="1128" t="e">
        <f t="shared" ca="1" si="10"/>
        <v>#N/A</v>
      </c>
      <c r="E92" s="1128" t="e">
        <f ca="1"/>
        <v>#NAME?</v>
      </c>
      <c r="F92" s="1128" t="e">
        <f t="shared" ca="1" si="11"/>
        <v>#N/A</v>
      </c>
      <c r="G92" s="1128" t="e">
        <f t="shared" ca="1" si="13"/>
        <v>#NAME?</v>
      </c>
      <c r="H92" s="1127" t="e">
        <f t="shared" ca="1" si="14"/>
        <v>#NAME?</v>
      </c>
      <c r="I92" s="1126" t="e">
        <f t="shared" ca="1" si="12"/>
        <v>#NAME?</v>
      </c>
    </row>
    <row r="93" spans="1:9" x14ac:dyDescent="0.2">
      <c r="A93" s="1120">
        <v>90</v>
      </c>
      <c r="B93" s="1130" t="e">
        <f ca="1"/>
        <v>#NAME?</v>
      </c>
      <c r="C93" s="1129" t="e">
        <f ca="1"/>
        <v>#N/A</v>
      </c>
      <c r="D93" s="1128" t="e">
        <f t="shared" ca="1" si="10"/>
        <v>#N/A</v>
      </c>
      <c r="E93" s="1128" t="e">
        <f ca="1"/>
        <v>#NAME?</v>
      </c>
      <c r="F93" s="1128" t="e">
        <f t="shared" ca="1" si="11"/>
        <v>#N/A</v>
      </c>
      <c r="G93" s="1128" t="e">
        <f t="shared" ca="1" si="13"/>
        <v>#NAME?</v>
      </c>
      <c r="H93" s="1127" t="e">
        <f t="shared" ca="1" si="14"/>
        <v>#NAME?</v>
      </c>
      <c r="I93" s="1126" t="e">
        <f t="shared" ca="1" si="12"/>
        <v>#NAME?</v>
      </c>
    </row>
    <row r="94" spans="1:9" x14ac:dyDescent="0.2">
      <c r="A94" s="1120">
        <v>91</v>
      </c>
      <c r="B94" s="1130" t="e">
        <f ca="1"/>
        <v>#NAME?</v>
      </c>
      <c r="C94" s="1129" t="e">
        <f ca="1"/>
        <v>#N/A</v>
      </c>
      <c r="D94" s="1128" t="e">
        <f t="shared" ca="1" si="10"/>
        <v>#N/A</v>
      </c>
      <c r="E94" s="1128" t="e">
        <f ca="1"/>
        <v>#NAME?</v>
      </c>
      <c r="F94" s="1128" t="e">
        <f t="shared" ca="1" si="11"/>
        <v>#N/A</v>
      </c>
      <c r="G94" s="1128" t="e">
        <f t="shared" ca="1" si="13"/>
        <v>#NAME?</v>
      </c>
      <c r="H94" s="1127" t="e">
        <f t="shared" ca="1" si="14"/>
        <v>#NAME?</v>
      </c>
      <c r="I94" s="1126" t="e">
        <f t="shared" ca="1" si="12"/>
        <v>#NAME?</v>
      </c>
    </row>
    <row r="95" spans="1:9" x14ac:dyDescent="0.2">
      <c r="A95" s="1120">
        <v>92</v>
      </c>
      <c r="B95" s="1130" t="e">
        <f ca="1"/>
        <v>#NAME?</v>
      </c>
      <c r="C95" s="1129" t="e">
        <f ca="1"/>
        <v>#N/A</v>
      </c>
      <c r="D95" s="1128" t="e">
        <f t="shared" ca="1" si="10"/>
        <v>#N/A</v>
      </c>
      <c r="E95" s="1128" t="e">
        <f ca="1"/>
        <v>#NAME?</v>
      </c>
      <c r="F95" s="1128" t="e">
        <f t="shared" ca="1" si="11"/>
        <v>#N/A</v>
      </c>
      <c r="G95" s="1128" t="e">
        <f t="shared" ca="1" si="13"/>
        <v>#NAME?</v>
      </c>
      <c r="H95" s="1127" t="e">
        <f t="shared" ca="1" si="14"/>
        <v>#NAME?</v>
      </c>
      <c r="I95" s="1126" t="e">
        <f t="shared" ca="1" si="12"/>
        <v>#NAME?</v>
      </c>
    </row>
    <row r="96" spans="1:9" x14ac:dyDescent="0.2">
      <c r="A96" s="1120">
        <v>93</v>
      </c>
      <c r="B96" s="1130" t="e">
        <f ca="1"/>
        <v>#NAME?</v>
      </c>
      <c r="C96" s="1129" t="e">
        <f ca="1"/>
        <v>#N/A</v>
      </c>
      <c r="D96" s="1128" t="e">
        <f t="shared" ca="1" si="10"/>
        <v>#N/A</v>
      </c>
      <c r="E96" s="1128" t="e">
        <f ca="1"/>
        <v>#NAME?</v>
      </c>
      <c r="F96" s="1128" t="e">
        <f t="shared" ca="1" si="11"/>
        <v>#N/A</v>
      </c>
      <c r="G96" s="1128" t="e">
        <f t="shared" ca="1" si="13"/>
        <v>#NAME?</v>
      </c>
      <c r="H96" s="1127" t="e">
        <f t="shared" ca="1" si="14"/>
        <v>#NAME?</v>
      </c>
      <c r="I96" s="1126" t="e">
        <f t="shared" ca="1" si="12"/>
        <v>#NAME?</v>
      </c>
    </row>
    <row r="97" spans="1:9" x14ac:dyDescent="0.2">
      <c r="A97" s="1120">
        <v>94</v>
      </c>
      <c r="B97" s="1130" t="e">
        <f ca="1"/>
        <v>#NAME?</v>
      </c>
      <c r="C97" s="1129" t="e">
        <f ca="1"/>
        <v>#N/A</v>
      </c>
      <c r="D97" s="1128" t="e">
        <f t="shared" ca="1" si="10"/>
        <v>#N/A</v>
      </c>
      <c r="E97" s="1128" t="e">
        <f ca="1"/>
        <v>#NAME?</v>
      </c>
      <c r="F97" s="1128" t="e">
        <f t="shared" ca="1" si="11"/>
        <v>#N/A</v>
      </c>
      <c r="G97" s="1128" t="e">
        <f t="shared" ca="1" si="13"/>
        <v>#NAME?</v>
      </c>
      <c r="H97" s="1127" t="e">
        <f t="shared" ca="1" si="14"/>
        <v>#NAME?</v>
      </c>
      <c r="I97" s="1126" t="e">
        <f t="shared" ca="1" si="12"/>
        <v>#NAME?</v>
      </c>
    </row>
    <row r="98" spans="1:9" x14ac:dyDescent="0.2">
      <c r="A98" s="1120">
        <v>95</v>
      </c>
      <c r="B98" s="1130" t="e">
        <f ca="1"/>
        <v>#NAME?</v>
      </c>
      <c r="C98" s="1129" t="e">
        <f ca="1"/>
        <v>#N/A</v>
      </c>
      <c r="D98" s="1128" t="e">
        <f t="shared" ca="1" si="10"/>
        <v>#N/A</v>
      </c>
      <c r="E98" s="1128" t="e">
        <f ca="1"/>
        <v>#NAME?</v>
      </c>
      <c r="F98" s="1128" t="e">
        <f t="shared" ca="1" si="11"/>
        <v>#N/A</v>
      </c>
      <c r="G98" s="1128" t="e">
        <f t="shared" ca="1" si="13"/>
        <v>#NAME?</v>
      </c>
      <c r="H98" s="1127" t="e">
        <f t="shared" ca="1" si="14"/>
        <v>#NAME?</v>
      </c>
      <c r="I98" s="1126" t="e">
        <f t="shared" ca="1" si="12"/>
        <v>#NAME?</v>
      </c>
    </row>
    <row r="99" spans="1:9" x14ac:dyDescent="0.2">
      <c r="A99" s="1120">
        <v>96</v>
      </c>
      <c r="B99" s="1130" t="e">
        <f ca="1"/>
        <v>#NAME?</v>
      </c>
      <c r="C99" s="1129" t="e">
        <f ca="1"/>
        <v>#N/A</v>
      </c>
      <c r="D99" s="1128" t="e">
        <f t="shared" ca="1" si="10"/>
        <v>#N/A</v>
      </c>
      <c r="E99" s="1128" t="e">
        <f ca="1"/>
        <v>#NAME?</v>
      </c>
      <c r="F99" s="1128" t="e">
        <f t="shared" ca="1" si="11"/>
        <v>#N/A</v>
      </c>
      <c r="G99" s="1128" t="e">
        <f t="shared" ca="1" si="13"/>
        <v>#NAME?</v>
      </c>
      <c r="H99" s="1127" t="e">
        <f t="shared" ca="1" si="14"/>
        <v>#NAME?</v>
      </c>
      <c r="I99" s="1126" t="e">
        <f t="shared" ca="1" si="12"/>
        <v>#NAME?</v>
      </c>
    </row>
    <row r="100" spans="1:9" x14ac:dyDescent="0.2">
      <c r="A100" s="1120">
        <v>97</v>
      </c>
      <c r="B100" s="1130" t="e">
        <f ca="1"/>
        <v>#NAME?</v>
      </c>
      <c r="C100" s="1129" t="e">
        <f ca="1"/>
        <v>#N/A</v>
      </c>
      <c r="D100" s="1128" t="e">
        <f t="shared" ref="D100:D123" ca="1" si="15">IF(ISNUMBER($B101),FirstNominal,NA())</f>
        <v>#N/A</v>
      </c>
      <c r="E100" s="1128" t="e">
        <f ca="1"/>
        <v>#NAME?</v>
      </c>
      <c r="F100" s="1128" t="e">
        <f t="shared" ref="F100:F123" ca="1" si="16">IF(ISNUMBER($B101),FirstNominal,NA())</f>
        <v>#N/A</v>
      </c>
      <c r="G100" s="1128" t="e">
        <f t="shared" ca="1" si="13"/>
        <v>#NAME?</v>
      </c>
      <c r="H100" s="1127" t="e">
        <f t="shared" ca="1" si="14"/>
        <v>#NAME?</v>
      </c>
      <c r="I100" s="1126" t="e">
        <f t="shared" ref="I100:I123" ca="1" si="17">PPMT(Rate,$A100,Payments,FirstNominal)</f>
        <v>#NAME?</v>
      </c>
    </row>
    <row r="101" spans="1:9" x14ac:dyDescent="0.2">
      <c r="A101" s="1120">
        <v>98</v>
      </c>
      <c r="B101" s="1130" t="e">
        <f ca="1"/>
        <v>#NAME?</v>
      </c>
      <c r="C101" s="1129" t="e">
        <f ca="1"/>
        <v>#N/A</v>
      </c>
      <c r="D101" s="1128" t="e">
        <f t="shared" ca="1" si="15"/>
        <v>#N/A</v>
      </c>
      <c r="E101" s="1128" t="e">
        <f ca="1"/>
        <v>#NAME?</v>
      </c>
      <c r="F101" s="1128" t="e">
        <f t="shared" ca="1" si="16"/>
        <v>#N/A</v>
      </c>
      <c r="G101" s="1128" t="e">
        <f t="shared" ref="G101:G123" ca="1" si="18">IF(ISNA($B102),NA(),MAX(G100-StepDecrement,0))</f>
        <v>#NAME?</v>
      </c>
      <c r="H101" s="1127" t="e">
        <f t="shared" ref="H101:H123" ca="1" si="19">IF(ISNA($B102),NA(),H100+I100)</f>
        <v>#NAME?</v>
      </c>
      <c r="I101" s="1126" t="e">
        <f t="shared" ca="1" si="17"/>
        <v>#NAME?</v>
      </c>
    </row>
    <row r="102" spans="1:9" x14ac:dyDescent="0.2">
      <c r="A102" s="1120">
        <v>99</v>
      </c>
      <c r="B102" s="1130" t="e">
        <f ca="1"/>
        <v>#NAME?</v>
      </c>
      <c r="C102" s="1129" t="e">
        <f ca="1"/>
        <v>#N/A</v>
      </c>
      <c r="D102" s="1128" t="e">
        <f t="shared" ca="1" si="15"/>
        <v>#N/A</v>
      </c>
      <c r="E102" s="1128" t="e">
        <f ca="1"/>
        <v>#NAME?</v>
      </c>
      <c r="F102" s="1128" t="e">
        <f t="shared" ca="1" si="16"/>
        <v>#N/A</v>
      </c>
      <c r="G102" s="1128" t="e">
        <f t="shared" ca="1" si="18"/>
        <v>#NAME?</v>
      </c>
      <c r="H102" s="1127" t="e">
        <f t="shared" ca="1" si="19"/>
        <v>#NAME?</v>
      </c>
      <c r="I102" s="1126" t="e">
        <f t="shared" ca="1" si="17"/>
        <v>#NAME?</v>
      </c>
    </row>
    <row r="103" spans="1:9" x14ac:dyDescent="0.2">
      <c r="A103" s="1120">
        <v>100</v>
      </c>
      <c r="B103" s="1130" t="e">
        <f ca="1"/>
        <v>#NAME?</v>
      </c>
      <c r="C103" s="1129" t="e">
        <f ca="1"/>
        <v>#N/A</v>
      </c>
      <c r="D103" s="1128" t="e">
        <f t="shared" ca="1" si="15"/>
        <v>#N/A</v>
      </c>
      <c r="E103" s="1128" t="e">
        <f ca="1"/>
        <v>#NAME?</v>
      </c>
      <c r="F103" s="1128" t="e">
        <f t="shared" ca="1" si="16"/>
        <v>#N/A</v>
      </c>
      <c r="G103" s="1128" t="e">
        <f t="shared" ca="1" si="18"/>
        <v>#NAME?</v>
      </c>
      <c r="H103" s="1127" t="e">
        <f t="shared" ca="1" si="19"/>
        <v>#NAME?</v>
      </c>
      <c r="I103" s="1126" t="e">
        <f t="shared" ca="1" si="17"/>
        <v>#NAME?</v>
      </c>
    </row>
    <row r="104" spans="1:9" x14ac:dyDescent="0.2">
      <c r="A104" s="1120">
        <v>101</v>
      </c>
      <c r="B104" s="1130" t="e">
        <f ca="1"/>
        <v>#NAME?</v>
      </c>
      <c r="C104" s="1129" t="e">
        <f ca="1"/>
        <v>#N/A</v>
      </c>
      <c r="D104" s="1128" t="e">
        <f t="shared" ca="1" si="15"/>
        <v>#N/A</v>
      </c>
      <c r="E104" s="1128" t="e">
        <f ca="1"/>
        <v>#NAME?</v>
      </c>
      <c r="F104" s="1128" t="e">
        <f t="shared" ca="1" si="16"/>
        <v>#N/A</v>
      </c>
      <c r="G104" s="1128" t="e">
        <f t="shared" ca="1" si="18"/>
        <v>#NAME?</v>
      </c>
      <c r="H104" s="1127" t="e">
        <f t="shared" ca="1" si="19"/>
        <v>#NAME?</v>
      </c>
      <c r="I104" s="1126" t="e">
        <f t="shared" ca="1" si="17"/>
        <v>#NAME?</v>
      </c>
    </row>
    <row r="105" spans="1:9" x14ac:dyDescent="0.2">
      <c r="A105" s="1120">
        <v>102</v>
      </c>
      <c r="B105" s="1130" t="e">
        <f ca="1"/>
        <v>#NAME?</v>
      </c>
      <c r="C105" s="1129" t="e">
        <f ca="1"/>
        <v>#N/A</v>
      </c>
      <c r="D105" s="1128" t="e">
        <f t="shared" ca="1" si="15"/>
        <v>#N/A</v>
      </c>
      <c r="E105" s="1128" t="e">
        <f ca="1"/>
        <v>#NAME?</v>
      </c>
      <c r="F105" s="1128" t="e">
        <f t="shared" ca="1" si="16"/>
        <v>#N/A</v>
      </c>
      <c r="G105" s="1128" t="e">
        <f t="shared" ca="1" si="18"/>
        <v>#NAME?</v>
      </c>
      <c r="H105" s="1127" t="e">
        <f t="shared" ca="1" si="19"/>
        <v>#NAME?</v>
      </c>
      <c r="I105" s="1126" t="e">
        <f t="shared" ca="1" si="17"/>
        <v>#NAME?</v>
      </c>
    </row>
    <row r="106" spans="1:9" x14ac:dyDescent="0.2">
      <c r="A106" s="1120">
        <v>103</v>
      </c>
      <c r="B106" s="1130" t="e">
        <f ca="1"/>
        <v>#NAME?</v>
      </c>
      <c r="C106" s="1129" t="e">
        <f ca="1"/>
        <v>#N/A</v>
      </c>
      <c r="D106" s="1128" t="e">
        <f t="shared" ca="1" si="15"/>
        <v>#N/A</v>
      </c>
      <c r="E106" s="1128" t="e">
        <f ca="1"/>
        <v>#NAME?</v>
      </c>
      <c r="F106" s="1128" t="e">
        <f t="shared" ca="1" si="16"/>
        <v>#N/A</v>
      </c>
      <c r="G106" s="1128" t="e">
        <f t="shared" ca="1" si="18"/>
        <v>#NAME?</v>
      </c>
      <c r="H106" s="1127" t="e">
        <f t="shared" ca="1" si="19"/>
        <v>#NAME?</v>
      </c>
      <c r="I106" s="1126" t="e">
        <f t="shared" ca="1" si="17"/>
        <v>#NAME?</v>
      </c>
    </row>
    <row r="107" spans="1:9" x14ac:dyDescent="0.2">
      <c r="A107" s="1120">
        <v>104</v>
      </c>
      <c r="B107" s="1130" t="e">
        <f ca="1"/>
        <v>#NAME?</v>
      </c>
      <c r="C107" s="1129" t="e">
        <f ca="1"/>
        <v>#N/A</v>
      </c>
      <c r="D107" s="1128" t="e">
        <f t="shared" ca="1" si="15"/>
        <v>#N/A</v>
      </c>
      <c r="E107" s="1128" t="e">
        <f ca="1"/>
        <v>#NAME?</v>
      </c>
      <c r="F107" s="1128" t="e">
        <f t="shared" ca="1" si="16"/>
        <v>#N/A</v>
      </c>
      <c r="G107" s="1128" t="e">
        <f t="shared" ca="1" si="18"/>
        <v>#NAME?</v>
      </c>
      <c r="H107" s="1127" t="e">
        <f t="shared" ca="1" si="19"/>
        <v>#NAME?</v>
      </c>
      <c r="I107" s="1126" t="e">
        <f t="shared" ca="1" si="17"/>
        <v>#NAME?</v>
      </c>
    </row>
    <row r="108" spans="1:9" x14ac:dyDescent="0.2">
      <c r="A108" s="1120">
        <v>105</v>
      </c>
      <c r="B108" s="1130" t="e">
        <f ca="1"/>
        <v>#NAME?</v>
      </c>
      <c r="C108" s="1129" t="e">
        <f ca="1"/>
        <v>#N/A</v>
      </c>
      <c r="D108" s="1128" t="e">
        <f t="shared" ca="1" si="15"/>
        <v>#N/A</v>
      </c>
      <c r="E108" s="1128" t="e">
        <f ca="1"/>
        <v>#NAME?</v>
      </c>
      <c r="F108" s="1128" t="e">
        <f t="shared" ca="1" si="16"/>
        <v>#N/A</v>
      </c>
      <c r="G108" s="1128" t="e">
        <f t="shared" ca="1" si="18"/>
        <v>#NAME?</v>
      </c>
      <c r="H108" s="1127" t="e">
        <f t="shared" ca="1" si="19"/>
        <v>#NAME?</v>
      </c>
      <c r="I108" s="1126" t="e">
        <f t="shared" ca="1" si="17"/>
        <v>#NAME?</v>
      </c>
    </row>
    <row r="109" spans="1:9" x14ac:dyDescent="0.2">
      <c r="A109" s="1120">
        <v>106</v>
      </c>
      <c r="B109" s="1130" t="e">
        <f ca="1"/>
        <v>#NAME?</v>
      </c>
      <c r="C109" s="1129" t="e">
        <f ca="1"/>
        <v>#N/A</v>
      </c>
      <c r="D109" s="1128" t="e">
        <f t="shared" ca="1" si="15"/>
        <v>#N/A</v>
      </c>
      <c r="E109" s="1128" t="e">
        <f ca="1"/>
        <v>#NAME?</v>
      </c>
      <c r="F109" s="1128" t="e">
        <f t="shared" ca="1" si="16"/>
        <v>#N/A</v>
      </c>
      <c r="G109" s="1128" t="e">
        <f t="shared" ca="1" si="18"/>
        <v>#NAME?</v>
      </c>
      <c r="H109" s="1127" t="e">
        <f t="shared" ca="1" si="19"/>
        <v>#NAME?</v>
      </c>
      <c r="I109" s="1126" t="e">
        <f t="shared" ca="1" si="17"/>
        <v>#NAME?</v>
      </c>
    </row>
    <row r="110" spans="1:9" x14ac:dyDescent="0.2">
      <c r="A110" s="1120">
        <v>107</v>
      </c>
      <c r="B110" s="1130" t="e">
        <f ca="1"/>
        <v>#NAME?</v>
      </c>
      <c r="C110" s="1129" t="e">
        <f ca="1"/>
        <v>#N/A</v>
      </c>
      <c r="D110" s="1128" t="e">
        <f t="shared" ca="1" si="15"/>
        <v>#N/A</v>
      </c>
      <c r="E110" s="1128" t="e">
        <f ca="1"/>
        <v>#NAME?</v>
      </c>
      <c r="F110" s="1128" t="e">
        <f t="shared" ca="1" si="16"/>
        <v>#N/A</v>
      </c>
      <c r="G110" s="1128" t="e">
        <f t="shared" ca="1" si="18"/>
        <v>#NAME?</v>
      </c>
      <c r="H110" s="1127" t="e">
        <f t="shared" ca="1" si="19"/>
        <v>#NAME?</v>
      </c>
      <c r="I110" s="1126" t="e">
        <f t="shared" ca="1" si="17"/>
        <v>#NAME?</v>
      </c>
    </row>
    <row r="111" spans="1:9" x14ac:dyDescent="0.2">
      <c r="A111" s="1120">
        <v>108</v>
      </c>
      <c r="B111" s="1130" t="e">
        <f ca="1"/>
        <v>#NAME?</v>
      </c>
      <c r="C111" s="1129" t="e">
        <f ca="1"/>
        <v>#N/A</v>
      </c>
      <c r="D111" s="1128" t="e">
        <f t="shared" ca="1" si="15"/>
        <v>#N/A</v>
      </c>
      <c r="E111" s="1128" t="e">
        <f ca="1"/>
        <v>#NAME?</v>
      </c>
      <c r="F111" s="1128" t="e">
        <f t="shared" ca="1" si="16"/>
        <v>#N/A</v>
      </c>
      <c r="G111" s="1128" t="e">
        <f t="shared" ca="1" si="18"/>
        <v>#NAME?</v>
      </c>
      <c r="H111" s="1127" t="e">
        <f t="shared" ca="1" si="19"/>
        <v>#NAME?</v>
      </c>
      <c r="I111" s="1126" t="e">
        <f t="shared" ca="1" si="17"/>
        <v>#NAME?</v>
      </c>
    </row>
    <row r="112" spans="1:9" x14ac:dyDescent="0.2">
      <c r="A112" s="1120">
        <v>109</v>
      </c>
      <c r="B112" s="1130" t="e">
        <f ca="1"/>
        <v>#NAME?</v>
      </c>
      <c r="C112" s="1129" t="e">
        <f ca="1"/>
        <v>#N/A</v>
      </c>
      <c r="D112" s="1128" t="e">
        <f t="shared" ca="1" si="15"/>
        <v>#N/A</v>
      </c>
      <c r="E112" s="1128" t="e">
        <f ca="1"/>
        <v>#NAME?</v>
      </c>
      <c r="F112" s="1128" t="e">
        <f t="shared" ca="1" si="16"/>
        <v>#N/A</v>
      </c>
      <c r="G112" s="1128" t="e">
        <f t="shared" ca="1" si="18"/>
        <v>#NAME?</v>
      </c>
      <c r="H112" s="1127" t="e">
        <f t="shared" ca="1" si="19"/>
        <v>#NAME?</v>
      </c>
      <c r="I112" s="1126" t="e">
        <f t="shared" ca="1" si="17"/>
        <v>#NAME?</v>
      </c>
    </row>
    <row r="113" spans="1:9" x14ac:dyDescent="0.2">
      <c r="A113" s="1120">
        <v>110</v>
      </c>
      <c r="B113" s="1130" t="e">
        <f ca="1"/>
        <v>#NAME?</v>
      </c>
      <c r="C113" s="1129" t="e">
        <f ca="1"/>
        <v>#N/A</v>
      </c>
      <c r="D113" s="1128" t="e">
        <f t="shared" ca="1" si="15"/>
        <v>#N/A</v>
      </c>
      <c r="E113" s="1128" t="e">
        <f ca="1"/>
        <v>#NAME?</v>
      </c>
      <c r="F113" s="1128" t="e">
        <f t="shared" ca="1" si="16"/>
        <v>#N/A</v>
      </c>
      <c r="G113" s="1128" t="e">
        <f t="shared" ca="1" si="18"/>
        <v>#NAME?</v>
      </c>
      <c r="H113" s="1127" t="e">
        <f t="shared" ca="1" si="19"/>
        <v>#NAME?</v>
      </c>
      <c r="I113" s="1126" t="e">
        <f t="shared" ca="1" si="17"/>
        <v>#NAME?</v>
      </c>
    </row>
    <row r="114" spans="1:9" x14ac:dyDescent="0.2">
      <c r="A114" s="1120">
        <v>111</v>
      </c>
      <c r="B114" s="1130" t="e">
        <f ca="1"/>
        <v>#NAME?</v>
      </c>
      <c r="C114" s="1129" t="e">
        <f ca="1"/>
        <v>#N/A</v>
      </c>
      <c r="D114" s="1128" t="e">
        <f t="shared" ca="1" si="15"/>
        <v>#N/A</v>
      </c>
      <c r="E114" s="1128" t="e">
        <f ca="1"/>
        <v>#NAME?</v>
      </c>
      <c r="F114" s="1128" t="e">
        <f t="shared" ca="1" si="16"/>
        <v>#N/A</v>
      </c>
      <c r="G114" s="1128" t="e">
        <f t="shared" ca="1" si="18"/>
        <v>#NAME?</v>
      </c>
      <c r="H114" s="1127" t="e">
        <f t="shared" ca="1" si="19"/>
        <v>#NAME?</v>
      </c>
      <c r="I114" s="1126" t="e">
        <f t="shared" ca="1" si="17"/>
        <v>#NAME?</v>
      </c>
    </row>
    <row r="115" spans="1:9" x14ac:dyDescent="0.2">
      <c r="A115" s="1120">
        <v>112</v>
      </c>
      <c r="B115" s="1130" t="e">
        <f ca="1"/>
        <v>#NAME?</v>
      </c>
      <c r="C115" s="1129" t="e">
        <f ca="1"/>
        <v>#N/A</v>
      </c>
      <c r="D115" s="1128" t="e">
        <f t="shared" ca="1" si="15"/>
        <v>#N/A</v>
      </c>
      <c r="E115" s="1128" t="e">
        <f ca="1"/>
        <v>#NAME?</v>
      </c>
      <c r="F115" s="1128" t="e">
        <f t="shared" ca="1" si="16"/>
        <v>#N/A</v>
      </c>
      <c r="G115" s="1128" t="e">
        <f t="shared" ca="1" si="18"/>
        <v>#NAME?</v>
      </c>
      <c r="H115" s="1127" t="e">
        <f t="shared" ca="1" si="19"/>
        <v>#NAME?</v>
      </c>
      <c r="I115" s="1126" t="e">
        <f t="shared" ca="1" si="17"/>
        <v>#NAME?</v>
      </c>
    </row>
    <row r="116" spans="1:9" x14ac:dyDescent="0.2">
      <c r="A116" s="1120">
        <v>113</v>
      </c>
      <c r="B116" s="1130" t="e">
        <f ca="1"/>
        <v>#NAME?</v>
      </c>
      <c r="C116" s="1129" t="e">
        <f ca="1"/>
        <v>#N/A</v>
      </c>
      <c r="D116" s="1128" t="e">
        <f t="shared" ca="1" si="15"/>
        <v>#N/A</v>
      </c>
      <c r="E116" s="1128" t="e">
        <f ca="1"/>
        <v>#NAME?</v>
      </c>
      <c r="F116" s="1128" t="e">
        <f t="shared" ca="1" si="16"/>
        <v>#N/A</v>
      </c>
      <c r="G116" s="1128" t="e">
        <f t="shared" ca="1" si="18"/>
        <v>#NAME?</v>
      </c>
      <c r="H116" s="1127" t="e">
        <f t="shared" ca="1" si="19"/>
        <v>#NAME?</v>
      </c>
      <c r="I116" s="1126" t="e">
        <f t="shared" ca="1" si="17"/>
        <v>#NAME?</v>
      </c>
    </row>
    <row r="117" spans="1:9" x14ac:dyDescent="0.2">
      <c r="A117" s="1120">
        <v>114</v>
      </c>
      <c r="B117" s="1130" t="e">
        <f ca="1"/>
        <v>#NAME?</v>
      </c>
      <c r="C117" s="1129" t="e">
        <f ca="1"/>
        <v>#N/A</v>
      </c>
      <c r="D117" s="1128" t="e">
        <f t="shared" ca="1" si="15"/>
        <v>#N/A</v>
      </c>
      <c r="E117" s="1128" t="e">
        <f ca="1"/>
        <v>#NAME?</v>
      </c>
      <c r="F117" s="1128" t="e">
        <f t="shared" ca="1" si="16"/>
        <v>#N/A</v>
      </c>
      <c r="G117" s="1128" t="e">
        <f t="shared" ca="1" si="18"/>
        <v>#NAME?</v>
      </c>
      <c r="H117" s="1127" t="e">
        <f t="shared" ca="1" si="19"/>
        <v>#NAME?</v>
      </c>
      <c r="I117" s="1126" t="e">
        <f t="shared" ca="1" si="17"/>
        <v>#NAME?</v>
      </c>
    </row>
    <row r="118" spans="1:9" x14ac:dyDescent="0.2">
      <c r="A118" s="1120">
        <v>115</v>
      </c>
      <c r="B118" s="1130" t="e">
        <f ca="1"/>
        <v>#NAME?</v>
      </c>
      <c r="C118" s="1129" t="e">
        <f ca="1"/>
        <v>#N/A</v>
      </c>
      <c r="D118" s="1128" t="e">
        <f t="shared" ca="1" si="15"/>
        <v>#N/A</v>
      </c>
      <c r="E118" s="1128" t="e">
        <f ca="1"/>
        <v>#NAME?</v>
      </c>
      <c r="F118" s="1128" t="e">
        <f t="shared" ca="1" si="16"/>
        <v>#N/A</v>
      </c>
      <c r="G118" s="1128" t="e">
        <f t="shared" ca="1" si="18"/>
        <v>#NAME?</v>
      </c>
      <c r="H118" s="1127" t="e">
        <f t="shared" ca="1" si="19"/>
        <v>#NAME?</v>
      </c>
      <c r="I118" s="1126" t="e">
        <f t="shared" ca="1" si="17"/>
        <v>#NAME?</v>
      </c>
    </row>
    <row r="119" spans="1:9" x14ac:dyDescent="0.2">
      <c r="A119" s="1120">
        <v>116</v>
      </c>
      <c r="B119" s="1130" t="e">
        <f ca="1"/>
        <v>#NAME?</v>
      </c>
      <c r="C119" s="1129" t="e">
        <f ca="1"/>
        <v>#N/A</v>
      </c>
      <c r="D119" s="1128" t="e">
        <f t="shared" ca="1" si="15"/>
        <v>#N/A</v>
      </c>
      <c r="E119" s="1128" t="e">
        <f ca="1"/>
        <v>#NAME?</v>
      </c>
      <c r="F119" s="1128" t="e">
        <f t="shared" ca="1" si="16"/>
        <v>#N/A</v>
      </c>
      <c r="G119" s="1128" t="e">
        <f t="shared" ca="1" si="18"/>
        <v>#NAME?</v>
      </c>
      <c r="H119" s="1127" t="e">
        <f t="shared" ca="1" si="19"/>
        <v>#NAME?</v>
      </c>
      <c r="I119" s="1126" t="e">
        <f t="shared" ca="1" si="17"/>
        <v>#NAME?</v>
      </c>
    </row>
    <row r="120" spans="1:9" x14ac:dyDescent="0.2">
      <c r="A120" s="1120">
        <v>117</v>
      </c>
      <c r="B120" s="1130" t="e">
        <f ca="1"/>
        <v>#NAME?</v>
      </c>
      <c r="C120" s="1129" t="e">
        <f ca="1"/>
        <v>#N/A</v>
      </c>
      <c r="D120" s="1128" t="e">
        <f t="shared" ca="1" si="15"/>
        <v>#N/A</v>
      </c>
      <c r="E120" s="1128" t="e">
        <f ca="1"/>
        <v>#NAME?</v>
      </c>
      <c r="F120" s="1128" t="e">
        <f t="shared" ca="1" si="16"/>
        <v>#N/A</v>
      </c>
      <c r="G120" s="1128" t="e">
        <f t="shared" ca="1" si="18"/>
        <v>#NAME?</v>
      </c>
      <c r="H120" s="1127" t="e">
        <f t="shared" ca="1" si="19"/>
        <v>#NAME?</v>
      </c>
      <c r="I120" s="1126" t="e">
        <f t="shared" ca="1" si="17"/>
        <v>#NAME?</v>
      </c>
    </row>
    <row r="121" spans="1:9" x14ac:dyDescent="0.2">
      <c r="A121" s="1120">
        <v>118</v>
      </c>
      <c r="B121" s="1130" t="e">
        <f ca="1"/>
        <v>#NAME?</v>
      </c>
      <c r="C121" s="1129" t="e">
        <f ca="1"/>
        <v>#N/A</v>
      </c>
      <c r="D121" s="1128" t="e">
        <f t="shared" ca="1" si="15"/>
        <v>#N/A</v>
      </c>
      <c r="E121" s="1128" t="e">
        <f ca="1"/>
        <v>#NAME?</v>
      </c>
      <c r="F121" s="1128" t="e">
        <f t="shared" ca="1" si="16"/>
        <v>#N/A</v>
      </c>
      <c r="G121" s="1128" t="e">
        <f t="shared" ca="1" si="18"/>
        <v>#NAME?</v>
      </c>
      <c r="H121" s="1127" t="e">
        <f t="shared" ca="1" si="19"/>
        <v>#NAME?</v>
      </c>
      <c r="I121" s="1126" t="e">
        <f t="shared" ca="1" si="17"/>
        <v>#NAME?</v>
      </c>
    </row>
    <row r="122" spans="1:9" x14ac:dyDescent="0.2">
      <c r="A122" s="1120">
        <v>119</v>
      </c>
      <c r="B122" s="1130" t="e">
        <f ca="1"/>
        <v>#NAME?</v>
      </c>
      <c r="C122" s="1129" t="e">
        <f ca="1"/>
        <v>#N/A</v>
      </c>
      <c r="D122" s="1128" t="e">
        <f t="shared" ca="1" si="15"/>
        <v>#N/A</v>
      </c>
      <c r="E122" s="1128" t="e">
        <f ca="1"/>
        <v>#NAME?</v>
      </c>
      <c r="F122" s="1128" t="e">
        <f t="shared" ca="1" si="16"/>
        <v>#N/A</v>
      </c>
      <c r="G122" s="1128" t="e">
        <f t="shared" ca="1" si="18"/>
        <v>#NAME?</v>
      </c>
      <c r="H122" s="1127" t="e">
        <f t="shared" ca="1" si="19"/>
        <v>#NAME?</v>
      </c>
      <c r="I122" s="1126" t="e">
        <f t="shared" ca="1" si="17"/>
        <v>#NAME?</v>
      </c>
    </row>
    <row r="123" spans="1:9" x14ac:dyDescent="0.2">
      <c r="A123" s="1120">
        <v>120</v>
      </c>
      <c r="B123" s="1125" t="e">
        <f ca="1"/>
        <v>#NAME?</v>
      </c>
      <c r="C123" s="1124" t="e">
        <v>#N/A</v>
      </c>
      <c r="D123" s="1123" t="e">
        <f t="shared" si="15"/>
        <v>#N/A</v>
      </c>
      <c r="E123" s="1123" t="e">
        <f ca="1"/>
        <v>#NAME?</v>
      </c>
      <c r="F123" s="1123" t="e">
        <f t="shared" si="16"/>
        <v>#N/A</v>
      </c>
      <c r="G123" s="1123" t="e">
        <f t="shared" ca="1" si="18"/>
        <v>#NAME?</v>
      </c>
      <c r="H123" s="1122" t="e">
        <f t="shared" ca="1" si="19"/>
        <v>#NAME?</v>
      </c>
      <c r="I123" s="1121" t="e">
        <f t="shared" ca="1" si="17"/>
        <v>#NAME?</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AN123"/>
  <sheetViews>
    <sheetView topLeftCell="E1" workbookViewId="0">
      <pane ySplit="2" topLeftCell="A3" activePane="bottomLeft" state="frozen"/>
      <selection pane="bottomLeft" activeCell="X4" sqref="X4:X5"/>
    </sheetView>
  </sheetViews>
  <sheetFormatPr defaultRowHeight="11.25" x14ac:dyDescent="0.2"/>
  <cols>
    <col min="1" max="1" width="12.140625" style="1075" bestFit="1" customWidth="1"/>
    <col min="2" max="2" width="17.28515625" style="1076" customWidth="1"/>
    <col min="3" max="3" width="12.140625" style="1076" bestFit="1" customWidth="1"/>
    <col min="4" max="4" width="15.28515625" style="1076" bestFit="1" customWidth="1"/>
    <col min="5" max="5" width="17.28515625" style="1076" customWidth="1"/>
    <col min="6" max="6" width="17.28515625" style="1076" bestFit="1" customWidth="1"/>
    <col min="7" max="7" width="9.140625" style="1076"/>
    <col min="8" max="8" width="22.5703125" style="1076" bestFit="1" customWidth="1"/>
    <col min="9" max="9" width="7" style="1076" bestFit="1" customWidth="1"/>
    <col min="10" max="10" width="17.28515625" style="1076" bestFit="1" customWidth="1"/>
    <col min="11" max="11" width="11" style="1076" bestFit="1" customWidth="1"/>
    <col min="12" max="12" width="9.140625" style="1076"/>
    <col min="13" max="13" width="10" style="1076" bestFit="1" customWidth="1"/>
    <col min="14" max="14" width="6" style="1075" bestFit="1" customWidth="1"/>
    <col min="15" max="18" width="9.140625" style="1075"/>
    <col min="19" max="19" width="5" style="1075" bestFit="1" customWidth="1"/>
    <col min="20" max="21" width="7" style="1075" bestFit="1" customWidth="1"/>
    <col min="22" max="16384" width="9.140625" style="1075"/>
  </cols>
  <sheetData>
    <row r="1" spans="1:40" ht="17.25" thickBot="1" x14ac:dyDescent="0.35">
      <c r="A1" s="1372" t="s">
        <v>434</v>
      </c>
      <c r="B1" s="1373"/>
      <c r="C1" s="1373"/>
      <c r="D1" s="1373"/>
      <c r="E1" s="1373"/>
      <c r="F1" s="1373"/>
      <c r="G1" s="1373"/>
      <c r="H1" s="1373"/>
      <c r="I1" s="1373"/>
      <c r="J1" s="1373"/>
      <c r="K1" s="1373"/>
      <c r="L1" s="1373"/>
      <c r="M1" s="1373"/>
      <c r="N1" s="1373"/>
      <c r="O1" s="1373"/>
      <c r="P1" s="1373"/>
      <c r="Q1" s="1373"/>
      <c r="R1" s="1373"/>
      <c r="S1" s="1373"/>
      <c r="T1" s="1373"/>
      <c r="U1" s="1374"/>
    </row>
    <row r="2" spans="1:40" ht="45.75" thickBot="1" x14ac:dyDescent="0.25">
      <c r="A2" s="1119" t="s">
        <v>321</v>
      </c>
      <c r="B2" s="1118" t="e">
        <f t="array" aca="1" ref="B2:U122" ca="1">_xll.qlSwapLegAnalysis(SwapID,1)</f>
        <v>#NAME?</v>
      </c>
      <c r="C2" s="1118" t="e">
        <f ca="1"/>
        <v>#NAME?</v>
      </c>
      <c r="D2" s="1118" t="e">
        <f ca="1"/>
        <v>#NAME?</v>
      </c>
      <c r="E2" s="1118" t="e">
        <f ca="1"/>
        <v>#NAME?</v>
      </c>
      <c r="F2" s="1118" t="e">
        <f ca="1"/>
        <v>#NAME?</v>
      </c>
      <c r="G2" s="1118" t="e">
        <f ca="1"/>
        <v>#NAME?</v>
      </c>
      <c r="H2" s="1118" t="e">
        <f ca="1"/>
        <v>#NAME?</v>
      </c>
      <c r="I2" s="1118" t="e">
        <f ca="1"/>
        <v>#NAME?</v>
      </c>
      <c r="J2" s="1118" t="e">
        <f ca="1"/>
        <v>#NAME?</v>
      </c>
      <c r="K2" s="1118" t="e">
        <f ca="1"/>
        <v>#NAME?</v>
      </c>
      <c r="L2" s="1118" t="e">
        <f ca="1"/>
        <v>#NAME?</v>
      </c>
      <c r="M2" s="1118" t="e">
        <f ca="1"/>
        <v>#NAME?</v>
      </c>
      <c r="N2" s="1118" t="e">
        <f ca="1"/>
        <v>#NAME?</v>
      </c>
      <c r="O2" s="1118" t="e">
        <f ca="1"/>
        <v>#NAME?</v>
      </c>
      <c r="P2" s="1118" t="e">
        <f ca="1"/>
        <v>#NAME?</v>
      </c>
      <c r="Q2" s="1118" t="e">
        <f ca="1"/>
        <v>#NAME?</v>
      </c>
      <c r="R2" s="1118" t="e">
        <f ca="1"/>
        <v>#NAME?</v>
      </c>
      <c r="S2" s="1118" t="e">
        <f ca="1"/>
        <v>#NAME?</v>
      </c>
      <c r="T2" s="1118" t="e">
        <f ca="1"/>
        <v>#NAME?</v>
      </c>
      <c r="U2" s="1117" t="e">
        <f ca="1"/>
        <v>#NAME?</v>
      </c>
    </row>
    <row r="3" spans="1:40" ht="12" thickBot="1" x14ac:dyDescent="0.25">
      <c r="A3" s="1116" t="e">
        <f t="array" aca="1" ref="A3:A122" ca="1">_xll.qlYieldTSDiscount(DiscountCurve,_xll.ohPack(B3:B122))</f>
        <v>#NAME?</v>
      </c>
      <c r="B3" s="1112" t="e">
        <f ca="1"/>
        <v>#NAME?</v>
      </c>
      <c r="C3" s="1115" t="e">
        <f ca="1"/>
        <v>#NAME?</v>
      </c>
      <c r="D3" s="1115" t="e">
        <f ca="1"/>
        <v>#NAME?</v>
      </c>
      <c r="E3" s="1112" t="e">
        <f ca="1"/>
        <v>#NAME?</v>
      </c>
      <c r="F3" s="1112" t="e">
        <f ca="1"/>
        <v>#NAME?</v>
      </c>
      <c r="G3" s="1111" t="e">
        <f ca="1"/>
        <v>#NAME?</v>
      </c>
      <c r="H3" s="1114" t="e">
        <f ca="1"/>
        <v>#NAME?</v>
      </c>
      <c r="I3" s="1113" t="e">
        <f ca="1"/>
        <v>#NAME?</v>
      </c>
      <c r="J3" s="1112" t="e">
        <f ca="1"/>
        <v>#NAME?</v>
      </c>
      <c r="K3" s="1111" t="e">
        <f ca="1"/>
        <v>#NAME?</v>
      </c>
      <c r="L3" s="1110" t="e">
        <f ca="1"/>
        <v>#NAME?</v>
      </c>
      <c r="M3" s="1108" t="e">
        <f ca="1"/>
        <v>#NAME?</v>
      </c>
      <c r="N3" s="1108" t="e">
        <f ca="1"/>
        <v>#NAME?</v>
      </c>
      <c r="O3" s="1109" t="e">
        <f ca="1"/>
        <v>#NAME?</v>
      </c>
      <c r="P3" s="1108" t="e">
        <f ca="1"/>
        <v>#NAME?</v>
      </c>
      <c r="Q3" s="1108" t="e">
        <f ca="1"/>
        <v>#NAME?</v>
      </c>
      <c r="R3" s="1108" t="e">
        <f ca="1"/>
        <v>#NAME?</v>
      </c>
      <c r="S3" s="1108" t="e">
        <f ca="1"/>
        <v>#NAME?</v>
      </c>
      <c r="T3" s="1108" t="e">
        <f ca="1"/>
        <v>#NAME?</v>
      </c>
      <c r="U3" s="1107" t="e">
        <f ca="1"/>
        <v>#NAME?</v>
      </c>
      <c r="V3" s="1086"/>
      <c r="W3" s="1086"/>
      <c r="X3" s="1086"/>
      <c r="Y3" s="1086"/>
      <c r="Z3" s="1086"/>
      <c r="AA3" s="1077"/>
      <c r="AB3" s="1077"/>
      <c r="AC3" s="1077"/>
      <c r="AD3" s="1077"/>
      <c r="AE3" s="1077"/>
      <c r="AF3" s="1077"/>
      <c r="AG3" s="1077"/>
      <c r="AH3" s="1077"/>
      <c r="AI3" s="1077"/>
      <c r="AJ3" s="1077"/>
      <c r="AK3" s="1077"/>
      <c r="AL3" s="1077"/>
      <c r="AM3" s="1077"/>
      <c r="AN3" s="1077"/>
    </row>
    <row r="4" spans="1:40" ht="15" x14ac:dyDescent="0.25">
      <c r="A4" s="1106" t="e">
        <f ca="1"/>
        <v>#NAME?</v>
      </c>
      <c r="B4" s="1102" t="e">
        <f ca="1"/>
        <v>#NAME?</v>
      </c>
      <c r="C4" s="1105" t="e">
        <f ca="1"/>
        <v>#NAME?</v>
      </c>
      <c r="D4" s="1105" t="e">
        <f ca="1"/>
        <v>#NAME?</v>
      </c>
      <c r="E4" s="1102" t="e">
        <f ca="1"/>
        <v>#NAME?</v>
      </c>
      <c r="F4" s="1102" t="e">
        <f ca="1"/>
        <v>#NAME?</v>
      </c>
      <c r="G4" s="1101" t="e">
        <f ca="1"/>
        <v>#NAME?</v>
      </c>
      <c r="H4" s="1104" t="e">
        <f ca="1"/>
        <v>#NAME?</v>
      </c>
      <c r="I4" s="1103" t="e">
        <f ca="1"/>
        <v>#NAME?</v>
      </c>
      <c r="J4" s="1102" t="e">
        <f ca="1"/>
        <v>#NAME?</v>
      </c>
      <c r="K4" s="1101" t="e">
        <f ca="1"/>
        <v>#NAME?</v>
      </c>
      <c r="L4" s="1100" t="e">
        <f ca="1"/>
        <v>#NAME?</v>
      </c>
      <c r="M4" s="1098" t="e">
        <f ca="1"/>
        <v>#NAME?</v>
      </c>
      <c r="N4" s="1098" t="e">
        <f ca="1"/>
        <v>#NAME?</v>
      </c>
      <c r="O4" s="1099" t="e">
        <f ca="1"/>
        <v>#NAME?</v>
      </c>
      <c r="P4" s="1098" t="e">
        <f ca="1"/>
        <v>#NAME?</v>
      </c>
      <c r="Q4" s="1098" t="e">
        <f ca="1"/>
        <v>#NAME?</v>
      </c>
      <c r="R4" s="1098" t="e">
        <f ca="1"/>
        <v>#NAME?</v>
      </c>
      <c r="S4" s="1098" t="e">
        <f ca="1"/>
        <v>#NAME?</v>
      </c>
      <c r="T4" s="1098" t="e">
        <f ca="1"/>
        <v>#NAME?</v>
      </c>
      <c r="U4" s="1097" t="e">
        <f ca="1"/>
        <v>#NAME?</v>
      </c>
      <c r="V4" s="1086"/>
      <c r="W4" s="1361" t="s">
        <v>529</v>
      </c>
      <c r="X4" s="1364" t="e">
        <f ca="1">_xll.ohTrigger(Triggers!Trigger)</f>
        <v>#NAME?</v>
      </c>
      <c r="Y4" s="1086"/>
      <c r="Z4" s="1086"/>
      <c r="AA4" s="1077"/>
      <c r="AB4" s="1077"/>
      <c r="AC4" s="1077"/>
      <c r="AD4" s="1077"/>
      <c r="AE4" s="1077"/>
      <c r="AF4" s="1077"/>
      <c r="AG4" s="1077"/>
      <c r="AH4" s="1077"/>
      <c r="AI4" s="1077"/>
      <c r="AJ4" s="1077"/>
      <c r="AK4" s="1077"/>
      <c r="AL4" s="1077"/>
      <c r="AM4" s="1077"/>
      <c r="AN4" s="1077"/>
    </row>
    <row r="5" spans="1:40" ht="15.75" thickBot="1" x14ac:dyDescent="0.3">
      <c r="A5" s="1106" t="e">
        <f ca="1"/>
        <v>#NAME?</v>
      </c>
      <c r="B5" s="1102" t="e">
        <f ca="1"/>
        <v>#NAME?</v>
      </c>
      <c r="C5" s="1105" t="e">
        <f ca="1"/>
        <v>#NAME?</v>
      </c>
      <c r="D5" s="1105" t="e">
        <f ca="1"/>
        <v>#NAME?</v>
      </c>
      <c r="E5" s="1102" t="e">
        <f ca="1"/>
        <v>#NAME?</v>
      </c>
      <c r="F5" s="1102" t="e">
        <f ca="1"/>
        <v>#NAME?</v>
      </c>
      <c r="G5" s="1101" t="e">
        <f ca="1"/>
        <v>#NAME?</v>
      </c>
      <c r="H5" s="1104" t="e">
        <f ca="1"/>
        <v>#NAME?</v>
      </c>
      <c r="I5" s="1103" t="e">
        <f ca="1"/>
        <v>#NAME?</v>
      </c>
      <c r="J5" s="1102" t="e">
        <f ca="1"/>
        <v>#NAME?</v>
      </c>
      <c r="K5" s="1101" t="e">
        <f ca="1"/>
        <v>#NAME?</v>
      </c>
      <c r="L5" s="1100" t="e">
        <f ca="1"/>
        <v>#NAME?</v>
      </c>
      <c r="M5" s="1098" t="e">
        <f ca="1"/>
        <v>#NAME?</v>
      </c>
      <c r="N5" s="1098" t="e">
        <f ca="1"/>
        <v>#NAME?</v>
      </c>
      <c r="O5" s="1099" t="e">
        <f ca="1"/>
        <v>#NAME?</v>
      </c>
      <c r="P5" s="1098" t="e">
        <f ca="1"/>
        <v>#NAME?</v>
      </c>
      <c r="Q5" s="1098" t="e">
        <f ca="1"/>
        <v>#NAME?</v>
      </c>
      <c r="R5" s="1098" t="e">
        <f ca="1"/>
        <v>#NAME?</v>
      </c>
      <c r="S5" s="1098" t="e">
        <f ca="1"/>
        <v>#NAME?</v>
      </c>
      <c r="T5" s="1098" t="e">
        <f ca="1"/>
        <v>#NAME?</v>
      </c>
      <c r="U5" s="1097" t="e">
        <f ca="1"/>
        <v>#NAME?</v>
      </c>
      <c r="V5" s="1086"/>
      <c r="W5" s="1362" t="s">
        <v>530</v>
      </c>
      <c r="X5" s="1365"/>
      <c r="Y5" s="1086"/>
      <c r="Z5" s="1086"/>
      <c r="AA5" s="1077"/>
      <c r="AB5" s="1077"/>
      <c r="AC5" s="1077"/>
      <c r="AD5" s="1077"/>
      <c r="AE5" s="1077"/>
      <c r="AF5" s="1077"/>
      <c r="AG5" s="1077"/>
      <c r="AH5" s="1077"/>
      <c r="AI5" s="1077"/>
      <c r="AJ5" s="1077"/>
      <c r="AK5" s="1077"/>
      <c r="AL5" s="1077"/>
      <c r="AM5" s="1077"/>
      <c r="AN5" s="1077"/>
    </row>
    <row r="6" spans="1:40" x14ac:dyDescent="0.2">
      <c r="A6" s="1106" t="e">
        <f ca="1"/>
        <v>#NAME?</v>
      </c>
      <c r="B6" s="1102" t="e">
        <f ca="1"/>
        <v>#NAME?</v>
      </c>
      <c r="C6" s="1105" t="e">
        <f ca="1"/>
        <v>#NAME?</v>
      </c>
      <c r="D6" s="1105" t="e">
        <f ca="1"/>
        <v>#NAME?</v>
      </c>
      <c r="E6" s="1102" t="e">
        <f ca="1"/>
        <v>#NAME?</v>
      </c>
      <c r="F6" s="1102" t="e">
        <f ca="1"/>
        <v>#NAME?</v>
      </c>
      <c r="G6" s="1101" t="e">
        <f ca="1"/>
        <v>#NAME?</v>
      </c>
      <c r="H6" s="1104" t="e">
        <f ca="1"/>
        <v>#NAME?</v>
      </c>
      <c r="I6" s="1103" t="e">
        <f ca="1"/>
        <v>#NAME?</v>
      </c>
      <c r="J6" s="1102" t="e">
        <f ca="1"/>
        <v>#NAME?</v>
      </c>
      <c r="K6" s="1101" t="e">
        <f ca="1"/>
        <v>#NAME?</v>
      </c>
      <c r="L6" s="1100" t="e">
        <f ca="1"/>
        <v>#NAME?</v>
      </c>
      <c r="M6" s="1098" t="e">
        <f ca="1"/>
        <v>#NAME?</v>
      </c>
      <c r="N6" s="1098" t="e">
        <f ca="1"/>
        <v>#NAME?</v>
      </c>
      <c r="O6" s="1099" t="e">
        <f ca="1"/>
        <v>#NAME?</v>
      </c>
      <c r="P6" s="1098" t="e">
        <f ca="1"/>
        <v>#NAME?</v>
      </c>
      <c r="Q6" s="1098" t="e">
        <f ca="1"/>
        <v>#NAME?</v>
      </c>
      <c r="R6" s="1098" t="e">
        <f ca="1"/>
        <v>#NAME?</v>
      </c>
      <c r="S6" s="1098" t="e">
        <f ca="1"/>
        <v>#NAME?</v>
      </c>
      <c r="T6" s="1098" t="e">
        <f ca="1"/>
        <v>#NAME?</v>
      </c>
      <c r="U6" s="1097" t="e">
        <f ca="1"/>
        <v>#NAME?</v>
      </c>
      <c r="V6" s="1086"/>
      <c r="W6" s="1086"/>
      <c r="X6" s="1086"/>
      <c r="Y6" s="1086"/>
      <c r="Z6" s="1086"/>
      <c r="AA6" s="1077"/>
      <c r="AB6" s="1077"/>
      <c r="AC6" s="1077"/>
      <c r="AD6" s="1077"/>
      <c r="AE6" s="1077"/>
      <c r="AF6" s="1077"/>
      <c r="AG6" s="1077"/>
      <c r="AH6" s="1077"/>
      <c r="AI6" s="1077"/>
      <c r="AJ6" s="1077"/>
      <c r="AK6" s="1077"/>
      <c r="AL6" s="1077"/>
      <c r="AM6" s="1077"/>
      <c r="AN6" s="1077"/>
    </row>
    <row r="7" spans="1:40" x14ac:dyDescent="0.2">
      <c r="A7" s="1106" t="e">
        <f ca="1"/>
        <v>#NAME?</v>
      </c>
      <c r="B7" s="1102" t="e">
        <f ca="1"/>
        <v>#NAME?</v>
      </c>
      <c r="C7" s="1105" t="e">
        <f ca="1"/>
        <v>#NAME?</v>
      </c>
      <c r="D7" s="1105" t="e">
        <f ca="1"/>
        <v>#NAME?</v>
      </c>
      <c r="E7" s="1102" t="e">
        <f ca="1"/>
        <v>#NAME?</v>
      </c>
      <c r="F7" s="1102" t="e">
        <f ca="1"/>
        <v>#NAME?</v>
      </c>
      <c r="G7" s="1101" t="e">
        <f ca="1"/>
        <v>#NAME?</v>
      </c>
      <c r="H7" s="1104" t="e">
        <f ca="1"/>
        <v>#NAME?</v>
      </c>
      <c r="I7" s="1103" t="e">
        <f ca="1"/>
        <v>#NAME?</v>
      </c>
      <c r="J7" s="1102" t="e">
        <f ca="1"/>
        <v>#NAME?</v>
      </c>
      <c r="K7" s="1101" t="e">
        <f ca="1"/>
        <v>#NAME?</v>
      </c>
      <c r="L7" s="1100" t="e">
        <f ca="1"/>
        <v>#NAME?</v>
      </c>
      <c r="M7" s="1098" t="e">
        <f ca="1"/>
        <v>#NAME?</v>
      </c>
      <c r="N7" s="1098" t="e">
        <f ca="1"/>
        <v>#NAME?</v>
      </c>
      <c r="O7" s="1099" t="e">
        <f ca="1"/>
        <v>#NAME?</v>
      </c>
      <c r="P7" s="1098" t="e">
        <f ca="1"/>
        <v>#NAME?</v>
      </c>
      <c r="Q7" s="1098" t="e">
        <f ca="1"/>
        <v>#NAME?</v>
      </c>
      <c r="R7" s="1098" t="e">
        <f ca="1"/>
        <v>#NAME?</v>
      </c>
      <c r="S7" s="1098" t="e">
        <f ca="1"/>
        <v>#NAME?</v>
      </c>
      <c r="T7" s="1098" t="e">
        <f ca="1"/>
        <v>#NAME?</v>
      </c>
      <c r="U7" s="1097" t="e">
        <f ca="1"/>
        <v>#NAME?</v>
      </c>
      <c r="V7" s="1086"/>
      <c r="W7" s="1086"/>
      <c r="X7" s="1086"/>
      <c r="Y7" s="1086"/>
      <c r="Z7" s="1086"/>
      <c r="AA7" s="1077"/>
      <c r="AB7" s="1077"/>
      <c r="AC7" s="1077"/>
      <c r="AD7" s="1077"/>
      <c r="AE7" s="1077"/>
      <c r="AF7" s="1077"/>
      <c r="AG7" s="1077"/>
      <c r="AH7" s="1077"/>
      <c r="AI7" s="1077"/>
      <c r="AJ7" s="1077"/>
      <c r="AK7" s="1077"/>
      <c r="AL7" s="1077"/>
      <c r="AM7" s="1077"/>
      <c r="AN7" s="1077"/>
    </row>
    <row r="8" spans="1:40" x14ac:dyDescent="0.2">
      <c r="A8" s="1106" t="e">
        <f ca="1"/>
        <v>#NAME?</v>
      </c>
      <c r="B8" s="1102" t="e">
        <f ca="1"/>
        <v>#NAME?</v>
      </c>
      <c r="C8" s="1105" t="e">
        <f ca="1"/>
        <v>#NAME?</v>
      </c>
      <c r="D8" s="1105" t="e">
        <f ca="1"/>
        <v>#NAME?</v>
      </c>
      <c r="E8" s="1102" t="e">
        <f ca="1"/>
        <v>#NAME?</v>
      </c>
      <c r="F8" s="1102" t="e">
        <f ca="1"/>
        <v>#NAME?</v>
      </c>
      <c r="G8" s="1101" t="e">
        <f ca="1"/>
        <v>#NAME?</v>
      </c>
      <c r="H8" s="1104" t="e">
        <f ca="1"/>
        <v>#NAME?</v>
      </c>
      <c r="I8" s="1103" t="e">
        <f ca="1"/>
        <v>#NAME?</v>
      </c>
      <c r="J8" s="1102" t="e">
        <f ca="1"/>
        <v>#NAME?</v>
      </c>
      <c r="K8" s="1101" t="e">
        <f ca="1"/>
        <v>#NAME?</v>
      </c>
      <c r="L8" s="1100" t="e">
        <f ca="1"/>
        <v>#NAME?</v>
      </c>
      <c r="M8" s="1098" t="e">
        <f ca="1"/>
        <v>#NAME?</v>
      </c>
      <c r="N8" s="1098" t="e">
        <f ca="1"/>
        <v>#NAME?</v>
      </c>
      <c r="O8" s="1099" t="e">
        <f ca="1"/>
        <v>#NAME?</v>
      </c>
      <c r="P8" s="1098" t="e">
        <f ca="1"/>
        <v>#NAME?</v>
      </c>
      <c r="Q8" s="1098" t="e">
        <f ca="1"/>
        <v>#NAME?</v>
      </c>
      <c r="R8" s="1098" t="e">
        <f ca="1"/>
        <v>#NAME?</v>
      </c>
      <c r="S8" s="1098" t="e">
        <f ca="1"/>
        <v>#NAME?</v>
      </c>
      <c r="T8" s="1098" t="e">
        <f ca="1"/>
        <v>#NAME?</v>
      </c>
      <c r="U8" s="1097" t="e">
        <f ca="1"/>
        <v>#NAME?</v>
      </c>
      <c r="V8" s="1086"/>
      <c r="W8" s="1086"/>
      <c r="X8" s="1086"/>
      <c r="Y8" s="1086"/>
      <c r="Z8" s="1086"/>
      <c r="AA8" s="1077"/>
      <c r="AB8" s="1077"/>
      <c r="AC8" s="1077"/>
      <c r="AD8" s="1077"/>
      <c r="AE8" s="1077"/>
      <c r="AF8" s="1077"/>
      <c r="AG8" s="1077"/>
      <c r="AH8" s="1077"/>
      <c r="AI8" s="1077"/>
      <c r="AJ8" s="1077"/>
      <c r="AK8" s="1077"/>
      <c r="AL8" s="1077"/>
      <c r="AM8" s="1077"/>
      <c r="AN8" s="1077"/>
    </row>
    <row r="9" spans="1:40" x14ac:dyDescent="0.2">
      <c r="A9" s="1106" t="e">
        <f ca="1"/>
        <v>#NAME?</v>
      </c>
      <c r="B9" s="1102" t="e">
        <f ca="1"/>
        <v>#NAME?</v>
      </c>
      <c r="C9" s="1105" t="e">
        <f ca="1"/>
        <v>#NAME?</v>
      </c>
      <c r="D9" s="1105" t="e">
        <f ca="1"/>
        <v>#NAME?</v>
      </c>
      <c r="E9" s="1102" t="e">
        <f ca="1"/>
        <v>#NAME?</v>
      </c>
      <c r="F9" s="1102" t="e">
        <f ca="1"/>
        <v>#NAME?</v>
      </c>
      <c r="G9" s="1101" t="e">
        <f ca="1"/>
        <v>#NAME?</v>
      </c>
      <c r="H9" s="1104" t="e">
        <f ca="1"/>
        <v>#NAME?</v>
      </c>
      <c r="I9" s="1103" t="e">
        <f ca="1"/>
        <v>#NAME?</v>
      </c>
      <c r="J9" s="1102" t="e">
        <f ca="1"/>
        <v>#NAME?</v>
      </c>
      <c r="K9" s="1101" t="e">
        <f ca="1"/>
        <v>#NAME?</v>
      </c>
      <c r="L9" s="1100" t="e">
        <f ca="1"/>
        <v>#NAME?</v>
      </c>
      <c r="M9" s="1098" t="e">
        <f ca="1"/>
        <v>#NAME?</v>
      </c>
      <c r="N9" s="1098" t="e">
        <f ca="1"/>
        <v>#NAME?</v>
      </c>
      <c r="O9" s="1099" t="e">
        <f ca="1"/>
        <v>#NAME?</v>
      </c>
      <c r="P9" s="1098" t="e">
        <f ca="1"/>
        <v>#NAME?</v>
      </c>
      <c r="Q9" s="1098" t="e">
        <f ca="1"/>
        <v>#NAME?</v>
      </c>
      <c r="R9" s="1098" t="e">
        <f ca="1"/>
        <v>#NAME?</v>
      </c>
      <c r="S9" s="1098" t="e">
        <f ca="1"/>
        <v>#NAME?</v>
      </c>
      <c r="T9" s="1098" t="e">
        <f ca="1"/>
        <v>#NAME?</v>
      </c>
      <c r="U9" s="1097" t="e">
        <f ca="1"/>
        <v>#NAME?</v>
      </c>
      <c r="V9" s="1086"/>
      <c r="W9" s="1086"/>
      <c r="X9" s="1086"/>
      <c r="Y9" s="1086"/>
      <c r="Z9" s="1086"/>
      <c r="AA9" s="1077"/>
      <c r="AB9" s="1077"/>
      <c r="AC9" s="1077"/>
      <c r="AD9" s="1077"/>
      <c r="AE9" s="1077"/>
      <c r="AF9" s="1077"/>
      <c r="AG9" s="1077"/>
      <c r="AH9" s="1077"/>
      <c r="AI9" s="1077"/>
      <c r="AJ9" s="1077"/>
      <c r="AK9" s="1077"/>
      <c r="AL9" s="1077"/>
      <c r="AM9" s="1077"/>
      <c r="AN9" s="1077"/>
    </row>
    <row r="10" spans="1:40" x14ac:dyDescent="0.2">
      <c r="A10" s="1106" t="e">
        <f ca="1"/>
        <v>#NAME?</v>
      </c>
      <c r="B10" s="1102" t="e">
        <f ca="1"/>
        <v>#NAME?</v>
      </c>
      <c r="C10" s="1105" t="e">
        <f ca="1"/>
        <v>#NAME?</v>
      </c>
      <c r="D10" s="1105" t="e">
        <f ca="1"/>
        <v>#NAME?</v>
      </c>
      <c r="E10" s="1102" t="e">
        <f ca="1"/>
        <v>#NAME?</v>
      </c>
      <c r="F10" s="1102" t="e">
        <f ca="1"/>
        <v>#NAME?</v>
      </c>
      <c r="G10" s="1101" t="e">
        <f ca="1"/>
        <v>#NAME?</v>
      </c>
      <c r="H10" s="1104" t="e">
        <f ca="1"/>
        <v>#NAME?</v>
      </c>
      <c r="I10" s="1103" t="e">
        <f ca="1"/>
        <v>#NAME?</v>
      </c>
      <c r="J10" s="1102" t="e">
        <f ca="1"/>
        <v>#NAME?</v>
      </c>
      <c r="K10" s="1101" t="e">
        <f ca="1"/>
        <v>#NAME?</v>
      </c>
      <c r="L10" s="1100" t="e">
        <f ca="1"/>
        <v>#NAME?</v>
      </c>
      <c r="M10" s="1098" t="e">
        <f ca="1"/>
        <v>#NAME?</v>
      </c>
      <c r="N10" s="1098" t="e">
        <f ca="1"/>
        <v>#NAME?</v>
      </c>
      <c r="O10" s="1099" t="e">
        <f ca="1"/>
        <v>#NAME?</v>
      </c>
      <c r="P10" s="1098" t="e">
        <f ca="1"/>
        <v>#NAME?</v>
      </c>
      <c r="Q10" s="1098" t="e">
        <f ca="1"/>
        <v>#NAME?</v>
      </c>
      <c r="R10" s="1098" t="e">
        <f ca="1"/>
        <v>#NAME?</v>
      </c>
      <c r="S10" s="1098" t="e">
        <f ca="1"/>
        <v>#NAME?</v>
      </c>
      <c r="T10" s="1098" t="e">
        <f ca="1"/>
        <v>#NAME?</v>
      </c>
      <c r="U10" s="1097" t="e">
        <f ca="1"/>
        <v>#NAME?</v>
      </c>
      <c r="V10" s="1086"/>
      <c r="W10" s="1086"/>
      <c r="X10" s="1086"/>
      <c r="Y10" s="1086"/>
      <c r="Z10" s="1086"/>
      <c r="AA10" s="1077"/>
      <c r="AB10" s="1077"/>
      <c r="AC10" s="1077"/>
      <c r="AD10" s="1077"/>
      <c r="AE10" s="1077"/>
      <c r="AF10" s="1077"/>
      <c r="AG10" s="1077"/>
      <c r="AH10" s="1077"/>
      <c r="AI10" s="1077"/>
      <c r="AJ10" s="1077"/>
      <c r="AK10" s="1077"/>
      <c r="AL10" s="1077"/>
      <c r="AM10" s="1077"/>
      <c r="AN10" s="1077"/>
    </row>
    <row r="11" spans="1:40" x14ac:dyDescent="0.2">
      <c r="A11" s="1106" t="e">
        <f ca="1"/>
        <v>#NAME?</v>
      </c>
      <c r="B11" s="1102" t="e">
        <f ca="1"/>
        <v>#NAME?</v>
      </c>
      <c r="C11" s="1105" t="e">
        <f ca="1"/>
        <v>#NAME?</v>
      </c>
      <c r="D11" s="1105" t="e">
        <f ca="1"/>
        <v>#NAME?</v>
      </c>
      <c r="E11" s="1102" t="e">
        <f ca="1"/>
        <v>#NAME?</v>
      </c>
      <c r="F11" s="1102" t="e">
        <f ca="1"/>
        <v>#NAME?</v>
      </c>
      <c r="G11" s="1101" t="e">
        <f ca="1"/>
        <v>#NAME?</v>
      </c>
      <c r="H11" s="1104" t="e">
        <f ca="1"/>
        <v>#NAME?</v>
      </c>
      <c r="I11" s="1103" t="e">
        <f ca="1"/>
        <v>#NAME?</v>
      </c>
      <c r="J11" s="1102" t="e">
        <f ca="1"/>
        <v>#NAME?</v>
      </c>
      <c r="K11" s="1101" t="e">
        <f ca="1"/>
        <v>#NAME?</v>
      </c>
      <c r="L11" s="1100" t="e">
        <f ca="1"/>
        <v>#NAME?</v>
      </c>
      <c r="M11" s="1098" t="e">
        <f ca="1"/>
        <v>#NAME?</v>
      </c>
      <c r="N11" s="1098" t="e">
        <f ca="1"/>
        <v>#NAME?</v>
      </c>
      <c r="O11" s="1099" t="e">
        <f ca="1"/>
        <v>#NAME?</v>
      </c>
      <c r="P11" s="1098" t="e">
        <f ca="1"/>
        <v>#NAME?</v>
      </c>
      <c r="Q11" s="1098" t="e">
        <f ca="1"/>
        <v>#NAME?</v>
      </c>
      <c r="R11" s="1098" t="e">
        <f ca="1"/>
        <v>#NAME?</v>
      </c>
      <c r="S11" s="1098" t="e">
        <f ca="1"/>
        <v>#NAME?</v>
      </c>
      <c r="T11" s="1098" t="e">
        <f ca="1"/>
        <v>#NAME?</v>
      </c>
      <c r="U11" s="1097" t="e">
        <f ca="1"/>
        <v>#NAME?</v>
      </c>
      <c r="V11" s="1086"/>
      <c r="W11" s="1086"/>
      <c r="X11" s="1086"/>
      <c r="Y11" s="1086"/>
      <c r="Z11" s="1086"/>
      <c r="AA11" s="1077"/>
      <c r="AB11" s="1077"/>
      <c r="AC11" s="1077"/>
      <c r="AD11" s="1077"/>
      <c r="AE11" s="1077"/>
      <c r="AF11" s="1077"/>
      <c r="AG11" s="1077"/>
      <c r="AH11" s="1077"/>
      <c r="AI11" s="1077"/>
      <c r="AJ11" s="1077"/>
      <c r="AK11" s="1077"/>
      <c r="AL11" s="1077"/>
      <c r="AM11" s="1077"/>
      <c r="AN11" s="1077"/>
    </row>
    <row r="12" spans="1:40" x14ac:dyDescent="0.2">
      <c r="A12" s="1106" t="e">
        <f ca="1"/>
        <v>#NAME?</v>
      </c>
      <c r="B12" s="1102" t="e">
        <f ca="1"/>
        <v>#NAME?</v>
      </c>
      <c r="C12" s="1105" t="e">
        <f ca="1"/>
        <v>#NAME?</v>
      </c>
      <c r="D12" s="1105" t="e">
        <f ca="1"/>
        <v>#NAME?</v>
      </c>
      <c r="E12" s="1102" t="e">
        <f ca="1"/>
        <v>#NAME?</v>
      </c>
      <c r="F12" s="1102" t="e">
        <f ca="1"/>
        <v>#NAME?</v>
      </c>
      <c r="G12" s="1101" t="e">
        <f ca="1"/>
        <v>#NAME?</v>
      </c>
      <c r="H12" s="1104" t="e">
        <f ca="1"/>
        <v>#NAME?</v>
      </c>
      <c r="I12" s="1103" t="e">
        <f ca="1"/>
        <v>#NAME?</v>
      </c>
      <c r="J12" s="1102" t="e">
        <f ca="1"/>
        <v>#NAME?</v>
      </c>
      <c r="K12" s="1101" t="e">
        <f ca="1"/>
        <v>#NAME?</v>
      </c>
      <c r="L12" s="1100" t="e">
        <f ca="1"/>
        <v>#NAME?</v>
      </c>
      <c r="M12" s="1098" t="e">
        <f ca="1"/>
        <v>#NAME?</v>
      </c>
      <c r="N12" s="1098" t="e">
        <f ca="1"/>
        <v>#NAME?</v>
      </c>
      <c r="O12" s="1099" t="e">
        <f ca="1"/>
        <v>#NAME?</v>
      </c>
      <c r="P12" s="1098" t="e">
        <f ca="1"/>
        <v>#NAME?</v>
      </c>
      <c r="Q12" s="1098" t="e">
        <f ca="1"/>
        <v>#NAME?</v>
      </c>
      <c r="R12" s="1098" t="e">
        <f ca="1"/>
        <v>#NAME?</v>
      </c>
      <c r="S12" s="1098" t="e">
        <f ca="1"/>
        <v>#NAME?</v>
      </c>
      <c r="T12" s="1098" t="e">
        <f ca="1"/>
        <v>#NAME?</v>
      </c>
      <c r="U12" s="1097" t="e">
        <f ca="1"/>
        <v>#NAME?</v>
      </c>
      <c r="V12" s="1086"/>
      <c r="W12" s="1086"/>
      <c r="X12" s="1086"/>
      <c r="Y12" s="1086"/>
      <c r="Z12" s="1086"/>
      <c r="AA12" s="1077"/>
      <c r="AB12" s="1077"/>
      <c r="AC12" s="1077"/>
      <c r="AD12" s="1077"/>
      <c r="AE12" s="1077"/>
      <c r="AF12" s="1077"/>
      <c r="AG12" s="1077"/>
      <c r="AH12" s="1077"/>
      <c r="AI12" s="1077"/>
      <c r="AJ12" s="1077"/>
      <c r="AK12" s="1077"/>
      <c r="AL12" s="1077"/>
      <c r="AM12" s="1077"/>
      <c r="AN12" s="1077"/>
    </row>
    <row r="13" spans="1:40" x14ac:dyDescent="0.2">
      <c r="A13" s="1106" t="e">
        <f ca="1"/>
        <v>#NAME?</v>
      </c>
      <c r="B13" s="1102" t="e">
        <f ca="1"/>
        <v>#NAME?</v>
      </c>
      <c r="C13" s="1105" t="e">
        <f ca="1"/>
        <v>#NAME?</v>
      </c>
      <c r="D13" s="1105" t="e">
        <f ca="1"/>
        <v>#NAME?</v>
      </c>
      <c r="E13" s="1102" t="e">
        <f ca="1"/>
        <v>#NAME?</v>
      </c>
      <c r="F13" s="1102" t="e">
        <f ca="1"/>
        <v>#NAME?</v>
      </c>
      <c r="G13" s="1101" t="e">
        <f ca="1"/>
        <v>#NAME?</v>
      </c>
      <c r="H13" s="1104" t="e">
        <f ca="1"/>
        <v>#NAME?</v>
      </c>
      <c r="I13" s="1103" t="e">
        <f ca="1"/>
        <v>#NAME?</v>
      </c>
      <c r="J13" s="1102" t="e">
        <f ca="1"/>
        <v>#NAME?</v>
      </c>
      <c r="K13" s="1101" t="e">
        <f ca="1"/>
        <v>#NAME?</v>
      </c>
      <c r="L13" s="1100" t="e">
        <f ca="1"/>
        <v>#NAME?</v>
      </c>
      <c r="M13" s="1098" t="e">
        <f ca="1"/>
        <v>#NAME?</v>
      </c>
      <c r="N13" s="1098" t="e">
        <f ca="1"/>
        <v>#NAME?</v>
      </c>
      <c r="O13" s="1099" t="e">
        <f ca="1"/>
        <v>#NAME?</v>
      </c>
      <c r="P13" s="1098" t="e">
        <f ca="1"/>
        <v>#NAME?</v>
      </c>
      <c r="Q13" s="1098" t="e">
        <f ca="1"/>
        <v>#NAME?</v>
      </c>
      <c r="R13" s="1098" t="e">
        <f ca="1"/>
        <v>#NAME?</v>
      </c>
      <c r="S13" s="1098" t="e">
        <f ca="1"/>
        <v>#NAME?</v>
      </c>
      <c r="T13" s="1098" t="e">
        <f ca="1"/>
        <v>#NAME?</v>
      </c>
      <c r="U13" s="1097" t="e">
        <f ca="1"/>
        <v>#NAME?</v>
      </c>
      <c r="V13" s="1086"/>
      <c r="W13" s="1086"/>
      <c r="X13" s="1086"/>
      <c r="Y13" s="1086"/>
      <c r="Z13" s="1086"/>
      <c r="AA13" s="1077"/>
      <c r="AB13" s="1077"/>
      <c r="AC13" s="1077"/>
      <c r="AD13" s="1077"/>
      <c r="AE13" s="1077"/>
      <c r="AF13" s="1077"/>
      <c r="AG13" s="1077"/>
      <c r="AH13" s="1077"/>
      <c r="AI13" s="1077"/>
      <c r="AJ13" s="1077"/>
      <c r="AK13" s="1077"/>
      <c r="AL13" s="1077"/>
      <c r="AM13" s="1077"/>
      <c r="AN13" s="1077"/>
    </row>
    <row r="14" spans="1:40" x14ac:dyDescent="0.2">
      <c r="A14" s="1106" t="e">
        <f ca="1"/>
        <v>#NAME?</v>
      </c>
      <c r="B14" s="1102" t="e">
        <f ca="1"/>
        <v>#NAME?</v>
      </c>
      <c r="C14" s="1105" t="e">
        <f ca="1"/>
        <v>#NAME?</v>
      </c>
      <c r="D14" s="1105" t="e">
        <f ca="1"/>
        <v>#NAME?</v>
      </c>
      <c r="E14" s="1102" t="e">
        <f ca="1"/>
        <v>#NAME?</v>
      </c>
      <c r="F14" s="1102" t="e">
        <f ca="1"/>
        <v>#NAME?</v>
      </c>
      <c r="G14" s="1101" t="e">
        <f ca="1"/>
        <v>#NAME?</v>
      </c>
      <c r="H14" s="1104" t="e">
        <f ca="1"/>
        <v>#NAME?</v>
      </c>
      <c r="I14" s="1103" t="e">
        <f ca="1"/>
        <v>#NAME?</v>
      </c>
      <c r="J14" s="1102" t="e">
        <f ca="1"/>
        <v>#NAME?</v>
      </c>
      <c r="K14" s="1101" t="e">
        <f ca="1"/>
        <v>#NAME?</v>
      </c>
      <c r="L14" s="1100" t="e">
        <f ca="1"/>
        <v>#NAME?</v>
      </c>
      <c r="M14" s="1098" t="e">
        <f ca="1"/>
        <v>#NAME?</v>
      </c>
      <c r="N14" s="1098" t="e">
        <f ca="1"/>
        <v>#NAME?</v>
      </c>
      <c r="O14" s="1099" t="e">
        <f ca="1"/>
        <v>#NAME?</v>
      </c>
      <c r="P14" s="1098" t="e">
        <f ca="1"/>
        <v>#NAME?</v>
      </c>
      <c r="Q14" s="1098" t="e">
        <f ca="1"/>
        <v>#NAME?</v>
      </c>
      <c r="R14" s="1098" t="e">
        <f ca="1"/>
        <v>#NAME?</v>
      </c>
      <c r="S14" s="1098" t="e">
        <f ca="1"/>
        <v>#NAME?</v>
      </c>
      <c r="T14" s="1098" t="e">
        <f ca="1"/>
        <v>#NAME?</v>
      </c>
      <c r="U14" s="1097" t="e">
        <f ca="1"/>
        <v>#NAME?</v>
      </c>
      <c r="V14" s="1086"/>
      <c r="W14" s="1086"/>
      <c r="X14" s="1086"/>
      <c r="Y14" s="1086"/>
      <c r="Z14" s="1086"/>
      <c r="AA14" s="1077"/>
      <c r="AB14" s="1077"/>
      <c r="AC14" s="1077"/>
      <c r="AD14" s="1077"/>
      <c r="AE14" s="1077"/>
      <c r="AF14" s="1077"/>
      <c r="AG14" s="1077"/>
      <c r="AH14" s="1077"/>
      <c r="AI14" s="1077"/>
      <c r="AJ14" s="1077"/>
      <c r="AK14" s="1077"/>
      <c r="AL14" s="1077"/>
      <c r="AM14" s="1077"/>
      <c r="AN14" s="1077"/>
    </row>
    <row r="15" spans="1:40" x14ac:dyDescent="0.2">
      <c r="A15" s="1106" t="e">
        <f ca="1"/>
        <v>#NAME?</v>
      </c>
      <c r="B15" s="1102" t="e">
        <f ca="1"/>
        <v>#NAME?</v>
      </c>
      <c r="C15" s="1105" t="e">
        <f ca="1"/>
        <v>#NAME?</v>
      </c>
      <c r="D15" s="1105" t="e">
        <f ca="1"/>
        <v>#NAME?</v>
      </c>
      <c r="E15" s="1102" t="e">
        <f ca="1"/>
        <v>#NAME?</v>
      </c>
      <c r="F15" s="1102" t="e">
        <f ca="1"/>
        <v>#NAME?</v>
      </c>
      <c r="G15" s="1101" t="e">
        <f ca="1"/>
        <v>#NAME?</v>
      </c>
      <c r="H15" s="1104" t="e">
        <f ca="1"/>
        <v>#NAME?</v>
      </c>
      <c r="I15" s="1103" t="e">
        <f ca="1"/>
        <v>#NAME?</v>
      </c>
      <c r="J15" s="1102" t="e">
        <f ca="1"/>
        <v>#NAME?</v>
      </c>
      <c r="K15" s="1101" t="e">
        <f ca="1"/>
        <v>#NAME?</v>
      </c>
      <c r="L15" s="1100" t="e">
        <f ca="1"/>
        <v>#NAME?</v>
      </c>
      <c r="M15" s="1098" t="e">
        <f ca="1"/>
        <v>#NAME?</v>
      </c>
      <c r="N15" s="1098" t="e">
        <f ca="1"/>
        <v>#NAME?</v>
      </c>
      <c r="O15" s="1099" t="e">
        <f ca="1"/>
        <v>#NAME?</v>
      </c>
      <c r="P15" s="1098" t="e">
        <f ca="1"/>
        <v>#NAME?</v>
      </c>
      <c r="Q15" s="1098" t="e">
        <f ca="1"/>
        <v>#NAME?</v>
      </c>
      <c r="R15" s="1098" t="e">
        <f ca="1"/>
        <v>#NAME?</v>
      </c>
      <c r="S15" s="1098" t="e">
        <f ca="1"/>
        <v>#NAME?</v>
      </c>
      <c r="T15" s="1098" t="e">
        <f ca="1"/>
        <v>#NAME?</v>
      </c>
      <c r="U15" s="1097" t="e">
        <f ca="1"/>
        <v>#NAME?</v>
      </c>
      <c r="V15" s="1086"/>
      <c r="W15" s="1086"/>
      <c r="X15" s="1086"/>
      <c r="Y15" s="1086"/>
      <c r="Z15" s="1086"/>
      <c r="AA15" s="1077"/>
      <c r="AB15" s="1077"/>
      <c r="AC15" s="1077"/>
      <c r="AD15" s="1077"/>
      <c r="AE15" s="1077"/>
      <c r="AF15" s="1077"/>
      <c r="AG15" s="1077"/>
      <c r="AH15" s="1077"/>
      <c r="AI15" s="1077"/>
      <c r="AJ15" s="1077"/>
      <c r="AK15" s="1077"/>
      <c r="AL15" s="1077"/>
      <c r="AM15" s="1077"/>
      <c r="AN15" s="1077"/>
    </row>
    <row r="16" spans="1:40" x14ac:dyDescent="0.2">
      <c r="A16" s="1106" t="e">
        <f ca="1"/>
        <v>#NAME?</v>
      </c>
      <c r="B16" s="1102" t="e">
        <f ca="1"/>
        <v>#NAME?</v>
      </c>
      <c r="C16" s="1105" t="e">
        <f ca="1"/>
        <v>#NAME?</v>
      </c>
      <c r="D16" s="1105" t="e">
        <f ca="1"/>
        <v>#NAME?</v>
      </c>
      <c r="E16" s="1102" t="e">
        <f ca="1"/>
        <v>#NAME?</v>
      </c>
      <c r="F16" s="1102" t="e">
        <f ca="1"/>
        <v>#NAME?</v>
      </c>
      <c r="G16" s="1101" t="e">
        <f ca="1"/>
        <v>#NAME?</v>
      </c>
      <c r="H16" s="1104" t="e">
        <f ca="1"/>
        <v>#NAME?</v>
      </c>
      <c r="I16" s="1103" t="e">
        <f ca="1"/>
        <v>#NAME?</v>
      </c>
      <c r="J16" s="1102" t="e">
        <f ca="1"/>
        <v>#NAME?</v>
      </c>
      <c r="K16" s="1101" t="e">
        <f ca="1"/>
        <v>#NAME?</v>
      </c>
      <c r="L16" s="1100" t="e">
        <f ca="1"/>
        <v>#NAME?</v>
      </c>
      <c r="M16" s="1098" t="e">
        <f ca="1"/>
        <v>#NAME?</v>
      </c>
      <c r="N16" s="1098" t="e">
        <f ca="1"/>
        <v>#NAME?</v>
      </c>
      <c r="O16" s="1099" t="e">
        <f ca="1"/>
        <v>#NAME?</v>
      </c>
      <c r="P16" s="1098" t="e">
        <f ca="1"/>
        <v>#NAME?</v>
      </c>
      <c r="Q16" s="1098" t="e">
        <f ca="1"/>
        <v>#NAME?</v>
      </c>
      <c r="R16" s="1098" t="e">
        <f ca="1"/>
        <v>#NAME?</v>
      </c>
      <c r="S16" s="1098" t="e">
        <f ca="1"/>
        <v>#NAME?</v>
      </c>
      <c r="T16" s="1098" t="e">
        <f ca="1"/>
        <v>#NAME?</v>
      </c>
      <c r="U16" s="1097" t="e">
        <f ca="1"/>
        <v>#NAME?</v>
      </c>
      <c r="V16" s="1086"/>
      <c r="W16" s="1086"/>
      <c r="X16" s="1086"/>
      <c r="Y16" s="1086"/>
      <c r="Z16" s="1086"/>
      <c r="AA16" s="1077"/>
      <c r="AB16" s="1077"/>
      <c r="AC16" s="1077"/>
      <c r="AD16" s="1077"/>
      <c r="AE16" s="1077"/>
      <c r="AF16" s="1077"/>
      <c r="AG16" s="1077"/>
      <c r="AH16" s="1077"/>
      <c r="AI16" s="1077"/>
      <c r="AJ16" s="1077"/>
      <c r="AK16" s="1077"/>
      <c r="AL16" s="1077"/>
      <c r="AM16" s="1077"/>
      <c r="AN16" s="1077"/>
    </row>
    <row r="17" spans="1:40" x14ac:dyDescent="0.2">
      <c r="A17" s="1106" t="e">
        <f ca="1"/>
        <v>#NAME?</v>
      </c>
      <c r="B17" s="1102" t="e">
        <f ca="1"/>
        <v>#NAME?</v>
      </c>
      <c r="C17" s="1105" t="e">
        <f ca="1"/>
        <v>#NAME?</v>
      </c>
      <c r="D17" s="1105" t="e">
        <f ca="1"/>
        <v>#NAME?</v>
      </c>
      <c r="E17" s="1102" t="e">
        <f ca="1"/>
        <v>#NAME?</v>
      </c>
      <c r="F17" s="1102" t="e">
        <f ca="1"/>
        <v>#NAME?</v>
      </c>
      <c r="G17" s="1101" t="e">
        <f ca="1"/>
        <v>#NAME?</v>
      </c>
      <c r="H17" s="1104" t="e">
        <f ca="1"/>
        <v>#NAME?</v>
      </c>
      <c r="I17" s="1103" t="e">
        <f ca="1"/>
        <v>#NAME?</v>
      </c>
      <c r="J17" s="1102" t="e">
        <f ca="1"/>
        <v>#NAME?</v>
      </c>
      <c r="K17" s="1101" t="e">
        <f ca="1"/>
        <v>#NAME?</v>
      </c>
      <c r="L17" s="1100" t="e">
        <f ca="1"/>
        <v>#NAME?</v>
      </c>
      <c r="M17" s="1098" t="e">
        <f ca="1"/>
        <v>#NAME?</v>
      </c>
      <c r="N17" s="1098" t="e">
        <f ca="1"/>
        <v>#NAME?</v>
      </c>
      <c r="O17" s="1099" t="e">
        <f ca="1"/>
        <v>#NAME?</v>
      </c>
      <c r="P17" s="1098" t="e">
        <f ca="1"/>
        <v>#NAME?</v>
      </c>
      <c r="Q17" s="1098" t="e">
        <f ca="1"/>
        <v>#NAME?</v>
      </c>
      <c r="R17" s="1098" t="e">
        <f ca="1"/>
        <v>#NAME?</v>
      </c>
      <c r="S17" s="1098" t="e">
        <f ca="1"/>
        <v>#NAME?</v>
      </c>
      <c r="T17" s="1098" t="e">
        <f ca="1"/>
        <v>#NAME?</v>
      </c>
      <c r="U17" s="1097" t="e">
        <f ca="1"/>
        <v>#NAME?</v>
      </c>
      <c r="V17" s="1086"/>
      <c r="W17" s="1086"/>
      <c r="X17" s="1086"/>
      <c r="Y17" s="1086"/>
      <c r="Z17" s="1086"/>
      <c r="AA17" s="1077"/>
      <c r="AB17" s="1077"/>
      <c r="AC17" s="1077"/>
      <c r="AD17" s="1077"/>
      <c r="AE17" s="1077"/>
      <c r="AF17" s="1077"/>
      <c r="AG17" s="1077"/>
      <c r="AH17" s="1077"/>
      <c r="AI17" s="1077"/>
      <c r="AJ17" s="1077"/>
      <c r="AK17" s="1077"/>
      <c r="AL17" s="1077"/>
      <c r="AM17" s="1077"/>
      <c r="AN17" s="1077"/>
    </row>
    <row r="18" spans="1:40" x14ac:dyDescent="0.2">
      <c r="A18" s="1106" t="e">
        <f ca="1"/>
        <v>#NAME?</v>
      </c>
      <c r="B18" s="1102" t="e">
        <f ca="1"/>
        <v>#NAME?</v>
      </c>
      <c r="C18" s="1105" t="e">
        <f ca="1"/>
        <v>#NAME?</v>
      </c>
      <c r="D18" s="1105" t="e">
        <f ca="1"/>
        <v>#NAME?</v>
      </c>
      <c r="E18" s="1102" t="e">
        <f ca="1"/>
        <v>#NAME?</v>
      </c>
      <c r="F18" s="1102" t="e">
        <f ca="1"/>
        <v>#NAME?</v>
      </c>
      <c r="G18" s="1101" t="e">
        <f ca="1"/>
        <v>#NAME?</v>
      </c>
      <c r="H18" s="1104" t="e">
        <f ca="1"/>
        <v>#NAME?</v>
      </c>
      <c r="I18" s="1103" t="e">
        <f ca="1"/>
        <v>#NAME?</v>
      </c>
      <c r="J18" s="1102" t="e">
        <f ca="1"/>
        <v>#NAME?</v>
      </c>
      <c r="K18" s="1101" t="e">
        <f ca="1"/>
        <v>#NAME?</v>
      </c>
      <c r="L18" s="1100" t="e">
        <f ca="1"/>
        <v>#NAME?</v>
      </c>
      <c r="M18" s="1098" t="e">
        <f ca="1"/>
        <v>#NAME?</v>
      </c>
      <c r="N18" s="1098" t="e">
        <f ca="1"/>
        <v>#NAME?</v>
      </c>
      <c r="O18" s="1099" t="e">
        <f ca="1"/>
        <v>#NAME?</v>
      </c>
      <c r="P18" s="1098" t="e">
        <f ca="1"/>
        <v>#NAME?</v>
      </c>
      <c r="Q18" s="1098" t="e">
        <f ca="1"/>
        <v>#NAME?</v>
      </c>
      <c r="R18" s="1098" t="e">
        <f ca="1"/>
        <v>#NAME?</v>
      </c>
      <c r="S18" s="1098" t="e">
        <f ca="1"/>
        <v>#NAME?</v>
      </c>
      <c r="T18" s="1098" t="e">
        <f ca="1"/>
        <v>#NAME?</v>
      </c>
      <c r="U18" s="1097" t="e">
        <f ca="1"/>
        <v>#NAME?</v>
      </c>
      <c r="V18" s="1086"/>
      <c r="W18" s="1086"/>
      <c r="X18" s="1086"/>
      <c r="Y18" s="1086"/>
      <c r="Z18" s="1086"/>
      <c r="AA18" s="1077"/>
      <c r="AB18" s="1077"/>
      <c r="AC18" s="1077"/>
      <c r="AD18" s="1077"/>
      <c r="AE18" s="1077"/>
      <c r="AF18" s="1077"/>
      <c r="AG18" s="1077"/>
      <c r="AH18" s="1077"/>
      <c r="AI18" s="1077"/>
      <c r="AJ18" s="1077"/>
      <c r="AK18" s="1077"/>
      <c r="AL18" s="1077"/>
      <c r="AM18" s="1077"/>
      <c r="AN18" s="1077"/>
    </row>
    <row r="19" spans="1:40" x14ac:dyDescent="0.2">
      <c r="A19" s="1106" t="e">
        <f ca="1"/>
        <v>#NAME?</v>
      </c>
      <c r="B19" s="1102" t="e">
        <f ca="1"/>
        <v>#NAME?</v>
      </c>
      <c r="C19" s="1105" t="e">
        <f ca="1"/>
        <v>#NAME?</v>
      </c>
      <c r="D19" s="1105" t="e">
        <f ca="1"/>
        <v>#NAME?</v>
      </c>
      <c r="E19" s="1102" t="e">
        <f ca="1"/>
        <v>#NAME?</v>
      </c>
      <c r="F19" s="1102" t="e">
        <f ca="1"/>
        <v>#NAME?</v>
      </c>
      <c r="G19" s="1101" t="e">
        <f ca="1"/>
        <v>#NAME?</v>
      </c>
      <c r="H19" s="1104" t="e">
        <f ca="1"/>
        <v>#NAME?</v>
      </c>
      <c r="I19" s="1103" t="e">
        <f ca="1"/>
        <v>#NAME?</v>
      </c>
      <c r="J19" s="1102" t="e">
        <f ca="1"/>
        <v>#NAME?</v>
      </c>
      <c r="K19" s="1101" t="e">
        <f ca="1"/>
        <v>#NAME?</v>
      </c>
      <c r="L19" s="1100" t="e">
        <f ca="1"/>
        <v>#NAME?</v>
      </c>
      <c r="M19" s="1098" t="e">
        <f ca="1"/>
        <v>#NAME?</v>
      </c>
      <c r="N19" s="1098" t="e">
        <f ca="1"/>
        <v>#NAME?</v>
      </c>
      <c r="O19" s="1099" t="e">
        <f ca="1"/>
        <v>#NAME?</v>
      </c>
      <c r="P19" s="1098" t="e">
        <f ca="1"/>
        <v>#NAME?</v>
      </c>
      <c r="Q19" s="1098" t="e">
        <f ca="1"/>
        <v>#NAME?</v>
      </c>
      <c r="R19" s="1098" t="e">
        <f ca="1"/>
        <v>#NAME?</v>
      </c>
      <c r="S19" s="1098" t="e">
        <f ca="1"/>
        <v>#NAME?</v>
      </c>
      <c r="T19" s="1098" t="e">
        <f ca="1"/>
        <v>#NAME?</v>
      </c>
      <c r="U19" s="1097" t="e">
        <f ca="1"/>
        <v>#NAME?</v>
      </c>
      <c r="V19" s="1086"/>
      <c r="W19" s="1086"/>
      <c r="X19" s="1086"/>
      <c r="Y19" s="1086"/>
      <c r="Z19" s="1086"/>
      <c r="AA19" s="1077"/>
      <c r="AB19" s="1077"/>
      <c r="AC19" s="1077"/>
      <c r="AD19" s="1077"/>
      <c r="AE19" s="1077"/>
      <c r="AF19" s="1077"/>
      <c r="AG19" s="1077"/>
      <c r="AH19" s="1077"/>
      <c r="AI19" s="1077"/>
      <c r="AJ19" s="1077"/>
      <c r="AK19" s="1077"/>
      <c r="AL19" s="1077"/>
      <c r="AM19" s="1077"/>
      <c r="AN19" s="1077"/>
    </row>
    <row r="20" spans="1:40" x14ac:dyDescent="0.2">
      <c r="A20" s="1106" t="e">
        <f ca="1"/>
        <v>#NAME?</v>
      </c>
      <c r="B20" s="1102" t="e">
        <f ca="1"/>
        <v>#NAME?</v>
      </c>
      <c r="C20" s="1105" t="e">
        <f ca="1"/>
        <v>#NAME?</v>
      </c>
      <c r="D20" s="1105" t="e">
        <f ca="1"/>
        <v>#NAME?</v>
      </c>
      <c r="E20" s="1102" t="e">
        <f ca="1"/>
        <v>#NAME?</v>
      </c>
      <c r="F20" s="1102" t="e">
        <f ca="1"/>
        <v>#NAME?</v>
      </c>
      <c r="G20" s="1101" t="e">
        <f ca="1"/>
        <v>#NAME?</v>
      </c>
      <c r="H20" s="1104" t="e">
        <f ca="1"/>
        <v>#NAME?</v>
      </c>
      <c r="I20" s="1103" t="e">
        <f ca="1"/>
        <v>#NAME?</v>
      </c>
      <c r="J20" s="1102" t="e">
        <f ca="1"/>
        <v>#NAME?</v>
      </c>
      <c r="K20" s="1101" t="e">
        <f ca="1"/>
        <v>#NAME?</v>
      </c>
      <c r="L20" s="1100" t="e">
        <f ca="1"/>
        <v>#NAME?</v>
      </c>
      <c r="M20" s="1098" t="e">
        <f ca="1"/>
        <v>#NAME?</v>
      </c>
      <c r="N20" s="1098" t="e">
        <f ca="1"/>
        <v>#NAME?</v>
      </c>
      <c r="O20" s="1099" t="e">
        <f ca="1"/>
        <v>#NAME?</v>
      </c>
      <c r="P20" s="1098" t="e">
        <f ca="1"/>
        <v>#NAME?</v>
      </c>
      <c r="Q20" s="1098" t="e">
        <f ca="1"/>
        <v>#NAME?</v>
      </c>
      <c r="R20" s="1098" t="e">
        <f ca="1"/>
        <v>#NAME?</v>
      </c>
      <c r="S20" s="1098" t="e">
        <f ca="1"/>
        <v>#NAME?</v>
      </c>
      <c r="T20" s="1098" t="e">
        <f ca="1"/>
        <v>#NAME?</v>
      </c>
      <c r="U20" s="1097" t="e">
        <f ca="1"/>
        <v>#NAME?</v>
      </c>
      <c r="V20" s="1086"/>
      <c r="W20" s="1086"/>
      <c r="X20" s="1086"/>
      <c r="Y20" s="1086"/>
      <c r="Z20" s="1086"/>
      <c r="AA20" s="1077"/>
      <c r="AB20" s="1077"/>
      <c r="AC20" s="1077"/>
      <c r="AD20" s="1077"/>
      <c r="AE20" s="1077"/>
      <c r="AF20" s="1077"/>
      <c r="AG20" s="1077"/>
      <c r="AH20" s="1077"/>
      <c r="AI20" s="1077"/>
      <c r="AJ20" s="1077"/>
      <c r="AK20" s="1077"/>
      <c r="AL20" s="1077"/>
      <c r="AM20" s="1077"/>
      <c r="AN20" s="1077"/>
    </row>
    <row r="21" spans="1:40" x14ac:dyDescent="0.2">
      <c r="A21" s="1106" t="e">
        <f ca="1"/>
        <v>#NAME?</v>
      </c>
      <c r="B21" s="1102" t="e">
        <f ca="1"/>
        <v>#NAME?</v>
      </c>
      <c r="C21" s="1105" t="e">
        <f ca="1"/>
        <v>#NAME?</v>
      </c>
      <c r="D21" s="1105" t="e">
        <f ca="1"/>
        <v>#NAME?</v>
      </c>
      <c r="E21" s="1102" t="e">
        <f ca="1"/>
        <v>#NAME?</v>
      </c>
      <c r="F21" s="1102" t="e">
        <f ca="1"/>
        <v>#NAME?</v>
      </c>
      <c r="G21" s="1101" t="e">
        <f ca="1"/>
        <v>#NAME?</v>
      </c>
      <c r="H21" s="1104" t="e">
        <f ca="1"/>
        <v>#NAME?</v>
      </c>
      <c r="I21" s="1103" t="e">
        <f ca="1"/>
        <v>#NAME?</v>
      </c>
      <c r="J21" s="1102" t="e">
        <f ca="1"/>
        <v>#NAME?</v>
      </c>
      <c r="K21" s="1101" t="e">
        <f ca="1"/>
        <v>#NAME?</v>
      </c>
      <c r="L21" s="1100" t="e">
        <f ca="1"/>
        <v>#NAME?</v>
      </c>
      <c r="M21" s="1098" t="e">
        <f ca="1"/>
        <v>#NAME?</v>
      </c>
      <c r="N21" s="1098" t="e">
        <f ca="1"/>
        <v>#NAME?</v>
      </c>
      <c r="O21" s="1099" t="e">
        <f ca="1"/>
        <v>#NAME?</v>
      </c>
      <c r="P21" s="1098" t="e">
        <f ca="1"/>
        <v>#NAME?</v>
      </c>
      <c r="Q21" s="1098" t="e">
        <f ca="1"/>
        <v>#NAME?</v>
      </c>
      <c r="R21" s="1098" t="e">
        <f ca="1"/>
        <v>#NAME?</v>
      </c>
      <c r="S21" s="1098" t="e">
        <f ca="1"/>
        <v>#NAME?</v>
      </c>
      <c r="T21" s="1098" t="e">
        <f ca="1"/>
        <v>#NAME?</v>
      </c>
      <c r="U21" s="1097" t="e">
        <f ca="1"/>
        <v>#NAME?</v>
      </c>
      <c r="V21" s="1086"/>
      <c r="W21" s="1086"/>
      <c r="X21" s="1086"/>
      <c r="Y21" s="1086"/>
      <c r="Z21" s="1086"/>
      <c r="AA21" s="1077"/>
      <c r="AB21" s="1077"/>
      <c r="AC21" s="1077"/>
      <c r="AD21" s="1077"/>
      <c r="AE21" s="1077"/>
      <c r="AF21" s="1077"/>
      <c r="AG21" s="1077"/>
      <c r="AH21" s="1077"/>
      <c r="AI21" s="1077"/>
      <c r="AJ21" s="1077"/>
      <c r="AK21" s="1077"/>
      <c r="AL21" s="1077"/>
      <c r="AM21" s="1077"/>
      <c r="AN21" s="1077"/>
    </row>
    <row r="22" spans="1:40" x14ac:dyDescent="0.2">
      <c r="A22" s="1106" t="e">
        <f ca="1"/>
        <v>#NAME?</v>
      </c>
      <c r="B22" s="1102" t="e">
        <f ca="1"/>
        <v>#NAME?</v>
      </c>
      <c r="C22" s="1105" t="e">
        <f ca="1"/>
        <v>#NAME?</v>
      </c>
      <c r="D22" s="1105" t="e">
        <f ca="1"/>
        <v>#NAME?</v>
      </c>
      <c r="E22" s="1102" t="e">
        <f ca="1"/>
        <v>#NAME?</v>
      </c>
      <c r="F22" s="1102" t="e">
        <f ca="1"/>
        <v>#NAME?</v>
      </c>
      <c r="G22" s="1101" t="e">
        <f ca="1"/>
        <v>#NAME?</v>
      </c>
      <c r="H22" s="1104" t="e">
        <f ca="1"/>
        <v>#NAME?</v>
      </c>
      <c r="I22" s="1103" t="e">
        <f ca="1"/>
        <v>#NAME?</v>
      </c>
      <c r="J22" s="1102" t="e">
        <f ca="1"/>
        <v>#NAME?</v>
      </c>
      <c r="K22" s="1101" t="e">
        <f ca="1"/>
        <v>#NAME?</v>
      </c>
      <c r="L22" s="1100" t="e">
        <f ca="1"/>
        <v>#NAME?</v>
      </c>
      <c r="M22" s="1098" t="e">
        <f ca="1"/>
        <v>#NAME?</v>
      </c>
      <c r="N22" s="1098" t="e">
        <f ca="1"/>
        <v>#NAME?</v>
      </c>
      <c r="O22" s="1099" t="e">
        <f ca="1"/>
        <v>#NAME?</v>
      </c>
      <c r="P22" s="1098" t="e">
        <f ca="1"/>
        <v>#NAME?</v>
      </c>
      <c r="Q22" s="1098" t="e">
        <f ca="1"/>
        <v>#NAME?</v>
      </c>
      <c r="R22" s="1098" t="e">
        <f ca="1"/>
        <v>#NAME?</v>
      </c>
      <c r="S22" s="1098" t="e">
        <f ca="1"/>
        <v>#NAME?</v>
      </c>
      <c r="T22" s="1098" t="e">
        <f ca="1"/>
        <v>#NAME?</v>
      </c>
      <c r="U22" s="1097" t="e">
        <f ca="1"/>
        <v>#NAME?</v>
      </c>
      <c r="V22" s="1086"/>
      <c r="W22" s="1086"/>
      <c r="X22" s="1086"/>
      <c r="Y22" s="1086"/>
      <c r="Z22" s="1086"/>
      <c r="AA22" s="1077"/>
      <c r="AB22" s="1077"/>
      <c r="AC22" s="1077"/>
      <c r="AD22" s="1077"/>
      <c r="AE22" s="1077"/>
      <c r="AF22" s="1077"/>
      <c r="AG22" s="1077"/>
      <c r="AH22" s="1077"/>
      <c r="AI22" s="1077"/>
      <c r="AJ22" s="1077"/>
      <c r="AK22" s="1077"/>
      <c r="AL22" s="1077"/>
      <c r="AM22" s="1077"/>
      <c r="AN22" s="1077"/>
    </row>
    <row r="23" spans="1:40" x14ac:dyDescent="0.2">
      <c r="A23" s="1106" t="e">
        <f ca="1"/>
        <v>#NAME?</v>
      </c>
      <c r="B23" s="1102" t="e">
        <f ca="1"/>
        <v>#NAME?</v>
      </c>
      <c r="C23" s="1105" t="e">
        <f ca="1"/>
        <v>#NAME?</v>
      </c>
      <c r="D23" s="1105" t="e">
        <f ca="1"/>
        <v>#NAME?</v>
      </c>
      <c r="E23" s="1102" t="e">
        <f ca="1"/>
        <v>#NAME?</v>
      </c>
      <c r="F23" s="1102" t="e">
        <f ca="1"/>
        <v>#NAME?</v>
      </c>
      <c r="G23" s="1101" t="e">
        <f ca="1"/>
        <v>#NAME?</v>
      </c>
      <c r="H23" s="1104" t="e">
        <f ca="1"/>
        <v>#NAME?</v>
      </c>
      <c r="I23" s="1103" t="e">
        <f ca="1"/>
        <v>#NAME?</v>
      </c>
      <c r="J23" s="1102" t="e">
        <f ca="1"/>
        <v>#NAME?</v>
      </c>
      <c r="K23" s="1101" t="e">
        <f ca="1"/>
        <v>#NAME?</v>
      </c>
      <c r="L23" s="1100" t="e">
        <f ca="1"/>
        <v>#NAME?</v>
      </c>
      <c r="M23" s="1098" t="e">
        <f ca="1"/>
        <v>#NAME?</v>
      </c>
      <c r="N23" s="1098" t="e">
        <f ca="1"/>
        <v>#NAME?</v>
      </c>
      <c r="O23" s="1099" t="e">
        <f ca="1"/>
        <v>#NAME?</v>
      </c>
      <c r="P23" s="1098" t="e">
        <f ca="1"/>
        <v>#NAME?</v>
      </c>
      <c r="Q23" s="1098" t="e">
        <f ca="1"/>
        <v>#NAME?</v>
      </c>
      <c r="R23" s="1098" t="e">
        <f ca="1"/>
        <v>#NAME?</v>
      </c>
      <c r="S23" s="1098" t="e">
        <f ca="1"/>
        <v>#NAME?</v>
      </c>
      <c r="T23" s="1098" t="e">
        <f ca="1"/>
        <v>#NAME?</v>
      </c>
      <c r="U23" s="1097" t="e">
        <f ca="1"/>
        <v>#NAME?</v>
      </c>
      <c r="V23" s="1086"/>
      <c r="W23" s="1086"/>
      <c r="X23" s="1086"/>
      <c r="Y23" s="1086"/>
      <c r="Z23" s="1086"/>
      <c r="AA23" s="1077"/>
      <c r="AB23" s="1077"/>
      <c r="AC23" s="1077"/>
      <c r="AD23" s="1077"/>
      <c r="AE23" s="1077"/>
      <c r="AF23" s="1077"/>
      <c r="AG23" s="1077"/>
      <c r="AH23" s="1077"/>
      <c r="AI23" s="1077"/>
      <c r="AJ23" s="1077"/>
      <c r="AK23" s="1077"/>
      <c r="AL23" s="1077"/>
      <c r="AM23" s="1077"/>
      <c r="AN23" s="1077"/>
    </row>
    <row r="24" spans="1:40" x14ac:dyDescent="0.2">
      <c r="A24" s="1106" t="e">
        <f ca="1"/>
        <v>#NAME?</v>
      </c>
      <c r="B24" s="1102" t="e">
        <f ca="1"/>
        <v>#NAME?</v>
      </c>
      <c r="C24" s="1105" t="e">
        <f ca="1"/>
        <v>#NAME?</v>
      </c>
      <c r="D24" s="1105" t="e">
        <f ca="1"/>
        <v>#NAME?</v>
      </c>
      <c r="E24" s="1102" t="e">
        <f ca="1"/>
        <v>#NAME?</v>
      </c>
      <c r="F24" s="1102" t="e">
        <f ca="1"/>
        <v>#NAME?</v>
      </c>
      <c r="G24" s="1101" t="e">
        <f ca="1"/>
        <v>#NAME?</v>
      </c>
      <c r="H24" s="1104" t="e">
        <f ca="1"/>
        <v>#NAME?</v>
      </c>
      <c r="I24" s="1103" t="e">
        <f ca="1"/>
        <v>#NAME?</v>
      </c>
      <c r="J24" s="1102" t="e">
        <f ca="1"/>
        <v>#NAME?</v>
      </c>
      <c r="K24" s="1101" t="e">
        <f ca="1"/>
        <v>#NAME?</v>
      </c>
      <c r="L24" s="1100" t="e">
        <f ca="1"/>
        <v>#NAME?</v>
      </c>
      <c r="M24" s="1098" t="e">
        <f ca="1"/>
        <v>#NAME?</v>
      </c>
      <c r="N24" s="1098" t="e">
        <f ca="1"/>
        <v>#NAME?</v>
      </c>
      <c r="O24" s="1099" t="e">
        <f ca="1"/>
        <v>#NAME?</v>
      </c>
      <c r="P24" s="1098" t="e">
        <f ca="1"/>
        <v>#NAME?</v>
      </c>
      <c r="Q24" s="1098" t="e">
        <f ca="1"/>
        <v>#NAME?</v>
      </c>
      <c r="R24" s="1098" t="e">
        <f ca="1"/>
        <v>#NAME?</v>
      </c>
      <c r="S24" s="1098" t="e">
        <f ca="1"/>
        <v>#NAME?</v>
      </c>
      <c r="T24" s="1098" t="e">
        <f ca="1"/>
        <v>#NAME?</v>
      </c>
      <c r="U24" s="1097" t="e">
        <f ca="1"/>
        <v>#NAME?</v>
      </c>
      <c r="V24" s="1086"/>
      <c r="W24" s="1086"/>
      <c r="X24" s="1086"/>
      <c r="Y24" s="1086"/>
      <c r="Z24" s="1086"/>
      <c r="AA24" s="1077"/>
      <c r="AB24" s="1077"/>
      <c r="AC24" s="1077"/>
      <c r="AD24" s="1077"/>
      <c r="AE24" s="1077"/>
      <c r="AF24" s="1077"/>
      <c r="AG24" s="1077"/>
      <c r="AH24" s="1077"/>
      <c r="AI24" s="1077"/>
      <c r="AJ24" s="1077"/>
      <c r="AK24" s="1077"/>
      <c r="AL24" s="1077"/>
      <c r="AM24" s="1077"/>
      <c r="AN24" s="1077"/>
    </row>
    <row r="25" spans="1:40" x14ac:dyDescent="0.2">
      <c r="A25" s="1106" t="e">
        <f ca="1"/>
        <v>#NAME?</v>
      </c>
      <c r="B25" s="1102" t="e">
        <f ca="1"/>
        <v>#NAME?</v>
      </c>
      <c r="C25" s="1105" t="e">
        <f ca="1"/>
        <v>#NAME?</v>
      </c>
      <c r="D25" s="1105" t="e">
        <f ca="1"/>
        <v>#NAME?</v>
      </c>
      <c r="E25" s="1102" t="e">
        <f ca="1"/>
        <v>#NAME?</v>
      </c>
      <c r="F25" s="1102" t="e">
        <f ca="1"/>
        <v>#NAME?</v>
      </c>
      <c r="G25" s="1101" t="e">
        <f ca="1"/>
        <v>#NAME?</v>
      </c>
      <c r="H25" s="1104" t="e">
        <f ca="1"/>
        <v>#NAME?</v>
      </c>
      <c r="I25" s="1103" t="e">
        <f ca="1"/>
        <v>#NAME?</v>
      </c>
      <c r="J25" s="1102" t="e">
        <f ca="1"/>
        <v>#NAME?</v>
      </c>
      <c r="K25" s="1101" t="e">
        <f ca="1"/>
        <v>#NAME?</v>
      </c>
      <c r="L25" s="1100" t="e">
        <f ca="1"/>
        <v>#NAME?</v>
      </c>
      <c r="M25" s="1098" t="e">
        <f ca="1"/>
        <v>#NAME?</v>
      </c>
      <c r="N25" s="1098" t="e">
        <f ca="1"/>
        <v>#NAME?</v>
      </c>
      <c r="O25" s="1099" t="e">
        <f ca="1"/>
        <v>#NAME?</v>
      </c>
      <c r="P25" s="1098" t="e">
        <f ca="1"/>
        <v>#NAME?</v>
      </c>
      <c r="Q25" s="1098" t="e">
        <f ca="1"/>
        <v>#NAME?</v>
      </c>
      <c r="R25" s="1098" t="e">
        <f ca="1"/>
        <v>#NAME?</v>
      </c>
      <c r="S25" s="1098" t="e">
        <f ca="1"/>
        <v>#NAME?</v>
      </c>
      <c r="T25" s="1098" t="e">
        <f ca="1"/>
        <v>#NAME?</v>
      </c>
      <c r="U25" s="1097" t="e">
        <f ca="1"/>
        <v>#NAME?</v>
      </c>
      <c r="V25" s="1086"/>
      <c r="W25" s="1086"/>
      <c r="X25" s="1086"/>
      <c r="Y25" s="1086"/>
      <c r="Z25" s="1086"/>
      <c r="AA25" s="1077"/>
      <c r="AB25" s="1077"/>
      <c r="AC25" s="1077"/>
      <c r="AD25" s="1077"/>
      <c r="AE25" s="1077"/>
      <c r="AF25" s="1077"/>
      <c r="AG25" s="1077"/>
      <c r="AH25" s="1077"/>
      <c r="AI25" s="1077"/>
      <c r="AJ25" s="1077"/>
      <c r="AK25" s="1077"/>
      <c r="AL25" s="1077"/>
      <c r="AM25" s="1077"/>
      <c r="AN25" s="1077"/>
    </row>
    <row r="26" spans="1:40" x14ac:dyDescent="0.2">
      <c r="A26" s="1106" t="e">
        <f ca="1"/>
        <v>#NAME?</v>
      </c>
      <c r="B26" s="1102" t="e">
        <f ca="1"/>
        <v>#NAME?</v>
      </c>
      <c r="C26" s="1105" t="e">
        <f ca="1"/>
        <v>#NAME?</v>
      </c>
      <c r="D26" s="1105" t="e">
        <f ca="1"/>
        <v>#NAME?</v>
      </c>
      <c r="E26" s="1102" t="e">
        <f ca="1"/>
        <v>#NAME?</v>
      </c>
      <c r="F26" s="1102" t="e">
        <f ca="1"/>
        <v>#NAME?</v>
      </c>
      <c r="G26" s="1101" t="e">
        <f ca="1"/>
        <v>#NAME?</v>
      </c>
      <c r="H26" s="1104" t="e">
        <f ca="1"/>
        <v>#NAME?</v>
      </c>
      <c r="I26" s="1103" t="e">
        <f ca="1"/>
        <v>#NAME?</v>
      </c>
      <c r="J26" s="1102" t="e">
        <f ca="1"/>
        <v>#NAME?</v>
      </c>
      <c r="K26" s="1101" t="e">
        <f ca="1"/>
        <v>#NAME?</v>
      </c>
      <c r="L26" s="1100" t="e">
        <f ca="1"/>
        <v>#NAME?</v>
      </c>
      <c r="M26" s="1098" t="e">
        <f ca="1"/>
        <v>#NAME?</v>
      </c>
      <c r="N26" s="1098" t="e">
        <f ca="1"/>
        <v>#NAME?</v>
      </c>
      <c r="O26" s="1099" t="e">
        <f ca="1"/>
        <v>#NAME?</v>
      </c>
      <c r="P26" s="1098" t="e">
        <f ca="1"/>
        <v>#NAME?</v>
      </c>
      <c r="Q26" s="1098" t="e">
        <f ca="1"/>
        <v>#NAME?</v>
      </c>
      <c r="R26" s="1098" t="e">
        <f ca="1"/>
        <v>#NAME?</v>
      </c>
      <c r="S26" s="1098" t="e">
        <f ca="1"/>
        <v>#NAME?</v>
      </c>
      <c r="T26" s="1098" t="e">
        <f ca="1"/>
        <v>#NAME?</v>
      </c>
      <c r="U26" s="1097" t="e">
        <f ca="1"/>
        <v>#NAME?</v>
      </c>
      <c r="V26" s="1086"/>
      <c r="W26" s="1086"/>
      <c r="X26" s="1086"/>
      <c r="Y26" s="1086"/>
      <c r="Z26" s="1086"/>
      <c r="AA26" s="1077"/>
      <c r="AB26" s="1077"/>
      <c r="AC26" s="1077"/>
      <c r="AD26" s="1077"/>
      <c r="AE26" s="1077"/>
      <c r="AF26" s="1077"/>
      <c r="AG26" s="1077"/>
      <c r="AH26" s="1077"/>
      <c r="AI26" s="1077"/>
      <c r="AJ26" s="1077"/>
      <c r="AK26" s="1077"/>
      <c r="AL26" s="1077"/>
      <c r="AM26" s="1077"/>
      <c r="AN26" s="1077"/>
    </row>
    <row r="27" spans="1:40" x14ac:dyDescent="0.2">
      <c r="A27" s="1106" t="e">
        <f ca="1"/>
        <v>#NAME?</v>
      </c>
      <c r="B27" s="1102" t="e">
        <f ca="1"/>
        <v>#NAME?</v>
      </c>
      <c r="C27" s="1105" t="e">
        <f ca="1"/>
        <v>#NAME?</v>
      </c>
      <c r="D27" s="1105" t="e">
        <f ca="1"/>
        <v>#NAME?</v>
      </c>
      <c r="E27" s="1102" t="e">
        <f ca="1"/>
        <v>#NAME?</v>
      </c>
      <c r="F27" s="1102" t="e">
        <f ca="1"/>
        <v>#NAME?</v>
      </c>
      <c r="G27" s="1101" t="e">
        <f ca="1"/>
        <v>#NAME?</v>
      </c>
      <c r="H27" s="1104" t="e">
        <f ca="1"/>
        <v>#NAME?</v>
      </c>
      <c r="I27" s="1103" t="e">
        <f ca="1"/>
        <v>#NAME?</v>
      </c>
      <c r="J27" s="1102" t="e">
        <f ca="1"/>
        <v>#NAME?</v>
      </c>
      <c r="K27" s="1101" t="e">
        <f ca="1"/>
        <v>#NAME?</v>
      </c>
      <c r="L27" s="1100" t="e">
        <f ca="1"/>
        <v>#NAME?</v>
      </c>
      <c r="M27" s="1098" t="e">
        <f ca="1"/>
        <v>#NAME?</v>
      </c>
      <c r="N27" s="1098" t="e">
        <f ca="1"/>
        <v>#NAME?</v>
      </c>
      <c r="O27" s="1099" t="e">
        <f ca="1"/>
        <v>#NAME?</v>
      </c>
      <c r="P27" s="1098" t="e">
        <f ca="1"/>
        <v>#NAME?</v>
      </c>
      <c r="Q27" s="1098" t="e">
        <f ca="1"/>
        <v>#NAME?</v>
      </c>
      <c r="R27" s="1098" t="e">
        <f ca="1"/>
        <v>#NAME?</v>
      </c>
      <c r="S27" s="1098" t="e">
        <f ca="1"/>
        <v>#NAME?</v>
      </c>
      <c r="T27" s="1098" t="e">
        <f ca="1"/>
        <v>#NAME?</v>
      </c>
      <c r="U27" s="1097" t="e">
        <f ca="1"/>
        <v>#NAME?</v>
      </c>
      <c r="V27" s="1086"/>
      <c r="W27" s="1086"/>
      <c r="X27" s="1086"/>
      <c r="Y27" s="1086"/>
      <c r="Z27" s="1086"/>
      <c r="AA27" s="1077"/>
      <c r="AB27" s="1077"/>
      <c r="AC27" s="1077"/>
      <c r="AD27" s="1077"/>
      <c r="AE27" s="1077"/>
      <c r="AF27" s="1077"/>
      <c r="AG27" s="1077"/>
      <c r="AH27" s="1077"/>
      <c r="AI27" s="1077"/>
      <c r="AJ27" s="1077"/>
      <c r="AK27" s="1077"/>
      <c r="AL27" s="1077"/>
      <c r="AM27" s="1077"/>
      <c r="AN27" s="1077"/>
    </row>
    <row r="28" spans="1:40" x14ac:dyDescent="0.2">
      <c r="A28" s="1106" t="e">
        <f ca="1"/>
        <v>#NAME?</v>
      </c>
      <c r="B28" s="1102" t="e">
        <f ca="1"/>
        <v>#NAME?</v>
      </c>
      <c r="C28" s="1105" t="e">
        <f ca="1"/>
        <v>#NAME?</v>
      </c>
      <c r="D28" s="1105" t="e">
        <f ca="1"/>
        <v>#NAME?</v>
      </c>
      <c r="E28" s="1102" t="e">
        <f ca="1"/>
        <v>#NAME?</v>
      </c>
      <c r="F28" s="1102" t="e">
        <f ca="1"/>
        <v>#NAME?</v>
      </c>
      <c r="G28" s="1101" t="e">
        <f ca="1"/>
        <v>#NAME?</v>
      </c>
      <c r="H28" s="1104" t="e">
        <f ca="1"/>
        <v>#NAME?</v>
      </c>
      <c r="I28" s="1103" t="e">
        <f ca="1"/>
        <v>#NAME?</v>
      </c>
      <c r="J28" s="1102" t="e">
        <f ca="1"/>
        <v>#NAME?</v>
      </c>
      <c r="K28" s="1101" t="e">
        <f ca="1"/>
        <v>#NAME?</v>
      </c>
      <c r="L28" s="1100" t="e">
        <f ca="1"/>
        <v>#NAME?</v>
      </c>
      <c r="M28" s="1098" t="e">
        <f ca="1"/>
        <v>#NAME?</v>
      </c>
      <c r="N28" s="1098" t="e">
        <f ca="1"/>
        <v>#NAME?</v>
      </c>
      <c r="O28" s="1099" t="e">
        <f ca="1"/>
        <v>#NAME?</v>
      </c>
      <c r="P28" s="1098" t="e">
        <f ca="1"/>
        <v>#NAME?</v>
      </c>
      <c r="Q28" s="1098" t="e">
        <f ca="1"/>
        <v>#NAME?</v>
      </c>
      <c r="R28" s="1098" t="e">
        <f ca="1"/>
        <v>#NAME?</v>
      </c>
      <c r="S28" s="1098" t="e">
        <f ca="1"/>
        <v>#NAME?</v>
      </c>
      <c r="T28" s="1098" t="e">
        <f ca="1"/>
        <v>#NAME?</v>
      </c>
      <c r="U28" s="1097" t="e">
        <f ca="1"/>
        <v>#NAME?</v>
      </c>
      <c r="V28" s="1086"/>
      <c r="W28" s="1086"/>
      <c r="X28" s="1086"/>
      <c r="Y28" s="1086"/>
      <c r="Z28" s="1086"/>
      <c r="AA28" s="1077"/>
      <c r="AB28" s="1077"/>
      <c r="AC28" s="1077"/>
      <c r="AD28" s="1077"/>
      <c r="AE28" s="1077"/>
      <c r="AF28" s="1077"/>
      <c r="AG28" s="1077"/>
      <c r="AH28" s="1077"/>
      <c r="AI28" s="1077"/>
      <c r="AJ28" s="1077"/>
      <c r="AK28" s="1077"/>
      <c r="AL28" s="1077"/>
      <c r="AM28" s="1077"/>
      <c r="AN28" s="1077"/>
    </row>
    <row r="29" spans="1:40" x14ac:dyDescent="0.2">
      <c r="A29" s="1106" t="e">
        <f ca="1"/>
        <v>#NAME?</v>
      </c>
      <c r="B29" s="1102" t="e">
        <f ca="1"/>
        <v>#NAME?</v>
      </c>
      <c r="C29" s="1105" t="e">
        <f ca="1"/>
        <v>#NAME?</v>
      </c>
      <c r="D29" s="1105" t="e">
        <f ca="1"/>
        <v>#NAME?</v>
      </c>
      <c r="E29" s="1102" t="e">
        <f ca="1"/>
        <v>#NAME?</v>
      </c>
      <c r="F29" s="1102" t="e">
        <f ca="1"/>
        <v>#NAME?</v>
      </c>
      <c r="G29" s="1101" t="e">
        <f ca="1"/>
        <v>#NAME?</v>
      </c>
      <c r="H29" s="1104" t="e">
        <f ca="1"/>
        <v>#NAME?</v>
      </c>
      <c r="I29" s="1103" t="e">
        <f ca="1"/>
        <v>#NAME?</v>
      </c>
      <c r="J29" s="1102" t="e">
        <f ca="1"/>
        <v>#NAME?</v>
      </c>
      <c r="K29" s="1101" t="e">
        <f ca="1"/>
        <v>#NAME?</v>
      </c>
      <c r="L29" s="1100" t="e">
        <f ca="1"/>
        <v>#NAME?</v>
      </c>
      <c r="M29" s="1098" t="e">
        <f ca="1"/>
        <v>#NAME?</v>
      </c>
      <c r="N29" s="1098" t="e">
        <f ca="1"/>
        <v>#NAME?</v>
      </c>
      <c r="O29" s="1099" t="e">
        <f ca="1"/>
        <v>#NAME?</v>
      </c>
      <c r="P29" s="1098" t="e">
        <f ca="1"/>
        <v>#NAME?</v>
      </c>
      <c r="Q29" s="1098" t="e">
        <f ca="1"/>
        <v>#NAME?</v>
      </c>
      <c r="R29" s="1098" t="e">
        <f ca="1"/>
        <v>#NAME?</v>
      </c>
      <c r="S29" s="1098" t="e">
        <f ca="1"/>
        <v>#NAME?</v>
      </c>
      <c r="T29" s="1098" t="e">
        <f ca="1"/>
        <v>#NAME?</v>
      </c>
      <c r="U29" s="1097" t="e">
        <f ca="1"/>
        <v>#NAME?</v>
      </c>
      <c r="V29" s="1086"/>
      <c r="W29" s="1086"/>
      <c r="X29" s="1086"/>
      <c r="Y29" s="1086"/>
      <c r="Z29" s="1086"/>
      <c r="AA29" s="1077"/>
      <c r="AB29" s="1077"/>
      <c r="AC29" s="1077"/>
      <c r="AD29" s="1077"/>
      <c r="AE29" s="1077"/>
      <c r="AF29" s="1077"/>
      <c r="AG29" s="1077"/>
      <c r="AH29" s="1077"/>
      <c r="AI29" s="1077"/>
      <c r="AJ29" s="1077"/>
      <c r="AK29" s="1077"/>
      <c r="AL29" s="1077"/>
      <c r="AM29" s="1077"/>
      <c r="AN29" s="1077"/>
    </row>
    <row r="30" spans="1:40" x14ac:dyDescent="0.2">
      <c r="A30" s="1106" t="e">
        <f ca="1"/>
        <v>#NAME?</v>
      </c>
      <c r="B30" s="1102" t="e">
        <f ca="1"/>
        <v>#NAME?</v>
      </c>
      <c r="C30" s="1105" t="e">
        <f ca="1"/>
        <v>#NAME?</v>
      </c>
      <c r="D30" s="1105" t="e">
        <f ca="1"/>
        <v>#NAME?</v>
      </c>
      <c r="E30" s="1102" t="e">
        <f ca="1"/>
        <v>#NAME?</v>
      </c>
      <c r="F30" s="1102" t="e">
        <f ca="1"/>
        <v>#NAME?</v>
      </c>
      <c r="G30" s="1101" t="e">
        <f ca="1"/>
        <v>#NAME?</v>
      </c>
      <c r="H30" s="1104" t="e">
        <f ca="1"/>
        <v>#NAME?</v>
      </c>
      <c r="I30" s="1103" t="e">
        <f ca="1"/>
        <v>#NAME?</v>
      </c>
      <c r="J30" s="1102" t="e">
        <f ca="1"/>
        <v>#NAME?</v>
      </c>
      <c r="K30" s="1101" t="e">
        <f ca="1"/>
        <v>#NAME?</v>
      </c>
      <c r="L30" s="1100" t="e">
        <f ca="1"/>
        <v>#NAME?</v>
      </c>
      <c r="M30" s="1098" t="e">
        <f ca="1"/>
        <v>#NAME?</v>
      </c>
      <c r="N30" s="1098" t="e">
        <f ca="1"/>
        <v>#NAME?</v>
      </c>
      <c r="O30" s="1099" t="e">
        <f ca="1"/>
        <v>#NAME?</v>
      </c>
      <c r="P30" s="1098" t="e">
        <f ca="1"/>
        <v>#NAME?</v>
      </c>
      <c r="Q30" s="1098" t="e">
        <f ca="1"/>
        <v>#NAME?</v>
      </c>
      <c r="R30" s="1098" t="e">
        <f ca="1"/>
        <v>#NAME?</v>
      </c>
      <c r="S30" s="1098" t="e">
        <f ca="1"/>
        <v>#NAME?</v>
      </c>
      <c r="T30" s="1098" t="e">
        <f ca="1"/>
        <v>#NAME?</v>
      </c>
      <c r="U30" s="1097" t="e">
        <f ca="1"/>
        <v>#NAME?</v>
      </c>
      <c r="V30" s="1086"/>
      <c r="W30" s="1086"/>
      <c r="X30" s="1086"/>
      <c r="Y30" s="1086"/>
      <c r="Z30" s="1086"/>
      <c r="AA30" s="1077"/>
      <c r="AB30" s="1077"/>
      <c r="AC30" s="1077"/>
      <c r="AD30" s="1077"/>
      <c r="AE30" s="1077"/>
      <c r="AF30" s="1077"/>
      <c r="AG30" s="1077"/>
      <c r="AH30" s="1077"/>
      <c r="AI30" s="1077"/>
      <c r="AJ30" s="1077"/>
      <c r="AK30" s="1077"/>
      <c r="AL30" s="1077"/>
      <c r="AM30" s="1077"/>
      <c r="AN30" s="1077"/>
    </row>
    <row r="31" spans="1:40" x14ac:dyDescent="0.2">
      <c r="A31" s="1106" t="e">
        <f ca="1"/>
        <v>#NAME?</v>
      </c>
      <c r="B31" s="1102" t="e">
        <f ca="1"/>
        <v>#NAME?</v>
      </c>
      <c r="C31" s="1105" t="e">
        <f ca="1"/>
        <v>#NAME?</v>
      </c>
      <c r="D31" s="1105" t="e">
        <f ca="1"/>
        <v>#NAME?</v>
      </c>
      <c r="E31" s="1102" t="e">
        <f ca="1"/>
        <v>#NAME?</v>
      </c>
      <c r="F31" s="1102" t="e">
        <f ca="1"/>
        <v>#NAME?</v>
      </c>
      <c r="G31" s="1101" t="e">
        <f ca="1"/>
        <v>#NAME?</v>
      </c>
      <c r="H31" s="1104" t="e">
        <f ca="1"/>
        <v>#NAME?</v>
      </c>
      <c r="I31" s="1103" t="e">
        <f ca="1"/>
        <v>#NAME?</v>
      </c>
      <c r="J31" s="1102" t="e">
        <f ca="1"/>
        <v>#NAME?</v>
      </c>
      <c r="K31" s="1101" t="e">
        <f ca="1"/>
        <v>#NAME?</v>
      </c>
      <c r="L31" s="1100" t="e">
        <f ca="1"/>
        <v>#NAME?</v>
      </c>
      <c r="M31" s="1098" t="e">
        <f ca="1"/>
        <v>#NAME?</v>
      </c>
      <c r="N31" s="1098" t="e">
        <f ca="1"/>
        <v>#NAME?</v>
      </c>
      <c r="O31" s="1099" t="e">
        <f ca="1"/>
        <v>#NAME?</v>
      </c>
      <c r="P31" s="1098" t="e">
        <f ca="1"/>
        <v>#NAME?</v>
      </c>
      <c r="Q31" s="1098" t="e">
        <f ca="1"/>
        <v>#NAME?</v>
      </c>
      <c r="R31" s="1098" t="e">
        <f ca="1"/>
        <v>#NAME?</v>
      </c>
      <c r="S31" s="1098" t="e">
        <f ca="1"/>
        <v>#NAME?</v>
      </c>
      <c r="T31" s="1098" t="e">
        <f ca="1"/>
        <v>#NAME?</v>
      </c>
      <c r="U31" s="1097" t="e">
        <f ca="1"/>
        <v>#NAME?</v>
      </c>
      <c r="V31" s="1086"/>
      <c r="W31" s="1086"/>
      <c r="X31" s="1086"/>
      <c r="Y31" s="1086"/>
      <c r="Z31" s="1086"/>
      <c r="AA31" s="1077"/>
      <c r="AB31" s="1077"/>
      <c r="AC31" s="1077"/>
      <c r="AD31" s="1077"/>
      <c r="AE31" s="1077"/>
      <c r="AF31" s="1077"/>
      <c r="AG31" s="1077"/>
      <c r="AH31" s="1077"/>
      <c r="AI31" s="1077"/>
      <c r="AJ31" s="1077"/>
      <c r="AK31" s="1077"/>
      <c r="AL31" s="1077"/>
      <c r="AM31" s="1077"/>
      <c r="AN31" s="1077"/>
    </row>
    <row r="32" spans="1:40" x14ac:dyDescent="0.2">
      <c r="A32" s="1106" t="e">
        <f ca="1"/>
        <v>#NAME?</v>
      </c>
      <c r="B32" s="1102" t="e">
        <f ca="1"/>
        <v>#NAME?</v>
      </c>
      <c r="C32" s="1105" t="e">
        <f ca="1"/>
        <v>#NAME?</v>
      </c>
      <c r="D32" s="1105" t="e">
        <f ca="1"/>
        <v>#NAME?</v>
      </c>
      <c r="E32" s="1102" t="e">
        <f ca="1"/>
        <v>#NAME?</v>
      </c>
      <c r="F32" s="1102" t="e">
        <f ca="1"/>
        <v>#NAME?</v>
      </c>
      <c r="G32" s="1101" t="e">
        <f ca="1"/>
        <v>#NAME?</v>
      </c>
      <c r="H32" s="1104" t="e">
        <f ca="1"/>
        <v>#NAME?</v>
      </c>
      <c r="I32" s="1103" t="e">
        <f ca="1"/>
        <v>#NAME?</v>
      </c>
      <c r="J32" s="1102" t="e">
        <f ca="1"/>
        <v>#NAME?</v>
      </c>
      <c r="K32" s="1101" t="e">
        <f ca="1"/>
        <v>#NAME?</v>
      </c>
      <c r="L32" s="1100" t="e">
        <f ca="1"/>
        <v>#NAME?</v>
      </c>
      <c r="M32" s="1098" t="e">
        <f ca="1"/>
        <v>#NAME?</v>
      </c>
      <c r="N32" s="1098" t="e">
        <f ca="1"/>
        <v>#NAME?</v>
      </c>
      <c r="O32" s="1099" t="e">
        <f ca="1"/>
        <v>#NAME?</v>
      </c>
      <c r="P32" s="1098" t="e">
        <f ca="1"/>
        <v>#NAME?</v>
      </c>
      <c r="Q32" s="1098" t="e">
        <f ca="1"/>
        <v>#NAME?</v>
      </c>
      <c r="R32" s="1098" t="e">
        <f ca="1"/>
        <v>#NAME?</v>
      </c>
      <c r="S32" s="1098" t="e">
        <f ca="1"/>
        <v>#NAME?</v>
      </c>
      <c r="T32" s="1098" t="e">
        <f ca="1"/>
        <v>#NAME?</v>
      </c>
      <c r="U32" s="1097" t="e">
        <f ca="1"/>
        <v>#NAME?</v>
      </c>
      <c r="V32" s="1086"/>
      <c r="W32" s="1086"/>
      <c r="X32" s="1086"/>
      <c r="Y32" s="1086"/>
      <c r="Z32" s="1086"/>
      <c r="AA32" s="1077"/>
      <c r="AB32" s="1077"/>
      <c r="AC32" s="1077"/>
      <c r="AD32" s="1077"/>
      <c r="AE32" s="1077"/>
      <c r="AF32" s="1077"/>
      <c r="AG32" s="1077"/>
      <c r="AH32" s="1077"/>
      <c r="AI32" s="1077"/>
      <c r="AJ32" s="1077"/>
      <c r="AK32" s="1077"/>
      <c r="AL32" s="1077"/>
      <c r="AM32" s="1077"/>
      <c r="AN32" s="1077"/>
    </row>
    <row r="33" spans="1:40" x14ac:dyDescent="0.2">
      <c r="A33" s="1106" t="e">
        <f ca="1"/>
        <v>#NAME?</v>
      </c>
      <c r="B33" s="1102" t="e">
        <f ca="1"/>
        <v>#NAME?</v>
      </c>
      <c r="C33" s="1105" t="e">
        <f ca="1"/>
        <v>#NAME?</v>
      </c>
      <c r="D33" s="1105" t="e">
        <f ca="1"/>
        <v>#NAME?</v>
      </c>
      <c r="E33" s="1102" t="e">
        <f ca="1"/>
        <v>#NAME?</v>
      </c>
      <c r="F33" s="1102" t="e">
        <f ca="1"/>
        <v>#NAME?</v>
      </c>
      <c r="G33" s="1101" t="e">
        <f ca="1"/>
        <v>#NAME?</v>
      </c>
      <c r="H33" s="1104" t="e">
        <f ca="1"/>
        <v>#NAME?</v>
      </c>
      <c r="I33" s="1103" t="e">
        <f ca="1"/>
        <v>#NAME?</v>
      </c>
      <c r="J33" s="1102" t="e">
        <f ca="1"/>
        <v>#NAME?</v>
      </c>
      <c r="K33" s="1101" t="e">
        <f ca="1"/>
        <v>#NAME?</v>
      </c>
      <c r="L33" s="1100" t="e">
        <f ca="1"/>
        <v>#NAME?</v>
      </c>
      <c r="M33" s="1098" t="e">
        <f ca="1"/>
        <v>#NAME?</v>
      </c>
      <c r="N33" s="1098" t="e">
        <f ca="1"/>
        <v>#NAME?</v>
      </c>
      <c r="O33" s="1099" t="e">
        <f ca="1"/>
        <v>#NAME?</v>
      </c>
      <c r="P33" s="1098" t="e">
        <f ca="1"/>
        <v>#NAME?</v>
      </c>
      <c r="Q33" s="1098" t="e">
        <f ca="1"/>
        <v>#NAME?</v>
      </c>
      <c r="R33" s="1098" t="e">
        <f ca="1"/>
        <v>#NAME?</v>
      </c>
      <c r="S33" s="1098" t="e">
        <f ca="1"/>
        <v>#NAME?</v>
      </c>
      <c r="T33" s="1098" t="e">
        <f ca="1"/>
        <v>#NAME?</v>
      </c>
      <c r="U33" s="1097" t="e">
        <f ca="1"/>
        <v>#NAME?</v>
      </c>
      <c r="V33" s="1086"/>
      <c r="W33" s="1086"/>
      <c r="X33" s="1086"/>
      <c r="Y33" s="1086"/>
      <c r="Z33" s="1086"/>
      <c r="AA33" s="1077"/>
      <c r="AB33" s="1077"/>
      <c r="AC33" s="1077"/>
      <c r="AD33" s="1077"/>
      <c r="AE33" s="1077"/>
      <c r="AF33" s="1077"/>
      <c r="AG33" s="1077"/>
      <c r="AH33" s="1077"/>
      <c r="AI33" s="1077"/>
      <c r="AJ33" s="1077"/>
      <c r="AK33" s="1077"/>
      <c r="AL33" s="1077"/>
      <c r="AM33" s="1077"/>
      <c r="AN33" s="1077"/>
    </row>
    <row r="34" spans="1:40" x14ac:dyDescent="0.2">
      <c r="A34" s="1106" t="e">
        <f ca="1"/>
        <v>#NAME?</v>
      </c>
      <c r="B34" s="1102" t="e">
        <f ca="1"/>
        <v>#NAME?</v>
      </c>
      <c r="C34" s="1105" t="e">
        <f ca="1"/>
        <v>#NAME?</v>
      </c>
      <c r="D34" s="1105" t="e">
        <f ca="1"/>
        <v>#NAME?</v>
      </c>
      <c r="E34" s="1102" t="e">
        <f ca="1"/>
        <v>#NAME?</v>
      </c>
      <c r="F34" s="1102" t="e">
        <f ca="1"/>
        <v>#NAME?</v>
      </c>
      <c r="G34" s="1101" t="e">
        <f ca="1"/>
        <v>#NAME?</v>
      </c>
      <c r="H34" s="1104" t="e">
        <f ca="1"/>
        <v>#NAME?</v>
      </c>
      <c r="I34" s="1103" t="e">
        <f ca="1"/>
        <v>#NAME?</v>
      </c>
      <c r="J34" s="1102" t="e">
        <f ca="1"/>
        <v>#NAME?</v>
      </c>
      <c r="K34" s="1101" t="e">
        <f ca="1"/>
        <v>#NAME?</v>
      </c>
      <c r="L34" s="1100" t="e">
        <f ca="1"/>
        <v>#NAME?</v>
      </c>
      <c r="M34" s="1098" t="e">
        <f ca="1"/>
        <v>#NAME?</v>
      </c>
      <c r="N34" s="1098" t="e">
        <f ca="1"/>
        <v>#NAME?</v>
      </c>
      <c r="O34" s="1099" t="e">
        <f ca="1"/>
        <v>#NAME?</v>
      </c>
      <c r="P34" s="1098" t="e">
        <f ca="1"/>
        <v>#NAME?</v>
      </c>
      <c r="Q34" s="1098" t="e">
        <f ca="1"/>
        <v>#NAME?</v>
      </c>
      <c r="R34" s="1098" t="e">
        <f ca="1"/>
        <v>#NAME?</v>
      </c>
      <c r="S34" s="1098" t="e">
        <f ca="1"/>
        <v>#NAME?</v>
      </c>
      <c r="T34" s="1098" t="e">
        <f ca="1"/>
        <v>#NAME?</v>
      </c>
      <c r="U34" s="1097" t="e">
        <f ca="1"/>
        <v>#NAME?</v>
      </c>
      <c r="V34" s="1086"/>
      <c r="W34" s="1086"/>
      <c r="X34" s="1086"/>
      <c r="Y34" s="1086"/>
      <c r="Z34" s="1086"/>
      <c r="AA34" s="1077"/>
      <c r="AB34" s="1077"/>
      <c r="AC34" s="1077"/>
      <c r="AD34" s="1077"/>
      <c r="AE34" s="1077"/>
      <c r="AF34" s="1077"/>
      <c r="AG34" s="1077"/>
      <c r="AH34" s="1077"/>
      <c r="AI34" s="1077"/>
      <c r="AJ34" s="1077"/>
      <c r="AK34" s="1077"/>
      <c r="AL34" s="1077"/>
      <c r="AM34" s="1077"/>
      <c r="AN34" s="1077"/>
    </row>
    <row r="35" spans="1:40" x14ac:dyDescent="0.2">
      <c r="A35" s="1106" t="e">
        <f ca="1"/>
        <v>#NAME?</v>
      </c>
      <c r="B35" s="1102" t="e">
        <f ca="1"/>
        <v>#NAME?</v>
      </c>
      <c r="C35" s="1105" t="e">
        <f ca="1"/>
        <v>#NAME?</v>
      </c>
      <c r="D35" s="1105" t="e">
        <f ca="1"/>
        <v>#NAME?</v>
      </c>
      <c r="E35" s="1102" t="e">
        <f ca="1"/>
        <v>#NAME?</v>
      </c>
      <c r="F35" s="1102" t="e">
        <f ca="1"/>
        <v>#NAME?</v>
      </c>
      <c r="G35" s="1101" t="e">
        <f ca="1"/>
        <v>#NAME?</v>
      </c>
      <c r="H35" s="1104" t="e">
        <f ca="1"/>
        <v>#NAME?</v>
      </c>
      <c r="I35" s="1103" t="e">
        <f ca="1"/>
        <v>#NAME?</v>
      </c>
      <c r="J35" s="1102" t="e">
        <f ca="1"/>
        <v>#NAME?</v>
      </c>
      <c r="K35" s="1101" t="e">
        <f ca="1"/>
        <v>#NAME?</v>
      </c>
      <c r="L35" s="1100" t="e">
        <f ca="1"/>
        <v>#NAME?</v>
      </c>
      <c r="M35" s="1098" t="e">
        <f ca="1"/>
        <v>#NAME?</v>
      </c>
      <c r="N35" s="1098" t="e">
        <f ca="1"/>
        <v>#NAME?</v>
      </c>
      <c r="O35" s="1099" t="e">
        <f ca="1"/>
        <v>#NAME?</v>
      </c>
      <c r="P35" s="1098" t="e">
        <f ca="1"/>
        <v>#NAME?</v>
      </c>
      <c r="Q35" s="1098" t="e">
        <f ca="1"/>
        <v>#NAME?</v>
      </c>
      <c r="R35" s="1098" t="e">
        <f ca="1"/>
        <v>#NAME?</v>
      </c>
      <c r="S35" s="1098" t="e">
        <f ca="1"/>
        <v>#NAME?</v>
      </c>
      <c r="T35" s="1098" t="e">
        <f ca="1"/>
        <v>#NAME?</v>
      </c>
      <c r="U35" s="1097" t="e">
        <f ca="1"/>
        <v>#NAME?</v>
      </c>
      <c r="V35" s="1086"/>
      <c r="W35" s="1086"/>
      <c r="X35" s="1086"/>
      <c r="Y35" s="1086"/>
      <c r="Z35" s="1086"/>
      <c r="AA35" s="1077"/>
      <c r="AB35" s="1077"/>
      <c r="AC35" s="1077"/>
      <c r="AD35" s="1077"/>
      <c r="AE35" s="1077"/>
      <c r="AF35" s="1077"/>
      <c r="AG35" s="1077"/>
      <c r="AH35" s="1077"/>
      <c r="AI35" s="1077"/>
      <c r="AJ35" s="1077"/>
      <c r="AK35" s="1077"/>
      <c r="AL35" s="1077"/>
      <c r="AM35" s="1077"/>
      <c r="AN35" s="1077"/>
    </row>
    <row r="36" spans="1:40" x14ac:dyDescent="0.2">
      <c r="A36" s="1106" t="e">
        <f ca="1"/>
        <v>#NAME?</v>
      </c>
      <c r="B36" s="1102" t="e">
        <f ca="1"/>
        <v>#NAME?</v>
      </c>
      <c r="C36" s="1105" t="e">
        <f ca="1"/>
        <v>#NAME?</v>
      </c>
      <c r="D36" s="1105" t="e">
        <f ca="1"/>
        <v>#NAME?</v>
      </c>
      <c r="E36" s="1102" t="e">
        <f ca="1"/>
        <v>#NAME?</v>
      </c>
      <c r="F36" s="1102" t="e">
        <f ca="1"/>
        <v>#NAME?</v>
      </c>
      <c r="G36" s="1101" t="e">
        <f ca="1"/>
        <v>#NAME?</v>
      </c>
      <c r="H36" s="1104" t="e">
        <f ca="1"/>
        <v>#NAME?</v>
      </c>
      <c r="I36" s="1103" t="e">
        <f ca="1"/>
        <v>#NAME?</v>
      </c>
      <c r="J36" s="1102" t="e">
        <f ca="1"/>
        <v>#NAME?</v>
      </c>
      <c r="K36" s="1101" t="e">
        <f ca="1"/>
        <v>#NAME?</v>
      </c>
      <c r="L36" s="1100" t="e">
        <f ca="1"/>
        <v>#NAME?</v>
      </c>
      <c r="M36" s="1098" t="e">
        <f ca="1"/>
        <v>#NAME?</v>
      </c>
      <c r="N36" s="1098" t="e">
        <f ca="1"/>
        <v>#NAME?</v>
      </c>
      <c r="O36" s="1099" t="e">
        <f ca="1"/>
        <v>#NAME?</v>
      </c>
      <c r="P36" s="1098" t="e">
        <f ca="1"/>
        <v>#NAME?</v>
      </c>
      <c r="Q36" s="1098" t="e">
        <f ca="1"/>
        <v>#NAME?</v>
      </c>
      <c r="R36" s="1098" t="e">
        <f ca="1"/>
        <v>#NAME?</v>
      </c>
      <c r="S36" s="1098" t="e">
        <f ca="1"/>
        <v>#NAME?</v>
      </c>
      <c r="T36" s="1098" t="e">
        <f ca="1"/>
        <v>#NAME?</v>
      </c>
      <c r="U36" s="1097" t="e">
        <f ca="1"/>
        <v>#NAME?</v>
      </c>
      <c r="V36" s="1086"/>
      <c r="W36" s="1086"/>
      <c r="X36" s="1086"/>
      <c r="Y36" s="1086"/>
      <c r="Z36" s="1086"/>
      <c r="AA36" s="1077"/>
      <c r="AB36" s="1077"/>
      <c r="AC36" s="1077"/>
      <c r="AD36" s="1077"/>
      <c r="AE36" s="1077"/>
      <c r="AF36" s="1077"/>
      <c r="AG36" s="1077"/>
      <c r="AH36" s="1077"/>
      <c r="AI36" s="1077"/>
      <c r="AJ36" s="1077"/>
      <c r="AK36" s="1077"/>
      <c r="AL36" s="1077"/>
      <c r="AM36" s="1077"/>
      <c r="AN36" s="1077"/>
    </row>
    <row r="37" spans="1:40" x14ac:dyDescent="0.2">
      <c r="A37" s="1106" t="e">
        <f ca="1"/>
        <v>#NAME?</v>
      </c>
      <c r="B37" s="1102" t="e">
        <f ca="1"/>
        <v>#NAME?</v>
      </c>
      <c r="C37" s="1105" t="e">
        <f ca="1"/>
        <v>#NAME?</v>
      </c>
      <c r="D37" s="1105" t="e">
        <f ca="1"/>
        <v>#NAME?</v>
      </c>
      <c r="E37" s="1102" t="e">
        <f ca="1"/>
        <v>#NAME?</v>
      </c>
      <c r="F37" s="1102" t="e">
        <f ca="1"/>
        <v>#NAME?</v>
      </c>
      <c r="G37" s="1101" t="e">
        <f ca="1"/>
        <v>#NAME?</v>
      </c>
      <c r="H37" s="1104" t="e">
        <f ca="1"/>
        <v>#NAME?</v>
      </c>
      <c r="I37" s="1103" t="e">
        <f ca="1"/>
        <v>#NAME?</v>
      </c>
      <c r="J37" s="1102" t="e">
        <f ca="1"/>
        <v>#NAME?</v>
      </c>
      <c r="K37" s="1101" t="e">
        <f ca="1"/>
        <v>#NAME?</v>
      </c>
      <c r="L37" s="1100" t="e">
        <f ca="1"/>
        <v>#NAME?</v>
      </c>
      <c r="M37" s="1098" t="e">
        <f ca="1"/>
        <v>#NAME?</v>
      </c>
      <c r="N37" s="1098" t="e">
        <f ca="1"/>
        <v>#NAME?</v>
      </c>
      <c r="O37" s="1099" t="e">
        <f ca="1"/>
        <v>#NAME?</v>
      </c>
      <c r="P37" s="1098" t="e">
        <f ca="1"/>
        <v>#NAME?</v>
      </c>
      <c r="Q37" s="1098" t="e">
        <f ca="1"/>
        <v>#NAME?</v>
      </c>
      <c r="R37" s="1098" t="e">
        <f ca="1"/>
        <v>#NAME?</v>
      </c>
      <c r="S37" s="1098" t="e">
        <f ca="1"/>
        <v>#NAME?</v>
      </c>
      <c r="T37" s="1098" t="e">
        <f ca="1"/>
        <v>#NAME?</v>
      </c>
      <c r="U37" s="1097" t="e">
        <f ca="1"/>
        <v>#NAME?</v>
      </c>
      <c r="V37" s="1086"/>
      <c r="W37" s="1086"/>
      <c r="X37" s="1086"/>
      <c r="Y37" s="1086"/>
      <c r="Z37" s="1086"/>
      <c r="AA37" s="1077"/>
      <c r="AB37" s="1077"/>
      <c r="AC37" s="1077"/>
      <c r="AD37" s="1077"/>
      <c r="AE37" s="1077"/>
      <c r="AF37" s="1077"/>
      <c r="AG37" s="1077"/>
      <c r="AH37" s="1077"/>
      <c r="AI37" s="1077"/>
      <c r="AJ37" s="1077"/>
      <c r="AK37" s="1077"/>
      <c r="AL37" s="1077"/>
      <c r="AM37" s="1077"/>
      <c r="AN37" s="1077"/>
    </row>
    <row r="38" spans="1:40" x14ac:dyDescent="0.2">
      <c r="A38" s="1106" t="e">
        <f ca="1"/>
        <v>#NAME?</v>
      </c>
      <c r="B38" s="1102" t="e">
        <f ca="1"/>
        <v>#NAME?</v>
      </c>
      <c r="C38" s="1105" t="e">
        <f ca="1"/>
        <v>#NAME?</v>
      </c>
      <c r="D38" s="1105" t="e">
        <f ca="1"/>
        <v>#NAME?</v>
      </c>
      <c r="E38" s="1102" t="e">
        <f ca="1"/>
        <v>#NAME?</v>
      </c>
      <c r="F38" s="1102" t="e">
        <f ca="1"/>
        <v>#NAME?</v>
      </c>
      <c r="G38" s="1101" t="e">
        <f ca="1"/>
        <v>#NAME?</v>
      </c>
      <c r="H38" s="1104" t="e">
        <f ca="1"/>
        <v>#NAME?</v>
      </c>
      <c r="I38" s="1103" t="e">
        <f ca="1"/>
        <v>#NAME?</v>
      </c>
      <c r="J38" s="1102" t="e">
        <f ca="1"/>
        <v>#NAME?</v>
      </c>
      <c r="K38" s="1101" t="e">
        <f ca="1"/>
        <v>#NAME?</v>
      </c>
      <c r="L38" s="1100" t="e">
        <f ca="1"/>
        <v>#NAME?</v>
      </c>
      <c r="M38" s="1098" t="e">
        <f ca="1"/>
        <v>#NAME?</v>
      </c>
      <c r="N38" s="1098" t="e">
        <f ca="1"/>
        <v>#NAME?</v>
      </c>
      <c r="O38" s="1099" t="e">
        <f ca="1"/>
        <v>#NAME?</v>
      </c>
      <c r="P38" s="1098" t="e">
        <f ca="1"/>
        <v>#NAME?</v>
      </c>
      <c r="Q38" s="1098" t="e">
        <f ca="1"/>
        <v>#NAME?</v>
      </c>
      <c r="R38" s="1098" t="e">
        <f ca="1"/>
        <v>#NAME?</v>
      </c>
      <c r="S38" s="1098" t="e">
        <f ca="1"/>
        <v>#NAME?</v>
      </c>
      <c r="T38" s="1098" t="e">
        <f ca="1"/>
        <v>#NAME?</v>
      </c>
      <c r="U38" s="1097" t="e">
        <f ca="1"/>
        <v>#NAME?</v>
      </c>
      <c r="V38" s="1086"/>
      <c r="W38" s="1086"/>
      <c r="X38" s="1086"/>
      <c r="Y38" s="1086"/>
      <c r="Z38" s="1086"/>
      <c r="AA38" s="1077"/>
      <c r="AB38" s="1077"/>
      <c r="AC38" s="1077"/>
      <c r="AD38" s="1077"/>
      <c r="AE38" s="1077"/>
      <c r="AF38" s="1077"/>
      <c r="AG38" s="1077"/>
      <c r="AH38" s="1077"/>
      <c r="AI38" s="1077"/>
      <c r="AJ38" s="1077"/>
      <c r="AK38" s="1077"/>
      <c r="AL38" s="1077"/>
      <c r="AM38" s="1077"/>
      <c r="AN38" s="1077"/>
    </row>
    <row r="39" spans="1:40" x14ac:dyDescent="0.2">
      <c r="A39" s="1106" t="e">
        <f ca="1"/>
        <v>#NAME?</v>
      </c>
      <c r="B39" s="1102" t="e">
        <f ca="1"/>
        <v>#NAME?</v>
      </c>
      <c r="C39" s="1105" t="e">
        <f ca="1"/>
        <v>#NAME?</v>
      </c>
      <c r="D39" s="1105" t="e">
        <f ca="1"/>
        <v>#NAME?</v>
      </c>
      <c r="E39" s="1102" t="e">
        <f ca="1"/>
        <v>#NAME?</v>
      </c>
      <c r="F39" s="1102" t="e">
        <f ca="1"/>
        <v>#NAME?</v>
      </c>
      <c r="G39" s="1101" t="e">
        <f ca="1"/>
        <v>#NAME?</v>
      </c>
      <c r="H39" s="1104" t="e">
        <f ca="1"/>
        <v>#NAME?</v>
      </c>
      <c r="I39" s="1103" t="e">
        <f ca="1"/>
        <v>#NAME?</v>
      </c>
      <c r="J39" s="1102" t="e">
        <f ca="1"/>
        <v>#NAME?</v>
      </c>
      <c r="K39" s="1101" t="e">
        <f ca="1"/>
        <v>#NAME?</v>
      </c>
      <c r="L39" s="1100" t="e">
        <f ca="1"/>
        <v>#NAME?</v>
      </c>
      <c r="M39" s="1098" t="e">
        <f ca="1"/>
        <v>#NAME?</v>
      </c>
      <c r="N39" s="1098" t="e">
        <f ca="1"/>
        <v>#NAME?</v>
      </c>
      <c r="O39" s="1099" t="e">
        <f ca="1"/>
        <v>#NAME?</v>
      </c>
      <c r="P39" s="1098" t="e">
        <f ca="1"/>
        <v>#NAME?</v>
      </c>
      <c r="Q39" s="1098" t="e">
        <f ca="1"/>
        <v>#NAME?</v>
      </c>
      <c r="R39" s="1098" t="e">
        <f ca="1"/>
        <v>#NAME?</v>
      </c>
      <c r="S39" s="1098" t="e">
        <f ca="1"/>
        <v>#NAME?</v>
      </c>
      <c r="T39" s="1098" t="e">
        <f ca="1"/>
        <v>#NAME?</v>
      </c>
      <c r="U39" s="1097" t="e">
        <f ca="1"/>
        <v>#NAME?</v>
      </c>
      <c r="V39" s="1086"/>
      <c r="W39" s="1086"/>
      <c r="X39" s="1086"/>
      <c r="Y39" s="1086"/>
      <c r="Z39" s="1086"/>
      <c r="AA39" s="1077"/>
      <c r="AB39" s="1077"/>
      <c r="AC39" s="1077"/>
      <c r="AD39" s="1077"/>
      <c r="AE39" s="1077"/>
      <c r="AF39" s="1077"/>
      <c r="AG39" s="1077"/>
      <c r="AH39" s="1077"/>
      <c r="AI39" s="1077"/>
      <c r="AJ39" s="1077"/>
      <c r="AK39" s="1077"/>
      <c r="AL39" s="1077"/>
      <c r="AM39" s="1077"/>
      <c r="AN39" s="1077"/>
    </row>
    <row r="40" spans="1:40" x14ac:dyDescent="0.2">
      <c r="A40" s="1106" t="e">
        <f ca="1"/>
        <v>#NAME?</v>
      </c>
      <c r="B40" s="1102" t="e">
        <f ca="1"/>
        <v>#NAME?</v>
      </c>
      <c r="C40" s="1105" t="e">
        <f ca="1"/>
        <v>#NAME?</v>
      </c>
      <c r="D40" s="1105" t="e">
        <f ca="1"/>
        <v>#NAME?</v>
      </c>
      <c r="E40" s="1102" t="e">
        <f ca="1"/>
        <v>#NAME?</v>
      </c>
      <c r="F40" s="1102" t="e">
        <f ca="1"/>
        <v>#NAME?</v>
      </c>
      <c r="G40" s="1101" t="e">
        <f ca="1"/>
        <v>#NAME?</v>
      </c>
      <c r="H40" s="1104" t="e">
        <f ca="1"/>
        <v>#NAME?</v>
      </c>
      <c r="I40" s="1103" t="e">
        <f ca="1"/>
        <v>#NAME?</v>
      </c>
      <c r="J40" s="1102" t="e">
        <f ca="1"/>
        <v>#NAME?</v>
      </c>
      <c r="K40" s="1101" t="e">
        <f ca="1"/>
        <v>#NAME?</v>
      </c>
      <c r="L40" s="1100" t="e">
        <f ca="1"/>
        <v>#NAME?</v>
      </c>
      <c r="M40" s="1098" t="e">
        <f ca="1"/>
        <v>#NAME?</v>
      </c>
      <c r="N40" s="1098" t="e">
        <f ca="1"/>
        <v>#NAME?</v>
      </c>
      <c r="O40" s="1099" t="e">
        <f ca="1"/>
        <v>#NAME?</v>
      </c>
      <c r="P40" s="1098" t="e">
        <f ca="1"/>
        <v>#NAME?</v>
      </c>
      <c r="Q40" s="1098" t="e">
        <f ca="1"/>
        <v>#NAME?</v>
      </c>
      <c r="R40" s="1098" t="e">
        <f ca="1"/>
        <v>#NAME?</v>
      </c>
      <c r="S40" s="1098" t="e">
        <f ca="1"/>
        <v>#NAME?</v>
      </c>
      <c r="T40" s="1098" t="e">
        <f ca="1"/>
        <v>#NAME?</v>
      </c>
      <c r="U40" s="1097" t="e">
        <f ca="1"/>
        <v>#NAME?</v>
      </c>
      <c r="V40" s="1086"/>
      <c r="W40" s="1086"/>
      <c r="X40" s="1086"/>
      <c r="Y40" s="1086"/>
      <c r="Z40" s="1086"/>
      <c r="AA40" s="1077"/>
      <c r="AB40" s="1077"/>
      <c r="AC40" s="1077"/>
      <c r="AD40" s="1077"/>
      <c r="AE40" s="1077"/>
      <c r="AF40" s="1077"/>
      <c r="AG40" s="1077"/>
      <c r="AH40" s="1077"/>
      <c r="AI40" s="1077"/>
      <c r="AJ40" s="1077"/>
      <c r="AK40" s="1077"/>
      <c r="AL40" s="1077"/>
      <c r="AM40" s="1077"/>
      <c r="AN40" s="1077"/>
    </row>
    <row r="41" spans="1:40" x14ac:dyDescent="0.2">
      <c r="A41" s="1106" t="e">
        <f ca="1"/>
        <v>#NAME?</v>
      </c>
      <c r="B41" s="1102" t="e">
        <f ca="1"/>
        <v>#NAME?</v>
      </c>
      <c r="C41" s="1105" t="e">
        <f ca="1"/>
        <v>#NAME?</v>
      </c>
      <c r="D41" s="1105" t="e">
        <f ca="1"/>
        <v>#NAME?</v>
      </c>
      <c r="E41" s="1102" t="e">
        <f ca="1"/>
        <v>#NAME?</v>
      </c>
      <c r="F41" s="1102" t="e">
        <f ca="1"/>
        <v>#NAME?</v>
      </c>
      <c r="G41" s="1101" t="e">
        <f ca="1"/>
        <v>#NAME?</v>
      </c>
      <c r="H41" s="1104" t="e">
        <f ca="1"/>
        <v>#NAME?</v>
      </c>
      <c r="I41" s="1103" t="e">
        <f ca="1"/>
        <v>#NAME?</v>
      </c>
      <c r="J41" s="1102" t="e">
        <f ca="1"/>
        <v>#NAME?</v>
      </c>
      <c r="K41" s="1101" t="e">
        <f ca="1"/>
        <v>#NAME?</v>
      </c>
      <c r="L41" s="1100" t="e">
        <f ca="1"/>
        <v>#NAME?</v>
      </c>
      <c r="M41" s="1098" t="e">
        <f ca="1"/>
        <v>#NAME?</v>
      </c>
      <c r="N41" s="1098" t="e">
        <f ca="1"/>
        <v>#NAME?</v>
      </c>
      <c r="O41" s="1099" t="e">
        <f ca="1"/>
        <v>#NAME?</v>
      </c>
      <c r="P41" s="1098" t="e">
        <f ca="1"/>
        <v>#NAME?</v>
      </c>
      <c r="Q41" s="1098" t="e">
        <f ca="1"/>
        <v>#NAME?</v>
      </c>
      <c r="R41" s="1098" t="e">
        <f ca="1"/>
        <v>#NAME?</v>
      </c>
      <c r="S41" s="1098" t="e">
        <f ca="1"/>
        <v>#NAME?</v>
      </c>
      <c r="T41" s="1098" t="e">
        <f ca="1"/>
        <v>#NAME?</v>
      </c>
      <c r="U41" s="1097" t="e">
        <f ca="1"/>
        <v>#NAME?</v>
      </c>
      <c r="V41" s="1086"/>
      <c r="W41" s="1086"/>
      <c r="X41" s="1086"/>
      <c r="Y41" s="1086"/>
      <c r="Z41" s="1086"/>
      <c r="AA41" s="1077"/>
      <c r="AB41" s="1077"/>
      <c r="AC41" s="1077"/>
      <c r="AD41" s="1077"/>
      <c r="AE41" s="1077"/>
      <c r="AF41" s="1077"/>
      <c r="AG41" s="1077"/>
      <c r="AH41" s="1077"/>
      <c r="AI41" s="1077"/>
      <c r="AJ41" s="1077"/>
      <c r="AK41" s="1077"/>
      <c r="AL41" s="1077"/>
      <c r="AM41" s="1077"/>
      <c r="AN41" s="1077"/>
    </row>
    <row r="42" spans="1:40" x14ac:dyDescent="0.2">
      <c r="A42" s="1106" t="e">
        <f ca="1"/>
        <v>#NAME?</v>
      </c>
      <c r="B42" s="1102" t="e">
        <f ca="1"/>
        <v>#NAME?</v>
      </c>
      <c r="C42" s="1105" t="e">
        <f ca="1"/>
        <v>#NAME?</v>
      </c>
      <c r="D42" s="1105" t="e">
        <f ca="1"/>
        <v>#NAME?</v>
      </c>
      <c r="E42" s="1102" t="e">
        <f ca="1"/>
        <v>#NAME?</v>
      </c>
      <c r="F42" s="1102" t="e">
        <f ca="1"/>
        <v>#NAME?</v>
      </c>
      <c r="G42" s="1101" t="e">
        <f ca="1"/>
        <v>#NAME?</v>
      </c>
      <c r="H42" s="1104" t="e">
        <f ca="1"/>
        <v>#NAME?</v>
      </c>
      <c r="I42" s="1103" t="e">
        <f ca="1"/>
        <v>#NAME?</v>
      </c>
      <c r="J42" s="1102" t="e">
        <f ca="1"/>
        <v>#NAME?</v>
      </c>
      <c r="K42" s="1101" t="e">
        <f ca="1"/>
        <v>#NAME?</v>
      </c>
      <c r="L42" s="1100" t="e">
        <f ca="1"/>
        <v>#NAME?</v>
      </c>
      <c r="M42" s="1098" t="e">
        <f ca="1"/>
        <v>#NAME?</v>
      </c>
      <c r="N42" s="1098" t="e">
        <f ca="1"/>
        <v>#NAME?</v>
      </c>
      <c r="O42" s="1099" t="e">
        <f ca="1"/>
        <v>#NAME?</v>
      </c>
      <c r="P42" s="1098" t="e">
        <f ca="1"/>
        <v>#NAME?</v>
      </c>
      <c r="Q42" s="1098" t="e">
        <f ca="1"/>
        <v>#NAME?</v>
      </c>
      <c r="R42" s="1098" t="e">
        <f ca="1"/>
        <v>#NAME?</v>
      </c>
      <c r="S42" s="1098" t="e">
        <f ca="1"/>
        <v>#NAME?</v>
      </c>
      <c r="T42" s="1098" t="e">
        <f ca="1"/>
        <v>#NAME?</v>
      </c>
      <c r="U42" s="1097" t="e">
        <f ca="1"/>
        <v>#NAME?</v>
      </c>
      <c r="V42" s="1086"/>
      <c r="W42" s="1086"/>
      <c r="X42" s="1086"/>
      <c r="Y42" s="1086"/>
      <c r="Z42" s="1086"/>
      <c r="AA42" s="1077"/>
      <c r="AB42" s="1077"/>
      <c r="AC42" s="1077"/>
      <c r="AD42" s="1077"/>
      <c r="AE42" s="1077"/>
      <c r="AF42" s="1077"/>
      <c r="AG42" s="1077"/>
      <c r="AH42" s="1077"/>
      <c r="AI42" s="1077"/>
      <c r="AJ42" s="1077"/>
      <c r="AK42" s="1077"/>
      <c r="AL42" s="1077"/>
      <c r="AM42" s="1077"/>
      <c r="AN42" s="1077"/>
    </row>
    <row r="43" spans="1:40" x14ac:dyDescent="0.2">
      <c r="A43" s="1106" t="e">
        <f ca="1"/>
        <v>#NAME?</v>
      </c>
      <c r="B43" s="1102" t="e">
        <f ca="1"/>
        <v>#NAME?</v>
      </c>
      <c r="C43" s="1105" t="e">
        <f ca="1"/>
        <v>#NAME?</v>
      </c>
      <c r="D43" s="1105" t="e">
        <f ca="1"/>
        <v>#NAME?</v>
      </c>
      <c r="E43" s="1102" t="e">
        <f ca="1"/>
        <v>#NAME?</v>
      </c>
      <c r="F43" s="1102" t="e">
        <f ca="1"/>
        <v>#NAME?</v>
      </c>
      <c r="G43" s="1101" t="e">
        <f ca="1"/>
        <v>#NAME?</v>
      </c>
      <c r="H43" s="1104" t="e">
        <f ca="1"/>
        <v>#NAME?</v>
      </c>
      <c r="I43" s="1103" t="e">
        <f ca="1"/>
        <v>#NAME?</v>
      </c>
      <c r="J43" s="1102" t="e">
        <f ca="1"/>
        <v>#NAME?</v>
      </c>
      <c r="K43" s="1101" t="e">
        <f ca="1"/>
        <v>#NAME?</v>
      </c>
      <c r="L43" s="1100" t="e">
        <f ca="1"/>
        <v>#NAME?</v>
      </c>
      <c r="M43" s="1098" t="e">
        <f ca="1"/>
        <v>#NAME?</v>
      </c>
      <c r="N43" s="1098" t="e">
        <f ca="1"/>
        <v>#NAME?</v>
      </c>
      <c r="O43" s="1099" t="e">
        <f ca="1"/>
        <v>#NAME?</v>
      </c>
      <c r="P43" s="1098" t="e">
        <f ca="1"/>
        <v>#NAME?</v>
      </c>
      <c r="Q43" s="1098" t="e">
        <f ca="1"/>
        <v>#NAME?</v>
      </c>
      <c r="R43" s="1098" t="e">
        <f ca="1"/>
        <v>#NAME?</v>
      </c>
      <c r="S43" s="1098" t="e">
        <f ca="1"/>
        <v>#NAME?</v>
      </c>
      <c r="T43" s="1098" t="e">
        <f ca="1"/>
        <v>#NAME?</v>
      </c>
      <c r="U43" s="1097" t="e">
        <f ca="1"/>
        <v>#NAME?</v>
      </c>
      <c r="V43" s="1086"/>
      <c r="W43" s="1086"/>
      <c r="X43" s="1086"/>
      <c r="Y43" s="1086"/>
      <c r="Z43" s="1086"/>
      <c r="AA43" s="1077"/>
      <c r="AB43" s="1077"/>
      <c r="AC43" s="1077"/>
      <c r="AD43" s="1077"/>
      <c r="AE43" s="1077"/>
      <c r="AF43" s="1077"/>
      <c r="AG43" s="1077"/>
      <c r="AH43" s="1077"/>
      <c r="AI43" s="1077"/>
      <c r="AJ43" s="1077"/>
      <c r="AK43" s="1077"/>
      <c r="AL43" s="1077"/>
      <c r="AM43" s="1077"/>
      <c r="AN43" s="1077"/>
    </row>
    <row r="44" spans="1:40" x14ac:dyDescent="0.2">
      <c r="A44" s="1106" t="e">
        <f ca="1"/>
        <v>#NAME?</v>
      </c>
      <c r="B44" s="1102" t="e">
        <f ca="1"/>
        <v>#NAME?</v>
      </c>
      <c r="C44" s="1105" t="e">
        <f ca="1"/>
        <v>#NAME?</v>
      </c>
      <c r="D44" s="1105" t="e">
        <f ca="1"/>
        <v>#NAME?</v>
      </c>
      <c r="E44" s="1102" t="e">
        <f ca="1"/>
        <v>#NAME?</v>
      </c>
      <c r="F44" s="1102" t="e">
        <f ca="1"/>
        <v>#NAME?</v>
      </c>
      <c r="G44" s="1101" t="e">
        <f ca="1"/>
        <v>#NAME?</v>
      </c>
      <c r="H44" s="1104" t="e">
        <f ca="1"/>
        <v>#NAME?</v>
      </c>
      <c r="I44" s="1103" t="e">
        <f ca="1"/>
        <v>#NAME?</v>
      </c>
      <c r="J44" s="1102" t="e">
        <f ca="1"/>
        <v>#NAME?</v>
      </c>
      <c r="K44" s="1101" t="e">
        <f ca="1"/>
        <v>#NAME?</v>
      </c>
      <c r="L44" s="1100" t="e">
        <f ca="1"/>
        <v>#NAME?</v>
      </c>
      <c r="M44" s="1098" t="e">
        <f ca="1"/>
        <v>#NAME?</v>
      </c>
      <c r="N44" s="1098" t="e">
        <f ca="1"/>
        <v>#NAME?</v>
      </c>
      <c r="O44" s="1099" t="e">
        <f ca="1"/>
        <v>#NAME?</v>
      </c>
      <c r="P44" s="1098" t="e">
        <f ca="1"/>
        <v>#NAME?</v>
      </c>
      <c r="Q44" s="1098" t="e">
        <f ca="1"/>
        <v>#NAME?</v>
      </c>
      <c r="R44" s="1098" t="e">
        <f ca="1"/>
        <v>#NAME?</v>
      </c>
      <c r="S44" s="1098" t="e">
        <f ca="1"/>
        <v>#NAME?</v>
      </c>
      <c r="T44" s="1098" t="e">
        <f ca="1"/>
        <v>#NAME?</v>
      </c>
      <c r="U44" s="1097" t="e">
        <f ca="1"/>
        <v>#NAME?</v>
      </c>
      <c r="V44" s="1086"/>
      <c r="W44" s="1086"/>
      <c r="X44" s="1086"/>
      <c r="Y44" s="1086"/>
      <c r="Z44" s="1086"/>
      <c r="AA44" s="1077"/>
      <c r="AB44" s="1077"/>
      <c r="AC44" s="1077"/>
      <c r="AD44" s="1077"/>
      <c r="AE44" s="1077"/>
      <c r="AF44" s="1077"/>
      <c r="AG44" s="1077"/>
      <c r="AH44" s="1077"/>
      <c r="AI44" s="1077"/>
      <c r="AJ44" s="1077"/>
      <c r="AK44" s="1077"/>
      <c r="AL44" s="1077"/>
      <c r="AM44" s="1077"/>
      <c r="AN44" s="1077"/>
    </row>
    <row r="45" spans="1:40" x14ac:dyDescent="0.2">
      <c r="A45" s="1106" t="e">
        <f ca="1"/>
        <v>#NAME?</v>
      </c>
      <c r="B45" s="1102" t="e">
        <f ca="1"/>
        <v>#NAME?</v>
      </c>
      <c r="C45" s="1105" t="e">
        <f ca="1"/>
        <v>#NAME?</v>
      </c>
      <c r="D45" s="1105" t="e">
        <f ca="1"/>
        <v>#NAME?</v>
      </c>
      <c r="E45" s="1102" t="e">
        <f ca="1"/>
        <v>#NAME?</v>
      </c>
      <c r="F45" s="1102" t="e">
        <f ca="1"/>
        <v>#NAME?</v>
      </c>
      <c r="G45" s="1101" t="e">
        <f ca="1"/>
        <v>#NAME?</v>
      </c>
      <c r="H45" s="1104" t="e">
        <f ca="1"/>
        <v>#NAME?</v>
      </c>
      <c r="I45" s="1103" t="e">
        <f ca="1"/>
        <v>#NAME?</v>
      </c>
      <c r="J45" s="1102" t="e">
        <f ca="1"/>
        <v>#NAME?</v>
      </c>
      <c r="K45" s="1101" t="e">
        <f ca="1"/>
        <v>#NAME?</v>
      </c>
      <c r="L45" s="1100" t="e">
        <f ca="1"/>
        <v>#NAME?</v>
      </c>
      <c r="M45" s="1098" t="e">
        <f ca="1"/>
        <v>#NAME?</v>
      </c>
      <c r="N45" s="1098" t="e">
        <f ca="1"/>
        <v>#NAME?</v>
      </c>
      <c r="O45" s="1099" t="e">
        <f ca="1"/>
        <v>#NAME?</v>
      </c>
      <c r="P45" s="1098" t="e">
        <f ca="1"/>
        <v>#NAME?</v>
      </c>
      <c r="Q45" s="1098" t="e">
        <f ca="1"/>
        <v>#NAME?</v>
      </c>
      <c r="R45" s="1098" t="e">
        <f ca="1"/>
        <v>#NAME?</v>
      </c>
      <c r="S45" s="1098" t="e">
        <f ca="1"/>
        <v>#NAME?</v>
      </c>
      <c r="T45" s="1098" t="e">
        <f ca="1"/>
        <v>#NAME?</v>
      </c>
      <c r="U45" s="1097" t="e">
        <f ca="1"/>
        <v>#NAME?</v>
      </c>
      <c r="V45" s="1086"/>
      <c r="W45" s="1086"/>
      <c r="X45" s="1086"/>
      <c r="Y45" s="1086"/>
      <c r="Z45" s="1086"/>
      <c r="AA45" s="1077"/>
      <c r="AB45" s="1077"/>
      <c r="AC45" s="1077"/>
      <c r="AD45" s="1077"/>
      <c r="AE45" s="1077"/>
      <c r="AF45" s="1077"/>
      <c r="AG45" s="1077"/>
      <c r="AH45" s="1077"/>
      <c r="AI45" s="1077"/>
      <c r="AJ45" s="1077"/>
      <c r="AK45" s="1077"/>
      <c r="AL45" s="1077"/>
      <c r="AM45" s="1077"/>
      <c r="AN45" s="1077"/>
    </row>
    <row r="46" spans="1:40" x14ac:dyDescent="0.2">
      <c r="A46" s="1106" t="e">
        <f ca="1"/>
        <v>#NAME?</v>
      </c>
      <c r="B46" s="1102" t="e">
        <f ca="1"/>
        <v>#NAME?</v>
      </c>
      <c r="C46" s="1105" t="e">
        <f ca="1"/>
        <v>#NAME?</v>
      </c>
      <c r="D46" s="1105" t="e">
        <f ca="1"/>
        <v>#NAME?</v>
      </c>
      <c r="E46" s="1102" t="e">
        <f ca="1"/>
        <v>#NAME?</v>
      </c>
      <c r="F46" s="1102" t="e">
        <f ca="1"/>
        <v>#NAME?</v>
      </c>
      <c r="G46" s="1101" t="e">
        <f ca="1"/>
        <v>#NAME?</v>
      </c>
      <c r="H46" s="1104" t="e">
        <f ca="1"/>
        <v>#NAME?</v>
      </c>
      <c r="I46" s="1103" t="e">
        <f ca="1"/>
        <v>#NAME?</v>
      </c>
      <c r="J46" s="1102" t="e">
        <f ca="1"/>
        <v>#NAME?</v>
      </c>
      <c r="K46" s="1101" t="e">
        <f ca="1"/>
        <v>#NAME?</v>
      </c>
      <c r="L46" s="1100" t="e">
        <f ca="1"/>
        <v>#NAME?</v>
      </c>
      <c r="M46" s="1098" t="e">
        <f ca="1"/>
        <v>#NAME?</v>
      </c>
      <c r="N46" s="1098" t="e">
        <f ca="1"/>
        <v>#NAME?</v>
      </c>
      <c r="O46" s="1099" t="e">
        <f ca="1"/>
        <v>#NAME?</v>
      </c>
      <c r="P46" s="1098" t="e">
        <f ca="1"/>
        <v>#NAME?</v>
      </c>
      <c r="Q46" s="1098" t="e">
        <f ca="1"/>
        <v>#NAME?</v>
      </c>
      <c r="R46" s="1098" t="e">
        <f ca="1"/>
        <v>#NAME?</v>
      </c>
      <c r="S46" s="1098" t="e">
        <f ca="1"/>
        <v>#NAME?</v>
      </c>
      <c r="T46" s="1098" t="e">
        <f ca="1"/>
        <v>#NAME?</v>
      </c>
      <c r="U46" s="1097" t="e">
        <f ca="1"/>
        <v>#NAME?</v>
      </c>
      <c r="V46" s="1086"/>
      <c r="W46" s="1086"/>
      <c r="X46" s="1086"/>
      <c r="Y46" s="1086"/>
      <c r="Z46" s="1086"/>
      <c r="AA46" s="1077"/>
      <c r="AB46" s="1077"/>
      <c r="AC46" s="1077"/>
      <c r="AD46" s="1077"/>
      <c r="AE46" s="1077"/>
      <c r="AF46" s="1077"/>
      <c r="AG46" s="1077"/>
      <c r="AH46" s="1077"/>
      <c r="AI46" s="1077"/>
      <c r="AJ46" s="1077"/>
      <c r="AK46" s="1077"/>
      <c r="AL46" s="1077"/>
      <c r="AM46" s="1077"/>
      <c r="AN46" s="1077"/>
    </row>
    <row r="47" spans="1:40" x14ac:dyDescent="0.2">
      <c r="A47" s="1106" t="e">
        <f ca="1"/>
        <v>#NAME?</v>
      </c>
      <c r="B47" s="1102" t="e">
        <f ca="1"/>
        <v>#NAME?</v>
      </c>
      <c r="C47" s="1105" t="e">
        <f ca="1"/>
        <v>#NAME?</v>
      </c>
      <c r="D47" s="1105" t="e">
        <f ca="1"/>
        <v>#NAME?</v>
      </c>
      <c r="E47" s="1102" t="e">
        <f ca="1"/>
        <v>#NAME?</v>
      </c>
      <c r="F47" s="1102" t="e">
        <f ca="1"/>
        <v>#NAME?</v>
      </c>
      <c r="G47" s="1101" t="e">
        <f ca="1"/>
        <v>#NAME?</v>
      </c>
      <c r="H47" s="1104" t="e">
        <f ca="1"/>
        <v>#NAME?</v>
      </c>
      <c r="I47" s="1103" t="e">
        <f ca="1"/>
        <v>#NAME?</v>
      </c>
      <c r="J47" s="1102" t="e">
        <f ca="1"/>
        <v>#NAME?</v>
      </c>
      <c r="K47" s="1101" t="e">
        <f ca="1"/>
        <v>#NAME?</v>
      </c>
      <c r="L47" s="1100" t="e">
        <f ca="1"/>
        <v>#NAME?</v>
      </c>
      <c r="M47" s="1098" t="e">
        <f ca="1"/>
        <v>#NAME?</v>
      </c>
      <c r="N47" s="1098" t="e">
        <f ca="1"/>
        <v>#NAME?</v>
      </c>
      <c r="O47" s="1099" t="e">
        <f ca="1"/>
        <v>#NAME?</v>
      </c>
      <c r="P47" s="1098" t="e">
        <f ca="1"/>
        <v>#NAME?</v>
      </c>
      <c r="Q47" s="1098" t="e">
        <f ca="1"/>
        <v>#NAME?</v>
      </c>
      <c r="R47" s="1098" t="e">
        <f ca="1"/>
        <v>#NAME?</v>
      </c>
      <c r="S47" s="1098" t="e">
        <f ca="1"/>
        <v>#NAME?</v>
      </c>
      <c r="T47" s="1098" t="e">
        <f ca="1"/>
        <v>#NAME?</v>
      </c>
      <c r="U47" s="1097" t="e">
        <f ca="1"/>
        <v>#NAME?</v>
      </c>
      <c r="V47" s="1086"/>
      <c r="W47" s="1086"/>
      <c r="X47" s="1086"/>
      <c r="Y47" s="1086"/>
      <c r="Z47" s="1086"/>
      <c r="AA47" s="1077"/>
      <c r="AB47" s="1077"/>
      <c r="AC47" s="1077"/>
      <c r="AD47" s="1077"/>
      <c r="AE47" s="1077"/>
      <c r="AF47" s="1077"/>
      <c r="AG47" s="1077"/>
      <c r="AH47" s="1077"/>
      <c r="AI47" s="1077"/>
      <c r="AJ47" s="1077"/>
      <c r="AK47" s="1077"/>
      <c r="AL47" s="1077"/>
      <c r="AM47" s="1077"/>
      <c r="AN47" s="1077"/>
    </row>
    <row r="48" spans="1:40" x14ac:dyDescent="0.2">
      <c r="A48" s="1106" t="e">
        <f ca="1"/>
        <v>#NAME?</v>
      </c>
      <c r="B48" s="1102" t="e">
        <f ca="1"/>
        <v>#NAME?</v>
      </c>
      <c r="C48" s="1105" t="e">
        <f ca="1"/>
        <v>#NAME?</v>
      </c>
      <c r="D48" s="1105" t="e">
        <f ca="1"/>
        <v>#NAME?</v>
      </c>
      <c r="E48" s="1102" t="e">
        <f ca="1"/>
        <v>#NAME?</v>
      </c>
      <c r="F48" s="1102" t="e">
        <f ca="1"/>
        <v>#NAME?</v>
      </c>
      <c r="G48" s="1101" t="e">
        <f ca="1"/>
        <v>#NAME?</v>
      </c>
      <c r="H48" s="1104" t="e">
        <f ca="1"/>
        <v>#NAME?</v>
      </c>
      <c r="I48" s="1103" t="e">
        <f ca="1"/>
        <v>#NAME?</v>
      </c>
      <c r="J48" s="1102" t="e">
        <f ca="1"/>
        <v>#NAME?</v>
      </c>
      <c r="K48" s="1101" t="e">
        <f ca="1"/>
        <v>#NAME?</v>
      </c>
      <c r="L48" s="1100" t="e">
        <f ca="1"/>
        <v>#NAME?</v>
      </c>
      <c r="M48" s="1098" t="e">
        <f ca="1"/>
        <v>#NAME?</v>
      </c>
      <c r="N48" s="1098" t="e">
        <f ca="1"/>
        <v>#NAME?</v>
      </c>
      <c r="O48" s="1099" t="e">
        <f ca="1"/>
        <v>#NAME?</v>
      </c>
      <c r="P48" s="1098" t="e">
        <f ca="1"/>
        <v>#NAME?</v>
      </c>
      <c r="Q48" s="1098" t="e">
        <f ca="1"/>
        <v>#NAME?</v>
      </c>
      <c r="R48" s="1098" t="e">
        <f ca="1"/>
        <v>#NAME?</v>
      </c>
      <c r="S48" s="1098" t="e">
        <f ca="1"/>
        <v>#NAME?</v>
      </c>
      <c r="T48" s="1098" t="e">
        <f ca="1"/>
        <v>#NAME?</v>
      </c>
      <c r="U48" s="1097" t="e">
        <f ca="1"/>
        <v>#NAME?</v>
      </c>
      <c r="V48" s="1086"/>
      <c r="W48" s="1086"/>
      <c r="X48" s="1086"/>
      <c r="Y48" s="1086"/>
      <c r="Z48" s="1086"/>
      <c r="AA48" s="1077"/>
      <c r="AB48" s="1077"/>
      <c r="AC48" s="1077"/>
      <c r="AD48" s="1077"/>
      <c r="AE48" s="1077"/>
      <c r="AF48" s="1077"/>
      <c r="AG48" s="1077"/>
      <c r="AH48" s="1077"/>
      <c r="AI48" s="1077"/>
      <c r="AJ48" s="1077"/>
      <c r="AK48" s="1077"/>
      <c r="AL48" s="1077"/>
      <c r="AM48" s="1077"/>
      <c r="AN48" s="1077"/>
    </row>
    <row r="49" spans="1:40" x14ac:dyDescent="0.2">
      <c r="A49" s="1106" t="e">
        <f ca="1"/>
        <v>#NAME?</v>
      </c>
      <c r="B49" s="1102" t="e">
        <f ca="1"/>
        <v>#NAME?</v>
      </c>
      <c r="C49" s="1105" t="e">
        <f ca="1"/>
        <v>#NAME?</v>
      </c>
      <c r="D49" s="1105" t="e">
        <f ca="1"/>
        <v>#NAME?</v>
      </c>
      <c r="E49" s="1102" t="e">
        <f ca="1"/>
        <v>#NAME?</v>
      </c>
      <c r="F49" s="1102" t="e">
        <f ca="1"/>
        <v>#NAME?</v>
      </c>
      <c r="G49" s="1101" t="e">
        <f ca="1"/>
        <v>#NAME?</v>
      </c>
      <c r="H49" s="1104" t="e">
        <f ca="1"/>
        <v>#NAME?</v>
      </c>
      <c r="I49" s="1103" t="e">
        <f ca="1"/>
        <v>#NAME?</v>
      </c>
      <c r="J49" s="1102" t="e">
        <f ca="1"/>
        <v>#NAME?</v>
      </c>
      <c r="K49" s="1101" t="e">
        <f ca="1"/>
        <v>#NAME?</v>
      </c>
      <c r="L49" s="1100" t="e">
        <f ca="1"/>
        <v>#NAME?</v>
      </c>
      <c r="M49" s="1098" t="e">
        <f ca="1"/>
        <v>#NAME?</v>
      </c>
      <c r="N49" s="1098" t="e">
        <f ca="1"/>
        <v>#NAME?</v>
      </c>
      <c r="O49" s="1099" t="e">
        <f ca="1"/>
        <v>#NAME?</v>
      </c>
      <c r="P49" s="1098" t="e">
        <f ca="1"/>
        <v>#NAME?</v>
      </c>
      <c r="Q49" s="1098" t="e">
        <f ca="1"/>
        <v>#NAME?</v>
      </c>
      <c r="R49" s="1098" t="e">
        <f ca="1"/>
        <v>#NAME?</v>
      </c>
      <c r="S49" s="1098" t="e">
        <f ca="1"/>
        <v>#NAME?</v>
      </c>
      <c r="T49" s="1098" t="e">
        <f ca="1"/>
        <v>#NAME?</v>
      </c>
      <c r="U49" s="1097" t="e">
        <f ca="1"/>
        <v>#NAME?</v>
      </c>
      <c r="V49" s="1086"/>
      <c r="W49" s="1086"/>
      <c r="X49" s="1086"/>
      <c r="Y49" s="1086"/>
      <c r="Z49" s="1086"/>
      <c r="AA49" s="1077"/>
      <c r="AB49" s="1077"/>
      <c r="AC49" s="1077"/>
      <c r="AD49" s="1077"/>
      <c r="AE49" s="1077"/>
      <c r="AF49" s="1077"/>
      <c r="AG49" s="1077"/>
      <c r="AH49" s="1077"/>
      <c r="AI49" s="1077"/>
      <c r="AJ49" s="1077"/>
      <c r="AK49" s="1077"/>
      <c r="AL49" s="1077"/>
      <c r="AM49" s="1077"/>
      <c r="AN49" s="1077"/>
    </row>
    <row r="50" spans="1:40" x14ac:dyDescent="0.2">
      <c r="A50" s="1106" t="e">
        <f ca="1"/>
        <v>#NAME?</v>
      </c>
      <c r="B50" s="1102" t="e">
        <f ca="1"/>
        <v>#NAME?</v>
      </c>
      <c r="C50" s="1105" t="e">
        <f ca="1"/>
        <v>#NAME?</v>
      </c>
      <c r="D50" s="1105" t="e">
        <f ca="1"/>
        <v>#NAME?</v>
      </c>
      <c r="E50" s="1102" t="e">
        <f ca="1"/>
        <v>#NAME?</v>
      </c>
      <c r="F50" s="1102" t="e">
        <f ca="1"/>
        <v>#NAME?</v>
      </c>
      <c r="G50" s="1101" t="e">
        <f ca="1"/>
        <v>#NAME?</v>
      </c>
      <c r="H50" s="1104" t="e">
        <f ca="1"/>
        <v>#NAME?</v>
      </c>
      <c r="I50" s="1103" t="e">
        <f ca="1"/>
        <v>#NAME?</v>
      </c>
      <c r="J50" s="1102" t="e">
        <f ca="1"/>
        <v>#NAME?</v>
      </c>
      <c r="K50" s="1101" t="e">
        <f ca="1"/>
        <v>#NAME?</v>
      </c>
      <c r="L50" s="1100" t="e">
        <f ca="1"/>
        <v>#NAME?</v>
      </c>
      <c r="M50" s="1098" t="e">
        <f ca="1"/>
        <v>#NAME?</v>
      </c>
      <c r="N50" s="1098" t="e">
        <f ca="1"/>
        <v>#NAME?</v>
      </c>
      <c r="O50" s="1099" t="e">
        <f ca="1"/>
        <v>#NAME?</v>
      </c>
      <c r="P50" s="1098" t="e">
        <f ca="1"/>
        <v>#NAME?</v>
      </c>
      <c r="Q50" s="1098" t="e">
        <f ca="1"/>
        <v>#NAME?</v>
      </c>
      <c r="R50" s="1098" t="e">
        <f ca="1"/>
        <v>#NAME?</v>
      </c>
      <c r="S50" s="1098" t="e">
        <f ca="1"/>
        <v>#NAME?</v>
      </c>
      <c r="T50" s="1098" t="e">
        <f ca="1"/>
        <v>#NAME?</v>
      </c>
      <c r="U50" s="1097" t="e">
        <f ca="1"/>
        <v>#NAME?</v>
      </c>
      <c r="V50" s="1086"/>
      <c r="W50" s="1086"/>
      <c r="X50" s="1086"/>
      <c r="Y50" s="1086"/>
      <c r="Z50" s="1086"/>
      <c r="AA50" s="1077"/>
      <c r="AB50" s="1077"/>
      <c r="AC50" s="1077"/>
      <c r="AD50" s="1077"/>
      <c r="AE50" s="1077"/>
      <c r="AF50" s="1077"/>
      <c r="AG50" s="1077"/>
      <c r="AH50" s="1077"/>
      <c r="AI50" s="1077"/>
      <c r="AJ50" s="1077"/>
      <c r="AK50" s="1077"/>
      <c r="AL50" s="1077"/>
      <c r="AM50" s="1077"/>
      <c r="AN50" s="1077"/>
    </row>
    <row r="51" spans="1:40" x14ac:dyDescent="0.2">
      <c r="A51" s="1106" t="e">
        <f ca="1"/>
        <v>#NAME?</v>
      </c>
      <c r="B51" s="1102" t="e">
        <f ca="1"/>
        <v>#NAME?</v>
      </c>
      <c r="C51" s="1105" t="e">
        <f ca="1"/>
        <v>#NAME?</v>
      </c>
      <c r="D51" s="1105" t="e">
        <f ca="1"/>
        <v>#NAME?</v>
      </c>
      <c r="E51" s="1102" t="e">
        <f ca="1"/>
        <v>#NAME?</v>
      </c>
      <c r="F51" s="1102" t="e">
        <f ca="1"/>
        <v>#NAME?</v>
      </c>
      <c r="G51" s="1101" t="e">
        <f ca="1"/>
        <v>#NAME?</v>
      </c>
      <c r="H51" s="1104" t="e">
        <f ca="1"/>
        <v>#NAME?</v>
      </c>
      <c r="I51" s="1103" t="e">
        <f ca="1"/>
        <v>#NAME?</v>
      </c>
      <c r="J51" s="1102" t="e">
        <f ca="1"/>
        <v>#NAME?</v>
      </c>
      <c r="K51" s="1101" t="e">
        <f ca="1"/>
        <v>#NAME?</v>
      </c>
      <c r="L51" s="1100" t="e">
        <f ca="1"/>
        <v>#NAME?</v>
      </c>
      <c r="M51" s="1098" t="e">
        <f ca="1"/>
        <v>#NAME?</v>
      </c>
      <c r="N51" s="1098" t="e">
        <f ca="1"/>
        <v>#NAME?</v>
      </c>
      <c r="O51" s="1099" t="e">
        <f ca="1"/>
        <v>#NAME?</v>
      </c>
      <c r="P51" s="1098" t="e">
        <f ca="1"/>
        <v>#NAME?</v>
      </c>
      <c r="Q51" s="1098" t="e">
        <f ca="1"/>
        <v>#NAME?</v>
      </c>
      <c r="R51" s="1098" t="e">
        <f ca="1"/>
        <v>#NAME?</v>
      </c>
      <c r="S51" s="1098" t="e">
        <f ca="1"/>
        <v>#NAME?</v>
      </c>
      <c r="T51" s="1098" t="e">
        <f ca="1"/>
        <v>#NAME?</v>
      </c>
      <c r="U51" s="1097" t="e">
        <f ca="1"/>
        <v>#NAME?</v>
      </c>
      <c r="V51" s="1086"/>
      <c r="W51" s="1086"/>
      <c r="X51" s="1086"/>
      <c r="Y51" s="1086"/>
      <c r="Z51" s="1086"/>
      <c r="AA51" s="1077"/>
      <c r="AB51" s="1077"/>
      <c r="AC51" s="1077"/>
      <c r="AD51" s="1077"/>
      <c r="AE51" s="1077"/>
      <c r="AF51" s="1077"/>
      <c r="AG51" s="1077"/>
      <c r="AH51" s="1077"/>
      <c r="AI51" s="1077"/>
      <c r="AJ51" s="1077"/>
      <c r="AK51" s="1077"/>
      <c r="AL51" s="1077"/>
      <c r="AM51" s="1077"/>
      <c r="AN51" s="1077"/>
    </row>
    <row r="52" spans="1:40" x14ac:dyDescent="0.2">
      <c r="A52" s="1106" t="e">
        <f ca="1"/>
        <v>#NAME?</v>
      </c>
      <c r="B52" s="1102" t="e">
        <f ca="1"/>
        <v>#NAME?</v>
      </c>
      <c r="C52" s="1105" t="e">
        <f ca="1"/>
        <v>#NAME?</v>
      </c>
      <c r="D52" s="1105" t="e">
        <f ca="1"/>
        <v>#NAME?</v>
      </c>
      <c r="E52" s="1102" t="e">
        <f ca="1"/>
        <v>#NAME?</v>
      </c>
      <c r="F52" s="1102" t="e">
        <f ca="1"/>
        <v>#NAME?</v>
      </c>
      <c r="G52" s="1101" t="e">
        <f ca="1"/>
        <v>#NAME?</v>
      </c>
      <c r="H52" s="1104" t="e">
        <f ca="1"/>
        <v>#NAME?</v>
      </c>
      <c r="I52" s="1103" t="e">
        <f ca="1"/>
        <v>#NAME?</v>
      </c>
      <c r="J52" s="1102" t="e">
        <f ca="1"/>
        <v>#NAME?</v>
      </c>
      <c r="K52" s="1101" t="e">
        <f ca="1"/>
        <v>#NAME?</v>
      </c>
      <c r="L52" s="1100" t="e">
        <f ca="1"/>
        <v>#NAME?</v>
      </c>
      <c r="M52" s="1098" t="e">
        <f ca="1"/>
        <v>#NAME?</v>
      </c>
      <c r="N52" s="1098" t="e">
        <f ca="1"/>
        <v>#NAME?</v>
      </c>
      <c r="O52" s="1099" t="e">
        <f ca="1"/>
        <v>#NAME?</v>
      </c>
      <c r="P52" s="1098" t="e">
        <f ca="1"/>
        <v>#NAME?</v>
      </c>
      <c r="Q52" s="1098" t="e">
        <f ca="1"/>
        <v>#NAME?</v>
      </c>
      <c r="R52" s="1098" t="e">
        <f ca="1"/>
        <v>#NAME?</v>
      </c>
      <c r="S52" s="1098" t="e">
        <f ca="1"/>
        <v>#NAME?</v>
      </c>
      <c r="T52" s="1098" t="e">
        <f ca="1"/>
        <v>#NAME?</v>
      </c>
      <c r="U52" s="1097" t="e">
        <f ca="1"/>
        <v>#NAME?</v>
      </c>
      <c r="V52" s="1086"/>
      <c r="W52" s="1086"/>
      <c r="X52" s="1086"/>
      <c r="Y52" s="1086"/>
      <c r="Z52" s="1086"/>
      <c r="AA52" s="1077"/>
      <c r="AB52" s="1077"/>
      <c r="AC52" s="1077"/>
      <c r="AD52" s="1077"/>
      <c r="AE52" s="1077"/>
      <c r="AF52" s="1077"/>
      <c r="AG52" s="1077"/>
      <c r="AH52" s="1077"/>
      <c r="AI52" s="1077"/>
      <c r="AJ52" s="1077"/>
      <c r="AK52" s="1077"/>
      <c r="AL52" s="1077"/>
      <c r="AM52" s="1077"/>
      <c r="AN52" s="1077"/>
    </row>
    <row r="53" spans="1:40" x14ac:dyDescent="0.2">
      <c r="A53" s="1106" t="e">
        <f ca="1"/>
        <v>#NAME?</v>
      </c>
      <c r="B53" s="1102" t="e">
        <f ca="1"/>
        <v>#NAME?</v>
      </c>
      <c r="C53" s="1105" t="e">
        <f ca="1"/>
        <v>#NAME?</v>
      </c>
      <c r="D53" s="1105" t="e">
        <f ca="1"/>
        <v>#NAME?</v>
      </c>
      <c r="E53" s="1102" t="e">
        <f ca="1"/>
        <v>#NAME?</v>
      </c>
      <c r="F53" s="1102" t="e">
        <f ca="1"/>
        <v>#NAME?</v>
      </c>
      <c r="G53" s="1101" t="e">
        <f ca="1"/>
        <v>#NAME?</v>
      </c>
      <c r="H53" s="1104" t="e">
        <f ca="1"/>
        <v>#NAME?</v>
      </c>
      <c r="I53" s="1103" t="e">
        <f ca="1"/>
        <v>#NAME?</v>
      </c>
      <c r="J53" s="1102" t="e">
        <f ca="1"/>
        <v>#NAME?</v>
      </c>
      <c r="K53" s="1101" t="e">
        <f ca="1"/>
        <v>#NAME?</v>
      </c>
      <c r="L53" s="1100" t="e">
        <f ca="1"/>
        <v>#NAME?</v>
      </c>
      <c r="M53" s="1098" t="e">
        <f ca="1"/>
        <v>#NAME?</v>
      </c>
      <c r="N53" s="1098" t="e">
        <f ca="1"/>
        <v>#NAME?</v>
      </c>
      <c r="O53" s="1099" t="e">
        <f ca="1"/>
        <v>#NAME?</v>
      </c>
      <c r="P53" s="1098" t="e">
        <f ca="1"/>
        <v>#NAME?</v>
      </c>
      <c r="Q53" s="1098" t="e">
        <f ca="1"/>
        <v>#NAME?</v>
      </c>
      <c r="R53" s="1098" t="e">
        <f ca="1"/>
        <v>#NAME?</v>
      </c>
      <c r="S53" s="1098" t="e">
        <f ca="1"/>
        <v>#NAME?</v>
      </c>
      <c r="T53" s="1098" t="e">
        <f ca="1"/>
        <v>#NAME?</v>
      </c>
      <c r="U53" s="1097" t="e">
        <f ca="1"/>
        <v>#NAME?</v>
      </c>
      <c r="V53" s="1086"/>
      <c r="W53" s="1086"/>
      <c r="X53" s="1086"/>
      <c r="Y53" s="1086"/>
      <c r="Z53" s="1086"/>
      <c r="AA53" s="1077"/>
      <c r="AB53" s="1077"/>
      <c r="AC53" s="1077"/>
      <c r="AD53" s="1077"/>
      <c r="AE53" s="1077"/>
      <c r="AF53" s="1077"/>
      <c r="AG53" s="1077"/>
      <c r="AH53" s="1077"/>
      <c r="AI53" s="1077"/>
      <c r="AJ53" s="1077"/>
      <c r="AK53" s="1077"/>
      <c r="AL53" s="1077"/>
      <c r="AM53" s="1077"/>
      <c r="AN53" s="1077"/>
    </row>
    <row r="54" spans="1:40" x14ac:dyDescent="0.2">
      <c r="A54" s="1106" t="e">
        <f ca="1"/>
        <v>#NAME?</v>
      </c>
      <c r="B54" s="1102" t="e">
        <f ca="1"/>
        <v>#NAME?</v>
      </c>
      <c r="C54" s="1105" t="e">
        <f ca="1"/>
        <v>#NAME?</v>
      </c>
      <c r="D54" s="1105" t="e">
        <f ca="1"/>
        <v>#NAME?</v>
      </c>
      <c r="E54" s="1102" t="e">
        <f ca="1"/>
        <v>#NAME?</v>
      </c>
      <c r="F54" s="1102" t="e">
        <f ca="1"/>
        <v>#NAME?</v>
      </c>
      <c r="G54" s="1101" t="e">
        <f ca="1"/>
        <v>#NAME?</v>
      </c>
      <c r="H54" s="1104" t="e">
        <f ca="1"/>
        <v>#NAME?</v>
      </c>
      <c r="I54" s="1103" t="e">
        <f ca="1"/>
        <v>#NAME?</v>
      </c>
      <c r="J54" s="1102" t="e">
        <f ca="1"/>
        <v>#NAME?</v>
      </c>
      <c r="K54" s="1101" t="e">
        <f ca="1"/>
        <v>#NAME?</v>
      </c>
      <c r="L54" s="1100" t="e">
        <f ca="1"/>
        <v>#NAME?</v>
      </c>
      <c r="M54" s="1098" t="e">
        <f ca="1"/>
        <v>#NAME?</v>
      </c>
      <c r="N54" s="1098" t="e">
        <f ca="1"/>
        <v>#NAME?</v>
      </c>
      <c r="O54" s="1099" t="e">
        <f ca="1"/>
        <v>#NAME?</v>
      </c>
      <c r="P54" s="1098" t="e">
        <f ca="1"/>
        <v>#NAME?</v>
      </c>
      <c r="Q54" s="1098" t="e">
        <f ca="1"/>
        <v>#NAME?</v>
      </c>
      <c r="R54" s="1098" t="e">
        <f ca="1"/>
        <v>#NAME?</v>
      </c>
      <c r="S54" s="1098" t="e">
        <f ca="1"/>
        <v>#NAME?</v>
      </c>
      <c r="T54" s="1098" t="e">
        <f ca="1"/>
        <v>#NAME?</v>
      </c>
      <c r="U54" s="1097" t="e">
        <f ca="1"/>
        <v>#NAME?</v>
      </c>
      <c r="V54" s="1086"/>
      <c r="W54" s="1086"/>
      <c r="X54" s="1086"/>
      <c r="Y54" s="1086"/>
      <c r="Z54" s="1086"/>
      <c r="AA54" s="1077"/>
      <c r="AB54" s="1077"/>
      <c r="AC54" s="1077"/>
      <c r="AD54" s="1077"/>
      <c r="AE54" s="1077"/>
      <c r="AF54" s="1077"/>
      <c r="AG54" s="1077"/>
      <c r="AH54" s="1077"/>
      <c r="AI54" s="1077"/>
      <c r="AJ54" s="1077"/>
      <c r="AK54" s="1077"/>
      <c r="AL54" s="1077"/>
      <c r="AM54" s="1077"/>
      <c r="AN54" s="1077"/>
    </row>
    <row r="55" spans="1:40" x14ac:dyDescent="0.2">
      <c r="A55" s="1106" t="e">
        <f ca="1"/>
        <v>#NAME?</v>
      </c>
      <c r="B55" s="1102" t="e">
        <f ca="1"/>
        <v>#NAME?</v>
      </c>
      <c r="C55" s="1105" t="e">
        <f ca="1"/>
        <v>#NAME?</v>
      </c>
      <c r="D55" s="1105" t="e">
        <f ca="1"/>
        <v>#NAME?</v>
      </c>
      <c r="E55" s="1102" t="e">
        <f ca="1"/>
        <v>#NAME?</v>
      </c>
      <c r="F55" s="1102" t="e">
        <f ca="1"/>
        <v>#NAME?</v>
      </c>
      <c r="G55" s="1101" t="e">
        <f ca="1"/>
        <v>#NAME?</v>
      </c>
      <c r="H55" s="1104" t="e">
        <f ca="1"/>
        <v>#NAME?</v>
      </c>
      <c r="I55" s="1103" t="e">
        <f ca="1"/>
        <v>#NAME?</v>
      </c>
      <c r="J55" s="1102" t="e">
        <f ca="1"/>
        <v>#NAME?</v>
      </c>
      <c r="K55" s="1101" t="e">
        <f ca="1"/>
        <v>#NAME?</v>
      </c>
      <c r="L55" s="1100" t="e">
        <f ca="1"/>
        <v>#NAME?</v>
      </c>
      <c r="M55" s="1098" t="e">
        <f ca="1"/>
        <v>#NAME?</v>
      </c>
      <c r="N55" s="1098" t="e">
        <f ca="1"/>
        <v>#NAME?</v>
      </c>
      <c r="O55" s="1099" t="e">
        <f ca="1"/>
        <v>#NAME?</v>
      </c>
      <c r="P55" s="1098" t="e">
        <f ca="1"/>
        <v>#NAME?</v>
      </c>
      <c r="Q55" s="1098" t="e">
        <f ca="1"/>
        <v>#NAME?</v>
      </c>
      <c r="R55" s="1098" t="e">
        <f ca="1"/>
        <v>#NAME?</v>
      </c>
      <c r="S55" s="1098" t="e">
        <f ca="1"/>
        <v>#NAME?</v>
      </c>
      <c r="T55" s="1098" t="e">
        <f ca="1"/>
        <v>#NAME?</v>
      </c>
      <c r="U55" s="1097" t="e">
        <f ca="1"/>
        <v>#NAME?</v>
      </c>
      <c r="V55" s="1086"/>
      <c r="W55" s="1086"/>
      <c r="X55" s="1086"/>
      <c r="Y55" s="1086"/>
      <c r="Z55" s="1086"/>
      <c r="AA55" s="1077"/>
      <c r="AB55" s="1077"/>
      <c r="AC55" s="1077"/>
      <c r="AD55" s="1077"/>
      <c r="AE55" s="1077"/>
      <c r="AF55" s="1077"/>
      <c r="AG55" s="1077"/>
      <c r="AH55" s="1077"/>
      <c r="AI55" s="1077"/>
      <c r="AJ55" s="1077"/>
      <c r="AK55" s="1077"/>
      <c r="AL55" s="1077"/>
      <c r="AM55" s="1077"/>
      <c r="AN55" s="1077"/>
    </row>
    <row r="56" spans="1:40" x14ac:dyDescent="0.2">
      <c r="A56" s="1106" t="e">
        <f ca="1"/>
        <v>#NAME?</v>
      </c>
      <c r="B56" s="1102" t="e">
        <f ca="1"/>
        <v>#NAME?</v>
      </c>
      <c r="C56" s="1105" t="e">
        <f ca="1"/>
        <v>#NAME?</v>
      </c>
      <c r="D56" s="1105" t="e">
        <f ca="1"/>
        <v>#NAME?</v>
      </c>
      <c r="E56" s="1102" t="e">
        <f ca="1"/>
        <v>#NAME?</v>
      </c>
      <c r="F56" s="1102" t="e">
        <f ca="1"/>
        <v>#NAME?</v>
      </c>
      <c r="G56" s="1101" t="e">
        <f ca="1"/>
        <v>#NAME?</v>
      </c>
      <c r="H56" s="1104" t="e">
        <f ca="1"/>
        <v>#NAME?</v>
      </c>
      <c r="I56" s="1103" t="e">
        <f ca="1"/>
        <v>#NAME?</v>
      </c>
      <c r="J56" s="1102" t="e">
        <f ca="1"/>
        <v>#NAME?</v>
      </c>
      <c r="K56" s="1101" t="e">
        <f ca="1"/>
        <v>#NAME?</v>
      </c>
      <c r="L56" s="1100" t="e">
        <f ca="1"/>
        <v>#NAME?</v>
      </c>
      <c r="M56" s="1098" t="e">
        <f ca="1"/>
        <v>#NAME?</v>
      </c>
      <c r="N56" s="1098" t="e">
        <f ca="1"/>
        <v>#NAME?</v>
      </c>
      <c r="O56" s="1099" t="e">
        <f ca="1"/>
        <v>#NAME?</v>
      </c>
      <c r="P56" s="1098" t="e">
        <f ca="1"/>
        <v>#NAME?</v>
      </c>
      <c r="Q56" s="1098" t="e">
        <f ca="1"/>
        <v>#NAME?</v>
      </c>
      <c r="R56" s="1098" t="e">
        <f ca="1"/>
        <v>#NAME?</v>
      </c>
      <c r="S56" s="1098" t="e">
        <f ca="1"/>
        <v>#NAME?</v>
      </c>
      <c r="T56" s="1098" t="e">
        <f ca="1"/>
        <v>#NAME?</v>
      </c>
      <c r="U56" s="1097" t="e">
        <f ca="1"/>
        <v>#NAME?</v>
      </c>
      <c r="V56" s="1086"/>
      <c r="W56" s="1086"/>
      <c r="X56" s="1086"/>
      <c r="Y56" s="1086"/>
      <c r="Z56" s="1086"/>
      <c r="AA56" s="1077"/>
      <c r="AB56" s="1077"/>
      <c r="AC56" s="1077"/>
      <c r="AD56" s="1077"/>
      <c r="AE56" s="1077"/>
      <c r="AF56" s="1077"/>
      <c r="AG56" s="1077"/>
      <c r="AH56" s="1077"/>
      <c r="AI56" s="1077"/>
      <c r="AJ56" s="1077"/>
      <c r="AK56" s="1077"/>
      <c r="AL56" s="1077"/>
      <c r="AM56" s="1077"/>
      <c r="AN56" s="1077"/>
    </row>
    <row r="57" spans="1:40" x14ac:dyDescent="0.2">
      <c r="A57" s="1106" t="e">
        <f ca="1"/>
        <v>#NAME?</v>
      </c>
      <c r="B57" s="1102" t="e">
        <f ca="1"/>
        <v>#NAME?</v>
      </c>
      <c r="C57" s="1105" t="e">
        <f ca="1"/>
        <v>#NAME?</v>
      </c>
      <c r="D57" s="1105" t="e">
        <f ca="1"/>
        <v>#NAME?</v>
      </c>
      <c r="E57" s="1102" t="e">
        <f ca="1"/>
        <v>#NAME?</v>
      </c>
      <c r="F57" s="1102" t="e">
        <f ca="1"/>
        <v>#NAME?</v>
      </c>
      <c r="G57" s="1101" t="e">
        <f ca="1"/>
        <v>#NAME?</v>
      </c>
      <c r="H57" s="1104" t="e">
        <f ca="1"/>
        <v>#NAME?</v>
      </c>
      <c r="I57" s="1103" t="e">
        <f ca="1"/>
        <v>#NAME?</v>
      </c>
      <c r="J57" s="1102" t="e">
        <f ca="1"/>
        <v>#NAME?</v>
      </c>
      <c r="K57" s="1101" t="e">
        <f ca="1"/>
        <v>#NAME?</v>
      </c>
      <c r="L57" s="1100" t="e">
        <f ca="1"/>
        <v>#NAME?</v>
      </c>
      <c r="M57" s="1098" t="e">
        <f ca="1"/>
        <v>#NAME?</v>
      </c>
      <c r="N57" s="1098" t="e">
        <f ca="1"/>
        <v>#NAME?</v>
      </c>
      <c r="O57" s="1099" t="e">
        <f ca="1"/>
        <v>#NAME?</v>
      </c>
      <c r="P57" s="1098" t="e">
        <f ca="1"/>
        <v>#NAME?</v>
      </c>
      <c r="Q57" s="1098" t="e">
        <f ca="1"/>
        <v>#NAME?</v>
      </c>
      <c r="R57" s="1098" t="e">
        <f ca="1"/>
        <v>#NAME?</v>
      </c>
      <c r="S57" s="1098" t="e">
        <f ca="1"/>
        <v>#NAME?</v>
      </c>
      <c r="T57" s="1098" t="e">
        <f ca="1"/>
        <v>#NAME?</v>
      </c>
      <c r="U57" s="1097" t="e">
        <f ca="1"/>
        <v>#NAME?</v>
      </c>
      <c r="V57" s="1086"/>
      <c r="W57" s="1086"/>
      <c r="X57" s="1086"/>
      <c r="Y57" s="1086"/>
      <c r="Z57" s="1086"/>
      <c r="AA57" s="1077"/>
      <c r="AB57" s="1077"/>
      <c r="AC57" s="1077"/>
      <c r="AD57" s="1077"/>
      <c r="AE57" s="1077"/>
      <c r="AF57" s="1077"/>
      <c r="AG57" s="1077"/>
      <c r="AH57" s="1077"/>
      <c r="AI57" s="1077"/>
      <c r="AJ57" s="1077"/>
      <c r="AK57" s="1077"/>
      <c r="AL57" s="1077"/>
      <c r="AM57" s="1077"/>
      <c r="AN57" s="1077"/>
    </row>
    <row r="58" spans="1:40" x14ac:dyDescent="0.2">
      <c r="A58" s="1106" t="e">
        <f ca="1"/>
        <v>#NAME?</v>
      </c>
      <c r="B58" s="1102" t="e">
        <f ca="1"/>
        <v>#NAME?</v>
      </c>
      <c r="C58" s="1105" t="e">
        <f ca="1"/>
        <v>#NAME?</v>
      </c>
      <c r="D58" s="1105" t="e">
        <f ca="1"/>
        <v>#NAME?</v>
      </c>
      <c r="E58" s="1102" t="e">
        <f ca="1"/>
        <v>#NAME?</v>
      </c>
      <c r="F58" s="1102" t="e">
        <f ca="1"/>
        <v>#NAME?</v>
      </c>
      <c r="G58" s="1101" t="e">
        <f ca="1"/>
        <v>#NAME?</v>
      </c>
      <c r="H58" s="1104" t="e">
        <f ca="1"/>
        <v>#NAME?</v>
      </c>
      <c r="I58" s="1103" t="e">
        <f ca="1"/>
        <v>#NAME?</v>
      </c>
      <c r="J58" s="1102" t="e">
        <f ca="1"/>
        <v>#NAME?</v>
      </c>
      <c r="K58" s="1101" t="e">
        <f ca="1"/>
        <v>#NAME?</v>
      </c>
      <c r="L58" s="1100" t="e">
        <f ca="1"/>
        <v>#NAME?</v>
      </c>
      <c r="M58" s="1098" t="e">
        <f ca="1"/>
        <v>#NAME?</v>
      </c>
      <c r="N58" s="1098" t="e">
        <f ca="1"/>
        <v>#NAME?</v>
      </c>
      <c r="O58" s="1099" t="e">
        <f ca="1"/>
        <v>#NAME?</v>
      </c>
      <c r="P58" s="1098" t="e">
        <f ca="1"/>
        <v>#NAME?</v>
      </c>
      <c r="Q58" s="1098" t="e">
        <f ca="1"/>
        <v>#NAME?</v>
      </c>
      <c r="R58" s="1098" t="e">
        <f ca="1"/>
        <v>#NAME?</v>
      </c>
      <c r="S58" s="1098" t="e">
        <f ca="1"/>
        <v>#NAME?</v>
      </c>
      <c r="T58" s="1098" t="e">
        <f ca="1"/>
        <v>#NAME?</v>
      </c>
      <c r="U58" s="1097" t="e">
        <f ca="1"/>
        <v>#NAME?</v>
      </c>
      <c r="V58" s="1086"/>
      <c r="W58" s="1086"/>
      <c r="X58" s="1086"/>
      <c r="Y58" s="1086"/>
      <c r="Z58" s="1086"/>
      <c r="AA58" s="1077"/>
      <c r="AB58" s="1077"/>
      <c r="AC58" s="1077"/>
      <c r="AD58" s="1077"/>
      <c r="AE58" s="1077"/>
      <c r="AF58" s="1077"/>
      <c r="AG58" s="1077"/>
      <c r="AH58" s="1077"/>
      <c r="AI58" s="1077"/>
      <c r="AJ58" s="1077"/>
      <c r="AK58" s="1077"/>
      <c r="AL58" s="1077"/>
      <c r="AM58" s="1077"/>
      <c r="AN58" s="1077"/>
    </row>
    <row r="59" spans="1:40" x14ac:dyDescent="0.2">
      <c r="A59" s="1106" t="e">
        <f ca="1"/>
        <v>#NAME?</v>
      </c>
      <c r="B59" s="1102" t="e">
        <f ca="1"/>
        <v>#NAME?</v>
      </c>
      <c r="C59" s="1105" t="e">
        <f ca="1"/>
        <v>#NAME?</v>
      </c>
      <c r="D59" s="1105" t="e">
        <f ca="1"/>
        <v>#NAME?</v>
      </c>
      <c r="E59" s="1102" t="e">
        <f ca="1"/>
        <v>#NAME?</v>
      </c>
      <c r="F59" s="1102" t="e">
        <f ca="1"/>
        <v>#NAME?</v>
      </c>
      <c r="G59" s="1101" t="e">
        <f ca="1"/>
        <v>#NAME?</v>
      </c>
      <c r="H59" s="1104" t="e">
        <f ca="1"/>
        <v>#NAME?</v>
      </c>
      <c r="I59" s="1103" t="e">
        <f ca="1"/>
        <v>#NAME?</v>
      </c>
      <c r="J59" s="1102" t="e">
        <f ca="1"/>
        <v>#NAME?</v>
      </c>
      <c r="K59" s="1101" t="e">
        <f ca="1"/>
        <v>#NAME?</v>
      </c>
      <c r="L59" s="1100" t="e">
        <f ca="1"/>
        <v>#NAME?</v>
      </c>
      <c r="M59" s="1098" t="e">
        <f ca="1"/>
        <v>#NAME?</v>
      </c>
      <c r="N59" s="1098" t="e">
        <f ca="1"/>
        <v>#NAME?</v>
      </c>
      <c r="O59" s="1099" t="e">
        <f ca="1"/>
        <v>#NAME?</v>
      </c>
      <c r="P59" s="1098" t="e">
        <f ca="1"/>
        <v>#NAME?</v>
      </c>
      <c r="Q59" s="1098" t="e">
        <f ca="1"/>
        <v>#NAME?</v>
      </c>
      <c r="R59" s="1098" t="e">
        <f ca="1"/>
        <v>#NAME?</v>
      </c>
      <c r="S59" s="1098" t="e">
        <f ca="1"/>
        <v>#NAME?</v>
      </c>
      <c r="T59" s="1098" t="e">
        <f ca="1"/>
        <v>#NAME?</v>
      </c>
      <c r="U59" s="1097" t="e">
        <f ca="1"/>
        <v>#NAME?</v>
      </c>
      <c r="V59" s="1086"/>
      <c r="W59" s="1086"/>
      <c r="X59" s="1086"/>
      <c r="Y59" s="1086"/>
      <c r="Z59" s="1086"/>
      <c r="AA59" s="1077"/>
      <c r="AB59" s="1077"/>
      <c r="AC59" s="1077"/>
      <c r="AD59" s="1077"/>
      <c r="AE59" s="1077"/>
      <c r="AF59" s="1077"/>
      <c r="AG59" s="1077"/>
      <c r="AH59" s="1077"/>
      <c r="AI59" s="1077"/>
      <c r="AJ59" s="1077"/>
      <c r="AK59" s="1077"/>
      <c r="AL59" s="1077"/>
      <c r="AM59" s="1077"/>
      <c r="AN59" s="1077"/>
    </row>
    <row r="60" spans="1:40" x14ac:dyDescent="0.2">
      <c r="A60" s="1106" t="e">
        <f ca="1"/>
        <v>#NAME?</v>
      </c>
      <c r="B60" s="1102" t="e">
        <f ca="1"/>
        <v>#NAME?</v>
      </c>
      <c r="C60" s="1105" t="e">
        <f ca="1"/>
        <v>#NAME?</v>
      </c>
      <c r="D60" s="1105" t="e">
        <f ca="1"/>
        <v>#NAME?</v>
      </c>
      <c r="E60" s="1102" t="e">
        <f ca="1"/>
        <v>#NAME?</v>
      </c>
      <c r="F60" s="1102" t="e">
        <f ca="1"/>
        <v>#NAME?</v>
      </c>
      <c r="G60" s="1101" t="e">
        <f ca="1"/>
        <v>#NAME?</v>
      </c>
      <c r="H60" s="1104" t="e">
        <f ca="1"/>
        <v>#NAME?</v>
      </c>
      <c r="I60" s="1103" t="e">
        <f ca="1"/>
        <v>#NAME?</v>
      </c>
      <c r="J60" s="1102" t="e">
        <f ca="1"/>
        <v>#NAME?</v>
      </c>
      <c r="K60" s="1101" t="e">
        <f ca="1"/>
        <v>#NAME?</v>
      </c>
      <c r="L60" s="1100" t="e">
        <f ca="1"/>
        <v>#NAME?</v>
      </c>
      <c r="M60" s="1098" t="e">
        <f ca="1"/>
        <v>#NAME?</v>
      </c>
      <c r="N60" s="1098" t="e">
        <f ca="1"/>
        <v>#NAME?</v>
      </c>
      <c r="O60" s="1099" t="e">
        <f ca="1"/>
        <v>#NAME?</v>
      </c>
      <c r="P60" s="1098" t="e">
        <f ca="1"/>
        <v>#NAME?</v>
      </c>
      <c r="Q60" s="1098" t="e">
        <f ca="1"/>
        <v>#NAME?</v>
      </c>
      <c r="R60" s="1098" t="e">
        <f ca="1"/>
        <v>#NAME?</v>
      </c>
      <c r="S60" s="1098" t="e">
        <f ca="1"/>
        <v>#NAME?</v>
      </c>
      <c r="T60" s="1098" t="e">
        <f ca="1"/>
        <v>#NAME?</v>
      </c>
      <c r="U60" s="1097" t="e">
        <f ca="1"/>
        <v>#NAME?</v>
      </c>
      <c r="V60" s="1086"/>
      <c r="W60" s="1086"/>
      <c r="X60" s="1086"/>
      <c r="Y60" s="1086"/>
      <c r="Z60" s="1086"/>
      <c r="AA60" s="1077"/>
      <c r="AB60" s="1077"/>
      <c r="AC60" s="1077"/>
      <c r="AD60" s="1077"/>
      <c r="AE60" s="1077"/>
      <c r="AF60" s="1077"/>
      <c r="AG60" s="1077"/>
      <c r="AH60" s="1077"/>
      <c r="AI60" s="1077"/>
      <c r="AJ60" s="1077"/>
      <c r="AK60" s="1077"/>
      <c r="AL60" s="1077"/>
      <c r="AM60" s="1077"/>
      <c r="AN60" s="1077"/>
    </row>
    <row r="61" spans="1:40" x14ac:dyDescent="0.2">
      <c r="A61" s="1106" t="e">
        <f ca="1"/>
        <v>#NAME?</v>
      </c>
      <c r="B61" s="1102" t="e">
        <f ca="1"/>
        <v>#NAME?</v>
      </c>
      <c r="C61" s="1105" t="e">
        <f ca="1"/>
        <v>#NAME?</v>
      </c>
      <c r="D61" s="1105" t="e">
        <f ca="1"/>
        <v>#NAME?</v>
      </c>
      <c r="E61" s="1102" t="e">
        <f ca="1"/>
        <v>#NAME?</v>
      </c>
      <c r="F61" s="1102" t="e">
        <f ca="1"/>
        <v>#NAME?</v>
      </c>
      <c r="G61" s="1101" t="e">
        <f ca="1"/>
        <v>#NAME?</v>
      </c>
      <c r="H61" s="1104" t="e">
        <f ca="1"/>
        <v>#NAME?</v>
      </c>
      <c r="I61" s="1103" t="e">
        <f ca="1"/>
        <v>#NAME?</v>
      </c>
      <c r="J61" s="1102" t="e">
        <f ca="1"/>
        <v>#NAME?</v>
      </c>
      <c r="K61" s="1101" t="e">
        <f ca="1"/>
        <v>#NAME?</v>
      </c>
      <c r="L61" s="1100" t="e">
        <f ca="1"/>
        <v>#NAME?</v>
      </c>
      <c r="M61" s="1098" t="e">
        <f ca="1"/>
        <v>#NAME?</v>
      </c>
      <c r="N61" s="1098" t="e">
        <f ca="1"/>
        <v>#NAME?</v>
      </c>
      <c r="O61" s="1099" t="e">
        <f ca="1"/>
        <v>#NAME?</v>
      </c>
      <c r="P61" s="1098" t="e">
        <f ca="1"/>
        <v>#NAME?</v>
      </c>
      <c r="Q61" s="1098" t="e">
        <f ca="1"/>
        <v>#NAME?</v>
      </c>
      <c r="R61" s="1098" t="e">
        <f ca="1"/>
        <v>#NAME?</v>
      </c>
      <c r="S61" s="1098" t="e">
        <f ca="1"/>
        <v>#NAME?</v>
      </c>
      <c r="T61" s="1098" t="e">
        <f ca="1"/>
        <v>#NAME?</v>
      </c>
      <c r="U61" s="1097" t="e">
        <f ca="1"/>
        <v>#NAME?</v>
      </c>
      <c r="V61" s="1086"/>
      <c r="W61" s="1086"/>
      <c r="X61" s="1086"/>
      <c r="Y61" s="1086"/>
      <c r="Z61" s="1086"/>
      <c r="AA61" s="1077"/>
      <c r="AB61" s="1077"/>
      <c r="AC61" s="1077"/>
      <c r="AD61" s="1077"/>
      <c r="AE61" s="1077"/>
      <c r="AF61" s="1077"/>
      <c r="AG61" s="1077"/>
      <c r="AH61" s="1077"/>
      <c r="AI61" s="1077"/>
      <c r="AJ61" s="1077"/>
      <c r="AK61" s="1077"/>
      <c r="AL61" s="1077"/>
      <c r="AM61" s="1077"/>
      <c r="AN61" s="1077"/>
    </row>
    <row r="62" spans="1:40" x14ac:dyDescent="0.2">
      <c r="A62" s="1106" t="e">
        <f ca="1"/>
        <v>#NAME?</v>
      </c>
      <c r="B62" s="1102" t="e">
        <f ca="1"/>
        <v>#NAME?</v>
      </c>
      <c r="C62" s="1105" t="e">
        <f ca="1"/>
        <v>#NAME?</v>
      </c>
      <c r="D62" s="1105" t="e">
        <f ca="1"/>
        <v>#NAME?</v>
      </c>
      <c r="E62" s="1102" t="e">
        <f ca="1"/>
        <v>#NAME?</v>
      </c>
      <c r="F62" s="1102" t="e">
        <f ca="1"/>
        <v>#NAME?</v>
      </c>
      <c r="G62" s="1101" t="e">
        <f ca="1"/>
        <v>#NAME?</v>
      </c>
      <c r="H62" s="1104" t="e">
        <f ca="1"/>
        <v>#NAME?</v>
      </c>
      <c r="I62" s="1103" t="e">
        <f ca="1"/>
        <v>#NAME?</v>
      </c>
      <c r="J62" s="1102" t="e">
        <f ca="1"/>
        <v>#NAME?</v>
      </c>
      <c r="K62" s="1101" t="e">
        <f ca="1"/>
        <v>#NAME?</v>
      </c>
      <c r="L62" s="1100" t="e">
        <f ca="1"/>
        <v>#NAME?</v>
      </c>
      <c r="M62" s="1098" t="e">
        <f ca="1"/>
        <v>#NAME?</v>
      </c>
      <c r="N62" s="1098" t="e">
        <f ca="1"/>
        <v>#NAME?</v>
      </c>
      <c r="O62" s="1099" t="e">
        <f ca="1"/>
        <v>#NAME?</v>
      </c>
      <c r="P62" s="1098" t="e">
        <f ca="1"/>
        <v>#NAME?</v>
      </c>
      <c r="Q62" s="1098" t="e">
        <f ca="1"/>
        <v>#NAME?</v>
      </c>
      <c r="R62" s="1098" t="e">
        <f ca="1"/>
        <v>#NAME?</v>
      </c>
      <c r="S62" s="1098" t="e">
        <f ca="1"/>
        <v>#NAME?</v>
      </c>
      <c r="T62" s="1098" t="e">
        <f ca="1"/>
        <v>#NAME?</v>
      </c>
      <c r="U62" s="1097" t="e">
        <f ca="1"/>
        <v>#NAME?</v>
      </c>
      <c r="V62" s="1086"/>
      <c r="W62" s="1086"/>
      <c r="X62" s="1086"/>
      <c r="Y62" s="1086"/>
      <c r="Z62" s="1086"/>
      <c r="AA62" s="1077"/>
      <c r="AB62" s="1077"/>
      <c r="AC62" s="1077"/>
      <c r="AD62" s="1077"/>
      <c r="AE62" s="1077"/>
      <c r="AF62" s="1077"/>
      <c r="AG62" s="1077"/>
      <c r="AH62" s="1077"/>
      <c r="AI62" s="1077"/>
      <c r="AJ62" s="1077"/>
      <c r="AK62" s="1077"/>
      <c r="AL62" s="1077"/>
      <c r="AM62" s="1077"/>
      <c r="AN62" s="1077"/>
    </row>
    <row r="63" spans="1:40" x14ac:dyDescent="0.2">
      <c r="A63" s="1106" t="e">
        <f ca="1"/>
        <v>#NAME?</v>
      </c>
      <c r="B63" s="1102" t="e">
        <f ca="1"/>
        <v>#NAME?</v>
      </c>
      <c r="C63" s="1105" t="e">
        <f ca="1"/>
        <v>#NAME?</v>
      </c>
      <c r="D63" s="1105" t="e">
        <f ca="1"/>
        <v>#NAME?</v>
      </c>
      <c r="E63" s="1102" t="e">
        <f ca="1"/>
        <v>#NAME?</v>
      </c>
      <c r="F63" s="1102" t="e">
        <f ca="1"/>
        <v>#NAME?</v>
      </c>
      <c r="G63" s="1101" t="e">
        <f ca="1"/>
        <v>#NAME?</v>
      </c>
      <c r="H63" s="1104" t="e">
        <f ca="1"/>
        <v>#NAME?</v>
      </c>
      <c r="I63" s="1103" t="e">
        <f ca="1"/>
        <v>#NAME?</v>
      </c>
      <c r="J63" s="1102" t="e">
        <f ca="1"/>
        <v>#NAME?</v>
      </c>
      <c r="K63" s="1101" t="e">
        <f ca="1"/>
        <v>#NAME?</v>
      </c>
      <c r="L63" s="1100" t="e">
        <f ca="1"/>
        <v>#NAME?</v>
      </c>
      <c r="M63" s="1098" t="e">
        <f ca="1"/>
        <v>#NAME?</v>
      </c>
      <c r="N63" s="1098" t="e">
        <f ca="1"/>
        <v>#NAME?</v>
      </c>
      <c r="O63" s="1099" t="e">
        <f ca="1"/>
        <v>#NAME?</v>
      </c>
      <c r="P63" s="1098" t="e">
        <f ca="1"/>
        <v>#NAME?</v>
      </c>
      <c r="Q63" s="1098" t="e">
        <f ca="1"/>
        <v>#NAME?</v>
      </c>
      <c r="R63" s="1098" t="e">
        <f ca="1"/>
        <v>#NAME?</v>
      </c>
      <c r="S63" s="1098" t="e">
        <f ca="1"/>
        <v>#NAME?</v>
      </c>
      <c r="T63" s="1098" t="e">
        <f ca="1"/>
        <v>#NAME?</v>
      </c>
      <c r="U63" s="1097" t="e">
        <f ca="1"/>
        <v>#NAME?</v>
      </c>
      <c r="V63" s="1086"/>
      <c r="W63" s="1086"/>
      <c r="X63" s="1086"/>
      <c r="Y63" s="1086"/>
      <c r="Z63" s="1086"/>
      <c r="AA63" s="1077"/>
      <c r="AB63" s="1077"/>
      <c r="AC63" s="1077"/>
      <c r="AD63" s="1077"/>
      <c r="AE63" s="1077"/>
      <c r="AF63" s="1077"/>
      <c r="AG63" s="1077"/>
      <c r="AH63" s="1077"/>
      <c r="AI63" s="1077"/>
      <c r="AJ63" s="1077"/>
      <c r="AK63" s="1077"/>
      <c r="AL63" s="1077"/>
      <c r="AM63" s="1077"/>
      <c r="AN63" s="1077"/>
    </row>
    <row r="64" spans="1:40" x14ac:dyDescent="0.2">
      <c r="A64" s="1106" t="e">
        <f ca="1"/>
        <v>#NAME?</v>
      </c>
      <c r="B64" s="1102" t="e">
        <f ca="1"/>
        <v>#NAME?</v>
      </c>
      <c r="C64" s="1105" t="e">
        <f ca="1"/>
        <v>#NAME?</v>
      </c>
      <c r="D64" s="1105" t="e">
        <f ca="1"/>
        <v>#NAME?</v>
      </c>
      <c r="E64" s="1102" t="e">
        <f ca="1"/>
        <v>#NAME?</v>
      </c>
      <c r="F64" s="1102" t="e">
        <f ca="1"/>
        <v>#NAME?</v>
      </c>
      <c r="G64" s="1101" t="e">
        <f ca="1"/>
        <v>#NAME?</v>
      </c>
      <c r="H64" s="1104" t="e">
        <f ca="1"/>
        <v>#NAME?</v>
      </c>
      <c r="I64" s="1103" t="e">
        <f ca="1"/>
        <v>#NAME?</v>
      </c>
      <c r="J64" s="1102" t="e">
        <f ca="1"/>
        <v>#NAME?</v>
      </c>
      <c r="K64" s="1101" t="e">
        <f ca="1"/>
        <v>#NAME?</v>
      </c>
      <c r="L64" s="1100" t="e">
        <f ca="1"/>
        <v>#NAME?</v>
      </c>
      <c r="M64" s="1098" t="e">
        <f ca="1"/>
        <v>#NAME?</v>
      </c>
      <c r="N64" s="1098" t="e">
        <f ca="1"/>
        <v>#NAME?</v>
      </c>
      <c r="O64" s="1099" t="e">
        <f ca="1"/>
        <v>#NAME?</v>
      </c>
      <c r="P64" s="1098" t="e">
        <f ca="1"/>
        <v>#NAME?</v>
      </c>
      <c r="Q64" s="1098" t="e">
        <f ca="1"/>
        <v>#NAME?</v>
      </c>
      <c r="R64" s="1098" t="e">
        <f ca="1"/>
        <v>#NAME?</v>
      </c>
      <c r="S64" s="1098" t="e">
        <f ca="1"/>
        <v>#NAME?</v>
      </c>
      <c r="T64" s="1098" t="e">
        <f ca="1"/>
        <v>#NAME?</v>
      </c>
      <c r="U64" s="1097" t="e">
        <f ca="1"/>
        <v>#NAME?</v>
      </c>
      <c r="V64" s="1086"/>
      <c r="W64" s="1086"/>
      <c r="X64" s="1086"/>
      <c r="Y64" s="1086"/>
      <c r="Z64" s="1086"/>
      <c r="AA64" s="1077"/>
      <c r="AB64" s="1077"/>
      <c r="AC64" s="1077"/>
      <c r="AD64" s="1077"/>
      <c r="AE64" s="1077"/>
      <c r="AF64" s="1077"/>
      <c r="AG64" s="1077"/>
      <c r="AH64" s="1077"/>
      <c r="AI64" s="1077"/>
      <c r="AJ64" s="1077"/>
      <c r="AK64" s="1077"/>
      <c r="AL64" s="1077"/>
      <c r="AM64" s="1077"/>
      <c r="AN64" s="1077"/>
    </row>
    <row r="65" spans="1:40" x14ac:dyDescent="0.2">
      <c r="A65" s="1106" t="e">
        <f ca="1"/>
        <v>#NAME?</v>
      </c>
      <c r="B65" s="1102" t="e">
        <f ca="1"/>
        <v>#NAME?</v>
      </c>
      <c r="C65" s="1105" t="e">
        <f ca="1"/>
        <v>#NAME?</v>
      </c>
      <c r="D65" s="1105" t="e">
        <f ca="1"/>
        <v>#NAME?</v>
      </c>
      <c r="E65" s="1102" t="e">
        <f ca="1"/>
        <v>#NAME?</v>
      </c>
      <c r="F65" s="1102" t="e">
        <f ca="1"/>
        <v>#NAME?</v>
      </c>
      <c r="G65" s="1101" t="e">
        <f ca="1"/>
        <v>#NAME?</v>
      </c>
      <c r="H65" s="1104" t="e">
        <f ca="1"/>
        <v>#NAME?</v>
      </c>
      <c r="I65" s="1103" t="e">
        <f ca="1"/>
        <v>#NAME?</v>
      </c>
      <c r="J65" s="1102" t="e">
        <f ca="1"/>
        <v>#NAME?</v>
      </c>
      <c r="K65" s="1101" t="e">
        <f ca="1"/>
        <v>#NAME?</v>
      </c>
      <c r="L65" s="1100" t="e">
        <f ca="1"/>
        <v>#NAME?</v>
      </c>
      <c r="M65" s="1098" t="e">
        <f ca="1"/>
        <v>#NAME?</v>
      </c>
      <c r="N65" s="1098" t="e">
        <f ca="1"/>
        <v>#NAME?</v>
      </c>
      <c r="O65" s="1099" t="e">
        <f ca="1"/>
        <v>#NAME?</v>
      </c>
      <c r="P65" s="1098" t="e">
        <f ca="1"/>
        <v>#NAME?</v>
      </c>
      <c r="Q65" s="1098" t="e">
        <f ca="1"/>
        <v>#NAME?</v>
      </c>
      <c r="R65" s="1098" t="e">
        <f ca="1"/>
        <v>#NAME?</v>
      </c>
      <c r="S65" s="1098" t="e">
        <f ca="1"/>
        <v>#NAME?</v>
      </c>
      <c r="T65" s="1098" t="e">
        <f ca="1"/>
        <v>#NAME?</v>
      </c>
      <c r="U65" s="1097" t="e">
        <f ca="1"/>
        <v>#NAME?</v>
      </c>
      <c r="V65" s="1086"/>
      <c r="W65" s="1086"/>
      <c r="X65" s="1086"/>
      <c r="Y65" s="1086"/>
      <c r="Z65" s="1086"/>
      <c r="AA65" s="1077"/>
      <c r="AB65" s="1077"/>
      <c r="AC65" s="1077"/>
      <c r="AD65" s="1077"/>
      <c r="AE65" s="1077"/>
      <c r="AF65" s="1077"/>
      <c r="AG65" s="1077"/>
      <c r="AH65" s="1077"/>
      <c r="AI65" s="1077"/>
      <c r="AJ65" s="1077"/>
      <c r="AK65" s="1077"/>
      <c r="AL65" s="1077"/>
      <c r="AM65" s="1077"/>
      <c r="AN65" s="1077"/>
    </row>
    <row r="66" spans="1:40" x14ac:dyDescent="0.2">
      <c r="A66" s="1106" t="e">
        <f ca="1"/>
        <v>#NAME?</v>
      </c>
      <c r="B66" s="1102" t="e">
        <f ca="1"/>
        <v>#NAME?</v>
      </c>
      <c r="C66" s="1105" t="e">
        <f ca="1"/>
        <v>#NAME?</v>
      </c>
      <c r="D66" s="1105" t="e">
        <f ca="1"/>
        <v>#NAME?</v>
      </c>
      <c r="E66" s="1102" t="e">
        <f ca="1"/>
        <v>#NAME?</v>
      </c>
      <c r="F66" s="1102" t="e">
        <f ca="1"/>
        <v>#NAME?</v>
      </c>
      <c r="G66" s="1101" t="e">
        <f ca="1"/>
        <v>#NAME?</v>
      </c>
      <c r="H66" s="1104" t="e">
        <f ca="1"/>
        <v>#NAME?</v>
      </c>
      <c r="I66" s="1103" t="e">
        <f ca="1"/>
        <v>#NAME?</v>
      </c>
      <c r="J66" s="1102" t="e">
        <f ca="1"/>
        <v>#NAME?</v>
      </c>
      <c r="K66" s="1101" t="e">
        <f ca="1"/>
        <v>#NAME?</v>
      </c>
      <c r="L66" s="1100" t="e">
        <f ca="1"/>
        <v>#NAME?</v>
      </c>
      <c r="M66" s="1098" t="e">
        <f ca="1"/>
        <v>#NAME?</v>
      </c>
      <c r="N66" s="1098" t="e">
        <f ca="1"/>
        <v>#NAME?</v>
      </c>
      <c r="O66" s="1099" t="e">
        <f ca="1"/>
        <v>#NAME?</v>
      </c>
      <c r="P66" s="1098" t="e">
        <f ca="1"/>
        <v>#NAME?</v>
      </c>
      <c r="Q66" s="1098" t="e">
        <f ca="1"/>
        <v>#NAME?</v>
      </c>
      <c r="R66" s="1098" t="e">
        <f ca="1"/>
        <v>#NAME?</v>
      </c>
      <c r="S66" s="1098" t="e">
        <f ca="1"/>
        <v>#NAME?</v>
      </c>
      <c r="T66" s="1098" t="e">
        <f ca="1"/>
        <v>#NAME?</v>
      </c>
      <c r="U66" s="1097" t="e">
        <f ca="1"/>
        <v>#NAME?</v>
      </c>
      <c r="V66" s="1086"/>
      <c r="W66" s="1086"/>
      <c r="X66" s="1086"/>
      <c r="Y66" s="1086"/>
      <c r="Z66" s="1086"/>
      <c r="AA66" s="1077"/>
      <c r="AB66" s="1077"/>
      <c r="AC66" s="1077"/>
      <c r="AD66" s="1077"/>
      <c r="AE66" s="1077"/>
      <c r="AF66" s="1077"/>
      <c r="AG66" s="1077"/>
      <c r="AH66" s="1077"/>
      <c r="AI66" s="1077"/>
      <c r="AJ66" s="1077"/>
      <c r="AK66" s="1077"/>
      <c r="AL66" s="1077"/>
      <c r="AM66" s="1077"/>
      <c r="AN66" s="1077"/>
    </row>
    <row r="67" spans="1:40" x14ac:dyDescent="0.2">
      <c r="A67" s="1106" t="e">
        <f ca="1"/>
        <v>#NAME?</v>
      </c>
      <c r="B67" s="1102" t="e">
        <f ca="1"/>
        <v>#NAME?</v>
      </c>
      <c r="C67" s="1105" t="e">
        <f ca="1"/>
        <v>#NAME?</v>
      </c>
      <c r="D67" s="1105" t="e">
        <f ca="1"/>
        <v>#NAME?</v>
      </c>
      <c r="E67" s="1102" t="e">
        <f ca="1"/>
        <v>#NAME?</v>
      </c>
      <c r="F67" s="1102" t="e">
        <f ca="1"/>
        <v>#NAME?</v>
      </c>
      <c r="G67" s="1101" t="e">
        <f ca="1"/>
        <v>#NAME?</v>
      </c>
      <c r="H67" s="1104" t="e">
        <f ca="1"/>
        <v>#NAME?</v>
      </c>
      <c r="I67" s="1103" t="e">
        <f ca="1"/>
        <v>#NAME?</v>
      </c>
      <c r="J67" s="1102" t="e">
        <f ca="1"/>
        <v>#NAME?</v>
      </c>
      <c r="K67" s="1101" t="e">
        <f ca="1"/>
        <v>#NAME?</v>
      </c>
      <c r="L67" s="1100" t="e">
        <f ca="1"/>
        <v>#NAME?</v>
      </c>
      <c r="M67" s="1098" t="e">
        <f ca="1"/>
        <v>#NAME?</v>
      </c>
      <c r="N67" s="1098" t="e">
        <f ca="1"/>
        <v>#NAME?</v>
      </c>
      <c r="O67" s="1099" t="e">
        <f ca="1"/>
        <v>#NAME?</v>
      </c>
      <c r="P67" s="1098" t="e">
        <f ca="1"/>
        <v>#NAME?</v>
      </c>
      <c r="Q67" s="1098" t="e">
        <f ca="1"/>
        <v>#NAME?</v>
      </c>
      <c r="R67" s="1098" t="e">
        <f ca="1"/>
        <v>#NAME?</v>
      </c>
      <c r="S67" s="1098" t="e">
        <f ca="1"/>
        <v>#NAME?</v>
      </c>
      <c r="T67" s="1098" t="e">
        <f ca="1"/>
        <v>#NAME?</v>
      </c>
      <c r="U67" s="1097" t="e">
        <f ca="1"/>
        <v>#NAME?</v>
      </c>
      <c r="V67" s="1086"/>
      <c r="W67" s="1086"/>
      <c r="X67" s="1086"/>
      <c r="Y67" s="1086"/>
      <c r="Z67" s="1086"/>
      <c r="AA67" s="1077"/>
      <c r="AB67" s="1077"/>
      <c r="AC67" s="1077"/>
      <c r="AD67" s="1077"/>
      <c r="AE67" s="1077"/>
      <c r="AF67" s="1077"/>
      <c r="AG67" s="1077"/>
      <c r="AH67" s="1077"/>
      <c r="AI67" s="1077"/>
      <c r="AJ67" s="1077"/>
      <c r="AK67" s="1077"/>
      <c r="AL67" s="1077"/>
      <c r="AM67" s="1077"/>
      <c r="AN67" s="1077"/>
    </row>
    <row r="68" spans="1:40" x14ac:dyDescent="0.2">
      <c r="A68" s="1106" t="e">
        <f ca="1"/>
        <v>#NAME?</v>
      </c>
      <c r="B68" s="1102" t="e">
        <f ca="1"/>
        <v>#NAME?</v>
      </c>
      <c r="C68" s="1105" t="e">
        <f ca="1"/>
        <v>#NAME?</v>
      </c>
      <c r="D68" s="1105" t="e">
        <f ca="1"/>
        <v>#NAME?</v>
      </c>
      <c r="E68" s="1102" t="e">
        <f ca="1"/>
        <v>#NAME?</v>
      </c>
      <c r="F68" s="1102" t="e">
        <f ca="1"/>
        <v>#NAME?</v>
      </c>
      <c r="G68" s="1101" t="e">
        <f ca="1"/>
        <v>#NAME?</v>
      </c>
      <c r="H68" s="1104" t="e">
        <f ca="1"/>
        <v>#NAME?</v>
      </c>
      <c r="I68" s="1103" t="e">
        <f ca="1"/>
        <v>#NAME?</v>
      </c>
      <c r="J68" s="1102" t="e">
        <f ca="1"/>
        <v>#NAME?</v>
      </c>
      <c r="K68" s="1101" t="e">
        <f ca="1"/>
        <v>#NAME?</v>
      </c>
      <c r="L68" s="1100" t="e">
        <f ca="1"/>
        <v>#NAME?</v>
      </c>
      <c r="M68" s="1098" t="e">
        <f ca="1"/>
        <v>#NAME?</v>
      </c>
      <c r="N68" s="1098" t="e">
        <f ca="1"/>
        <v>#NAME?</v>
      </c>
      <c r="O68" s="1099" t="e">
        <f ca="1"/>
        <v>#NAME?</v>
      </c>
      <c r="P68" s="1098" t="e">
        <f ca="1"/>
        <v>#NAME?</v>
      </c>
      <c r="Q68" s="1098" t="e">
        <f ca="1"/>
        <v>#NAME?</v>
      </c>
      <c r="R68" s="1098" t="e">
        <f ca="1"/>
        <v>#NAME?</v>
      </c>
      <c r="S68" s="1098" t="e">
        <f ca="1"/>
        <v>#NAME?</v>
      </c>
      <c r="T68" s="1098" t="e">
        <f ca="1"/>
        <v>#NAME?</v>
      </c>
      <c r="U68" s="1097" t="e">
        <f ca="1"/>
        <v>#NAME?</v>
      </c>
      <c r="V68" s="1086"/>
      <c r="W68" s="1086"/>
      <c r="X68" s="1086"/>
      <c r="Y68" s="1086"/>
      <c r="Z68" s="1086"/>
      <c r="AA68" s="1077"/>
      <c r="AB68" s="1077"/>
      <c r="AC68" s="1077"/>
      <c r="AD68" s="1077"/>
      <c r="AE68" s="1077"/>
      <c r="AF68" s="1077"/>
      <c r="AG68" s="1077"/>
      <c r="AH68" s="1077"/>
      <c r="AI68" s="1077"/>
      <c r="AJ68" s="1077"/>
      <c r="AK68" s="1077"/>
      <c r="AL68" s="1077"/>
      <c r="AM68" s="1077"/>
      <c r="AN68" s="1077"/>
    </row>
    <row r="69" spans="1:40" x14ac:dyDescent="0.2">
      <c r="A69" s="1106" t="e">
        <f ca="1"/>
        <v>#NAME?</v>
      </c>
      <c r="B69" s="1102" t="e">
        <f ca="1"/>
        <v>#NAME?</v>
      </c>
      <c r="C69" s="1105" t="e">
        <f ca="1"/>
        <v>#NAME?</v>
      </c>
      <c r="D69" s="1105" t="e">
        <f ca="1"/>
        <v>#NAME?</v>
      </c>
      <c r="E69" s="1102" t="e">
        <f ca="1"/>
        <v>#NAME?</v>
      </c>
      <c r="F69" s="1102" t="e">
        <f ca="1"/>
        <v>#NAME?</v>
      </c>
      <c r="G69" s="1101" t="e">
        <f ca="1"/>
        <v>#NAME?</v>
      </c>
      <c r="H69" s="1104" t="e">
        <f ca="1"/>
        <v>#NAME?</v>
      </c>
      <c r="I69" s="1103" t="e">
        <f ca="1"/>
        <v>#NAME?</v>
      </c>
      <c r="J69" s="1102" t="e">
        <f ca="1"/>
        <v>#NAME?</v>
      </c>
      <c r="K69" s="1101" t="e">
        <f ca="1"/>
        <v>#NAME?</v>
      </c>
      <c r="L69" s="1100" t="e">
        <f ca="1"/>
        <v>#NAME?</v>
      </c>
      <c r="M69" s="1098" t="e">
        <f ca="1"/>
        <v>#NAME?</v>
      </c>
      <c r="N69" s="1098" t="e">
        <f ca="1"/>
        <v>#NAME?</v>
      </c>
      <c r="O69" s="1099" t="e">
        <f ca="1"/>
        <v>#NAME?</v>
      </c>
      <c r="P69" s="1098" t="e">
        <f ca="1"/>
        <v>#NAME?</v>
      </c>
      <c r="Q69" s="1098" t="e">
        <f ca="1"/>
        <v>#NAME?</v>
      </c>
      <c r="R69" s="1098" t="e">
        <f ca="1"/>
        <v>#NAME?</v>
      </c>
      <c r="S69" s="1098" t="e">
        <f ca="1"/>
        <v>#NAME?</v>
      </c>
      <c r="T69" s="1098" t="e">
        <f ca="1"/>
        <v>#NAME?</v>
      </c>
      <c r="U69" s="1097" t="e">
        <f ca="1"/>
        <v>#NAME?</v>
      </c>
      <c r="V69" s="1086"/>
      <c r="W69" s="1086"/>
      <c r="X69" s="1086"/>
      <c r="Y69" s="1086"/>
      <c r="Z69" s="1086"/>
      <c r="AA69" s="1077"/>
      <c r="AB69" s="1077"/>
      <c r="AC69" s="1077"/>
      <c r="AD69" s="1077"/>
      <c r="AE69" s="1077"/>
      <c r="AF69" s="1077"/>
      <c r="AG69" s="1077"/>
      <c r="AH69" s="1077"/>
      <c r="AI69" s="1077"/>
      <c r="AJ69" s="1077"/>
      <c r="AK69" s="1077"/>
      <c r="AL69" s="1077"/>
      <c r="AM69" s="1077"/>
      <c r="AN69" s="1077"/>
    </row>
    <row r="70" spans="1:40" x14ac:dyDescent="0.2">
      <c r="A70" s="1106" t="e">
        <f ca="1"/>
        <v>#NAME?</v>
      </c>
      <c r="B70" s="1102" t="e">
        <f ca="1"/>
        <v>#NAME?</v>
      </c>
      <c r="C70" s="1105" t="e">
        <f ca="1"/>
        <v>#NAME?</v>
      </c>
      <c r="D70" s="1105" t="e">
        <f ca="1"/>
        <v>#NAME?</v>
      </c>
      <c r="E70" s="1102" t="e">
        <f ca="1"/>
        <v>#NAME?</v>
      </c>
      <c r="F70" s="1102" t="e">
        <f ca="1"/>
        <v>#NAME?</v>
      </c>
      <c r="G70" s="1101" t="e">
        <f ca="1"/>
        <v>#NAME?</v>
      </c>
      <c r="H70" s="1104" t="e">
        <f ca="1"/>
        <v>#NAME?</v>
      </c>
      <c r="I70" s="1103" t="e">
        <f ca="1"/>
        <v>#NAME?</v>
      </c>
      <c r="J70" s="1102" t="e">
        <f ca="1"/>
        <v>#NAME?</v>
      </c>
      <c r="K70" s="1101" t="e">
        <f ca="1"/>
        <v>#NAME?</v>
      </c>
      <c r="L70" s="1100" t="e">
        <f ca="1"/>
        <v>#NAME?</v>
      </c>
      <c r="M70" s="1098" t="e">
        <f ca="1"/>
        <v>#NAME?</v>
      </c>
      <c r="N70" s="1098" t="e">
        <f ca="1"/>
        <v>#NAME?</v>
      </c>
      <c r="O70" s="1099" t="e">
        <f ca="1"/>
        <v>#NAME?</v>
      </c>
      <c r="P70" s="1098" t="e">
        <f ca="1"/>
        <v>#NAME?</v>
      </c>
      <c r="Q70" s="1098" t="e">
        <f ca="1"/>
        <v>#NAME?</v>
      </c>
      <c r="R70" s="1098" t="e">
        <f ca="1"/>
        <v>#NAME?</v>
      </c>
      <c r="S70" s="1098" t="e">
        <f ca="1"/>
        <v>#NAME?</v>
      </c>
      <c r="T70" s="1098" t="e">
        <f ca="1"/>
        <v>#NAME?</v>
      </c>
      <c r="U70" s="1097" t="e">
        <f ca="1"/>
        <v>#NAME?</v>
      </c>
      <c r="V70" s="1086"/>
      <c r="W70" s="1086"/>
      <c r="X70" s="1086"/>
      <c r="Y70" s="1086"/>
      <c r="Z70" s="1086"/>
      <c r="AA70" s="1077"/>
      <c r="AB70" s="1077"/>
      <c r="AC70" s="1077"/>
      <c r="AD70" s="1077"/>
      <c r="AE70" s="1077"/>
      <c r="AF70" s="1077"/>
      <c r="AG70" s="1077"/>
      <c r="AH70" s="1077"/>
      <c r="AI70" s="1077"/>
      <c r="AJ70" s="1077"/>
      <c r="AK70" s="1077"/>
      <c r="AL70" s="1077"/>
      <c r="AM70" s="1077"/>
      <c r="AN70" s="1077"/>
    </row>
    <row r="71" spans="1:40" x14ac:dyDescent="0.2">
      <c r="A71" s="1106" t="e">
        <f ca="1"/>
        <v>#NAME?</v>
      </c>
      <c r="B71" s="1102" t="e">
        <f ca="1"/>
        <v>#NAME?</v>
      </c>
      <c r="C71" s="1105" t="e">
        <f ca="1"/>
        <v>#NAME?</v>
      </c>
      <c r="D71" s="1105" t="e">
        <f ca="1"/>
        <v>#NAME?</v>
      </c>
      <c r="E71" s="1102" t="e">
        <f ca="1"/>
        <v>#NAME?</v>
      </c>
      <c r="F71" s="1102" t="e">
        <f ca="1"/>
        <v>#NAME?</v>
      </c>
      <c r="G71" s="1101" t="e">
        <f ca="1"/>
        <v>#NAME?</v>
      </c>
      <c r="H71" s="1104" t="e">
        <f ca="1"/>
        <v>#NAME?</v>
      </c>
      <c r="I71" s="1103" t="e">
        <f ca="1"/>
        <v>#NAME?</v>
      </c>
      <c r="J71" s="1102" t="e">
        <f ca="1"/>
        <v>#NAME?</v>
      </c>
      <c r="K71" s="1101" t="e">
        <f ca="1"/>
        <v>#NAME?</v>
      </c>
      <c r="L71" s="1100" t="e">
        <f ca="1"/>
        <v>#NAME?</v>
      </c>
      <c r="M71" s="1098" t="e">
        <f ca="1"/>
        <v>#NAME?</v>
      </c>
      <c r="N71" s="1098" t="e">
        <f ca="1"/>
        <v>#NAME?</v>
      </c>
      <c r="O71" s="1099" t="e">
        <f ca="1"/>
        <v>#NAME?</v>
      </c>
      <c r="P71" s="1098" t="e">
        <f ca="1"/>
        <v>#NAME?</v>
      </c>
      <c r="Q71" s="1098" t="e">
        <f ca="1"/>
        <v>#NAME?</v>
      </c>
      <c r="R71" s="1098" t="e">
        <f ca="1"/>
        <v>#NAME?</v>
      </c>
      <c r="S71" s="1098" t="e">
        <f ca="1"/>
        <v>#NAME?</v>
      </c>
      <c r="T71" s="1098" t="e">
        <f ca="1"/>
        <v>#NAME?</v>
      </c>
      <c r="U71" s="1097" t="e">
        <f ca="1"/>
        <v>#NAME?</v>
      </c>
      <c r="V71" s="1086"/>
      <c r="W71" s="1086"/>
      <c r="X71" s="1086"/>
      <c r="Y71" s="1086"/>
      <c r="Z71" s="1086"/>
      <c r="AA71" s="1077"/>
      <c r="AB71" s="1077"/>
      <c r="AC71" s="1077"/>
      <c r="AD71" s="1077"/>
      <c r="AE71" s="1077"/>
      <c r="AF71" s="1077"/>
      <c r="AG71" s="1077"/>
      <c r="AH71" s="1077"/>
      <c r="AI71" s="1077"/>
      <c r="AJ71" s="1077"/>
      <c r="AK71" s="1077"/>
      <c r="AL71" s="1077"/>
      <c r="AM71" s="1077"/>
      <c r="AN71" s="1077"/>
    </row>
    <row r="72" spans="1:40" x14ac:dyDescent="0.2">
      <c r="A72" s="1106" t="e">
        <f ca="1"/>
        <v>#NAME?</v>
      </c>
      <c r="B72" s="1102" t="e">
        <f ca="1"/>
        <v>#NAME?</v>
      </c>
      <c r="C72" s="1105" t="e">
        <f ca="1"/>
        <v>#NAME?</v>
      </c>
      <c r="D72" s="1105" t="e">
        <f ca="1"/>
        <v>#NAME?</v>
      </c>
      <c r="E72" s="1102" t="e">
        <f ca="1"/>
        <v>#NAME?</v>
      </c>
      <c r="F72" s="1102" t="e">
        <f ca="1"/>
        <v>#NAME?</v>
      </c>
      <c r="G72" s="1101" t="e">
        <f ca="1"/>
        <v>#NAME?</v>
      </c>
      <c r="H72" s="1104" t="e">
        <f ca="1"/>
        <v>#NAME?</v>
      </c>
      <c r="I72" s="1103" t="e">
        <f ca="1"/>
        <v>#NAME?</v>
      </c>
      <c r="J72" s="1102" t="e">
        <f ca="1"/>
        <v>#NAME?</v>
      </c>
      <c r="K72" s="1101" t="e">
        <f ca="1"/>
        <v>#NAME?</v>
      </c>
      <c r="L72" s="1100" t="e">
        <f ca="1"/>
        <v>#NAME?</v>
      </c>
      <c r="M72" s="1098" t="e">
        <f ca="1"/>
        <v>#NAME?</v>
      </c>
      <c r="N72" s="1098" t="e">
        <f ca="1"/>
        <v>#NAME?</v>
      </c>
      <c r="O72" s="1099" t="e">
        <f ca="1"/>
        <v>#NAME?</v>
      </c>
      <c r="P72" s="1098" t="e">
        <f ca="1"/>
        <v>#NAME?</v>
      </c>
      <c r="Q72" s="1098" t="e">
        <f ca="1"/>
        <v>#NAME?</v>
      </c>
      <c r="R72" s="1098" t="e">
        <f ca="1"/>
        <v>#NAME?</v>
      </c>
      <c r="S72" s="1098" t="e">
        <f ca="1"/>
        <v>#NAME?</v>
      </c>
      <c r="T72" s="1098" t="e">
        <f ca="1"/>
        <v>#NAME?</v>
      </c>
      <c r="U72" s="1097" t="e">
        <f ca="1"/>
        <v>#NAME?</v>
      </c>
      <c r="V72" s="1086"/>
      <c r="W72" s="1086"/>
      <c r="X72" s="1086"/>
      <c r="Y72" s="1086"/>
      <c r="Z72" s="1086"/>
      <c r="AA72" s="1077"/>
      <c r="AB72" s="1077"/>
      <c r="AC72" s="1077"/>
      <c r="AD72" s="1077"/>
      <c r="AE72" s="1077"/>
      <c r="AF72" s="1077"/>
      <c r="AG72" s="1077"/>
      <c r="AH72" s="1077"/>
      <c r="AI72" s="1077"/>
      <c r="AJ72" s="1077"/>
      <c r="AK72" s="1077"/>
      <c r="AL72" s="1077"/>
      <c r="AM72" s="1077"/>
      <c r="AN72" s="1077"/>
    </row>
    <row r="73" spans="1:40" x14ac:dyDescent="0.2">
      <c r="A73" s="1106" t="e">
        <f ca="1"/>
        <v>#NAME?</v>
      </c>
      <c r="B73" s="1102" t="e">
        <f ca="1"/>
        <v>#NAME?</v>
      </c>
      <c r="C73" s="1105" t="e">
        <f ca="1"/>
        <v>#NAME?</v>
      </c>
      <c r="D73" s="1105" t="e">
        <f ca="1"/>
        <v>#NAME?</v>
      </c>
      <c r="E73" s="1102" t="e">
        <f ca="1"/>
        <v>#NAME?</v>
      </c>
      <c r="F73" s="1102" t="e">
        <f ca="1"/>
        <v>#NAME?</v>
      </c>
      <c r="G73" s="1101" t="e">
        <f ca="1"/>
        <v>#NAME?</v>
      </c>
      <c r="H73" s="1104" t="e">
        <f ca="1"/>
        <v>#NAME?</v>
      </c>
      <c r="I73" s="1103" t="e">
        <f ca="1"/>
        <v>#NAME?</v>
      </c>
      <c r="J73" s="1102" t="e">
        <f ca="1"/>
        <v>#NAME?</v>
      </c>
      <c r="K73" s="1101" t="e">
        <f ca="1"/>
        <v>#NAME?</v>
      </c>
      <c r="L73" s="1100" t="e">
        <f ca="1"/>
        <v>#NAME?</v>
      </c>
      <c r="M73" s="1098" t="e">
        <f ca="1"/>
        <v>#NAME?</v>
      </c>
      <c r="N73" s="1098" t="e">
        <f ca="1"/>
        <v>#NAME?</v>
      </c>
      <c r="O73" s="1099" t="e">
        <f ca="1"/>
        <v>#NAME?</v>
      </c>
      <c r="P73" s="1098" t="e">
        <f ca="1"/>
        <v>#NAME?</v>
      </c>
      <c r="Q73" s="1098" t="e">
        <f ca="1"/>
        <v>#NAME?</v>
      </c>
      <c r="R73" s="1098" t="e">
        <f ca="1"/>
        <v>#NAME?</v>
      </c>
      <c r="S73" s="1098" t="e">
        <f ca="1"/>
        <v>#NAME?</v>
      </c>
      <c r="T73" s="1098" t="e">
        <f ca="1"/>
        <v>#NAME?</v>
      </c>
      <c r="U73" s="1097" t="e">
        <f ca="1"/>
        <v>#NAME?</v>
      </c>
      <c r="V73" s="1086"/>
      <c r="W73" s="1086"/>
      <c r="X73" s="1086"/>
      <c r="Y73" s="1086"/>
      <c r="Z73" s="1086"/>
      <c r="AA73" s="1077"/>
      <c r="AB73" s="1077"/>
      <c r="AC73" s="1077"/>
      <c r="AD73" s="1077"/>
      <c r="AE73" s="1077"/>
      <c r="AF73" s="1077"/>
      <c r="AG73" s="1077"/>
      <c r="AH73" s="1077"/>
      <c r="AI73" s="1077"/>
      <c r="AJ73" s="1077"/>
      <c r="AK73" s="1077"/>
      <c r="AL73" s="1077"/>
      <c r="AM73" s="1077"/>
      <c r="AN73" s="1077"/>
    </row>
    <row r="74" spans="1:40" x14ac:dyDescent="0.2">
      <c r="A74" s="1106" t="e">
        <f ca="1"/>
        <v>#NAME?</v>
      </c>
      <c r="B74" s="1102" t="e">
        <f ca="1"/>
        <v>#NAME?</v>
      </c>
      <c r="C74" s="1105" t="e">
        <f ca="1"/>
        <v>#NAME?</v>
      </c>
      <c r="D74" s="1105" t="e">
        <f ca="1"/>
        <v>#NAME?</v>
      </c>
      <c r="E74" s="1102" t="e">
        <f ca="1"/>
        <v>#NAME?</v>
      </c>
      <c r="F74" s="1102" t="e">
        <f ca="1"/>
        <v>#NAME?</v>
      </c>
      <c r="G74" s="1101" t="e">
        <f ca="1"/>
        <v>#NAME?</v>
      </c>
      <c r="H74" s="1104" t="e">
        <f ca="1"/>
        <v>#NAME?</v>
      </c>
      <c r="I74" s="1103" t="e">
        <f ca="1"/>
        <v>#NAME?</v>
      </c>
      <c r="J74" s="1102" t="e">
        <f ca="1"/>
        <v>#NAME?</v>
      </c>
      <c r="K74" s="1101" t="e">
        <f ca="1"/>
        <v>#NAME?</v>
      </c>
      <c r="L74" s="1100" t="e">
        <f ca="1"/>
        <v>#NAME?</v>
      </c>
      <c r="M74" s="1098" t="e">
        <f ca="1"/>
        <v>#NAME?</v>
      </c>
      <c r="N74" s="1098" t="e">
        <f ca="1"/>
        <v>#NAME?</v>
      </c>
      <c r="O74" s="1099" t="e">
        <f ca="1"/>
        <v>#NAME?</v>
      </c>
      <c r="P74" s="1098" t="e">
        <f ca="1"/>
        <v>#NAME?</v>
      </c>
      <c r="Q74" s="1098" t="e">
        <f ca="1"/>
        <v>#NAME?</v>
      </c>
      <c r="R74" s="1098" t="e">
        <f ca="1"/>
        <v>#NAME?</v>
      </c>
      <c r="S74" s="1098" t="e">
        <f ca="1"/>
        <v>#NAME?</v>
      </c>
      <c r="T74" s="1098" t="e">
        <f ca="1"/>
        <v>#NAME?</v>
      </c>
      <c r="U74" s="1097" t="e">
        <f ca="1"/>
        <v>#NAME?</v>
      </c>
      <c r="V74" s="1086"/>
      <c r="W74" s="1086"/>
      <c r="X74" s="1086"/>
      <c r="Y74" s="1086"/>
      <c r="Z74" s="1086"/>
      <c r="AA74" s="1077"/>
      <c r="AB74" s="1077"/>
      <c r="AC74" s="1077"/>
      <c r="AD74" s="1077"/>
      <c r="AE74" s="1077"/>
      <c r="AF74" s="1077"/>
      <c r="AG74" s="1077"/>
      <c r="AH74" s="1077"/>
      <c r="AI74" s="1077"/>
      <c r="AJ74" s="1077"/>
      <c r="AK74" s="1077"/>
      <c r="AL74" s="1077"/>
      <c r="AM74" s="1077"/>
      <c r="AN74" s="1077"/>
    </row>
    <row r="75" spans="1:40" x14ac:dyDescent="0.2">
      <c r="A75" s="1106" t="e">
        <f ca="1"/>
        <v>#NAME?</v>
      </c>
      <c r="B75" s="1102" t="e">
        <f ca="1"/>
        <v>#NAME?</v>
      </c>
      <c r="C75" s="1105" t="e">
        <f ca="1"/>
        <v>#NAME?</v>
      </c>
      <c r="D75" s="1105" t="e">
        <f ca="1"/>
        <v>#NAME?</v>
      </c>
      <c r="E75" s="1102" t="e">
        <f ca="1"/>
        <v>#NAME?</v>
      </c>
      <c r="F75" s="1102" t="e">
        <f ca="1"/>
        <v>#NAME?</v>
      </c>
      <c r="G75" s="1101" t="e">
        <f ca="1"/>
        <v>#NAME?</v>
      </c>
      <c r="H75" s="1104" t="e">
        <f ca="1"/>
        <v>#NAME?</v>
      </c>
      <c r="I75" s="1103" t="e">
        <f ca="1"/>
        <v>#NAME?</v>
      </c>
      <c r="J75" s="1102" t="e">
        <f ca="1"/>
        <v>#NAME?</v>
      </c>
      <c r="K75" s="1101" t="e">
        <f ca="1"/>
        <v>#NAME?</v>
      </c>
      <c r="L75" s="1100" t="e">
        <f ca="1"/>
        <v>#NAME?</v>
      </c>
      <c r="M75" s="1098" t="e">
        <f ca="1"/>
        <v>#NAME?</v>
      </c>
      <c r="N75" s="1098" t="e">
        <f ca="1"/>
        <v>#NAME?</v>
      </c>
      <c r="O75" s="1099" t="e">
        <f ca="1"/>
        <v>#NAME?</v>
      </c>
      <c r="P75" s="1098" t="e">
        <f ca="1"/>
        <v>#NAME?</v>
      </c>
      <c r="Q75" s="1098" t="e">
        <f ca="1"/>
        <v>#NAME?</v>
      </c>
      <c r="R75" s="1098" t="e">
        <f ca="1"/>
        <v>#NAME?</v>
      </c>
      <c r="S75" s="1098" t="e">
        <f ca="1"/>
        <v>#NAME?</v>
      </c>
      <c r="T75" s="1098" t="e">
        <f ca="1"/>
        <v>#NAME?</v>
      </c>
      <c r="U75" s="1097" t="e">
        <f ca="1"/>
        <v>#NAME?</v>
      </c>
      <c r="V75" s="1086"/>
      <c r="W75" s="1086"/>
      <c r="X75" s="1086"/>
      <c r="Y75" s="1086"/>
      <c r="Z75" s="1086"/>
      <c r="AA75" s="1077"/>
      <c r="AB75" s="1077"/>
      <c r="AC75" s="1077"/>
      <c r="AD75" s="1077"/>
      <c r="AE75" s="1077"/>
      <c r="AF75" s="1077"/>
      <c r="AG75" s="1077"/>
      <c r="AH75" s="1077"/>
      <c r="AI75" s="1077"/>
      <c r="AJ75" s="1077"/>
      <c r="AK75" s="1077"/>
      <c r="AL75" s="1077"/>
      <c r="AM75" s="1077"/>
      <c r="AN75" s="1077"/>
    </row>
    <row r="76" spans="1:40" x14ac:dyDescent="0.2">
      <c r="A76" s="1106" t="e">
        <f ca="1"/>
        <v>#NAME?</v>
      </c>
      <c r="B76" s="1102" t="e">
        <f ca="1"/>
        <v>#NAME?</v>
      </c>
      <c r="C76" s="1105" t="e">
        <f ca="1"/>
        <v>#NAME?</v>
      </c>
      <c r="D76" s="1105" t="e">
        <f ca="1"/>
        <v>#NAME?</v>
      </c>
      <c r="E76" s="1102" t="e">
        <f ca="1"/>
        <v>#NAME?</v>
      </c>
      <c r="F76" s="1102" t="e">
        <f ca="1"/>
        <v>#NAME?</v>
      </c>
      <c r="G76" s="1101" t="e">
        <f ca="1"/>
        <v>#NAME?</v>
      </c>
      <c r="H76" s="1104" t="e">
        <f ca="1"/>
        <v>#NAME?</v>
      </c>
      <c r="I76" s="1103" t="e">
        <f ca="1"/>
        <v>#NAME?</v>
      </c>
      <c r="J76" s="1102" t="e">
        <f ca="1"/>
        <v>#NAME?</v>
      </c>
      <c r="K76" s="1101" t="e">
        <f ca="1"/>
        <v>#NAME?</v>
      </c>
      <c r="L76" s="1100" t="e">
        <f ca="1"/>
        <v>#NAME?</v>
      </c>
      <c r="M76" s="1098" t="e">
        <f ca="1"/>
        <v>#NAME?</v>
      </c>
      <c r="N76" s="1098" t="e">
        <f ca="1"/>
        <v>#NAME?</v>
      </c>
      <c r="O76" s="1099" t="e">
        <f ca="1"/>
        <v>#NAME?</v>
      </c>
      <c r="P76" s="1098" t="e">
        <f ca="1"/>
        <v>#NAME?</v>
      </c>
      <c r="Q76" s="1098" t="e">
        <f ca="1"/>
        <v>#NAME?</v>
      </c>
      <c r="R76" s="1098" t="e">
        <f ca="1"/>
        <v>#NAME?</v>
      </c>
      <c r="S76" s="1098" t="e">
        <f ca="1"/>
        <v>#NAME?</v>
      </c>
      <c r="T76" s="1098" t="e">
        <f ca="1"/>
        <v>#NAME?</v>
      </c>
      <c r="U76" s="1097" t="e">
        <f ca="1"/>
        <v>#NAME?</v>
      </c>
      <c r="V76" s="1086"/>
      <c r="W76" s="1086"/>
      <c r="X76" s="1086"/>
      <c r="Y76" s="1086"/>
      <c r="Z76" s="1086"/>
      <c r="AA76" s="1077"/>
      <c r="AB76" s="1077"/>
      <c r="AC76" s="1077"/>
      <c r="AD76" s="1077"/>
      <c r="AE76" s="1077"/>
      <c r="AF76" s="1077"/>
      <c r="AG76" s="1077"/>
      <c r="AH76" s="1077"/>
      <c r="AI76" s="1077"/>
      <c r="AJ76" s="1077"/>
      <c r="AK76" s="1077"/>
      <c r="AL76" s="1077"/>
      <c r="AM76" s="1077"/>
      <c r="AN76" s="1077"/>
    </row>
    <row r="77" spans="1:40" x14ac:dyDescent="0.2">
      <c r="A77" s="1106" t="e">
        <f ca="1"/>
        <v>#NAME?</v>
      </c>
      <c r="B77" s="1102" t="e">
        <f ca="1"/>
        <v>#NAME?</v>
      </c>
      <c r="C77" s="1105" t="e">
        <f ca="1"/>
        <v>#NAME?</v>
      </c>
      <c r="D77" s="1105" t="e">
        <f ca="1"/>
        <v>#NAME?</v>
      </c>
      <c r="E77" s="1102" t="e">
        <f ca="1"/>
        <v>#NAME?</v>
      </c>
      <c r="F77" s="1102" t="e">
        <f ca="1"/>
        <v>#NAME?</v>
      </c>
      <c r="G77" s="1101" t="e">
        <f ca="1"/>
        <v>#NAME?</v>
      </c>
      <c r="H77" s="1104" t="e">
        <f ca="1"/>
        <v>#NAME?</v>
      </c>
      <c r="I77" s="1103" t="e">
        <f ca="1"/>
        <v>#NAME?</v>
      </c>
      <c r="J77" s="1102" t="e">
        <f ca="1"/>
        <v>#NAME?</v>
      </c>
      <c r="K77" s="1101" t="e">
        <f ca="1"/>
        <v>#NAME?</v>
      </c>
      <c r="L77" s="1100" t="e">
        <f ca="1"/>
        <v>#NAME?</v>
      </c>
      <c r="M77" s="1098" t="e">
        <f ca="1"/>
        <v>#NAME?</v>
      </c>
      <c r="N77" s="1098" t="e">
        <f ca="1"/>
        <v>#NAME?</v>
      </c>
      <c r="O77" s="1099" t="e">
        <f ca="1"/>
        <v>#NAME?</v>
      </c>
      <c r="P77" s="1098" t="e">
        <f ca="1"/>
        <v>#NAME?</v>
      </c>
      <c r="Q77" s="1098" t="e">
        <f ca="1"/>
        <v>#NAME?</v>
      </c>
      <c r="R77" s="1098" t="e">
        <f ca="1"/>
        <v>#NAME?</v>
      </c>
      <c r="S77" s="1098" t="e">
        <f ca="1"/>
        <v>#NAME?</v>
      </c>
      <c r="T77" s="1098" t="e">
        <f ca="1"/>
        <v>#NAME?</v>
      </c>
      <c r="U77" s="1097" t="e">
        <f ca="1"/>
        <v>#NAME?</v>
      </c>
      <c r="V77" s="1086"/>
      <c r="W77" s="1086"/>
      <c r="X77" s="1086"/>
      <c r="Y77" s="1086"/>
      <c r="Z77" s="1086"/>
      <c r="AA77" s="1077"/>
      <c r="AB77" s="1077"/>
      <c r="AC77" s="1077"/>
      <c r="AD77" s="1077"/>
      <c r="AE77" s="1077"/>
      <c r="AF77" s="1077"/>
      <c r="AG77" s="1077"/>
      <c r="AH77" s="1077"/>
      <c r="AI77" s="1077"/>
      <c r="AJ77" s="1077"/>
      <c r="AK77" s="1077"/>
      <c r="AL77" s="1077"/>
      <c r="AM77" s="1077"/>
      <c r="AN77" s="1077"/>
    </row>
    <row r="78" spans="1:40" x14ac:dyDescent="0.2">
      <c r="A78" s="1106" t="e">
        <f ca="1"/>
        <v>#NAME?</v>
      </c>
      <c r="B78" s="1102" t="e">
        <f ca="1"/>
        <v>#NAME?</v>
      </c>
      <c r="C78" s="1105" t="e">
        <f ca="1"/>
        <v>#NAME?</v>
      </c>
      <c r="D78" s="1105" t="e">
        <f ca="1"/>
        <v>#NAME?</v>
      </c>
      <c r="E78" s="1102" t="e">
        <f ca="1"/>
        <v>#NAME?</v>
      </c>
      <c r="F78" s="1102" t="e">
        <f ca="1"/>
        <v>#NAME?</v>
      </c>
      <c r="G78" s="1101" t="e">
        <f ca="1"/>
        <v>#NAME?</v>
      </c>
      <c r="H78" s="1104" t="e">
        <f ca="1"/>
        <v>#NAME?</v>
      </c>
      <c r="I78" s="1103" t="e">
        <f ca="1"/>
        <v>#NAME?</v>
      </c>
      <c r="J78" s="1102" t="e">
        <f ca="1"/>
        <v>#NAME?</v>
      </c>
      <c r="K78" s="1101" t="e">
        <f ca="1"/>
        <v>#NAME?</v>
      </c>
      <c r="L78" s="1100" t="e">
        <f ca="1"/>
        <v>#NAME?</v>
      </c>
      <c r="M78" s="1098" t="e">
        <f ca="1"/>
        <v>#NAME?</v>
      </c>
      <c r="N78" s="1098" t="e">
        <f ca="1"/>
        <v>#NAME?</v>
      </c>
      <c r="O78" s="1099" t="e">
        <f ca="1"/>
        <v>#NAME?</v>
      </c>
      <c r="P78" s="1098" t="e">
        <f ca="1"/>
        <v>#NAME?</v>
      </c>
      <c r="Q78" s="1098" t="e">
        <f ca="1"/>
        <v>#NAME?</v>
      </c>
      <c r="R78" s="1098" t="e">
        <f ca="1"/>
        <v>#NAME?</v>
      </c>
      <c r="S78" s="1098" t="e">
        <f ca="1"/>
        <v>#NAME?</v>
      </c>
      <c r="T78" s="1098" t="e">
        <f ca="1"/>
        <v>#NAME?</v>
      </c>
      <c r="U78" s="1097" t="e">
        <f ca="1"/>
        <v>#NAME?</v>
      </c>
      <c r="V78" s="1086"/>
      <c r="W78" s="1086"/>
      <c r="X78" s="1086"/>
      <c r="Y78" s="1086"/>
      <c r="Z78" s="1086"/>
      <c r="AA78" s="1077"/>
      <c r="AB78" s="1077"/>
      <c r="AC78" s="1077"/>
      <c r="AD78" s="1077"/>
      <c r="AE78" s="1077"/>
      <c r="AF78" s="1077"/>
      <c r="AG78" s="1077"/>
      <c r="AH78" s="1077"/>
      <c r="AI78" s="1077"/>
      <c r="AJ78" s="1077"/>
      <c r="AK78" s="1077"/>
      <c r="AL78" s="1077"/>
      <c r="AM78" s="1077"/>
      <c r="AN78" s="1077"/>
    </row>
    <row r="79" spans="1:40" x14ac:dyDescent="0.2">
      <c r="A79" s="1106" t="e">
        <f ca="1"/>
        <v>#NAME?</v>
      </c>
      <c r="B79" s="1102" t="e">
        <f ca="1"/>
        <v>#NAME?</v>
      </c>
      <c r="C79" s="1105" t="e">
        <f ca="1"/>
        <v>#NAME?</v>
      </c>
      <c r="D79" s="1105" t="e">
        <f ca="1"/>
        <v>#NAME?</v>
      </c>
      <c r="E79" s="1102" t="e">
        <f ca="1"/>
        <v>#NAME?</v>
      </c>
      <c r="F79" s="1102" t="e">
        <f ca="1"/>
        <v>#NAME?</v>
      </c>
      <c r="G79" s="1101" t="e">
        <f ca="1"/>
        <v>#NAME?</v>
      </c>
      <c r="H79" s="1104" t="e">
        <f ca="1"/>
        <v>#NAME?</v>
      </c>
      <c r="I79" s="1103" t="e">
        <f ca="1"/>
        <v>#NAME?</v>
      </c>
      <c r="J79" s="1102" t="e">
        <f ca="1"/>
        <v>#NAME?</v>
      </c>
      <c r="K79" s="1101" t="e">
        <f ca="1"/>
        <v>#NAME?</v>
      </c>
      <c r="L79" s="1100" t="e">
        <f ca="1"/>
        <v>#NAME?</v>
      </c>
      <c r="M79" s="1098" t="e">
        <f ca="1"/>
        <v>#NAME?</v>
      </c>
      <c r="N79" s="1098" t="e">
        <f ca="1"/>
        <v>#NAME?</v>
      </c>
      <c r="O79" s="1099" t="e">
        <f ca="1"/>
        <v>#NAME?</v>
      </c>
      <c r="P79" s="1098" t="e">
        <f ca="1"/>
        <v>#NAME?</v>
      </c>
      <c r="Q79" s="1098" t="e">
        <f ca="1"/>
        <v>#NAME?</v>
      </c>
      <c r="R79" s="1098" t="e">
        <f ca="1"/>
        <v>#NAME?</v>
      </c>
      <c r="S79" s="1098" t="e">
        <f ca="1"/>
        <v>#NAME?</v>
      </c>
      <c r="T79" s="1098" t="e">
        <f ca="1"/>
        <v>#NAME?</v>
      </c>
      <c r="U79" s="1097" t="e">
        <f ca="1"/>
        <v>#NAME?</v>
      </c>
      <c r="V79" s="1086"/>
      <c r="W79" s="1086"/>
      <c r="X79" s="1086"/>
      <c r="Y79" s="1086"/>
      <c r="Z79" s="1086"/>
      <c r="AA79" s="1077"/>
      <c r="AB79" s="1077"/>
      <c r="AC79" s="1077"/>
      <c r="AD79" s="1077"/>
      <c r="AE79" s="1077"/>
      <c r="AF79" s="1077"/>
      <c r="AG79" s="1077"/>
      <c r="AH79" s="1077"/>
      <c r="AI79" s="1077"/>
      <c r="AJ79" s="1077"/>
      <c r="AK79" s="1077"/>
      <c r="AL79" s="1077"/>
      <c r="AM79" s="1077"/>
      <c r="AN79" s="1077"/>
    </row>
    <row r="80" spans="1:40" x14ac:dyDescent="0.2">
      <c r="A80" s="1106" t="e">
        <f ca="1"/>
        <v>#NAME?</v>
      </c>
      <c r="B80" s="1102" t="e">
        <f ca="1"/>
        <v>#NAME?</v>
      </c>
      <c r="C80" s="1105" t="e">
        <f ca="1"/>
        <v>#NAME?</v>
      </c>
      <c r="D80" s="1105" t="e">
        <f ca="1"/>
        <v>#NAME?</v>
      </c>
      <c r="E80" s="1102" t="e">
        <f ca="1"/>
        <v>#NAME?</v>
      </c>
      <c r="F80" s="1102" t="e">
        <f ca="1"/>
        <v>#NAME?</v>
      </c>
      <c r="G80" s="1101" t="e">
        <f ca="1"/>
        <v>#NAME?</v>
      </c>
      <c r="H80" s="1104" t="e">
        <f ca="1"/>
        <v>#NAME?</v>
      </c>
      <c r="I80" s="1103" t="e">
        <f ca="1"/>
        <v>#NAME?</v>
      </c>
      <c r="J80" s="1102" t="e">
        <f ca="1"/>
        <v>#NAME?</v>
      </c>
      <c r="K80" s="1101" t="e">
        <f ca="1"/>
        <v>#NAME?</v>
      </c>
      <c r="L80" s="1100" t="e">
        <f ca="1"/>
        <v>#NAME?</v>
      </c>
      <c r="M80" s="1098" t="e">
        <f ca="1"/>
        <v>#NAME?</v>
      </c>
      <c r="N80" s="1098" t="e">
        <f ca="1"/>
        <v>#NAME?</v>
      </c>
      <c r="O80" s="1099" t="e">
        <f ca="1"/>
        <v>#NAME?</v>
      </c>
      <c r="P80" s="1098" t="e">
        <f ca="1"/>
        <v>#NAME?</v>
      </c>
      <c r="Q80" s="1098" t="e">
        <f ca="1"/>
        <v>#NAME?</v>
      </c>
      <c r="R80" s="1098" t="e">
        <f ca="1"/>
        <v>#NAME?</v>
      </c>
      <c r="S80" s="1098" t="e">
        <f ca="1"/>
        <v>#NAME?</v>
      </c>
      <c r="T80" s="1098" t="e">
        <f ca="1"/>
        <v>#NAME?</v>
      </c>
      <c r="U80" s="1097" t="e">
        <f ca="1"/>
        <v>#NAME?</v>
      </c>
      <c r="V80" s="1086"/>
      <c r="W80" s="1086"/>
      <c r="X80" s="1086"/>
      <c r="Y80" s="1086"/>
      <c r="Z80" s="1086"/>
      <c r="AA80" s="1077"/>
      <c r="AB80" s="1077"/>
      <c r="AC80" s="1077"/>
      <c r="AD80" s="1077"/>
      <c r="AE80" s="1077"/>
      <c r="AF80" s="1077"/>
      <c r="AG80" s="1077"/>
      <c r="AH80" s="1077"/>
      <c r="AI80" s="1077"/>
      <c r="AJ80" s="1077"/>
      <c r="AK80" s="1077"/>
      <c r="AL80" s="1077"/>
      <c r="AM80" s="1077"/>
      <c r="AN80" s="1077"/>
    </row>
    <row r="81" spans="1:40" x14ac:dyDescent="0.2">
      <c r="A81" s="1106" t="e">
        <f ca="1"/>
        <v>#NAME?</v>
      </c>
      <c r="B81" s="1102" t="e">
        <f ca="1"/>
        <v>#NAME?</v>
      </c>
      <c r="C81" s="1105" t="e">
        <f ca="1"/>
        <v>#NAME?</v>
      </c>
      <c r="D81" s="1105" t="e">
        <f ca="1"/>
        <v>#NAME?</v>
      </c>
      <c r="E81" s="1102" t="e">
        <f ca="1"/>
        <v>#NAME?</v>
      </c>
      <c r="F81" s="1102" t="e">
        <f ca="1"/>
        <v>#NAME?</v>
      </c>
      <c r="G81" s="1101" t="e">
        <f ca="1"/>
        <v>#NAME?</v>
      </c>
      <c r="H81" s="1104" t="e">
        <f ca="1"/>
        <v>#NAME?</v>
      </c>
      <c r="I81" s="1103" t="e">
        <f ca="1"/>
        <v>#NAME?</v>
      </c>
      <c r="J81" s="1102" t="e">
        <f ca="1"/>
        <v>#NAME?</v>
      </c>
      <c r="K81" s="1101" t="e">
        <f ca="1"/>
        <v>#NAME?</v>
      </c>
      <c r="L81" s="1100" t="e">
        <f ca="1"/>
        <v>#NAME?</v>
      </c>
      <c r="M81" s="1098" t="e">
        <f ca="1"/>
        <v>#NAME?</v>
      </c>
      <c r="N81" s="1098" t="e">
        <f ca="1"/>
        <v>#NAME?</v>
      </c>
      <c r="O81" s="1099" t="e">
        <f ca="1"/>
        <v>#NAME?</v>
      </c>
      <c r="P81" s="1098" t="e">
        <f ca="1"/>
        <v>#NAME?</v>
      </c>
      <c r="Q81" s="1098" t="e">
        <f ca="1"/>
        <v>#NAME?</v>
      </c>
      <c r="R81" s="1098" t="e">
        <f ca="1"/>
        <v>#NAME?</v>
      </c>
      <c r="S81" s="1098" t="e">
        <f ca="1"/>
        <v>#NAME?</v>
      </c>
      <c r="T81" s="1098" t="e">
        <f ca="1"/>
        <v>#NAME?</v>
      </c>
      <c r="U81" s="1097" t="e">
        <f ca="1"/>
        <v>#NAME?</v>
      </c>
      <c r="V81" s="1086"/>
      <c r="W81" s="1086"/>
      <c r="X81" s="1086"/>
      <c r="Y81" s="1086"/>
      <c r="Z81" s="1086"/>
      <c r="AA81" s="1077"/>
      <c r="AB81" s="1077"/>
      <c r="AC81" s="1077"/>
      <c r="AD81" s="1077"/>
      <c r="AE81" s="1077"/>
      <c r="AF81" s="1077"/>
      <c r="AG81" s="1077"/>
      <c r="AH81" s="1077"/>
      <c r="AI81" s="1077"/>
      <c r="AJ81" s="1077"/>
      <c r="AK81" s="1077"/>
      <c r="AL81" s="1077"/>
      <c r="AM81" s="1077"/>
      <c r="AN81" s="1077"/>
    </row>
    <row r="82" spans="1:40" x14ac:dyDescent="0.2">
      <c r="A82" s="1106" t="e">
        <f ca="1"/>
        <v>#NAME?</v>
      </c>
      <c r="B82" s="1102" t="e">
        <f ca="1"/>
        <v>#NAME?</v>
      </c>
      <c r="C82" s="1105" t="e">
        <f ca="1"/>
        <v>#NAME?</v>
      </c>
      <c r="D82" s="1105" t="e">
        <f ca="1"/>
        <v>#NAME?</v>
      </c>
      <c r="E82" s="1102" t="e">
        <f ca="1"/>
        <v>#NAME?</v>
      </c>
      <c r="F82" s="1102" t="e">
        <f ca="1"/>
        <v>#NAME?</v>
      </c>
      <c r="G82" s="1101" t="e">
        <f ca="1"/>
        <v>#NAME?</v>
      </c>
      <c r="H82" s="1104" t="e">
        <f ca="1"/>
        <v>#NAME?</v>
      </c>
      <c r="I82" s="1103" t="e">
        <f ca="1"/>
        <v>#NAME?</v>
      </c>
      <c r="J82" s="1102" t="e">
        <f ca="1"/>
        <v>#NAME?</v>
      </c>
      <c r="K82" s="1101" t="e">
        <f ca="1"/>
        <v>#NAME?</v>
      </c>
      <c r="L82" s="1100" t="e">
        <f ca="1"/>
        <v>#NAME?</v>
      </c>
      <c r="M82" s="1098" t="e">
        <f ca="1"/>
        <v>#NAME?</v>
      </c>
      <c r="N82" s="1098" t="e">
        <f ca="1"/>
        <v>#NAME?</v>
      </c>
      <c r="O82" s="1099" t="e">
        <f ca="1"/>
        <v>#NAME?</v>
      </c>
      <c r="P82" s="1098" t="e">
        <f ca="1"/>
        <v>#NAME?</v>
      </c>
      <c r="Q82" s="1098" t="e">
        <f ca="1"/>
        <v>#NAME?</v>
      </c>
      <c r="R82" s="1098" t="e">
        <f ca="1"/>
        <v>#NAME?</v>
      </c>
      <c r="S82" s="1098" t="e">
        <f ca="1"/>
        <v>#NAME?</v>
      </c>
      <c r="T82" s="1098" t="e">
        <f ca="1"/>
        <v>#NAME?</v>
      </c>
      <c r="U82" s="1097" t="e">
        <f ca="1"/>
        <v>#NAME?</v>
      </c>
      <c r="V82" s="1086"/>
      <c r="W82" s="1086"/>
      <c r="X82" s="1086"/>
      <c r="Y82" s="1086"/>
      <c r="Z82" s="1086"/>
      <c r="AA82" s="1077"/>
      <c r="AB82" s="1077"/>
      <c r="AC82" s="1077"/>
      <c r="AD82" s="1077"/>
      <c r="AE82" s="1077"/>
      <c r="AF82" s="1077"/>
      <c r="AG82" s="1077"/>
      <c r="AH82" s="1077"/>
      <c r="AI82" s="1077"/>
      <c r="AJ82" s="1077"/>
      <c r="AK82" s="1077"/>
      <c r="AL82" s="1077"/>
      <c r="AM82" s="1077"/>
      <c r="AN82" s="1077"/>
    </row>
    <row r="83" spans="1:40" x14ac:dyDescent="0.2">
      <c r="A83" s="1106" t="e">
        <f ca="1"/>
        <v>#NAME?</v>
      </c>
      <c r="B83" s="1102" t="e">
        <f ca="1"/>
        <v>#NAME?</v>
      </c>
      <c r="C83" s="1105" t="e">
        <f ca="1"/>
        <v>#NAME?</v>
      </c>
      <c r="D83" s="1105" t="e">
        <f ca="1"/>
        <v>#NAME?</v>
      </c>
      <c r="E83" s="1102" t="e">
        <f ca="1"/>
        <v>#NAME?</v>
      </c>
      <c r="F83" s="1102" t="e">
        <f ca="1"/>
        <v>#NAME?</v>
      </c>
      <c r="G83" s="1101" t="e">
        <f ca="1"/>
        <v>#NAME?</v>
      </c>
      <c r="H83" s="1104" t="e">
        <f ca="1"/>
        <v>#NAME?</v>
      </c>
      <c r="I83" s="1103" t="e">
        <f ca="1"/>
        <v>#NAME?</v>
      </c>
      <c r="J83" s="1102" t="e">
        <f ca="1"/>
        <v>#NAME?</v>
      </c>
      <c r="K83" s="1101" t="e">
        <f ca="1"/>
        <v>#NAME?</v>
      </c>
      <c r="L83" s="1100" t="e">
        <f ca="1"/>
        <v>#NAME?</v>
      </c>
      <c r="M83" s="1098" t="e">
        <f ca="1"/>
        <v>#NAME?</v>
      </c>
      <c r="N83" s="1098" t="e">
        <f ca="1"/>
        <v>#NAME?</v>
      </c>
      <c r="O83" s="1099" t="e">
        <f ca="1"/>
        <v>#NAME?</v>
      </c>
      <c r="P83" s="1098" t="e">
        <f ca="1"/>
        <v>#NAME?</v>
      </c>
      <c r="Q83" s="1098" t="e">
        <f ca="1"/>
        <v>#NAME?</v>
      </c>
      <c r="R83" s="1098" t="e">
        <f ca="1"/>
        <v>#NAME?</v>
      </c>
      <c r="S83" s="1098" t="e">
        <f ca="1"/>
        <v>#NAME?</v>
      </c>
      <c r="T83" s="1098" t="e">
        <f ca="1"/>
        <v>#NAME?</v>
      </c>
      <c r="U83" s="1097" t="e">
        <f ca="1"/>
        <v>#NAME?</v>
      </c>
      <c r="V83" s="1086"/>
      <c r="W83" s="1086"/>
      <c r="X83" s="1086"/>
      <c r="Y83" s="1086"/>
      <c r="Z83" s="1086"/>
      <c r="AA83" s="1077"/>
      <c r="AB83" s="1077"/>
      <c r="AC83" s="1077"/>
      <c r="AD83" s="1077"/>
      <c r="AE83" s="1077"/>
      <c r="AF83" s="1077"/>
      <c r="AG83" s="1077"/>
      <c r="AH83" s="1077"/>
      <c r="AI83" s="1077"/>
      <c r="AJ83" s="1077"/>
      <c r="AK83" s="1077"/>
      <c r="AL83" s="1077"/>
      <c r="AM83" s="1077"/>
      <c r="AN83" s="1077"/>
    </row>
    <row r="84" spans="1:40" x14ac:dyDescent="0.2">
      <c r="A84" s="1106" t="e">
        <f ca="1"/>
        <v>#NAME?</v>
      </c>
      <c r="B84" s="1102" t="e">
        <f ca="1"/>
        <v>#NAME?</v>
      </c>
      <c r="C84" s="1105" t="e">
        <f ca="1"/>
        <v>#NAME?</v>
      </c>
      <c r="D84" s="1105" t="e">
        <f ca="1"/>
        <v>#NAME?</v>
      </c>
      <c r="E84" s="1102" t="e">
        <f ca="1"/>
        <v>#NAME?</v>
      </c>
      <c r="F84" s="1102" t="e">
        <f ca="1"/>
        <v>#NAME?</v>
      </c>
      <c r="G84" s="1101" t="e">
        <f ca="1"/>
        <v>#NAME?</v>
      </c>
      <c r="H84" s="1104" t="e">
        <f ca="1"/>
        <v>#NAME?</v>
      </c>
      <c r="I84" s="1103" t="e">
        <f ca="1"/>
        <v>#NAME?</v>
      </c>
      <c r="J84" s="1102" t="e">
        <f ca="1"/>
        <v>#NAME?</v>
      </c>
      <c r="K84" s="1101" t="e">
        <f ca="1"/>
        <v>#NAME?</v>
      </c>
      <c r="L84" s="1100" t="e">
        <f ca="1"/>
        <v>#NAME?</v>
      </c>
      <c r="M84" s="1098" t="e">
        <f ca="1"/>
        <v>#NAME?</v>
      </c>
      <c r="N84" s="1098" t="e">
        <f ca="1"/>
        <v>#NAME?</v>
      </c>
      <c r="O84" s="1099" t="e">
        <f ca="1"/>
        <v>#NAME?</v>
      </c>
      <c r="P84" s="1098" t="e">
        <f ca="1"/>
        <v>#NAME?</v>
      </c>
      <c r="Q84" s="1098" t="e">
        <f ca="1"/>
        <v>#NAME?</v>
      </c>
      <c r="R84" s="1098" t="e">
        <f ca="1"/>
        <v>#NAME?</v>
      </c>
      <c r="S84" s="1098" t="e">
        <f ca="1"/>
        <v>#NAME?</v>
      </c>
      <c r="T84" s="1098" t="e">
        <f ca="1"/>
        <v>#NAME?</v>
      </c>
      <c r="U84" s="1097" t="e">
        <f ca="1"/>
        <v>#NAME?</v>
      </c>
      <c r="V84" s="1086"/>
      <c r="W84" s="1086"/>
      <c r="X84" s="1086"/>
      <c r="Y84" s="1086"/>
      <c r="Z84" s="1086"/>
      <c r="AA84" s="1077"/>
      <c r="AB84" s="1077"/>
      <c r="AC84" s="1077"/>
      <c r="AD84" s="1077"/>
      <c r="AE84" s="1077"/>
      <c r="AF84" s="1077"/>
      <c r="AG84" s="1077"/>
      <c r="AH84" s="1077"/>
      <c r="AI84" s="1077"/>
      <c r="AJ84" s="1077"/>
      <c r="AK84" s="1077"/>
      <c r="AL84" s="1077"/>
      <c r="AM84" s="1077"/>
      <c r="AN84" s="1077"/>
    </row>
    <row r="85" spans="1:40" x14ac:dyDescent="0.2">
      <c r="A85" s="1106" t="e">
        <f ca="1"/>
        <v>#NAME?</v>
      </c>
      <c r="B85" s="1102" t="e">
        <f ca="1"/>
        <v>#NAME?</v>
      </c>
      <c r="C85" s="1105" t="e">
        <f ca="1"/>
        <v>#NAME?</v>
      </c>
      <c r="D85" s="1105" t="e">
        <f ca="1"/>
        <v>#NAME?</v>
      </c>
      <c r="E85" s="1102" t="e">
        <f ca="1"/>
        <v>#NAME?</v>
      </c>
      <c r="F85" s="1102" t="e">
        <f ca="1"/>
        <v>#NAME?</v>
      </c>
      <c r="G85" s="1101" t="e">
        <f ca="1"/>
        <v>#NAME?</v>
      </c>
      <c r="H85" s="1104" t="e">
        <f ca="1"/>
        <v>#NAME?</v>
      </c>
      <c r="I85" s="1103" t="e">
        <f ca="1"/>
        <v>#NAME?</v>
      </c>
      <c r="J85" s="1102" t="e">
        <f ca="1"/>
        <v>#NAME?</v>
      </c>
      <c r="K85" s="1101" t="e">
        <f ca="1"/>
        <v>#NAME?</v>
      </c>
      <c r="L85" s="1100" t="e">
        <f ca="1"/>
        <v>#NAME?</v>
      </c>
      <c r="M85" s="1098" t="e">
        <f ca="1"/>
        <v>#NAME?</v>
      </c>
      <c r="N85" s="1098" t="e">
        <f ca="1"/>
        <v>#NAME?</v>
      </c>
      <c r="O85" s="1099" t="e">
        <f ca="1"/>
        <v>#NAME?</v>
      </c>
      <c r="P85" s="1098" t="e">
        <f ca="1"/>
        <v>#NAME?</v>
      </c>
      <c r="Q85" s="1098" t="e">
        <f ca="1"/>
        <v>#NAME?</v>
      </c>
      <c r="R85" s="1098" t="e">
        <f ca="1"/>
        <v>#NAME?</v>
      </c>
      <c r="S85" s="1098" t="e">
        <f ca="1"/>
        <v>#NAME?</v>
      </c>
      <c r="T85" s="1098" t="e">
        <f ca="1"/>
        <v>#NAME?</v>
      </c>
      <c r="U85" s="1097" t="e">
        <f ca="1"/>
        <v>#NAME?</v>
      </c>
      <c r="V85" s="1086"/>
      <c r="W85" s="1086"/>
      <c r="X85" s="1086"/>
      <c r="Y85" s="1086"/>
      <c r="Z85" s="1086"/>
      <c r="AA85" s="1077"/>
      <c r="AB85" s="1077"/>
      <c r="AC85" s="1077"/>
      <c r="AD85" s="1077"/>
      <c r="AE85" s="1077"/>
      <c r="AF85" s="1077"/>
      <c r="AG85" s="1077"/>
      <c r="AH85" s="1077"/>
      <c r="AI85" s="1077"/>
      <c r="AJ85" s="1077"/>
      <c r="AK85" s="1077"/>
      <c r="AL85" s="1077"/>
      <c r="AM85" s="1077"/>
      <c r="AN85" s="1077"/>
    </row>
    <row r="86" spans="1:40" x14ac:dyDescent="0.2">
      <c r="A86" s="1106" t="e">
        <f ca="1"/>
        <v>#NAME?</v>
      </c>
      <c r="B86" s="1102" t="e">
        <f ca="1"/>
        <v>#NAME?</v>
      </c>
      <c r="C86" s="1105" t="e">
        <f ca="1"/>
        <v>#NAME?</v>
      </c>
      <c r="D86" s="1105" t="e">
        <f ca="1"/>
        <v>#NAME?</v>
      </c>
      <c r="E86" s="1102" t="e">
        <f ca="1"/>
        <v>#NAME?</v>
      </c>
      <c r="F86" s="1102" t="e">
        <f ca="1"/>
        <v>#NAME?</v>
      </c>
      <c r="G86" s="1101" t="e">
        <f ca="1"/>
        <v>#NAME?</v>
      </c>
      <c r="H86" s="1104" t="e">
        <f ca="1"/>
        <v>#NAME?</v>
      </c>
      <c r="I86" s="1103" t="e">
        <f ca="1"/>
        <v>#NAME?</v>
      </c>
      <c r="J86" s="1102" t="e">
        <f ca="1"/>
        <v>#NAME?</v>
      </c>
      <c r="K86" s="1101" t="e">
        <f ca="1"/>
        <v>#NAME?</v>
      </c>
      <c r="L86" s="1100" t="e">
        <f ca="1"/>
        <v>#NAME?</v>
      </c>
      <c r="M86" s="1098" t="e">
        <f ca="1"/>
        <v>#NAME?</v>
      </c>
      <c r="N86" s="1098" t="e">
        <f ca="1"/>
        <v>#NAME?</v>
      </c>
      <c r="O86" s="1099" t="e">
        <f ca="1"/>
        <v>#NAME?</v>
      </c>
      <c r="P86" s="1098" t="e">
        <f ca="1"/>
        <v>#NAME?</v>
      </c>
      <c r="Q86" s="1098" t="e">
        <f ca="1"/>
        <v>#NAME?</v>
      </c>
      <c r="R86" s="1098" t="e">
        <f ca="1"/>
        <v>#NAME?</v>
      </c>
      <c r="S86" s="1098" t="e">
        <f ca="1"/>
        <v>#NAME?</v>
      </c>
      <c r="T86" s="1098" t="e">
        <f ca="1"/>
        <v>#NAME?</v>
      </c>
      <c r="U86" s="1097" t="e">
        <f ca="1"/>
        <v>#NAME?</v>
      </c>
      <c r="V86" s="1086"/>
      <c r="W86" s="1086"/>
      <c r="X86" s="1086"/>
      <c r="Y86" s="1086"/>
      <c r="Z86" s="1086"/>
      <c r="AA86" s="1077"/>
      <c r="AB86" s="1077"/>
      <c r="AC86" s="1077"/>
      <c r="AD86" s="1077"/>
      <c r="AE86" s="1077"/>
      <c r="AF86" s="1077"/>
      <c r="AG86" s="1077"/>
      <c r="AH86" s="1077"/>
      <c r="AI86" s="1077"/>
      <c r="AJ86" s="1077"/>
      <c r="AK86" s="1077"/>
      <c r="AL86" s="1077"/>
      <c r="AM86" s="1077"/>
      <c r="AN86" s="1077"/>
    </row>
    <row r="87" spans="1:40" x14ac:dyDescent="0.2">
      <c r="A87" s="1106" t="e">
        <f ca="1"/>
        <v>#NAME?</v>
      </c>
      <c r="B87" s="1102" t="e">
        <f ca="1"/>
        <v>#NAME?</v>
      </c>
      <c r="C87" s="1105" t="e">
        <f ca="1"/>
        <v>#NAME?</v>
      </c>
      <c r="D87" s="1105" t="e">
        <f ca="1"/>
        <v>#NAME?</v>
      </c>
      <c r="E87" s="1102" t="e">
        <f ca="1"/>
        <v>#NAME?</v>
      </c>
      <c r="F87" s="1102" t="e">
        <f ca="1"/>
        <v>#NAME?</v>
      </c>
      <c r="G87" s="1101" t="e">
        <f ca="1"/>
        <v>#NAME?</v>
      </c>
      <c r="H87" s="1104" t="e">
        <f ca="1"/>
        <v>#NAME?</v>
      </c>
      <c r="I87" s="1103" t="e">
        <f ca="1"/>
        <v>#NAME?</v>
      </c>
      <c r="J87" s="1102" t="e">
        <f ca="1"/>
        <v>#NAME?</v>
      </c>
      <c r="K87" s="1101" t="e">
        <f ca="1"/>
        <v>#NAME?</v>
      </c>
      <c r="L87" s="1100" t="e">
        <f ca="1"/>
        <v>#NAME?</v>
      </c>
      <c r="M87" s="1098" t="e">
        <f ca="1"/>
        <v>#NAME?</v>
      </c>
      <c r="N87" s="1098" t="e">
        <f ca="1"/>
        <v>#NAME?</v>
      </c>
      <c r="O87" s="1099" t="e">
        <f ca="1"/>
        <v>#NAME?</v>
      </c>
      <c r="P87" s="1098" t="e">
        <f ca="1"/>
        <v>#NAME?</v>
      </c>
      <c r="Q87" s="1098" t="e">
        <f ca="1"/>
        <v>#NAME?</v>
      </c>
      <c r="R87" s="1098" t="e">
        <f ca="1"/>
        <v>#NAME?</v>
      </c>
      <c r="S87" s="1098" t="e">
        <f ca="1"/>
        <v>#NAME?</v>
      </c>
      <c r="T87" s="1098" t="e">
        <f ca="1"/>
        <v>#NAME?</v>
      </c>
      <c r="U87" s="1097" t="e">
        <f ca="1"/>
        <v>#NAME?</v>
      </c>
      <c r="V87" s="1086"/>
      <c r="W87" s="1086"/>
      <c r="X87" s="1086"/>
      <c r="Y87" s="1086"/>
      <c r="Z87" s="1086"/>
      <c r="AA87" s="1077"/>
      <c r="AB87" s="1077"/>
      <c r="AC87" s="1077"/>
      <c r="AD87" s="1077"/>
      <c r="AE87" s="1077"/>
      <c r="AF87" s="1077"/>
      <c r="AG87" s="1077"/>
      <c r="AH87" s="1077"/>
      <c r="AI87" s="1077"/>
      <c r="AJ87" s="1077"/>
      <c r="AK87" s="1077"/>
      <c r="AL87" s="1077"/>
      <c r="AM87" s="1077"/>
      <c r="AN87" s="1077"/>
    </row>
    <row r="88" spans="1:40" x14ac:dyDescent="0.2">
      <c r="A88" s="1106" t="e">
        <f ca="1"/>
        <v>#NAME?</v>
      </c>
      <c r="B88" s="1102" t="e">
        <f ca="1"/>
        <v>#NAME?</v>
      </c>
      <c r="C88" s="1105" t="e">
        <f ca="1"/>
        <v>#NAME?</v>
      </c>
      <c r="D88" s="1105" t="e">
        <f ca="1"/>
        <v>#NAME?</v>
      </c>
      <c r="E88" s="1102" t="e">
        <f ca="1"/>
        <v>#NAME?</v>
      </c>
      <c r="F88" s="1102" t="e">
        <f ca="1"/>
        <v>#NAME?</v>
      </c>
      <c r="G88" s="1101" t="e">
        <f ca="1"/>
        <v>#NAME?</v>
      </c>
      <c r="H88" s="1104" t="e">
        <f ca="1"/>
        <v>#NAME?</v>
      </c>
      <c r="I88" s="1103" t="e">
        <f ca="1"/>
        <v>#NAME?</v>
      </c>
      <c r="J88" s="1102" t="e">
        <f ca="1"/>
        <v>#NAME?</v>
      </c>
      <c r="K88" s="1101" t="e">
        <f ca="1"/>
        <v>#NAME?</v>
      </c>
      <c r="L88" s="1100" t="e">
        <f ca="1"/>
        <v>#NAME?</v>
      </c>
      <c r="M88" s="1098" t="e">
        <f ca="1"/>
        <v>#NAME?</v>
      </c>
      <c r="N88" s="1098" t="e">
        <f ca="1"/>
        <v>#NAME?</v>
      </c>
      <c r="O88" s="1099" t="e">
        <f ca="1"/>
        <v>#NAME?</v>
      </c>
      <c r="P88" s="1098" t="e">
        <f ca="1"/>
        <v>#NAME?</v>
      </c>
      <c r="Q88" s="1098" t="e">
        <f ca="1"/>
        <v>#NAME?</v>
      </c>
      <c r="R88" s="1098" t="e">
        <f ca="1"/>
        <v>#NAME?</v>
      </c>
      <c r="S88" s="1098" t="e">
        <f ca="1"/>
        <v>#NAME?</v>
      </c>
      <c r="T88" s="1098" t="e">
        <f ca="1"/>
        <v>#NAME?</v>
      </c>
      <c r="U88" s="1097" t="e">
        <f ca="1"/>
        <v>#NAME?</v>
      </c>
      <c r="V88" s="1086"/>
      <c r="W88" s="1086"/>
      <c r="X88" s="1086"/>
      <c r="Y88" s="1086"/>
      <c r="Z88" s="1086"/>
      <c r="AA88" s="1077"/>
      <c r="AB88" s="1077"/>
      <c r="AC88" s="1077"/>
      <c r="AD88" s="1077"/>
      <c r="AE88" s="1077"/>
      <c r="AF88" s="1077"/>
      <c r="AG88" s="1077"/>
      <c r="AH88" s="1077"/>
      <c r="AI88" s="1077"/>
      <c r="AJ88" s="1077"/>
      <c r="AK88" s="1077"/>
      <c r="AL88" s="1077"/>
      <c r="AM88" s="1077"/>
      <c r="AN88" s="1077"/>
    </row>
    <row r="89" spans="1:40" x14ac:dyDescent="0.2">
      <c r="A89" s="1106" t="e">
        <f ca="1"/>
        <v>#NAME?</v>
      </c>
      <c r="B89" s="1102" t="e">
        <f ca="1"/>
        <v>#NAME?</v>
      </c>
      <c r="C89" s="1105" t="e">
        <f ca="1"/>
        <v>#NAME?</v>
      </c>
      <c r="D89" s="1105" t="e">
        <f ca="1"/>
        <v>#NAME?</v>
      </c>
      <c r="E89" s="1102" t="e">
        <f ca="1"/>
        <v>#NAME?</v>
      </c>
      <c r="F89" s="1102" t="e">
        <f ca="1"/>
        <v>#NAME?</v>
      </c>
      <c r="G89" s="1101" t="e">
        <f ca="1"/>
        <v>#NAME?</v>
      </c>
      <c r="H89" s="1104" t="e">
        <f ca="1"/>
        <v>#NAME?</v>
      </c>
      <c r="I89" s="1103" t="e">
        <f ca="1"/>
        <v>#NAME?</v>
      </c>
      <c r="J89" s="1102" t="e">
        <f ca="1"/>
        <v>#NAME?</v>
      </c>
      <c r="K89" s="1101" t="e">
        <f ca="1"/>
        <v>#NAME?</v>
      </c>
      <c r="L89" s="1100" t="e">
        <f ca="1"/>
        <v>#NAME?</v>
      </c>
      <c r="M89" s="1098" t="e">
        <f ca="1"/>
        <v>#NAME?</v>
      </c>
      <c r="N89" s="1098" t="e">
        <f ca="1"/>
        <v>#NAME?</v>
      </c>
      <c r="O89" s="1099" t="e">
        <f ca="1"/>
        <v>#NAME?</v>
      </c>
      <c r="P89" s="1098" t="e">
        <f ca="1"/>
        <v>#NAME?</v>
      </c>
      <c r="Q89" s="1098" t="e">
        <f ca="1"/>
        <v>#NAME?</v>
      </c>
      <c r="R89" s="1098" t="e">
        <f ca="1"/>
        <v>#NAME?</v>
      </c>
      <c r="S89" s="1098" t="e">
        <f ca="1"/>
        <v>#NAME?</v>
      </c>
      <c r="T89" s="1098" t="e">
        <f ca="1"/>
        <v>#NAME?</v>
      </c>
      <c r="U89" s="1097" t="e">
        <f ca="1"/>
        <v>#NAME?</v>
      </c>
      <c r="V89" s="1086"/>
      <c r="W89" s="1086"/>
      <c r="X89" s="1086"/>
      <c r="Y89" s="1086"/>
      <c r="Z89" s="1086"/>
      <c r="AA89" s="1077"/>
      <c r="AB89" s="1077"/>
      <c r="AC89" s="1077"/>
      <c r="AD89" s="1077"/>
      <c r="AE89" s="1077"/>
      <c r="AF89" s="1077"/>
      <c r="AG89" s="1077"/>
      <c r="AH89" s="1077"/>
      <c r="AI89" s="1077"/>
      <c r="AJ89" s="1077"/>
      <c r="AK89" s="1077"/>
      <c r="AL89" s="1077"/>
      <c r="AM89" s="1077"/>
      <c r="AN89" s="1077"/>
    </row>
    <row r="90" spans="1:40" x14ac:dyDescent="0.2">
      <c r="A90" s="1106" t="e">
        <f ca="1"/>
        <v>#NAME?</v>
      </c>
      <c r="B90" s="1102" t="e">
        <f ca="1"/>
        <v>#NAME?</v>
      </c>
      <c r="C90" s="1105" t="e">
        <f ca="1"/>
        <v>#NAME?</v>
      </c>
      <c r="D90" s="1105" t="e">
        <f ca="1"/>
        <v>#NAME?</v>
      </c>
      <c r="E90" s="1102" t="e">
        <f ca="1"/>
        <v>#NAME?</v>
      </c>
      <c r="F90" s="1102" t="e">
        <f ca="1"/>
        <v>#NAME?</v>
      </c>
      <c r="G90" s="1101" t="e">
        <f ca="1"/>
        <v>#NAME?</v>
      </c>
      <c r="H90" s="1104" t="e">
        <f ca="1"/>
        <v>#NAME?</v>
      </c>
      <c r="I90" s="1103" t="e">
        <f ca="1"/>
        <v>#NAME?</v>
      </c>
      <c r="J90" s="1102" t="e">
        <f ca="1"/>
        <v>#NAME?</v>
      </c>
      <c r="K90" s="1101" t="e">
        <f ca="1"/>
        <v>#NAME?</v>
      </c>
      <c r="L90" s="1100" t="e">
        <f ca="1"/>
        <v>#NAME?</v>
      </c>
      <c r="M90" s="1098" t="e">
        <f ca="1"/>
        <v>#NAME?</v>
      </c>
      <c r="N90" s="1098" t="e">
        <f ca="1"/>
        <v>#NAME?</v>
      </c>
      <c r="O90" s="1099" t="e">
        <f ca="1"/>
        <v>#NAME?</v>
      </c>
      <c r="P90" s="1098" t="e">
        <f ca="1"/>
        <v>#NAME?</v>
      </c>
      <c r="Q90" s="1098" t="e">
        <f ca="1"/>
        <v>#NAME?</v>
      </c>
      <c r="R90" s="1098" t="e">
        <f ca="1"/>
        <v>#NAME?</v>
      </c>
      <c r="S90" s="1098" t="e">
        <f ca="1"/>
        <v>#NAME?</v>
      </c>
      <c r="T90" s="1098" t="e">
        <f ca="1"/>
        <v>#NAME?</v>
      </c>
      <c r="U90" s="1097" t="e">
        <f ca="1"/>
        <v>#NAME?</v>
      </c>
      <c r="V90" s="1086"/>
      <c r="W90" s="1086"/>
      <c r="X90" s="1086"/>
      <c r="Y90" s="1086"/>
      <c r="Z90" s="1086"/>
      <c r="AA90" s="1077"/>
      <c r="AB90" s="1077"/>
      <c r="AC90" s="1077"/>
      <c r="AD90" s="1077"/>
      <c r="AE90" s="1077"/>
      <c r="AF90" s="1077"/>
      <c r="AG90" s="1077"/>
      <c r="AH90" s="1077"/>
      <c r="AI90" s="1077"/>
      <c r="AJ90" s="1077"/>
      <c r="AK90" s="1077"/>
      <c r="AL90" s="1077"/>
      <c r="AM90" s="1077"/>
      <c r="AN90" s="1077"/>
    </row>
    <row r="91" spans="1:40" x14ac:dyDescent="0.2">
      <c r="A91" s="1106" t="e">
        <f ca="1"/>
        <v>#NAME?</v>
      </c>
      <c r="B91" s="1102" t="e">
        <f ca="1"/>
        <v>#NAME?</v>
      </c>
      <c r="C91" s="1105" t="e">
        <f ca="1"/>
        <v>#NAME?</v>
      </c>
      <c r="D91" s="1105" t="e">
        <f ca="1"/>
        <v>#NAME?</v>
      </c>
      <c r="E91" s="1102" t="e">
        <f ca="1"/>
        <v>#NAME?</v>
      </c>
      <c r="F91" s="1102" t="e">
        <f ca="1"/>
        <v>#NAME?</v>
      </c>
      <c r="G91" s="1101" t="e">
        <f ca="1"/>
        <v>#NAME?</v>
      </c>
      <c r="H91" s="1104" t="e">
        <f ca="1"/>
        <v>#NAME?</v>
      </c>
      <c r="I91" s="1103" t="e">
        <f ca="1"/>
        <v>#NAME?</v>
      </c>
      <c r="J91" s="1102" t="e">
        <f ca="1"/>
        <v>#NAME?</v>
      </c>
      <c r="K91" s="1101" t="e">
        <f ca="1"/>
        <v>#NAME?</v>
      </c>
      <c r="L91" s="1100" t="e">
        <f ca="1"/>
        <v>#NAME?</v>
      </c>
      <c r="M91" s="1098" t="e">
        <f ca="1"/>
        <v>#NAME?</v>
      </c>
      <c r="N91" s="1098" t="e">
        <f ca="1"/>
        <v>#NAME?</v>
      </c>
      <c r="O91" s="1099" t="e">
        <f ca="1"/>
        <v>#NAME?</v>
      </c>
      <c r="P91" s="1098" t="e">
        <f ca="1"/>
        <v>#NAME?</v>
      </c>
      <c r="Q91" s="1098" t="e">
        <f ca="1"/>
        <v>#NAME?</v>
      </c>
      <c r="R91" s="1098" t="e">
        <f ca="1"/>
        <v>#NAME?</v>
      </c>
      <c r="S91" s="1098" t="e">
        <f ca="1"/>
        <v>#NAME?</v>
      </c>
      <c r="T91" s="1098" t="e">
        <f ca="1"/>
        <v>#NAME?</v>
      </c>
      <c r="U91" s="1097" t="e">
        <f ca="1"/>
        <v>#NAME?</v>
      </c>
      <c r="V91" s="1086"/>
      <c r="W91" s="1086"/>
      <c r="X91" s="1086"/>
      <c r="Y91" s="1086"/>
      <c r="Z91" s="1086"/>
      <c r="AA91" s="1077"/>
      <c r="AB91" s="1077"/>
      <c r="AC91" s="1077"/>
      <c r="AD91" s="1077"/>
      <c r="AE91" s="1077"/>
      <c r="AF91" s="1077"/>
      <c r="AG91" s="1077"/>
      <c r="AH91" s="1077"/>
      <c r="AI91" s="1077"/>
      <c r="AJ91" s="1077"/>
      <c r="AK91" s="1077"/>
      <c r="AL91" s="1077"/>
      <c r="AM91" s="1077"/>
      <c r="AN91" s="1077"/>
    </row>
    <row r="92" spans="1:40" x14ac:dyDescent="0.2">
      <c r="A92" s="1106" t="e">
        <f ca="1"/>
        <v>#NAME?</v>
      </c>
      <c r="B92" s="1102" t="e">
        <f ca="1"/>
        <v>#NAME?</v>
      </c>
      <c r="C92" s="1105" t="e">
        <f ca="1"/>
        <v>#NAME?</v>
      </c>
      <c r="D92" s="1105" t="e">
        <f ca="1"/>
        <v>#NAME?</v>
      </c>
      <c r="E92" s="1102" t="e">
        <f ca="1"/>
        <v>#NAME?</v>
      </c>
      <c r="F92" s="1102" t="e">
        <f ca="1"/>
        <v>#NAME?</v>
      </c>
      <c r="G92" s="1101" t="e">
        <f ca="1"/>
        <v>#NAME?</v>
      </c>
      <c r="H92" s="1104" t="e">
        <f ca="1"/>
        <v>#NAME?</v>
      </c>
      <c r="I92" s="1103" t="e">
        <f ca="1"/>
        <v>#NAME?</v>
      </c>
      <c r="J92" s="1102" t="e">
        <f ca="1"/>
        <v>#NAME?</v>
      </c>
      <c r="K92" s="1101" t="e">
        <f ca="1"/>
        <v>#NAME?</v>
      </c>
      <c r="L92" s="1100" t="e">
        <f ca="1"/>
        <v>#NAME?</v>
      </c>
      <c r="M92" s="1098" t="e">
        <f ca="1"/>
        <v>#NAME?</v>
      </c>
      <c r="N92" s="1098" t="e">
        <f ca="1"/>
        <v>#NAME?</v>
      </c>
      <c r="O92" s="1099" t="e">
        <f ca="1"/>
        <v>#NAME?</v>
      </c>
      <c r="P92" s="1098" t="e">
        <f ca="1"/>
        <v>#NAME?</v>
      </c>
      <c r="Q92" s="1098" t="e">
        <f ca="1"/>
        <v>#NAME?</v>
      </c>
      <c r="R92" s="1098" t="e">
        <f ca="1"/>
        <v>#NAME?</v>
      </c>
      <c r="S92" s="1098" t="e">
        <f ca="1"/>
        <v>#NAME?</v>
      </c>
      <c r="T92" s="1098" t="e">
        <f ca="1"/>
        <v>#NAME?</v>
      </c>
      <c r="U92" s="1097" t="e">
        <f ca="1"/>
        <v>#NAME?</v>
      </c>
      <c r="V92" s="1086"/>
      <c r="W92" s="1086"/>
      <c r="X92" s="1086"/>
      <c r="Y92" s="1086"/>
      <c r="Z92" s="1086"/>
      <c r="AA92" s="1077"/>
      <c r="AB92" s="1077"/>
      <c r="AC92" s="1077"/>
      <c r="AD92" s="1077"/>
      <c r="AE92" s="1077"/>
      <c r="AF92" s="1077"/>
      <c r="AG92" s="1077"/>
      <c r="AH92" s="1077"/>
      <c r="AI92" s="1077"/>
      <c r="AJ92" s="1077"/>
      <c r="AK92" s="1077"/>
      <c r="AL92" s="1077"/>
      <c r="AM92" s="1077"/>
      <c r="AN92" s="1077"/>
    </row>
    <row r="93" spans="1:40" x14ac:dyDescent="0.2">
      <c r="A93" s="1106" t="e">
        <f ca="1"/>
        <v>#NAME?</v>
      </c>
      <c r="B93" s="1102" t="e">
        <f ca="1"/>
        <v>#NAME?</v>
      </c>
      <c r="C93" s="1105" t="e">
        <f ca="1"/>
        <v>#NAME?</v>
      </c>
      <c r="D93" s="1105" t="e">
        <f ca="1"/>
        <v>#NAME?</v>
      </c>
      <c r="E93" s="1102" t="e">
        <f ca="1"/>
        <v>#NAME?</v>
      </c>
      <c r="F93" s="1102" t="e">
        <f ca="1"/>
        <v>#NAME?</v>
      </c>
      <c r="G93" s="1101" t="e">
        <f ca="1"/>
        <v>#NAME?</v>
      </c>
      <c r="H93" s="1104" t="e">
        <f ca="1"/>
        <v>#NAME?</v>
      </c>
      <c r="I93" s="1103" t="e">
        <f ca="1"/>
        <v>#NAME?</v>
      </c>
      <c r="J93" s="1102" t="e">
        <f ca="1"/>
        <v>#NAME?</v>
      </c>
      <c r="K93" s="1101" t="e">
        <f ca="1"/>
        <v>#NAME?</v>
      </c>
      <c r="L93" s="1100" t="e">
        <f ca="1"/>
        <v>#NAME?</v>
      </c>
      <c r="M93" s="1098" t="e">
        <f ca="1"/>
        <v>#NAME?</v>
      </c>
      <c r="N93" s="1098" t="e">
        <f ca="1"/>
        <v>#NAME?</v>
      </c>
      <c r="O93" s="1099" t="e">
        <f ca="1"/>
        <v>#NAME?</v>
      </c>
      <c r="P93" s="1098" t="e">
        <f ca="1"/>
        <v>#NAME?</v>
      </c>
      <c r="Q93" s="1098" t="e">
        <f ca="1"/>
        <v>#NAME?</v>
      </c>
      <c r="R93" s="1098" t="e">
        <f ca="1"/>
        <v>#NAME?</v>
      </c>
      <c r="S93" s="1098" t="e">
        <f ca="1"/>
        <v>#NAME?</v>
      </c>
      <c r="T93" s="1098" t="e">
        <f ca="1"/>
        <v>#NAME?</v>
      </c>
      <c r="U93" s="1097" t="e">
        <f ca="1"/>
        <v>#NAME?</v>
      </c>
      <c r="V93" s="1086"/>
      <c r="W93" s="1086"/>
      <c r="X93" s="1086"/>
      <c r="Y93" s="1086"/>
      <c r="Z93" s="1086"/>
      <c r="AA93" s="1077"/>
      <c r="AB93" s="1077"/>
      <c r="AC93" s="1077"/>
      <c r="AD93" s="1077"/>
      <c r="AE93" s="1077"/>
      <c r="AF93" s="1077"/>
      <c r="AG93" s="1077"/>
      <c r="AH93" s="1077"/>
      <c r="AI93" s="1077"/>
      <c r="AJ93" s="1077"/>
      <c r="AK93" s="1077"/>
      <c r="AL93" s="1077"/>
      <c r="AM93" s="1077"/>
      <c r="AN93" s="1077"/>
    </row>
    <row r="94" spans="1:40" x14ac:dyDescent="0.2">
      <c r="A94" s="1106" t="e">
        <f ca="1"/>
        <v>#NAME?</v>
      </c>
      <c r="B94" s="1102" t="e">
        <f ca="1"/>
        <v>#NAME?</v>
      </c>
      <c r="C94" s="1105" t="e">
        <f ca="1"/>
        <v>#NAME?</v>
      </c>
      <c r="D94" s="1105" t="e">
        <f ca="1"/>
        <v>#NAME?</v>
      </c>
      <c r="E94" s="1102" t="e">
        <f ca="1"/>
        <v>#NAME?</v>
      </c>
      <c r="F94" s="1102" t="e">
        <f ca="1"/>
        <v>#NAME?</v>
      </c>
      <c r="G94" s="1101" t="e">
        <f ca="1"/>
        <v>#NAME?</v>
      </c>
      <c r="H94" s="1104" t="e">
        <f ca="1"/>
        <v>#NAME?</v>
      </c>
      <c r="I94" s="1103" t="e">
        <f ca="1"/>
        <v>#NAME?</v>
      </c>
      <c r="J94" s="1102" t="e">
        <f ca="1"/>
        <v>#NAME?</v>
      </c>
      <c r="K94" s="1101" t="e">
        <f ca="1"/>
        <v>#NAME?</v>
      </c>
      <c r="L94" s="1100" t="e">
        <f ca="1"/>
        <v>#NAME?</v>
      </c>
      <c r="M94" s="1098" t="e">
        <f ca="1"/>
        <v>#NAME?</v>
      </c>
      <c r="N94" s="1098" t="e">
        <f ca="1"/>
        <v>#NAME?</v>
      </c>
      <c r="O94" s="1099" t="e">
        <f ca="1"/>
        <v>#NAME?</v>
      </c>
      <c r="P94" s="1098" t="e">
        <f ca="1"/>
        <v>#NAME?</v>
      </c>
      <c r="Q94" s="1098" t="e">
        <f ca="1"/>
        <v>#NAME?</v>
      </c>
      <c r="R94" s="1098" t="e">
        <f ca="1"/>
        <v>#NAME?</v>
      </c>
      <c r="S94" s="1098" t="e">
        <f ca="1"/>
        <v>#NAME?</v>
      </c>
      <c r="T94" s="1098" t="e">
        <f ca="1"/>
        <v>#NAME?</v>
      </c>
      <c r="U94" s="1097" t="e">
        <f ca="1"/>
        <v>#NAME?</v>
      </c>
      <c r="V94" s="1086"/>
      <c r="W94" s="1086"/>
      <c r="X94" s="1086"/>
      <c r="Y94" s="1086"/>
      <c r="Z94" s="1086"/>
      <c r="AA94" s="1077"/>
      <c r="AB94" s="1077"/>
      <c r="AC94" s="1077"/>
      <c r="AD94" s="1077"/>
      <c r="AE94" s="1077"/>
      <c r="AF94" s="1077"/>
      <c r="AG94" s="1077"/>
      <c r="AH94" s="1077"/>
      <c r="AI94" s="1077"/>
      <c r="AJ94" s="1077"/>
      <c r="AK94" s="1077"/>
      <c r="AL94" s="1077"/>
      <c r="AM94" s="1077"/>
      <c r="AN94" s="1077"/>
    </row>
    <row r="95" spans="1:40" x14ac:dyDescent="0.2">
      <c r="A95" s="1106" t="e">
        <f ca="1"/>
        <v>#NAME?</v>
      </c>
      <c r="B95" s="1102" t="e">
        <f ca="1"/>
        <v>#NAME?</v>
      </c>
      <c r="C95" s="1105" t="e">
        <f ca="1"/>
        <v>#NAME?</v>
      </c>
      <c r="D95" s="1105" t="e">
        <f ca="1"/>
        <v>#NAME?</v>
      </c>
      <c r="E95" s="1102" t="e">
        <f ca="1"/>
        <v>#NAME?</v>
      </c>
      <c r="F95" s="1102" t="e">
        <f ca="1"/>
        <v>#NAME?</v>
      </c>
      <c r="G95" s="1101" t="e">
        <f ca="1"/>
        <v>#NAME?</v>
      </c>
      <c r="H95" s="1104" t="e">
        <f ca="1"/>
        <v>#NAME?</v>
      </c>
      <c r="I95" s="1103" t="e">
        <f ca="1"/>
        <v>#NAME?</v>
      </c>
      <c r="J95" s="1102" t="e">
        <f ca="1"/>
        <v>#NAME?</v>
      </c>
      <c r="K95" s="1101" t="e">
        <f ca="1"/>
        <v>#NAME?</v>
      </c>
      <c r="L95" s="1100" t="e">
        <f ca="1"/>
        <v>#NAME?</v>
      </c>
      <c r="M95" s="1098" t="e">
        <f ca="1"/>
        <v>#NAME?</v>
      </c>
      <c r="N95" s="1098" t="e">
        <f ca="1"/>
        <v>#NAME?</v>
      </c>
      <c r="O95" s="1099" t="e">
        <f ca="1"/>
        <v>#NAME?</v>
      </c>
      <c r="P95" s="1098" t="e">
        <f ca="1"/>
        <v>#NAME?</v>
      </c>
      <c r="Q95" s="1098" t="e">
        <f ca="1"/>
        <v>#NAME?</v>
      </c>
      <c r="R95" s="1098" t="e">
        <f ca="1"/>
        <v>#NAME?</v>
      </c>
      <c r="S95" s="1098" t="e">
        <f ca="1"/>
        <v>#NAME?</v>
      </c>
      <c r="T95" s="1098" t="e">
        <f ca="1"/>
        <v>#NAME?</v>
      </c>
      <c r="U95" s="1097" t="e">
        <f ca="1"/>
        <v>#NAME?</v>
      </c>
      <c r="V95" s="1086"/>
      <c r="W95" s="1086"/>
      <c r="X95" s="1086"/>
      <c r="Y95" s="1086"/>
      <c r="Z95" s="1086"/>
      <c r="AA95" s="1077"/>
      <c r="AB95" s="1077"/>
      <c r="AC95" s="1077"/>
      <c r="AD95" s="1077"/>
      <c r="AE95" s="1077"/>
      <c r="AF95" s="1077"/>
      <c r="AG95" s="1077"/>
      <c r="AH95" s="1077"/>
      <c r="AI95" s="1077"/>
      <c r="AJ95" s="1077"/>
      <c r="AK95" s="1077"/>
      <c r="AL95" s="1077"/>
      <c r="AM95" s="1077"/>
      <c r="AN95" s="1077"/>
    </row>
    <row r="96" spans="1:40" x14ac:dyDescent="0.2">
      <c r="A96" s="1106" t="e">
        <f ca="1"/>
        <v>#NAME?</v>
      </c>
      <c r="B96" s="1102" t="e">
        <f ca="1"/>
        <v>#NAME?</v>
      </c>
      <c r="C96" s="1105" t="e">
        <f ca="1"/>
        <v>#NAME?</v>
      </c>
      <c r="D96" s="1105" t="e">
        <f ca="1"/>
        <v>#NAME?</v>
      </c>
      <c r="E96" s="1102" t="e">
        <f ca="1"/>
        <v>#NAME?</v>
      </c>
      <c r="F96" s="1102" t="e">
        <f ca="1"/>
        <v>#NAME?</v>
      </c>
      <c r="G96" s="1101" t="e">
        <f ca="1"/>
        <v>#NAME?</v>
      </c>
      <c r="H96" s="1104" t="e">
        <f ca="1"/>
        <v>#NAME?</v>
      </c>
      <c r="I96" s="1103" t="e">
        <f ca="1"/>
        <v>#NAME?</v>
      </c>
      <c r="J96" s="1102" t="e">
        <f ca="1"/>
        <v>#NAME?</v>
      </c>
      <c r="K96" s="1101" t="e">
        <f ca="1"/>
        <v>#NAME?</v>
      </c>
      <c r="L96" s="1100" t="e">
        <f ca="1"/>
        <v>#NAME?</v>
      </c>
      <c r="M96" s="1098" t="e">
        <f ca="1"/>
        <v>#NAME?</v>
      </c>
      <c r="N96" s="1098" t="e">
        <f ca="1"/>
        <v>#NAME?</v>
      </c>
      <c r="O96" s="1099" t="e">
        <f ca="1"/>
        <v>#NAME?</v>
      </c>
      <c r="P96" s="1098" t="e">
        <f ca="1"/>
        <v>#NAME?</v>
      </c>
      <c r="Q96" s="1098" t="e">
        <f ca="1"/>
        <v>#NAME?</v>
      </c>
      <c r="R96" s="1098" t="e">
        <f ca="1"/>
        <v>#NAME?</v>
      </c>
      <c r="S96" s="1098" t="e">
        <f ca="1"/>
        <v>#NAME?</v>
      </c>
      <c r="T96" s="1098" t="e">
        <f ca="1"/>
        <v>#NAME?</v>
      </c>
      <c r="U96" s="1097" t="e">
        <f ca="1"/>
        <v>#NAME?</v>
      </c>
      <c r="V96" s="1086"/>
      <c r="W96" s="1086"/>
      <c r="X96" s="1086"/>
      <c r="Y96" s="1086"/>
      <c r="Z96" s="1086"/>
      <c r="AA96" s="1077"/>
      <c r="AB96" s="1077"/>
      <c r="AC96" s="1077"/>
      <c r="AD96" s="1077"/>
      <c r="AE96" s="1077"/>
      <c r="AF96" s="1077"/>
      <c r="AG96" s="1077"/>
      <c r="AH96" s="1077"/>
      <c r="AI96" s="1077"/>
      <c r="AJ96" s="1077"/>
      <c r="AK96" s="1077"/>
      <c r="AL96" s="1077"/>
      <c r="AM96" s="1077"/>
      <c r="AN96" s="1077"/>
    </row>
    <row r="97" spans="1:40" x14ac:dyDescent="0.2">
      <c r="A97" s="1106" t="e">
        <f ca="1"/>
        <v>#NAME?</v>
      </c>
      <c r="B97" s="1102" t="e">
        <f ca="1"/>
        <v>#NAME?</v>
      </c>
      <c r="C97" s="1105" t="e">
        <f ca="1"/>
        <v>#NAME?</v>
      </c>
      <c r="D97" s="1105" t="e">
        <f ca="1"/>
        <v>#NAME?</v>
      </c>
      <c r="E97" s="1102" t="e">
        <f ca="1"/>
        <v>#NAME?</v>
      </c>
      <c r="F97" s="1102" t="e">
        <f ca="1"/>
        <v>#NAME?</v>
      </c>
      <c r="G97" s="1101" t="e">
        <f ca="1"/>
        <v>#NAME?</v>
      </c>
      <c r="H97" s="1104" t="e">
        <f ca="1"/>
        <v>#NAME?</v>
      </c>
      <c r="I97" s="1103" t="e">
        <f ca="1"/>
        <v>#NAME?</v>
      </c>
      <c r="J97" s="1102" t="e">
        <f ca="1"/>
        <v>#NAME?</v>
      </c>
      <c r="K97" s="1101" t="e">
        <f ca="1"/>
        <v>#NAME?</v>
      </c>
      <c r="L97" s="1100" t="e">
        <f ca="1"/>
        <v>#NAME?</v>
      </c>
      <c r="M97" s="1098" t="e">
        <f ca="1"/>
        <v>#NAME?</v>
      </c>
      <c r="N97" s="1098" t="e">
        <f ca="1"/>
        <v>#NAME?</v>
      </c>
      <c r="O97" s="1099" t="e">
        <f ca="1"/>
        <v>#NAME?</v>
      </c>
      <c r="P97" s="1098" t="e">
        <f ca="1"/>
        <v>#NAME?</v>
      </c>
      <c r="Q97" s="1098" t="e">
        <f ca="1"/>
        <v>#NAME?</v>
      </c>
      <c r="R97" s="1098" t="e">
        <f ca="1"/>
        <v>#NAME?</v>
      </c>
      <c r="S97" s="1098" t="e">
        <f ca="1"/>
        <v>#NAME?</v>
      </c>
      <c r="T97" s="1098" t="e">
        <f ca="1"/>
        <v>#NAME?</v>
      </c>
      <c r="U97" s="1097" t="e">
        <f ca="1"/>
        <v>#NAME?</v>
      </c>
      <c r="V97" s="1086"/>
      <c r="W97" s="1086"/>
      <c r="X97" s="1086"/>
      <c r="Y97" s="1086"/>
      <c r="Z97" s="1086"/>
      <c r="AA97" s="1077"/>
      <c r="AB97" s="1077"/>
      <c r="AC97" s="1077"/>
      <c r="AD97" s="1077"/>
      <c r="AE97" s="1077"/>
      <c r="AF97" s="1077"/>
      <c r="AG97" s="1077"/>
      <c r="AH97" s="1077"/>
      <c r="AI97" s="1077"/>
      <c r="AJ97" s="1077"/>
      <c r="AK97" s="1077"/>
      <c r="AL97" s="1077"/>
      <c r="AM97" s="1077"/>
      <c r="AN97" s="1077"/>
    </row>
    <row r="98" spans="1:40" x14ac:dyDescent="0.2">
      <c r="A98" s="1106" t="e">
        <f ca="1"/>
        <v>#NAME?</v>
      </c>
      <c r="B98" s="1102" t="e">
        <f ca="1"/>
        <v>#NAME?</v>
      </c>
      <c r="C98" s="1105" t="e">
        <f ca="1"/>
        <v>#NAME?</v>
      </c>
      <c r="D98" s="1105" t="e">
        <f ca="1"/>
        <v>#NAME?</v>
      </c>
      <c r="E98" s="1102" t="e">
        <f ca="1"/>
        <v>#NAME?</v>
      </c>
      <c r="F98" s="1102" t="e">
        <f ca="1"/>
        <v>#NAME?</v>
      </c>
      <c r="G98" s="1101" t="e">
        <f ca="1"/>
        <v>#NAME?</v>
      </c>
      <c r="H98" s="1104" t="e">
        <f ca="1"/>
        <v>#NAME?</v>
      </c>
      <c r="I98" s="1103" t="e">
        <f ca="1"/>
        <v>#NAME?</v>
      </c>
      <c r="J98" s="1102" t="e">
        <f ca="1"/>
        <v>#NAME?</v>
      </c>
      <c r="K98" s="1101" t="e">
        <f ca="1"/>
        <v>#NAME?</v>
      </c>
      <c r="L98" s="1100" t="e">
        <f ca="1"/>
        <v>#NAME?</v>
      </c>
      <c r="M98" s="1098" t="e">
        <f ca="1"/>
        <v>#NAME?</v>
      </c>
      <c r="N98" s="1098" t="e">
        <f ca="1"/>
        <v>#NAME?</v>
      </c>
      <c r="O98" s="1099" t="e">
        <f ca="1"/>
        <v>#NAME?</v>
      </c>
      <c r="P98" s="1098" t="e">
        <f ca="1"/>
        <v>#NAME?</v>
      </c>
      <c r="Q98" s="1098" t="e">
        <f ca="1"/>
        <v>#NAME?</v>
      </c>
      <c r="R98" s="1098" t="e">
        <f ca="1"/>
        <v>#NAME?</v>
      </c>
      <c r="S98" s="1098" t="e">
        <f ca="1"/>
        <v>#NAME?</v>
      </c>
      <c r="T98" s="1098" t="e">
        <f ca="1"/>
        <v>#NAME?</v>
      </c>
      <c r="U98" s="1097" t="e">
        <f ca="1"/>
        <v>#NAME?</v>
      </c>
      <c r="V98" s="1086"/>
      <c r="W98" s="1086"/>
      <c r="X98" s="1086"/>
      <c r="Y98" s="1086"/>
      <c r="Z98" s="1086"/>
      <c r="AA98" s="1077"/>
      <c r="AB98" s="1077"/>
      <c r="AC98" s="1077"/>
      <c r="AD98" s="1077"/>
      <c r="AE98" s="1077"/>
      <c r="AF98" s="1077"/>
      <c r="AG98" s="1077"/>
      <c r="AH98" s="1077"/>
      <c r="AI98" s="1077"/>
      <c r="AJ98" s="1077"/>
      <c r="AK98" s="1077"/>
      <c r="AL98" s="1077"/>
      <c r="AM98" s="1077"/>
      <c r="AN98" s="1077"/>
    </row>
    <row r="99" spans="1:40" x14ac:dyDescent="0.2">
      <c r="A99" s="1106" t="e">
        <f ca="1"/>
        <v>#NAME?</v>
      </c>
      <c r="B99" s="1102" t="e">
        <f ca="1"/>
        <v>#NAME?</v>
      </c>
      <c r="C99" s="1105" t="e">
        <f ca="1"/>
        <v>#NAME?</v>
      </c>
      <c r="D99" s="1105" t="e">
        <f ca="1"/>
        <v>#NAME?</v>
      </c>
      <c r="E99" s="1102" t="e">
        <f ca="1"/>
        <v>#NAME?</v>
      </c>
      <c r="F99" s="1102" t="e">
        <f ca="1"/>
        <v>#NAME?</v>
      </c>
      <c r="G99" s="1101" t="e">
        <f ca="1"/>
        <v>#NAME?</v>
      </c>
      <c r="H99" s="1104" t="e">
        <f ca="1"/>
        <v>#NAME?</v>
      </c>
      <c r="I99" s="1103" t="e">
        <f ca="1"/>
        <v>#NAME?</v>
      </c>
      <c r="J99" s="1102" t="e">
        <f ca="1"/>
        <v>#NAME?</v>
      </c>
      <c r="K99" s="1101" t="e">
        <f ca="1"/>
        <v>#NAME?</v>
      </c>
      <c r="L99" s="1100" t="e">
        <f ca="1"/>
        <v>#NAME?</v>
      </c>
      <c r="M99" s="1098" t="e">
        <f ca="1"/>
        <v>#NAME?</v>
      </c>
      <c r="N99" s="1098" t="e">
        <f ca="1"/>
        <v>#NAME?</v>
      </c>
      <c r="O99" s="1099" t="e">
        <f ca="1"/>
        <v>#NAME?</v>
      </c>
      <c r="P99" s="1098" t="e">
        <f ca="1"/>
        <v>#NAME?</v>
      </c>
      <c r="Q99" s="1098" t="e">
        <f ca="1"/>
        <v>#NAME?</v>
      </c>
      <c r="R99" s="1098" t="e">
        <f ca="1"/>
        <v>#NAME?</v>
      </c>
      <c r="S99" s="1098" t="e">
        <f ca="1"/>
        <v>#NAME?</v>
      </c>
      <c r="T99" s="1098" t="e">
        <f ca="1"/>
        <v>#NAME?</v>
      </c>
      <c r="U99" s="1097" t="e">
        <f ca="1"/>
        <v>#NAME?</v>
      </c>
      <c r="V99" s="1086"/>
      <c r="W99" s="1086"/>
      <c r="X99" s="1086"/>
      <c r="Y99" s="1086"/>
      <c r="Z99" s="1086"/>
      <c r="AA99" s="1077"/>
      <c r="AB99" s="1077"/>
      <c r="AC99" s="1077"/>
      <c r="AD99" s="1077"/>
      <c r="AE99" s="1077"/>
      <c r="AF99" s="1077"/>
      <c r="AG99" s="1077"/>
      <c r="AH99" s="1077"/>
      <c r="AI99" s="1077"/>
      <c r="AJ99" s="1077"/>
      <c r="AK99" s="1077"/>
      <c r="AL99" s="1077"/>
      <c r="AM99" s="1077"/>
      <c r="AN99" s="1077"/>
    </row>
    <row r="100" spans="1:40" x14ac:dyDescent="0.2">
      <c r="A100" s="1106" t="e">
        <f ca="1"/>
        <v>#NAME?</v>
      </c>
      <c r="B100" s="1102" t="e">
        <f ca="1"/>
        <v>#NAME?</v>
      </c>
      <c r="C100" s="1105" t="e">
        <f ca="1"/>
        <v>#NAME?</v>
      </c>
      <c r="D100" s="1105" t="e">
        <f ca="1"/>
        <v>#NAME?</v>
      </c>
      <c r="E100" s="1102" t="e">
        <f ca="1"/>
        <v>#NAME?</v>
      </c>
      <c r="F100" s="1102" t="e">
        <f ca="1"/>
        <v>#NAME?</v>
      </c>
      <c r="G100" s="1101" t="e">
        <f ca="1"/>
        <v>#NAME?</v>
      </c>
      <c r="H100" s="1104" t="e">
        <f ca="1"/>
        <v>#NAME?</v>
      </c>
      <c r="I100" s="1103" t="e">
        <f ca="1"/>
        <v>#NAME?</v>
      </c>
      <c r="J100" s="1102" t="e">
        <f ca="1"/>
        <v>#NAME?</v>
      </c>
      <c r="K100" s="1101" t="e">
        <f ca="1"/>
        <v>#NAME?</v>
      </c>
      <c r="L100" s="1100" t="e">
        <f ca="1"/>
        <v>#NAME?</v>
      </c>
      <c r="M100" s="1098" t="e">
        <f ca="1"/>
        <v>#NAME?</v>
      </c>
      <c r="N100" s="1098" t="e">
        <f ca="1"/>
        <v>#NAME?</v>
      </c>
      <c r="O100" s="1099" t="e">
        <f ca="1"/>
        <v>#NAME?</v>
      </c>
      <c r="P100" s="1098" t="e">
        <f ca="1"/>
        <v>#NAME?</v>
      </c>
      <c r="Q100" s="1098" t="e">
        <f ca="1"/>
        <v>#NAME?</v>
      </c>
      <c r="R100" s="1098" t="e">
        <f ca="1"/>
        <v>#NAME?</v>
      </c>
      <c r="S100" s="1098" t="e">
        <f ca="1"/>
        <v>#NAME?</v>
      </c>
      <c r="T100" s="1098" t="e">
        <f ca="1"/>
        <v>#NAME?</v>
      </c>
      <c r="U100" s="1097" t="e">
        <f ca="1"/>
        <v>#NAME?</v>
      </c>
      <c r="V100" s="1086"/>
      <c r="W100" s="1086"/>
      <c r="X100" s="1086"/>
      <c r="Y100" s="1086"/>
      <c r="Z100" s="1086"/>
      <c r="AA100" s="1077"/>
      <c r="AB100" s="1077"/>
      <c r="AC100" s="1077"/>
      <c r="AD100" s="1077"/>
      <c r="AE100" s="1077"/>
      <c r="AF100" s="1077"/>
      <c r="AG100" s="1077"/>
      <c r="AH100" s="1077"/>
      <c r="AI100" s="1077"/>
      <c r="AJ100" s="1077"/>
      <c r="AK100" s="1077"/>
      <c r="AL100" s="1077"/>
      <c r="AM100" s="1077"/>
      <c r="AN100" s="1077"/>
    </row>
    <row r="101" spans="1:40" x14ac:dyDescent="0.2">
      <c r="A101" s="1106" t="e">
        <f ca="1"/>
        <v>#NAME?</v>
      </c>
      <c r="B101" s="1102" t="e">
        <f ca="1"/>
        <v>#NAME?</v>
      </c>
      <c r="C101" s="1105" t="e">
        <f ca="1"/>
        <v>#NAME?</v>
      </c>
      <c r="D101" s="1105" t="e">
        <f ca="1"/>
        <v>#NAME?</v>
      </c>
      <c r="E101" s="1102" t="e">
        <f ca="1"/>
        <v>#NAME?</v>
      </c>
      <c r="F101" s="1102" t="e">
        <f ca="1"/>
        <v>#NAME?</v>
      </c>
      <c r="G101" s="1101" t="e">
        <f ca="1"/>
        <v>#NAME?</v>
      </c>
      <c r="H101" s="1104" t="e">
        <f ca="1"/>
        <v>#NAME?</v>
      </c>
      <c r="I101" s="1103" t="e">
        <f ca="1"/>
        <v>#NAME?</v>
      </c>
      <c r="J101" s="1102" t="e">
        <f ca="1"/>
        <v>#NAME?</v>
      </c>
      <c r="K101" s="1101" t="e">
        <f ca="1"/>
        <v>#NAME?</v>
      </c>
      <c r="L101" s="1100" t="e">
        <f ca="1"/>
        <v>#NAME?</v>
      </c>
      <c r="M101" s="1098" t="e">
        <f ca="1"/>
        <v>#NAME?</v>
      </c>
      <c r="N101" s="1098" t="e">
        <f ca="1"/>
        <v>#NAME?</v>
      </c>
      <c r="O101" s="1099" t="e">
        <f ca="1"/>
        <v>#NAME?</v>
      </c>
      <c r="P101" s="1098" t="e">
        <f ca="1"/>
        <v>#NAME?</v>
      </c>
      <c r="Q101" s="1098" t="e">
        <f ca="1"/>
        <v>#NAME?</v>
      </c>
      <c r="R101" s="1098" t="e">
        <f ca="1"/>
        <v>#NAME?</v>
      </c>
      <c r="S101" s="1098" t="e">
        <f ca="1"/>
        <v>#NAME?</v>
      </c>
      <c r="T101" s="1098" t="e">
        <f ca="1"/>
        <v>#NAME?</v>
      </c>
      <c r="U101" s="1097" t="e">
        <f ca="1"/>
        <v>#NAME?</v>
      </c>
      <c r="V101" s="1086"/>
      <c r="W101" s="1086"/>
      <c r="X101" s="1086"/>
      <c r="Y101" s="1086"/>
      <c r="Z101" s="1086"/>
      <c r="AA101" s="1077"/>
      <c r="AB101" s="1077"/>
      <c r="AC101" s="1077"/>
      <c r="AD101" s="1077"/>
      <c r="AE101" s="1077"/>
      <c r="AF101" s="1077"/>
      <c r="AG101" s="1077"/>
      <c r="AH101" s="1077"/>
      <c r="AI101" s="1077"/>
      <c r="AJ101" s="1077"/>
      <c r="AK101" s="1077"/>
      <c r="AL101" s="1077"/>
      <c r="AM101" s="1077"/>
      <c r="AN101" s="1077"/>
    </row>
    <row r="102" spans="1:40" x14ac:dyDescent="0.2">
      <c r="A102" s="1106" t="e">
        <f ca="1"/>
        <v>#NAME?</v>
      </c>
      <c r="B102" s="1102" t="e">
        <f ca="1"/>
        <v>#NAME?</v>
      </c>
      <c r="C102" s="1105" t="e">
        <f ca="1"/>
        <v>#NAME?</v>
      </c>
      <c r="D102" s="1105" t="e">
        <f ca="1"/>
        <v>#NAME?</v>
      </c>
      <c r="E102" s="1102" t="e">
        <f ca="1"/>
        <v>#NAME?</v>
      </c>
      <c r="F102" s="1102" t="e">
        <f ca="1"/>
        <v>#NAME?</v>
      </c>
      <c r="G102" s="1101" t="e">
        <f ca="1"/>
        <v>#NAME?</v>
      </c>
      <c r="H102" s="1104" t="e">
        <f ca="1"/>
        <v>#NAME?</v>
      </c>
      <c r="I102" s="1103" t="e">
        <f ca="1"/>
        <v>#NAME?</v>
      </c>
      <c r="J102" s="1102" t="e">
        <f ca="1"/>
        <v>#NAME?</v>
      </c>
      <c r="K102" s="1101" t="e">
        <f ca="1"/>
        <v>#NAME?</v>
      </c>
      <c r="L102" s="1100" t="e">
        <f ca="1"/>
        <v>#NAME?</v>
      </c>
      <c r="M102" s="1098" t="e">
        <f ca="1"/>
        <v>#NAME?</v>
      </c>
      <c r="N102" s="1098" t="e">
        <f ca="1"/>
        <v>#NAME?</v>
      </c>
      <c r="O102" s="1099" t="e">
        <f ca="1"/>
        <v>#NAME?</v>
      </c>
      <c r="P102" s="1098" t="e">
        <f ca="1"/>
        <v>#NAME?</v>
      </c>
      <c r="Q102" s="1098" t="e">
        <f ca="1"/>
        <v>#NAME?</v>
      </c>
      <c r="R102" s="1098" t="e">
        <f ca="1"/>
        <v>#NAME?</v>
      </c>
      <c r="S102" s="1098" t="e">
        <f ca="1"/>
        <v>#NAME?</v>
      </c>
      <c r="T102" s="1098" t="e">
        <f ca="1"/>
        <v>#NAME?</v>
      </c>
      <c r="U102" s="1097" t="e">
        <f ca="1"/>
        <v>#NAME?</v>
      </c>
      <c r="V102" s="1086"/>
      <c r="W102" s="1086"/>
      <c r="X102" s="1086"/>
      <c r="Y102" s="1086"/>
      <c r="Z102" s="1086"/>
      <c r="AA102" s="1077"/>
      <c r="AB102" s="1077"/>
      <c r="AC102" s="1077"/>
      <c r="AD102" s="1077"/>
      <c r="AE102" s="1077"/>
      <c r="AF102" s="1077"/>
      <c r="AG102" s="1077"/>
      <c r="AH102" s="1077"/>
      <c r="AI102" s="1077"/>
      <c r="AJ102" s="1077"/>
      <c r="AK102" s="1077"/>
      <c r="AL102" s="1077"/>
      <c r="AM102" s="1077"/>
      <c r="AN102" s="1077"/>
    </row>
    <row r="103" spans="1:40" x14ac:dyDescent="0.2">
      <c r="A103" s="1106" t="e">
        <f ca="1"/>
        <v>#NAME?</v>
      </c>
      <c r="B103" s="1102" t="e">
        <f ca="1"/>
        <v>#NAME?</v>
      </c>
      <c r="C103" s="1105" t="e">
        <f ca="1"/>
        <v>#NAME?</v>
      </c>
      <c r="D103" s="1105" t="e">
        <f ca="1"/>
        <v>#NAME?</v>
      </c>
      <c r="E103" s="1102" t="e">
        <f ca="1"/>
        <v>#NAME?</v>
      </c>
      <c r="F103" s="1102" t="e">
        <f ca="1"/>
        <v>#NAME?</v>
      </c>
      <c r="G103" s="1101" t="e">
        <f ca="1"/>
        <v>#NAME?</v>
      </c>
      <c r="H103" s="1104" t="e">
        <f ca="1"/>
        <v>#NAME?</v>
      </c>
      <c r="I103" s="1103" t="e">
        <f ca="1"/>
        <v>#NAME?</v>
      </c>
      <c r="J103" s="1102" t="e">
        <f ca="1"/>
        <v>#NAME?</v>
      </c>
      <c r="K103" s="1101" t="e">
        <f ca="1"/>
        <v>#NAME?</v>
      </c>
      <c r="L103" s="1100" t="e">
        <f ca="1"/>
        <v>#NAME?</v>
      </c>
      <c r="M103" s="1098" t="e">
        <f ca="1"/>
        <v>#NAME?</v>
      </c>
      <c r="N103" s="1098" t="e">
        <f ca="1"/>
        <v>#NAME?</v>
      </c>
      <c r="O103" s="1099" t="e">
        <f ca="1"/>
        <v>#NAME?</v>
      </c>
      <c r="P103" s="1098" t="e">
        <f ca="1"/>
        <v>#NAME?</v>
      </c>
      <c r="Q103" s="1098" t="e">
        <f ca="1"/>
        <v>#NAME?</v>
      </c>
      <c r="R103" s="1098" t="e">
        <f ca="1"/>
        <v>#NAME?</v>
      </c>
      <c r="S103" s="1098" t="e">
        <f ca="1"/>
        <v>#NAME?</v>
      </c>
      <c r="T103" s="1098" t="e">
        <f ca="1"/>
        <v>#NAME?</v>
      </c>
      <c r="U103" s="1097" t="e">
        <f ca="1"/>
        <v>#NAME?</v>
      </c>
      <c r="V103" s="1086"/>
      <c r="W103" s="1086"/>
      <c r="X103" s="1086"/>
      <c r="Y103" s="1086"/>
      <c r="Z103" s="1086"/>
      <c r="AA103" s="1077"/>
      <c r="AB103" s="1077"/>
      <c r="AC103" s="1077"/>
      <c r="AD103" s="1077"/>
      <c r="AE103" s="1077"/>
      <c r="AF103" s="1077"/>
      <c r="AG103" s="1077"/>
      <c r="AH103" s="1077"/>
      <c r="AI103" s="1077"/>
      <c r="AJ103" s="1077"/>
      <c r="AK103" s="1077"/>
      <c r="AL103" s="1077"/>
      <c r="AM103" s="1077"/>
      <c r="AN103" s="1077"/>
    </row>
    <row r="104" spans="1:40" x14ac:dyDescent="0.2">
      <c r="A104" s="1106" t="e">
        <f ca="1"/>
        <v>#NAME?</v>
      </c>
      <c r="B104" s="1102" t="e">
        <f ca="1"/>
        <v>#NAME?</v>
      </c>
      <c r="C104" s="1105" t="e">
        <f ca="1"/>
        <v>#NAME?</v>
      </c>
      <c r="D104" s="1105" t="e">
        <f ca="1"/>
        <v>#NAME?</v>
      </c>
      <c r="E104" s="1102" t="e">
        <f ca="1"/>
        <v>#NAME?</v>
      </c>
      <c r="F104" s="1102" t="e">
        <f ca="1"/>
        <v>#NAME?</v>
      </c>
      <c r="G104" s="1101" t="e">
        <f ca="1"/>
        <v>#NAME?</v>
      </c>
      <c r="H104" s="1104" t="e">
        <f ca="1"/>
        <v>#NAME?</v>
      </c>
      <c r="I104" s="1103" t="e">
        <f ca="1"/>
        <v>#NAME?</v>
      </c>
      <c r="J104" s="1102" t="e">
        <f ca="1"/>
        <v>#NAME?</v>
      </c>
      <c r="K104" s="1101" t="e">
        <f ca="1"/>
        <v>#NAME?</v>
      </c>
      <c r="L104" s="1100" t="e">
        <f ca="1"/>
        <v>#NAME?</v>
      </c>
      <c r="M104" s="1098" t="e">
        <f ca="1"/>
        <v>#NAME?</v>
      </c>
      <c r="N104" s="1098" t="e">
        <f ca="1"/>
        <v>#NAME?</v>
      </c>
      <c r="O104" s="1099" t="e">
        <f ca="1"/>
        <v>#NAME?</v>
      </c>
      <c r="P104" s="1098" t="e">
        <f ca="1"/>
        <v>#NAME?</v>
      </c>
      <c r="Q104" s="1098" t="e">
        <f ca="1"/>
        <v>#NAME?</v>
      </c>
      <c r="R104" s="1098" t="e">
        <f ca="1"/>
        <v>#NAME?</v>
      </c>
      <c r="S104" s="1098" t="e">
        <f ca="1"/>
        <v>#NAME?</v>
      </c>
      <c r="T104" s="1098" t="e">
        <f ca="1"/>
        <v>#NAME?</v>
      </c>
      <c r="U104" s="1097" t="e">
        <f ca="1"/>
        <v>#NAME?</v>
      </c>
      <c r="V104" s="1086"/>
      <c r="W104" s="1086"/>
      <c r="X104" s="1086"/>
      <c r="Y104" s="1086"/>
      <c r="Z104" s="1086"/>
      <c r="AA104" s="1077"/>
      <c r="AB104" s="1077"/>
      <c r="AC104" s="1077"/>
      <c r="AD104" s="1077"/>
      <c r="AE104" s="1077"/>
      <c r="AF104" s="1077"/>
      <c r="AG104" s="1077"/>
      <c r="AH104" s="1077"/>
      <c r="AI104" s="1077"/>
      <c r="AJ104" s="1077"/>
      <c r="AK104" s="1077"/>
      <c r="AL104" s="1077"/>
      <c r="AM104" s="1077"/>
      <c r="AN104" s="1077"/>
    </row>
    <row r="105" spans="1:40" x14ac:dyDescent="0.2">
      <c r="A105" s="1106" t="e">
        <f ca="1"/>
        <v>#NAME?</v>
      </c>
      <c r="B105" s="1102" t="e">
        <f ca="1"/>
        <v>#NAME?</v>
      </c>
      <c r="C105" s="1105" t="e">
        <f ca="1"/>
        <v>#NAME?</v>
      </c>
      <c r="D105" s="1105" t="e">
        <f ca="1"/>
        <v>#NAME?</v>
      </c>
      <c r="E105" s="1102" t="e">
        <f ca="1"/>
        <v>#NAME?</v>
      </c>
      <c r="F105" s="1102" t="e">
        <f ca="1"/>
        <v>#NAME?</v>
      </c>
      <c r="G105" s="1101" t="e">
        <f ca="1"/>
        <v>#NAME?</v>
      </c>
      <c r="H105" s="1104" t="e">
        <f ca="1"/>
        <v>#NAME?</v>
      </c>
      <c r="I105" s="1103" t="e">
        <f ca="1"/>
        <v>#NAME?</v>
      </c>
      <c r="J105" s="1102" t="e">
        <f ca="1"/>
        <v>#NAME?</v>
      </c>
      <c r="K105" s="1101" t="e">
        <f ca="1"/>
        <v>#NAME?</v>
      </c>
      <c r="L105" s="1100" t="e">
        <f ca="1"/>
        <v>#NAME?</v>
      </c>
      <c r="M105" s="1098" t="e">
        <f ca="1"/>
        <v>#NAME?</v>
      </c>
      <c r="N105" s="1098" t="e">
        <f ca="1"/>
        <v>#NAME?</v>
      </c>
      <c r="O105" s="1099" t="e">
        <f ca="1"/>
        <v>#NAME?</v>
      </c>
      <c r="P105" s="1098" t="e">
        <f ca="1"/>
        <v>#NAME?</v>
      </c>
      <c r="Q105" s="1098" t="e">
        <f ca="1"/>
        <v>#NAME?</v>
      </c>
      <c r="R105" s="1098" t="e">
        <f ca="1"/>
        <v>#NAME?</v>
      </c>
      <c r="S105" s="1098" t="e">
        <f ca="1"/>
        <v>#NAME?</v>
      </c>
      <c r="T105" s="1098" t="e">
        <f ca="1"/>
        <v>#NAME?</v>
      </c>
      <c r="U105" s="1097" t="e">
        <f ca="1"/>
        <v>#NAME?</v>
      </c>
      <c r="V105" s="1086"/>
      <c r="W105" s="1086"/>
      <c r="X105" s="1086"/>
      <c r="Y105" s="1086"/>
      <c r="Z105" s="1086"/>
      <c r="AA105" s="1077"/>
      <c r="AB105" s="1077"/>
      <c r="AC105" s="1077"/>
      <c r="AD105" s="1077"/>
      <c r="AE105" s="1077"/>
      <c r="AF105" s="1077"/>
      <c r="AG105" s="1077"/>
      <c r="AH105" s="1077"/>
      <c r="AI105" s="1077"/>
      <c r="AJ105" s="1077"/>
      <c r="AK105" s="1077"/>
      <c r="AL105" s="1077"/>
      <c r="AM105" s="1077"/>
      <c r="AN105" s="1077"/>
    </row>
    <row r="106" spans="1:40" x14ac:dyDescent="0.2">
      <c r="A106" s="1106" t="e">
        <f ca="1"/>
        <v>#NAME?</v>
      </c>
      <c r="B106" s="1102" t="e">
        <f ca="1"/>
        <v>#NAME?</v>
      </c>
      <c r="C106" s="1105" t="e">
        <f ca="1"/>
        <v>#NAME?</v>
      </c>
      <c r="D106" s="1105" t="e">
        <f ca="1"/>
        <v>#NAME?</v>
      </c>
      <c r="E106" s="1102" t="e">
        <f ca="1"/>
        <v>#NAME?</v>
      </c>
      <c r="F106" s="1102" t="e">
        <f ca="1"/>
        <v>#NAME?</v>
      </c>
      <c r="G106" s="1101" t="e">
        <f ca="1"/>
        <v>#NAME?</v>
      </c>
      <c r="H106" s="1104" t="e">
        <f ca="1"/>
        <v>#NAME?</v>
      </c>
      <c r="I106" s="1103" t="e">
        <f ca="1"/>
        <v>#NAME?</v>
      </c>
      <c r="J106" s="1102" t="e">
        <f ca="1"/>
        <v>#NAME?</v>
      </c>
      <c r="K106" s="1101" t="e">
        <f ca="1"/>
        <v>#NAME?</v>
      </c>
      <c r="L106" s="1100" t="e">
        <f ca="1"/>
        <v>#NAME?</v>
      </c>
      <c r="M106" s="1098" t="e">
        <f ca="1"/>
        <v>#NAME?</v>
      </c>
      <c r="N106" s="1098" t="e">
        <f ca="1"/>
        <v>#NAME?</v>
      </c>
      <c r="O106" s="1099" t="e">
        <f ca="1"/>
        <v>#NAME?</v>
      </c>
      <c r="P106" s="1098" t="e">
        <f ca="1"/>
        <v>#NAME?</v>
      </c>
      <c r="Q106" s="1098" t="e">
        <f ca="1"/>
        <v>#NAME?</v>
      </c>
      <c r="R106" s="1098" t="e">
        <f ca="1"/>
        <v>#NAME?</v>
      </c>
      <c r="S106" s="1098" t="e">
        <f ca="1"/>
        <v>#NAME?</v>
      </c>
      <c r="T106" s="1098" t="e">
        <f ca="1"/>
        <v>#NAME?</v>
      </c>
      <c r="U106" s="1097" t="e">
        <f ca="1"/>
        <v>#NAME?</v>
      </c>
      <c r="V106" s="1086"/>
      <c r="W106" s="1086"/>
      <c r="X106" s="1086"/>
      <c r="Y106" s="1086"/>
      <c r="Z106" s="1086"/>
      <c r="AA106" s="1077"/>
      <c r="AB106" s="1077"/>
      <c r="AC106" s="1077"/>
      <c r="AD106" s="1077"/>
      <c r="AE106" s="1077"/>
      <c r="AF106" s="1077"/>
      <c r="AG106" s="1077"/>
      <c r="AH106" s="1077"/>
      <c r="AI106" s="1077"/>
      <c r="AJ106" s="1077"/>
      <c r="AK106" s="1077"/>
      <c r="AL106" s="1077"/>
      <c r="AM106" s="1077"/>
      <c r="AN106" s="1077"/>
    </row>
    <row r="107" spans="1:40" x14ac:dyDescent="0.2">
      <c r="A107" s="1106" t="e">
        <f ca="1"/>
        <v>#NAME?</v>
      </c>
      <c r="B107" s="1102" t="e">
        <f ca="1"/>
        <v>#NAME?</v>
      </c>
      <c r="C107" s="1105" t="e">
        <f ca="1"/>
        <v>#NAME?</v>
      </c>
      <c r="D107" s="1105" t="e">
        <f ca="1"/>
        <v>#NAME?</v>
      </c>
      <c r="E107" s="1102" t="e">
        <f ca="1"/>
        <v>#NAME?</v>
      </c>
      <c r="F107" s="1102" t="e">
        <f ca="1"/>
        <v>#NAME?</v>
      </c>
      <c r="G107" s="1101" t="e">
        <f ca="1"/>
        <v>#NAME?</v>
      </c>
      <c r="H107" s="1104" t="e">
        <f ca="1"/>
        <v>#NAME?</v>
      </c>
      <c r="I107" s="1103" t="e">
        <f ca="1"/>
        <v>#NAME?</v>
      </c>
      <c r="J107" s="1102" t="e">
        <f ca="1"/>
        <v>#NAME?</v>
      </c>
      <c r="K107" s="1101" t="e">
        <f ca="1"/>
        <v>#NAME?</v>
      </c>
      <c r="L107" s="1100" t="e">
        <f ca="1"/>
        <v>#NAME?</v>
      </c>
      <c r="M107" s="1098" t="e">
        <f ca="1"/>
        <v>#NAME?</v>
      </c>
      <c r="N107" s="1098" t="e">
        <f ca="1"/>
        <v>#NAME?</v>
      </c>
      <c r="O107" s="1099" t="e">
        <f ca="1"/>
        <v>#NAME?</v>
      </c>
      <c r="P107" s="1098" t="e">
        <f ca="1"/>
        <v>#NAME?</v>
      </c>
      <c r="Q107" s="1098" t="e">
        <f ca="1"/>
        <v>#NAME?</v>
      </c>
      <c r="R107" s="1098" t="e">
        <f ca="1"/>
        <v>#NAME?</v>
      </c>
      <c r="S107" s="1098" t="e">
        <f ca="1"/>
        <v>#NAME?</v>
      </c>
      <c r="T107" s="1098" t="e">
        <f ca="1"/>
        <v>#NAME?</v>
      </c>
      <c r="U107" s="1097" t="e">
        <f ca="1"/>
        <v>#NAME?</v>
      </c>
      <c r="V107" s="1086"/>
      <c r="W107" s="1086"/>
      <c r="X107" s="1086"/>
      <c r="Y107" s="1086"/>
      <c r="Z107" s="1086"/>
      <c r="AA107" s="1077"/>
      <c r="AB107" s="1077"/>
      <c r="AC107" s="1077"/>
      <c r="AD107" s="1077"/>
      <c r="AE107" s="1077"/>
      <c r="AF107" s="1077"/>
      <c r="AG107" s="1077"/>
      <c r="AH107" s="1077"/>
      <c r="AI107" s="1077"/>
      <c r="AJ107" s="1077"/>
      <c r="AK107" s="1077"/>
      <c r="AL107" s="1077"/>
      <c r="AM107" s="1077"/>
      <c r="AN107" s="1077"/>
    </row>
    <row r="108" spans="1:40" x14ac:dyDescent="0.2">
      <c r="A108" s="1106" t="e">
        <f ca="1"/>
        <v>#NAME?</v>
      </c>
      <c r="B108" s="1102" t="e">
        <f ca="1"/>
        <v>#NAME?</v>
      </c>
      <c r="C108" s="1105" t="e">
        <f ca="1"/>
        <v>#NAME?</v>
      </c>
      <c r="D108" s="1105" t="e">
        <f ca="1"/>
        <v>#NAME?</v>
      </c>
      <c r="E108" s="1102" t="e">
        <f ca="1"/>
        <v>#NAME?</v>
      </c>
      <c r="F108" s="1102" t="e">
        <f ca="1"/>
        <v>#NAME?</v>
      </c>
      <c r="G108" s="1101" t="e">
        <f ca="1"/>
        <v>#NAME?</v>
      </c>
      <c r="H108" s="1104" t="e">
        <f ca="1"/>
        <v>#NAME?</v>
      </c>
      <c r="I108" s="1103" t="e">
        <f ca="1"/>
        <v>#NAME?</v>
      </c>
      <c r="J108" s="1102" t="e">
        <f ca="1"/>
        <v>#NAME?</v>
      </c>
      <c r="K108" s="1101" t="e">
        <f ca="1"/>
        <v>#NAME?</v>
      </c>
      <c r="L108" s="1100" t="e">
        <f ca="1"/>
        <v>#NAME?</v>
      </c>
      <c r="M108" s="1098" t="e">
        <f ca="1"/>
        <v>#NAME?</v>
      </c>
      <c r="N108" s="1098" t="e">
        <f ca="1"/>
        <v>#NAME?</v>
      </c>
      <c r="O108" s="1099" t="e">
        <f ca="1"/>
        <v>#NAME?</v>
      </c>
      <c r="P108" s="1098" t="e">
        <f ca="1"/>
        <v>#NAME?</v>
      </c>
      <c r="Q108" s="1098" t="e">
        <f ca="1"/>
        <v>#NAME?</v>
      </c>
      <c r="R108" s="1098" t="e">
        <f ca="1"/>
        <v>#NAME?</v>
      </c>
      <c r="S108" s="1098" t="e">
        <f ca="1"/>
        <v>#NAME?</v>
      </c>
      <c r="T108" s="1098" t="e">
        <f ca="1"/>
        <v>#NAME?</v>
      </c>
      <c r="U108" s="1097" t="e">
        <f ca="1"/>
        <v>#NAME?</v>
      </c>
      <c r="V108" s="1086"/>
      <c r="W108" s="1086"/>
      <c r="X108" s="1086"/>
      <c r="Y108" s="1086"/>
      <c r="Z108" s="1086"/>
      <c r="AA108" s="1077"/>
      <c r="AB108" s="1077"/>
      <c r="AC108" s="1077"/>
      <c r="AD108" s="1077"/>
      <c r="AE108" s="1077"/>
      <c r="AF108" s="1077"/>
      <c r="AG108" s="1077"/>
      <c r="AH108" s="1077"/>
      <c r="AI108" s="1077"/>
      <c r="AJ108" s="1077"/>
      <c r="AK108" s="1077"/>
      <c r="AL108" s="1077"/>
      <c r="AM108" s="1077"/>
      <c r="AN108" s="1077"/>
    </row>
    <row r="109" spans="1:40" x14ac:dyDescent="0.2">
      <c r="A109" s="1106" t="e">
        <f ca="1"/>
        <v>#NAME?</v>
      </c>
      <c r="B109" s="1102" t="e">
        <f ca="1"/>
        <v>#NAME?</v>
      </c>
      <c r="C109" s="1105" t="e">
        <f ca="1"/>
        <v>#NAME?</v>
      </c>
      <c r="D109" s="1105" t="e">
        <f ca="1"/>
        <v>#NAME?</v>
      </c>
      <c r="E109" s="1102" t="e">
        <f ca="1"/>
        <v>#NAME?</v>
      </c>
      <c r="F109" s="1102" t="e">
        <f ca="1"/>
        <v>#NAME?</v>
      </c>
      <c r="G109" s="1101" t="e">
        <f ca="1"/>
        <v>#NAME?</v>
      </c>
      <c r="H109" s="1104" t="e">
        <f ca="1"/>
        <v>#NAME?</v>
      </c>
      <c r="I109" s="1103" t="e">
        <f ca="1"/>
        <v>#NAME?</v>
      </c>
      <c r="J109" s="1102" t="e">
        <f ca="1"/>
        <v>#NAME?</v>
      </c>
      <c r="K109" s="1101" t="e">
        <f ca="1"/>
        <v>#NAME?</v>
      </c>
      <c r="L109" s="1100" t="e">
        <f ca="1"/>
        <v>#NAME?</v>
      </c>
      <c r="M109" s="1098" t="e">
        <f ca="1"/>
        <v>#NAME?</v>
      </c>
      <c r="N109" s="1098" t="e">
        <f ca="1"/>
        <v>#NAME?</v>
      </c>
      <c r="O109" s="1099" t="e">
        <f ca="1"/>
        <v>#NAME?</v>
      </c>
      <c r="P109" s="1098" t="e">
        <f ca="1"/>
        <v>#NAME?</v>
      </c>
      <c r="Q109" s="1098" t="e">
        <f ca="1"/>
        <v>#NAME?</v>
      </c>
      <c r="R109" s="1098" t="e">
        <f ca="1"/>
        <v>#NAME?</v>
      </c>
      <c r="S109" s="1098" t="e">
        <f ca="1"/>
        <v>#NAME?</v>
      </c>
      <c r="T109" s="1098" t="e">
        <f ca="1"/>
        <v>#NAME?</v>
      </c>
      <c r="U109" s="1097" t="e">
        <f ca="1"/>
        <v>#NAME?</v>
      </c>
      <c r="V109" s="1086"/>
      <c r="W109" s="1086"/>
      <c r="X109" s="1086"/>
      <c r="Y109" s="1086"/>
      <c r="Z109" s="1086"/>
      <c r="AA109" s="1077"/>
      <c r="AB109" s="1077"/>
      <c r="AC109" s="1077"/>
      <c r="AD109" s="1077"/>
      <c r="AE109" s="1077"/>
      <c r="AF109" s="1077"/>
      <c r="AG109" s="1077"/>
      <c r="AH109" s="1077"/>
      <c r="AI109" s="1077"/>
      <c r="AJ109" s="1077"/>
      <c r="AK109" s="1077"/>
      <c r="AL109" s="1077"/>
      <c r="AM109" s="1077"/>
      <c r="AN109" s="1077"/>
    </row>
    <row r="110" spans="1:40" x14ac:dyDescent="0.2">
      <c r="A110" s="1106" t="e">
        <f ca="1"/>
        <v>#NAME?</v>
      </c>
      <c r="B110" s="1102" t="e">
        <f ca="1"/>
        <v>#NAME?</v>
      </c>
      <c r="C110" s="1105" t="e">
        <f ca="1"/>
        <v>#NAME?</v>
      </c>
      <c r="D110" s="1105" t="e">
        <f ca="1"/>
        <v>#NAME?</v>
      </c>
      <c r="E110" s="1102" t="e">
        <f ca="1"/>
        <v>#NAME?</v>
      </c>
      <c r="F110" s="1102" t="e">
        <f ca="1"/>
        <v>#NAME?</v>
      </c>
      <c r="G110" s="1101" t="e">
        <f ca="1"/>
        <v>#NAME?</v>
      </c>
      <c r="H110" s="1104" t="e">
        <f ca="1"/>
        <v>#NAME?</v>
      </c>
      <c r="I110" s="1103" t="e">
        <f ca="1"/>
        <v>#NAME?</v>
      </c>
      <c r="J110" s="1102" t="e">
        <f ca="1"/>
        <v>#NAME?</v>
      </c>
      <c r="K110" s="1101" t="e">
        <f ca="1"/>
        <v>#NAME?</v>
      </c>
      <c r="L110" s="1100" t="e">
        <f ca="1"/>
        <v>#NAME?</v>
      </c>
      <c r="M110" s="1098" t="e">
        <f ca="1"/>
        <v>#NAME?</v>
      </c>
      <c r="N110" s="1098" t="e">
        <f ca="1"/>
        <v>#NAME?</v>
      </c>
      <c r="O110" s="1099" t="e">
        <f ca="1"/>
        <v>#NAME?</v>
      </c>
      <c r="P110" s="1098" t="e">
        <f ca="1"/>
        <v>#NAME?</v>
      </c>
      <c r="Q110" s="1098" t="e">
        <f ca="1"/>
        <v>#NAME?</v>
      </c>
      <c r="R110" s="1098" t="e">
        <f ca="1"/>
        <v>#NAME?</v>
      </c>
      <c r="S110" s="1098" t="e">
        <f ca="1"/>
        <v>#NAME?</v>
      </c>
      <c r="T110" s="1098" t="e">
        <f ca="1"/>
        <v>#NAME?</v>
      </c>
      <c r="U110" s="1097" t="e">
        <f ca="1"/>
        <v>#NAME?</v>
      </c>
      <c r="V110" s="1086"/>
      <c r="W110" s="1086"/>
      <c r="X110" s="1086"/>
      <c r="Y110" s="1086"/>
      <c r="Z110" s="1086"/>
      <c r="AA110" s="1077"/>
      <c r="AB110" s="1077"/>
      <c r="AC110" s="1077"/>
      <c r="AD110" s="1077"/>
      <c r="AE110" s="1077"/>
      <c r="AF110" s="1077"/>
      <c r="AG110" s="1077"/>
      <c r="AH110" s="1077"/>
      <c r="AI110" s="1077"/>
      <c r="AJ110" s="1077"/>
      <c r="AK110" s="1077"/>
      <c r="AL110" s="1077"/>
      <c r="AM110" s="1077"/>
      <c r="AN110" s="1077"/>
    </row>
    <row r="111" spans="1:40" x14ac:dyDescent="0.2">
      <c r="A111" s="1106" t="e">
        <f ca="1"/>
        <v>#NAME?</v>
      </c>
      <c r="B111" s="1102" t="e">
        <f ca="1"/>
        <v>#NAME?</v>
      </c>
      <c r="C111" s="1105" t="e">
        <f ca="1"/>
        <v>#NAME?</v>
      </c>
      <c r="D111" s="1105" t="e">
        <f ca="1"/>
        <v>#NAME?</v>
      </c>
      <c r="E111" s="1102" t="e">
        <f ca="1"/>
        <v>#NAME?</v>
      </c>
      <c r="F111" s="1102" t="e">
        <f ca="1"/>
        <v>#NAME?</v>
      </c>
      <c r="G111" s="1101" t="e">
        <f ca="1"/>
        <v>#NAME?</v>
      </c>
      <c r="H111" s="1104" t="e">
        <f ca="1"/>
        <v>#NAME?</v>
      </c>
      <c r="I111" s="1103" t="e">
        <f ca="1"/>
        <v>#NAME?</v>
      </c>
      <c r="J111" s="1102" t="e">
        <f ca="1"/>
        <v>#NAME?</v>
      </c>
      <c r="K111" s="1101" t="e">
        <f ca="1"/>
        <v>#NAME?</v>
      </c>
      <c r="L111" s="1100" t="e">
        <f ca="1"/>
        <v>#NAME?</v>
      </c>
      <c r="M111" s="1098" t="e">
        <f ca="1"/>
        <v>#NAME?</v>
      </c>
      <c r="N111" s="1098" t="e">
        <f ca="1"/>
        <v>#NAME?</v>
      </c>
      <c r="O111" s="1099" t="e">
        <f ca="1"/>
        <v>#NAME?</v>
      </c>
      <c r="P111" s="1098" t="e">
        <f ca="1"/>
        <v>#NAME?</v>
      </c>
      <c r="Q111" s="1098" t="e">
        <f ca="1"/>
        <v>#NAME?</v>
      </c>
      <c r="R111" s="1098" t="e">
        <f ca="1"/>
        <v>#NAME?</v>
      </c>
      <c r="S111" s="1098" t="e">
        <f ca="1"/>
        <v>#NAME?</v>
      </c>
      <c r="T111" s="1098" t="e">
        <f ca="1"/>
        <v>#NAME?</v>
      </c>
      <c r="U111" s="1097" t="e">
        <f ca="1"/>
        <v>#NAME?</v>
      </c>
      <c r="V111" s="1086"/>
      <c r="W111" s="1086"/>
      <c r="X111" s="1086"/>
      <c r="Y111" s="1086"/>
      <c r="Z111" s="1086"/>
      <c r="AA111" s="1077"/>
      <c r="AB111" s="1077"/>
      <c r="AC111" s="1077"/>
      <c r="AD111" s="1077"/>
      <c r="AE111" s="1077"/>
      <c r="AF111" s="1077"/>
      <c r="AG111" s="1077"/>
      <c r="AH111" s="1077"/>
      <c r="AI111" s="1077"/>
      <c r="AJ111" s="1077"/>
      <c r="AK111" s="1077"/>
      <c r="AL111" s="1077"/>
      <c r="AM111" s="1077"/>
      <c r="AN111" s="1077"/>
    </row>
    <row r="112" spans="1:40" x14ac:dyDescent="0.2">
      <c r="A112" s="1106" t="e">
        <f ca="1"/>
        <v>#NAME?</v>
      </c>
      <c r="B112" s="1102" t="e">
        <f ca="1"/>
        <v>#NAME?</v>
      </c>
      <c r="C112" s="1105" t="e">
        <f ca="1"/>
        <v>#NAME?</v>
      </c>
      <c r="D112" s="1105" t="e">
        <f ca="1"/>
        <v>#NAME?</v>
      </c>
      <c r="E112" s="1102" t="e">
        <f ca="1"/>
        <v>#NAME?</v>
      </c>
      <c r="F112" s="1102" t="e">
        <f ca="1"/>
        <v>#NAME?</v>
      </c>
      <c r="G112" s="1101" t="e">
        <f ca="1"/>
        <v>#NAME?</v>
      </c>
      <c r="H112" s="1104" t="e">
        <f ca="1"/>
        <v>#NAME?</v>
      </c>
      <c r="I112" s="1103" t="e">
        <f ca="1"/>
        <v>#NAME?</v>
      </c>
      <c r="J112" s="1102" t="e">
        <f ca="1"/>
        <v>#NAME?</v>
      </c>
      <c r="K112" s="1101" t="e">
        <f ca="1"/>
        <v>#NAME?</v>
      </c>
      <c r="L112" s="1100" t="e">
        <f ca="1"/>
        <v>#NAME?</v>
      </c>
      <c r="M112" s="1098" t="e">
        <f ca="1"/>
        <v>#NAME?</v>
      </c>
      <c r="N112" s="1098" t="e">
        <f ca="1"/>
        <v>#NAME?</v>
      </c>
      <c r="O112" s="1099" t="e">
        <f ca="1"/>
        <v>#NAME?</v>
      </c>
      <c r="P112" s="1098" t="e">
        <f ca="1"/>
        <v>#NAME?</v>
      </c>
      <c r="Q112" s="1098" t="e">
        <f ca="1"/>
        <v>#NAME?</v>
      </c>
      <c r="R112" s="1098" t="e">
        <f ca="1"/>
        <v>#NAME?</v>
      </c>
      <c r="S112" s="1098" t="e">
        <f ca="1"/>
        <v>#NAME?</v>
      </c>
      <c r="T112" s="1098" t="e">
        <f ca="1"/>
        <v>#NAME?</v>
      </c>
      <c r="U112" s="1097" t="e">
        <f ca="1"/>
        <v>#NAME?</v>
      </c>
      <c r="V112" s="1086"/>
      <c r="W112" s="1086"/>
      <c r="X112" s="1086"/>
      <c r="Y112" s="1086"/>
      <c r="Z112" s="1086"/>
      <c r="AA112" s="1077"/>
      <c r="AB112" s="1077"/>
      <c r="AC112" s="1077"/>
      <c r="AD112" s="1077"/>
      <c r="AE112" s="1077"/>
      <c r="AF112" s="1077"/>
      <c r="AG112" s="1077"/>
      <c r="AH112" s="1077"/>
      <c r="AI112" s="1077"/>
      <c r="AJ112" s="1077"/>
      <c r="AK112" s="1077"/>
      <c r="AL112" s="1077"/>
      <c r="AM112" s="1077"/>
      <c r="AN112" s="1077"/>
    </row>
    <row r="113" spans="1:40" x14ac:dyDescent="0.2">
      <c r="A113" s="1106" t="e">
        <f ca="1"/>
        <v>#NAME?</v>
      </c>
      <c r="B113" s="1102" t="e">
        <f ca="1"/>
        <v>#NAME?</v>
      </c>
      <c r="C113" s="1105" t="e">
        <f ca="1"/>
        <v>#NAME?</v>
      </c>
      <c r="D113" s="1105" t="e">
        <f ca="1"/>
        <v>#NAME?</v>
      </c>
      <c r="E113" s="1102" t="e">
        <f ca="1"/>
        <v>#NAME?</v>
      </c>
      <c r="F113" s="1102" t="e">
        <f ca="1"/>
        <v>#NAME?</v>
      </c>
      <c r="G113" s="1101" t="e">
        <f ca="1"/>
        <v>#NAME?</v>
      </c>
      <c r="H113" s="1104" t="e">
        <f ca="1"/>
        <v>#NAME?</v>
      </c>
      <c r="I113" s="1103" t="e">
        <f ca="1"/>
        <v>#NAME?</v>
      </c>
      <c r="J113" s="1102" t="e">
        <f ca="1"/>
        <v>#NAME?</v>
      </c>
      <c r="K113" s="1101" t="e">
        <f ca="1"/>
        <v>#NAME?</v>
      </c>
      <c r="L113" s="1100" t="e">
        <f ca="1"/>
        <v>#NAME?</v>
      </c>
      <c r="M113" s="1098" t="e">
        <f ca="1"/>
        <v>#NAME?</v>
      </c>
      <c r="N113" s="1098" t="e">
        <f ca="1"/>
        <v>#NAME?</v>
      </c>
      <c r="O113" s="1099" t="e">
        <f ca="1"/>
        <v>#NAME?</v>
      </c>
      <c r="P113" s="1098" t="e">
        <f ca="1"/>
        <v>#NAME?</v>
      </c>
      <c r="Q113" s="1098" t="e">
        <f ca="1"/>
        <v>#NAME?</v>
      </c>
      <c r="R113" s="1098" t="e">
        <f ca="1"/>
        <v>#NAME?</v>
      </c>
      <c r="S113" s="1098" t="e">
        <f ca="1"/>
        <v>#NAME?</v>
      </c>
      <c r="T113" s="1098" t="e">
        <f ca="1"/>
        <v>#NAME?</v>
      </c>
      <c r="U113" s="1097" t="e">
        <f ca="1"/>
        <v>#NAME?</v>
      </c>
      <c r="V113" s="1086"/>
      <c r="W113" s="1086"/>
      <c r="X113" s="1086"/>
      <c r="Y113" s="1086"/>
      <c r="Z113" s="1086"/>
      <c r="AA113" s="1077"/>
      <c r="AB113" s="1077"/>
      <c r="AC113" s="1077"/>
      <c r="AD113" s="1077"/>
      <c r="AE113" s="1077"/>
      <c r="AF113" s="1077"/>
      <c r="AG113" s="1077"/>
      <c r="AH113" s="1077"/>
      <c r="AI113" s="1077"/>
      <c r="AJ113" s="1077"/>
      <c r="AK113" s="1077"/>
      <c r="AL113" s="1077"/>
      <c r="AM113" s="1077"/>
      <c r="AN113" s="1077"/>
    </row>
    <row r="114" spans="1:40" x14ac:dyDescent="0.2">
      <c r="A114" s="1106" t="e">
        <f ca="1"/>
        <v>#NAME?</v>
      </c>
      <c r="B114" s="1102" t="e">
        <f ca="1"/>
        <v>#NAME?</v>
      </c>
      <c r="C114" s="1105" t="e">
        <f ca="1"/>
        <v>#NAME?</v>
      </c>
      <c r="D114" s="1105" t="e">
        <f ca="1"/>
        <v>#NAME?</v>
      </c>
      <c r="E114" s="1102" t="e">
        <f ca="1"/>
        <v>#NAME?</v>
      </c>
      <c r="F114" s="1102" t="e">
        <f ca="1"/>
        <v>#NAME?</v>
      </c>
      <c r="G114" s="1101" t="e">
        <f ca="1"/>
        <v>#NAME?</v>
      </c>
      <c r="H114" s="1104" t="e">
        <f ca="1"/>
        <v>#NAME?</v>
      </c>
      <c r="I114" s="1103" t="e">
        <f ca="1"/>
        <v>#NAME?</v>
      </c>
      <c r="J114" s="1102" t="e">
        <f ca="1"/>
        <v>#NAME?</v>
      </c>
      <c r="K114" s="1101" t="e">
        <f ca="1"/>
        <v>#NAME?</v>
      </c>
      <c r="L114" s="1100" t="e">
        <f ca="1"/>
        <v>#NAME?</v>
      </c>
      <c r="M114" s="1098" t="e">
        <f ca="1"/>
        <v>#NAME?</v>
      </c>
      <c r="N114" s="1098" t="e">
        <f ca="1"/>
        <v>#NAME?</v>
      </c>
      <c r="O114" s="1099" t="e">
        <f ca="1"/>
        <v>#NAME?</v>
      </c>
      <c r="P114" s="1098" t="e">
        <f ca="1"/>
        <v>#NAME?</v>
      </c>
      <c r="Q114" s="1098" t="e">
        <f ca="1"/>
        <v>#NAME?</v>
      </c>
      <c r="R114" s="1098" t="e">
        <f ca="1"/>
        <v>#NAME?</v>
      </c>
      <c r="S114" s="1098" t="e">
        <f ca="1"/>
        <v>#NAME?</v>
      </c>
      <c r="T114" s="1098" t="e">
        <f ca="1"/>
        <v>#NAME?</v>
      </c>
      <c r="U114" s="1097" t="e">
        <f ca="1"/>
        <v>#NAME?</v>
      </c>
      <c r="V114" s="1086"/>
      <c r="W114" s="1086"/>
      <c r="X114" s="1086"/>
      <c r="Y114" s="1086"/>
      <c r="Z114" s="1086"/>
      <c r="AA114" s="1077"/>
      <c r="AB114" s="1077"/>
      <c r="AC114" s="1077"/>
      <c r="AD114" s="1077"/>
      <c r="AE114" s="1077"/>
      <c r="AF114" s="1077"/>
      <c r="AG114" s="1077"/>
      <c r="AH114" s="1077"/>
      <c r="AI114" s="1077"/>
      <c r="AJ114" s="1077"/>
      <c r="AK114" s="1077"/>
      <c r="AL114" s="1077"/>
      <c r="AM114" s="1077"/>
      <c r="AN114" s="1077"/>
    </row>
    <row r="115" spans="1:40" x14ac:dyDescent="0.2">
      <c r="A115" s="1106" t="e">
        <f ca="1"/>
        <v>#NAME?</v>
      </c>
      <c r="B115" s="1102" t="e">
        <f ca="1"/>
        <v>#NAME?</v>
      </c>
      <c r="C115" s="1105" t="e">
        <f ca="1"/>
        <v>#NAME?</v>
      </c>
      <c r="D115" s="1105" t="e">
        <f ca="1"/>
        <v>#NAME?</v>
      </c>
      <c r="E115" s="1102" t="e">
        <f ca="1"/>
        <v>#NAME?</v>
      </c>
      <c r="F115" s="1102" t="e">
        <f ca="1"/>
        <v>#NAME?</v>
      </c>
      <c r="G115" s="1101" t="e">
        <f ca="1"/>
        <v>#NAME?</v>
      </c>
      <c r="H115" s="1104" t="e">
        <f ca="1"/>
        <v>#NAME?</v>
      </c>
      <c r="I115" s="1103" t="e">
        <f ca="1"/>
        <v>#NAME?</v>
      </c>
      <c r="J115" s="1102" t="e">
        <f ca="1"/>
        <v>#NAME?</v>
      </c>
      <c r="K115" s="1101" t="e">
        <f ca="1"/>
        <v>#NAME?</v>
      </c>
      <c r="L115" s="1100" t="e">
        <f ca="1"/>
        <v>#NAME?</v>
      </c>
      <c r="M115" s="1098" t="e">
        <f ca="1"/>
        <v>#NAME?</v>
      </c>
      <c r="N115" s="1098" t="e">
        <f ca="1"/>
        <v>#NAME?</v>
      </c>
      <c r="O115" s="1099" t="e">
        <f ca="1"/>
        <v>#NAME?</v>
      </c>
      <c r="P115" s="1098" t="e">
        <f ca="1"/>
        <v>#NAME?</v>
      </c>
      <c r="Q115" s="1098" t="e">
        <f ca="1"/>
        <v>#NAME?</v>
      </c>
      <c r="R115" s="1098" t="e">
        <f ca="1"/>
        <v>#NAME?</v>
      </c>
      <c r="S115" s="1098" t="e">
        <f ca="1"/>
        <v>#NAME?</v>
      </c>
      <c r="T115" s="1098" t="e">
        <f ca="1"/>
        <v>#NAME?</v>
      </c>
      <c r="U115" s="1097" t="e">
        <f ca="1"/>
        <v>#NAME?</v>
      </c>
      <c r="V115" s="1086"/>
      <c r="W115" s="1086"/>
      <c r="X115" s="1086"/>
      <c r="Y115" s="1086"/>
      <c r="Z115" s="1086"/>
      <c r="AA115" s="1077"/>
      <c r="AB115" s="1077"/>
      <c r="AC115" s="1077"/>
      <c r="AD115" s="1077"/>
      <c r="AE115" s="1077"/>
      <c r="AF115" s="1077"/>
      <c r="AG115" s="1077"/>
      <c r="AH115" s="1077"/>
      <c r="AI115" s="1077"/>
      <c r="AJ115" s="1077"/>
      <c r="AK115" s="1077"/>
      <c r="AL115" s="1077"/>
      <c r="AM115" s="1077"/>
      <c r="AN115" s="1077"/>
    </row>
    <row r="116" spans="1:40" x14ac:dyDescent="0.2">
      <c r="A116" s="1106" t="e">
        <f ca="1"/>
        <v>#NAME?</v>
      </c>
      <c r="B116" s="1102" t="e">
        <f ca="1"/>
        <v>#NAME?</v>
      </c>
      <c r="C116" s="1105" t="e">
        <f ca="1"/>
        <v>#NAME?</v>
      </c>
      <c r="D116" s="1105" t="e">
        <f ca="1"/>
        <v>#NAME?</v>
      </c>
      <c r="E116" s="1102" t="e">
        <f ca="1"/>
        <v>#NAME?</v>
      </c>
      <c r="F116" s="1102" t="e">
        <f ca="1"/>
        <v>#NAME?</v>
      </c>
      <c r="G116" s="1101" t="e">
        <f ca="1"/>
        <v>#NAME?</v>
      </c>
      <c r="H116" s="1104" t="e">
        <f ca="1"/>
        <v>#NAME?</v>
      </c>
      <c r="I116" s="1103" t="e">
        <f ca="1"/>
        <v>#NAME?</v>
      </c>
      <c r="J116" s="1102" t="e">
        <f ca="1"/>
        <v>#NAME?</v>
      </c>
      <c r="K116" s="1101" t="e">
        <f ca="1"/>
        <v>#NAME?</v>
      </c>
      <c r="L116" s="1100" t="e">
        <f ca="1"/>
        <v>#NAME?</v>
      </c>
      <c r="M116" s="1098" t="e">
        <f ca="1"/>
        <v>#NAME?</v>
      </c>
      <c r="N116" s="1098" t="e">
        <f ca="1"/>
        <v>#NAME?</v>
      </c>
      <c r="O116" s="1099" t="e">
        <f ca="1"/>
        <v>#NAME?</v>
      </c>
      <c r="P116" s="1098" t="e">
        <f ca="1"/>
        <v>#NAME?</v>
      </c>
      <c r="Q116" s="1098" t="e">
        <f ca="1"/>
        <v>#NAME?</v>
      </c>
      <c r="R116" s="1098" t="e">
        <f ca="1"/>
        <v>#NAME?</v>
      </c>
      <c r="S116" s="1098" t="e">
        <f ca="1"/>
        <v>#NAME?</v>
      </c>
      <c r="T116" s="1098" t="e">
        <f ca="1"/>
        <v>#NAME?</v>
      </c>
      <c r="U116" s="1097" t="e">
        <f ca="1"/>
        <v>#NAME?</v>
      </c>
      <c r="V116" s="1086"/>
      <c r="W116" s="1086"/>
      <c r="X116" s="1086"/>
      <c r="Y116" s="1086"/>
      <c r="Z116" s="1086"/>
      <c r="AA116" s="1077"/>
      <c r="AB116" s="1077"/>
      <c r="AC116" s="1077"/>
      <c r="AD116" s="1077"/>
      <c r="AE116" s="1077"/>
      <c r="AF116" s="1077"/>
      <c r="AG116" s="1077"/>
      <c r="AH116" s="1077"/>
      <c r="AI116" s="1077"/>
      <c r="AJ116" s="1077"/>
      <c r="AK116" s="1077"/>
      <c r="AL116" s="1077"/>
      <c r="AM116" s="1077"/>
      <c r="AN116" s="1077"/>
    </row>
    <row r="117" spans="1:40" x14ac:dyDescent="0.2">
      <c r="A117" s="1106" t="e">
        <f ca="1"/>
        <v>#NAME?</v>
      </c>
      <c r="B117" s="1102" t="e">
        <f ca="1"/>
        <v>#NAME?</v>
      </c>
      <c r="C117" s="1105" t="e">
        <f ca="1"/>
        <v>#NAME?</v>
      </c>
      <c r="D117" s="1105" t="e">
        <f ca="1"/>
        <v>#NAME?</v>
      </c>
      <c r="E117" s="1102" t="e">
        <f ca="1"/>
        <v>#NAME?</v>
      </c>
      <c r="F117" s="1102" t="e">
        <f ca="1"/>
        <v>#NAME?</v>
      </c>
      <c r="G117" s="1101" t="e">
        <f ca="1"/>
        <v>#NAME?</v>
      </c>
      <c r="H117" s="1104" t="e">
        <f ca="1"/>
        <v>#NAME?</v>
      </c>
      <c r="I117" s="1103" t="e">
        <f ca="1"/>
        <v>#NAME?</v>
      </c>
      <c r="J117" s="1102" t="e">
        <f ca="1"/>
        <v>#NAME?</v>
      </c>
      <c r="K117" s="1101" t="e">
        <f ca="1"/>
        <v>#NAME?</v>
      </c>
      <c r="L117" s="1100" t="e">
        <f ca="1"/>
        <v>#NAME?</v>
      </c>
      <c r="M117" s="1098" t="e">
        <f ca="1"/>
        <v>#NAME?</v>
      </c>
      <c r="N117" s="1098" t="e">
        <f ca="1"/>
        <v>#NAME?</v>
      </c>
      <c r="O117" s="1099" t="e">
        <f ca="1"/>
        <v>#NAME?</v>
      </c>
      <c r="P117" s="1098" t="e">
        <f ca="1"/>
        <v>#NAME?</v>
      </c>
      <c r="Q117" s="1098" t="e">
        <f ca="1"/>
        <v>#NAME?</v>
      </c>
      <c r="R117" s="1098" t="e">
        <f ca="1"/>
        <v>#NAME?</v>
      </c>
      <c r="S117" s="1098" t="e">
        <f ca="1"/>
        <v>#NAME?</v>
      </c>
      <c r="T117" s="1098" t="e">
        <f ca="1"/>
        <v>#NAME?</v>
      </c>
      <c r="U117" s="1097" t="e">
        <f ca="1"/>
        <v>#NAME?</v>
      </c>
      <c r="V117" s="1086"/>
      <c r="W117" s="1086"/>
      <c r="X117" s="1086"/>
      <c r="Y117" s="1086"/>
      <c r="Z117" s="1086"/>
      <c r="AA117" s="1077"/>
      <c r="AB117" s="1077"/>
      <c r="AC117" s="1077"/>
      <c r="AD117" s="1077"/>
      <c r="AE117" s="1077"/>
      <c r="AF117" s="1077"/>
      <c r="AG117" s="1077"/>
      <c r="AH117" s="1077"/>
      <c r="AI117" s="1077"/>
      <c r="AJ117" s="1077"/>
      <c r="AK117" s="1077"/>
      <c r="AL117" s="1077"/>
      <c r="AM117" s="1077"/>
      <c r="AN117" s="1077"/>
    </row>
    <row r="118" spans="1:40" x14ac:dyDescent="0.2">
      <c r="A118" s="1106" t="e">
        <f ca="1"/>
        <v>#NAME?</v>
      </c>
      <c r="B118" s="1102" t="e">
        <f ca="1"/>
        <v>#NAME?</v>
      </c>
      <c r="C118" s="1105" t="e">
        <f ca="1"/>
        <v>#NAME?</v>
      </c>
      <c r="D118" s="1105" t="e">
        <f ca="1"/>
        <v>#NAME?</v>
      </c>
      <c r="E118" s="1102" t="e">
        <f ca="1"/>
        <v>#NAME?</v>
      </c>
      <c r="F118" s="1102" t="e">
        <f ca="1"/>
        <v>#NAME?</v>
      </c>
      <c r="G118" s="1101" t="e">
        <f ca="1"/>
        <v>#NAME?</v>
      </c>
      <c r="H118" s="1104" t="e">
        <f ca="1"/>
        <v>#NAME?</v>
      </c>
      <c r="I118" s="1103" t="e">
        <f ca="1"/>
        <v>#NAME?</v>
      </c>
      <c r="J118" s="1102" t="e">
        <f ca="1"/>
        <v>#NAME?</v>
      </c>
      <c r="K118" s="1101" t="e">
        <f ca="1"/>
        <v>#NAME?</v>
      </c>
      <c r="L118" s="1100" t="e">
        <f ca="1"/>
        <v>#NAME?</v>
      </c>
      <c r="M118" s="1098" t="e">
        <f ca="1"/>
        <v>#NAME?</v>
      </c>
      <c r="N118" s="1098" t="e">
        <f ca="1"/>
        <v>#NAME?</v>
      </c>
      <c r="O118" s="1099" t="e">
        <f ca="1"/>
        <v>#NAME?</v>
      </c>
      <c r="P118" s="1098" t="e">
        <f ca="1"/>
        <v>#NAME?</v>
      </c>
      <c r="Q118" s="1098" t="e">
        <f ca="1"/>
        <v>#NAME?</v>
      </c>
      <c r="R118" s="1098" t="e">
        <f ca="1"/>
        <v>#NAME?</v>
      </c>
      <c r="S118" s="1098" t="e">
        <f ca="1"/>
        <v>#NAME?</v>
      </c>
      <c r="T118" s="1098" t="e">
        <f ca="1"/>
        <v>#NAME?</v>
      </c>
      <c r="U118" s="1097" t="e">
        <f ca="1"/>
        <v>#NAME?</v>
      </c>
      <c r="V118" s="1086"/>
      <c r="W118" s="1086"/>
      <c r="X118" s="1086"/>
      <c r="Y118" s="1086"/>
      <c r="Z118" s="1086"/>
      <c r="AA118" s="1077"/>
      <c r="AB118" s="1077"/>
      <c r="AC118" s="1077"/>
      <c r="AD118" s="1077"/>
      <c r="AE118" s="1077"/>
      <c r="AF118" s="1077"/>
      <c r="AG118" s="1077"/>
      <c r="AH118" s="1077"/>
      <c r="AI118" s="1077"/>
      <c r="AJ118" s="1077"/>
      <c r="AK118" s="1077"/>
      <c r="AL118" s="1077"/>
      <c r="AM118" s="1077"/>
      <c r="AN118" s="1077"/>
    </row>
    <row r="119" spans="1:40" x14ac:dyDescent="0.2">
      <c r="A119" s="1106" t="e">
        <f ca="1"/>
        <v>#NAME?</v>
      </c>
      <c r="B119" s="1102" t="e">
        <f ca="1"/>
        <v>#NAME?</v>
      </c>
      <c r="C119" s="1105" t="e">
        <f ca="1"/>
        <v>#NAME?</v>
      </c>
      <c r="D119" s="1105" t="e">
        <f ca="1"/>
        <v>#NAME?</v>
      </c>
      <c r="E119" s="1102" t="e">
        <f ca="1"/>
        <v>#NAME?</v>
      </c>
      <c r="F119" s="1102" t="e">
        <f ca="1"/>
        <v>#NAME?</v>
      </c>
      <c r="G119" s="1101" t="e">
        <f ca="1"/>
        <v>#NAME?</v>
      </c>
      <c r="H119" s="1104" t="e">
        <f ca="1"/>
        <v>#NAME?</v>
      </c>
      <c r="I119" s="1103" t="e">
        <f ca="1"/>
        <v>#NAME?</v>
      </c>
      <c r="J119" s="1102" t="e">
        <f ca="1"/>
        <v>#NAME?</v>
      </c>
      <c r="K119" s="1101" t="e">
        <f ca="1"/>
        <v>#NAME?</v>
      </c>
      <c r="L119" s="1100" t="e">
        <f ca="1"/>
        <v>#NAME?</v>
      </c>
      <c r="M119" s="1098" t="e">
        <f ca="1"/>
        <v>#NAME?</v>
      </c>
      <c r="N119" s="1098" t="e">
        <f ca="1"/>
        <v>#NAME?</v>
      </c>
      <c r="O119" s="1099" t="e">
        <f ca="1"/>
        <v>#NAME?</v>
      </c>
      <c r="P119" s="1098" t="e">
        <f ca="1"/>
        <v>#NAME?</v>
      </c>
      <c r="Q119" s="1098" t="e">
        <f ca="1"/>
        <v>#NAME?</v>
      </c>
      <c r="R119" s="1098" t="e">
        <f ca="1"/>
        <v>#NAME?</v>
      </c>
      <c r="S119" s="1098" t="e">
        <f ca="1"/>
        <v>#NAME?</v>
      </c>
      <c r="T119" s="1098" t="e">
        <f ca="1"/>
        <v>#NAME?</v>
      </c>
      <c r="U119" s="1097" t="e">
        <f ca="1"/>
        <v>#NAME?</v>
      </c>
      <c r="V119" s="1086"/>
      <c r="W119" s="1086"/>
      <c r="X119" s="1086"/>
      <c r="Y119" s="1086"/>
      <c r="Z119" s="1086"/>
      <c r="AA119" s="1077"/>
      <c r="AB119" s="1077"/>
      <c r="AC119" s="1077"/>
      <c r="AD119" s="1077"/>
      <c r="AE119" s="1077"/>
      <c r="AF119" s="1077"/>
      <c r="AG119" s="1077"/>
      <c r="AH119" s="1077"/>
      <c r="AI119" s="1077"/>
      <c r="AJ119" s="1077"/>
      <c r="AK119" s="1077"/>
      <c r="AL119" s="1077"/>
      <c r="AM119" s="1077"/>
      <c r="AN119" s="1077"/>
    </row>
    <row r="120" spans="1:40" x14ac:dyDescent="0.2">
      <c r="A120" s="1106" t="e">
        <f ca="1"/>
        <v>#NAME?</v>
      </c>
      <c r="B120" s="1102" t="e">
        <f ca="1"/>
        <v>#NAME?</v>
      </c>
      <c r="C120" s="1105" t="e">
        <f ca="1"/>
        <v>#NAME?</v>
      </c>
      <c r="D120" s="1105" t="e">
        <f ca="1"/>
        <v>#NAME?</v>
      </c>
      <c r="E120" s="1102" t="e">
        <f ca="1"/>
        <v>#NAME?</v>
      </c>
      <c r="F120" s="1102" t="e">
        <f ca="1"/>
        <v>#NAME?</v>
      </c>
      <c r="G120" s="1101" t="e">
        <f ca="1"/>
        <v>#NAME?</v>
      </c>
      <c r="H120" s="1104" t="e">
        <f ca="1"/>
        <v>#NAME?</v>
      </c>
      <c r="I120" s="1103" t="e">
        <f ca="1"/>
        <v>#NAME?</v>
      </c>
      <c r="J120" s="1102" t="e">
        <f ca="1"/>
        <v>#NAME?</v>
      </c>
      <c r="K120" s="1101" t="e">
        <f ca="1"/>
        <v>#NAME?</v>
      </c>
      <c r="L120" s="1100" t="e">
        <f ca="1"/>
        <v>#NAME?</v>
      </c>
      <c r="M120" s="1098" t="e">
        <f ca="1"/>
        <v>#NAME?</v>
      </c>
      <c r="N120" s="1098" t="e">
        <f ca="1"/>
        <v>#NAME?</v>
      </c>
      <c r="O120" s="1099" t="e">
        <f ca="1"/>
        <v>#NAME?</v>
      </c>
      <c r="P120" s="1098" t="e">
        <f ca="1"/>
        <v>#NAME?</v>
      </c>
      <c r="Q120" s="1098" t="e">
        <f ca="1"/>
        <v>#NAME?</v>
      </c>
      <c r="R120" s="1098" t="e">
        <f ca="1"/>
        <v>#NAME?</v>
      </c>
      <c r="S120" s="1098" t="e">
        <f ca="1"/>
        <v>#NAME?</v>
      </c>
      <c r="T120" s="1098" t="e">
        <f ca="1"/>
        <v>#NAME?</v>
      </c>
      <c r="U120" s="1097" t="e">
        <f ca="1"/>
        <v>#NAME?</v>
      </c>
      <c r="V120" s="1086"/>
      <c r="W120" s="1086"/>
      <c r="X120" s="1086"/>
      <c r="Y120" s="1086"/>
      <c r="Z120" s="1086"/>
      <c r="AA120" s="1077"/>
      <c r="AB120" s="1077"/>
      <c r="AC120" s="1077"/>
      <c r="AD120" s="1077"/>
      <c r="AE120" s="1077"/>
      <c r="AF120" s="1077"/>
      <c r="AG120" s="1077"/>
      <c r="AH120" s="1077"/>
      <c r="AI120" s="1077"/>
      <c r="AJ120" s="1077"/>
      <c r="AK120" s="1077"/>
      <c r="AL120" s="1077"/>
      <c r="AM120" s="1077"/>
      <c r="AN120" s="1077"/>
    </row>
    <row r="121" spans="1:40" x14ac:dyDescent="0.2">
      <c r="A121" s="1106" t="e">
        <f ca="1"/>
        <v>#NAME?</v>
      </c>
      <c r="B121" s="1102" t="e">
        <f ca="1"/>
        <v>#NAME?</v>
      </c>
      <c r="C121" s="1105" t="e">
        <f ca="1"/>
        <v>#NAME?</v>
      </c>
      <c r="D121" s="1105" t="e">
        <f ca="1"/>
        <v>#NAME?</v>
      </c>
      <c r="E121" s="1102" t="e">
        <f ca="1"/>
        <v>#NAME?</v>
      </c>
      <c r="F121" s="1102" t="e">
        <f ca="1"/>
        <v>#NAME?</v>
      </c>
      <c r="G121" s="1101" t="e">
        <f ca="1"/>
        <v>#NAME?</v>
      </c>
      <c r="H121" s="1104" t="e">
        <f ca="1"/>
        <v>#NAME?</v>
      </c>
      <c r="I121" s="1103" t="e">
        <f ca="1"/>
        <v>#NAME?</v>
      </c>
      <c r="J121" s="1102" t="e">
        <f ca="1"/>
        <v>#NAME?</v>
      </c>
      <c r="K121" s="1101" t="e">
        <f ca="1"/>
        <v>#NAME?</v>
      </c>
      <c r="L121" s="1100" t="e">
        <f ca="1"/>
        <v>#NAME?</v>
      </c>
      <c r="M121" s="1098" t="e">
        <f ca="1"/>
        <v>#NAME?</v>
      </c>
      <c r="N121" s="1098" t="e">
        <f ca="1"/>
        <v>#NAME?</v>
      </c>
      <c r="O121" s="1099" t="e">
        <f ca="1"/>
        <v>#NAME?</v>
      </c>
      <c r="P121" s="1098" t="e">
        <f ca="1"/>
        <v>#NAME?</v>
      </c>
      <c r="Q121" s="1098" t="e">
        <f ca="1"/>
        <v>#NAME?</v>
      </c>
      <c r="R121" s="1098" t="e">
        <f ca="1"/>
        <v>#NAME?</v>
      </c>
      <c r="S121" s="1098" t="e">
        <f ca="1"/>
        <v>#NAME?</v>
      </c>
      <c r="T121" s="1098" t="e">
        <f ca="1"/>
        <v>#NAME?</v>
      </c>
      <c r="U121" s="1097" t="e">
        <f ca="1"/>
        <v>#NAME?</v>
      </c>
      <c r="V121" s="1086"/>
      <c r="W121" s="1086"/>
      <c r="X121" s="1086"/>
      <c r="Y121" s="1086"/>
      <c r="Z121" s="1086"/>
      <c r="AA121" s="1077"/>
      <c r="AB121" s="1077"/>
      <c r="AC121" s="1077"/>
      <c r="AD121" s="1077"/>
      <c r="AE121" s="1077"/>
      <c r="AF121" s="1077"/>
      <c r="AG121" s="1077"/>
      <c r="AH121" s="1077"/>
      <c r="AI121" s="1077"/>
      <c r="AJ121" s="1077"/>
      <c r="AK121" s="1077"/>
      <c r="AL121" s="1077"/>
      <c r="AM121" s="1077"/>
      <c r="AN121" s="1077"/>
    </row>
    <row r="122" spans="1:40" ht="12" thickBot="1" x14ac:dyDescent="0.25">
      <c r="A122" s="1096" t="e">
        <f ca="1"/>
        <v>#NAME?</v>
      </c>
      <c r="B122" s="1092" t="e">
        <f ca="1"/>
        <v>#NAME?</v>
      </c>
      <c r="C122" s="1095" t="e">
        <f ca="1"/>
        <v>#NAME?</v>
      </c>
      <c r="D122" s="1095" t="e">
        <f ca="1"/>
        <v>#NAME?</v>
      </c>
      <c r="E122" s="1092" t="e">
        <f ca="1"/>
        <v>#NAME?</v>
      </c>
      <c r="F122" s="1092" t="e">
        <f ca="1"/>
        <v>#NAME?</v>
      </c>
      <c r="G122" s="1091" t="e">
        <f ca="1"/>
        <v>#NAME?</v>
      </c>
      <c r="H122" s="1094" t="e">
        <f ca="1"/>
        <v>#NAME?</v>
      </c>
      <c r="I122" s="1093" t="e">
        <f ca="1"/>
        <v>#NAME?</v>
      </c>
      <c r="J122" s="1092" t="e">
        <f ca="1"/>
        <v>#NAME?</v>
      </c>
      <c r="K122" s="1091" t="e">
        <f ca="1"/>
        <v>#NAME?</v>
      </c>
      <c r="L122" s="1090" t="e">
        <f ca="1"/>
        <v>#NAME?</v>
      </c>
      <c r="M122" s="1088" t="e">
        <f ca="1"/>
        <v>#NAME?</v>
      </c>
      <c r="N122" s="1088" t="e">
        <f ca="1"/>
        <v>#NAME?</v>
      </c>
      <c r="O122" s="1089" t="e">
        <f ca="1"/>
        <v>#NAME?</v>
      </c>
      <c r="P122" s="1088" t="e">
        <f ca="1"/>
        <v>#NAME?</v>
      </c>
      <c r="Q122" s="1088" t="e">
        <f ca="1"/>
        <v>#NAME?</v>
      </c>
      <c r="R122" s="1088" t="e">
        <f ca="1"/>
        <v>#NAME?</v>
      </c>
      <c r="S122" s="1088" t="e">
        <f ca="1"/>
        <v>#NAME?</v>
      </c>
      <c r="T122" s="1088" t="e">
        <f ca="1"/>
        <v>#NAME?</v>
      </c>
      <c r="U122" s="1087" t="e">
        <f ca="1"/>
        <v>#NAME?</v>
      </c>
      <c r="V122" s="1086"/>
      <c r="W122" s="1086"/>
      <c r="X122" s="1086"/>
      <c r="Y122" s="1086"/>
      <c r="Z122" s="1086"/>
      <c r="AA122" s="1077"/>
      <c r="AB122" s="1077"/>
      <c r="AC122" s="1077"/>
      <c r="AD122" s="1077"/>
      <c r="AE122" s="1077"/>
      <c r="AF122" s="1077"/>
      <c r="AG122" s="1077"/>
      <c r="AH122" s="1077"/>
      <c r="AI122" s="1077"/>
      <c r="AJ122" s="1077"/>
      <c r="AK122" s="1077"/>
      <c r="AL122" s="1077"/>
      <c r="AM122" s="1077"/>
      <c r="AN122" s="1077"/>
    </row>
    <row r="123" spans="1:40" x14ac:dyDescent="0.2">
      <c r="B123" s="1083"/>
      <c r="C123" s="1085"/>
      <c r="D123" s="1085"/>
      <c r="E123" s="1083"/>
      <c r="F123" s="1083"/>
      <c r="G123" s="1082"/>
      <c r="H123" s="1084"/>
      <c r="I123" s="1082"/>
      <c r="J123" s="1083"/>
      <c r="K123" s="1082"/>
      <c r="L123" s="1081"/>
      <c r="M123" s="1080"/>
      <c r="N123" s="1078"/>
      <c r="O123" s="1079"/>
      <c r="P123" s="1078"/>
      <c r="Q123" s="1078"/>
      <c r="R123" s="1078"/>
      <c r="S123" s="1078"/>
      <c r="T123" s="1078"/>
      <c r="U123" s="1077"/>
      <c r="V123" s="1077"/>
      <c r="W123" s="1077"/>
      <c r="X123" s="1077"/>
      <c r="Y123" s="1077"/>
      <c r="Z123" s="1077"/>
      <c r="AA123" s="1077"/>
      <c r="AB123" s="1077"/>
      <c r="AC123" s="1077"/>
      <c r="AD123" s="1077"/>
      <c r="AE123" s="1077"/>
      <c r="AF123" s="1077"/>
      <c r="AG123" s="1077"/>
      <c r="AH123" s="1077"/>
      <c r="AI123" s="1077"/>
      <c r="AJ123" s="1077"/>
      <c r="AK123" s="1077"/>
      <c r="AL123" s="1077"/>
      <c r="AM123" s="1077"/>
      <c r="AN123" s="1077"/>
    </row>
  </sheetData>
  <mergeCells count="1">
    <mergeCell ref="A1:U1"/>
  </mergeCells>
  <pageMargins left="0.75" right="0.75" top="1" bottom="1" header="0.5" footer="0.5"/>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fitToPage="1"/>
  </sheetPr>
  <dimension ref="A1:X20"/>
  <sheetViews>
    <sheetView showGridLines="0" topLeftCell="I1" workbookViewId="0">
      <selection activeCell="X2" sqref="X2:X3"/>
    </sheetView>
  </sheetViews>
  <sheetFormatPr defaultColWidth="9.28515625" defaultRowHeight="11.25" outlineLevelCol="1" x14ac:dyDescent="0.2"/>
  <cols>
    <col min="1" max="1" width="4" style="1303" hidden="1" customWidth="1" outlineLevel="1"/>
    <col min="2" max="2" width="5" style="1303" hidden="1" customWidth="1" outlineLevel="1"/>
    <col min="3" max="3" width="10" style="1303" hidden="1" customWidth="1" outlineLevel="1"/>
    <col min="4" max="4" width="6" style="1303" hidden="1" customWidth="1" outlineLevel="1"/>
    <col min="5" max="5" width="3" style="1303" hidden="1" customWidth="1" outlineLevel="1"/>
    <col min="6" max="6" width="4" style="1303" hidden="1" customWidth="1" outlineLevel="1"/>
    <col min="7" max="7" width="5" style="1303" hidden="1" customWidth="1" outlineLevel="1"/>
    <col min="8" max="8" width="6" style="1303" hidden="1" customWidth="1" outlineLevel="1"/>
    <col min="9" max="9" width="2.7109375" style="1303" customWidth="1" collapsed="1"/>
    <col min="10" max="10" width="2.7109375" style="1303" customWidth="1"/>
    <col min="11" max="11" width="14.140625" style="1303" bestFit="1" customWidth="1"/>
    <col min="12" max="12" width="18.28515625" style="1303" bestFit="1" customWidth="1"/>
    <col min="13" max="13" width="13.140625" style="1303" bestFit="1" customWidth="1"/>
    <col min="14" max="15" width="7" style="1303" hidden="1" customWidth="1" outlineLevel="1"/>
    <col min="16" max="16" width="20.28515625" style="1303" hidden="1" customWidth="1" outlineLevel="1"/>
    <col min="17" max="17" width="20.28515625" style="1303" bestFit="1" customWidth="1" collapsed="1"/>
    <col min="18" max="18" width="2" style="1303" bestFit="1" customWidth="1"/>
    <col min="19" max="19" width="2.7109375" style="1303" customWidth="1"/>
    <col min="20" max="20" width="18.28515625" style="1303" bestFit="1" customWidth="1"/>
    <col min="21" max="21" width="26.5703125" style="1303" bestFit="1" customWidth="1"/>
    <col min="22" max="16384" width="9.28515625" style="1303"/>
  </cols>
  <sheetData>
    <row r="1" spans="1:24" ht="12" thickBot="1" x14ac:dyDescent="0.25">
      <c r="J1" s="1304"/>
      <c r="K1" s="1304"/>
      <c r="L1" s="1304"/>
      <c r="M1" s="1304"/>
      <c r="N1" s="1304"/>
      <c r="O1" s="1304"/>
      <c r="P1" s="1304"/>
      <c r="Q1" s="1304"/>
      <c r="R1" s="1304"/>
      <c r="S1" s="1304"/>
      <c r="T1" s="1304"/>
      <c r="U1" s="1304"/>
    </row>
    <row r="2" spans="1:24" ht="15" x14ac:dyDescent="0.25">
      <c r="J2" s="1328"/>
      <c r="K2" s="1360"/>
      <c r="L2" s="1360"/>
      <c r="M2" s="1360"/>
      <c r="N2" s="1360"/>
      <c r="O2" s="1360"/>
      <c r="P2" s="1360"/>
      <c r="Q2" s="1360"/>
      <c r="R2" s="1326" t="s">
        <v>148</v>
      </c>
      <c r="S2" s="1304"/>
      <c r="T2" s="1353" t="s">
        <v>239</v>
      </c>
      <c r="U2" s="1359"/>
      <c r="W2" s="1361" t="s">
        <v>529</v>
      </c>
      <c r="X2" s="1364" t="e">
        <f ca="1">_xll.ohTrigger(GeneralSettings_4!Trigger2)</f>
        <v>#NAME?</v>
      </c>
    </row>
    <row r="3" spans="1:24" ht="17.25" thickBot="1" x14ac:dyDescent="0.3">
      <c r="J3" s="1313"/>
      <c r="K3" s="1347" t="s">
        <v>528</v>
      </c>
      <c r="L3" s="1346"/>
      <c r="M3" s="1346"/>
      <c r="N3" s="1346"/>
      <c r="O3" s="1346"/>
      <c r="P3" s="1346"/>
      <c r="Q3" s="1345"/>
      <c r="R3" s="1308" t="s">
        <v>148</v>
      </c>
      <c r="S3" s="1304"/>
      <c r="T3" s="1304"/>
      <c r="U3" s="1304"/>
      <c r="W3" s="1362" t="s">
        <v>530</v>
      </c>
      <c r="X3" s="1365" t="e">
        <f ca="1">_xll.ohTrigger(M12:M17)</f>
        <v>#NAME?</v>
      </c>
    </row>
    <row r="4" spans="1:24" x14ac:dyDescent="0.2">
      <c r="A4" s="1358" t="s">
        <v>230</v>
      </c>
      <c r="B4" s="1357" t="s">
        <v>92</v>
      </c>
      <c r="C4" s="1357" t="s">
        <v>527</v>
      </c>
      <c r="D4" s="1357" t="s">
        <v>526</v>
      </c>
      <c r="E4" s="1357" t="s">
        <v>21</v>
      </c>
      <c r="F4" s="1357" t="s">
        <v>66</v>
      </c>
      <c r="G4" s="1357" t="s">
        <v>124</v>
      </c>
      <c r="H4" s="1356" t="s">
        <v>225</v>
      </c>
      <c r="J4" s="1313"/>
      <c r="K4" s="1344" t="s">
        <v>12</v>
      </c>
      <c r="L4" s="1343" t="s">
        <v>525</v>
      </c>
      <c r="M4" s="1343" t="s">
        <v>524</v>
      </c>
      <c r="N4" s="1343"/>
      <c r="O4" s="1343"/>
      <c r="P4" s="1343"/>
      <c r="Q4" s="1342" t="s">
        <v>498</v>
      </c>
      <c r="R4" s="1308" t="s">
        <v>148</v>
      </c>
      <c r="S4" s="1304"/>
      <c r="T4" s="1353" t="s">
        <v>231</v>
      </c>
      <c r="U4" s="1352" t="s">
        <v>230</v>
      </c>
    </row>
    <row r="5" spans="1:24" x14ac:dyDescent="0.2">
      <c r="A5" s="1339" t="s">
        <v>523</v>
      </c>
      <c r="B5" s="1338" t="s">
        <v>127</v>
      </c>
      <c r="C5" s="1338" t="s">
        <v>494</v>
      </c>
      <c r="D5" s="1338" t="s">
        <v>522</v>
      </c>
      <c r="E5" s="1338" t="s">
        <v>521</v>
      </c>
      <c r="F5" s="1338" t="s">
        <v>520</v>
      </c>
      <c r="G5" s="1338" t="s">
        <v>124</v>
      </c>
      <c r="H5" s="1337" t="s">
        <v>487</v>
      </c>
      <c r="J5" s="1313"/>
      <c r="K5" s="1317" t="str">
        <f>VLOOKUP(Currency,FuturesTable,3,0)</f>
        <v>FGBLc1</v>
      </c>
      <c r="L5" s="1316">
        <v>41981</v>
      </c>
      <c r="M5" s="1355">
        <v>151.02000000000001</v>
      </c>
      <c r="N5" s="1355"/>
      <c r="O5" s="1355"/>
      <c r="P5" s="1355"/>
      <c r="Q5" s="1354" t="e">
        <f ca="1">_xll.RData(K5,{"EXPIR_DATE","LAST"},,"FRQ:1S",,L5)</f>
        <v>#NAME?</v>
      </c>
      <c r="R5" s="1308" t="s">
        <v>148</v>
      </c>
      <c r="S5" s="1304"/>
      <c r="T5" s="1353" t="s">
        <v>519</v>
      </c>
      <c r="U5" s="1352" t="e">
        <f ca="1">_xll.ohBoostVersion(Trigger)&amp;" / "&amp;_xll.ohVersion(Trigger)&amp;" / "&amp;_xll.qlVersion(Trigger)</f>
        <v>#NAME?</v>
      </c>
    </row>
    <row r="6" spans="1:24" x14ac:dyDescent="0.2">
      <c r="A6" s="1339" t="s">
        <v>518</v>
      </c>
      <c r="B6" s="1338" t="s">
        <v>92</v>
      </c>
      <c r="C6" s="1338" t="s">
        <v>517</v>
      </c>
      <c r="D6" s="1338" t="s">
        <v>516</v>
      </c>
      <c r="E6" s="1338" t="s">
        <v>508</v>
      </c>
      <c r="F6" s="1338" t="s">
        <v>121</v>
      </c>
      <c r="G6" s="1338" t="s">
        <v>124</v>
      </c>
      <c r="H6" s="1337" t="s">
        <v>487</v>
      </c>
      <c r="J6" s="1351"/>
      <c r="K6" s="1323" t="e">
        <f ca="1">D14</f>
        <v>#NAME?</v>
      </c>
      <c r="L6" s="1322">
        <v>42170</v>
      </c>
      <c r="M6" s="1349">
        <v>99.915000000000006</v>
      </c>
      <c r="N6" s="1349"/>
      <c r="O6" s="1349"/>
      <c r="P6" s="1349"/>
      <c r="Q6" s="1348" t="e">
        <f ca="1">_xll.RData(K6,{"EXPIR_DATE","LAST"},,"FRQ:1S",,L6)</f>
        <v>#NAME?</v>
      </c>
      <c r="R6" s="1308" t="s">
        <v>148</v>
      </c>
      <c r="S6" s="1304"/>
      <c r="T6" s="1353" t="s">
        <v>515</v>
      </c>
      <c r="U6" s="1352" t="e">
        <f ca="1">_xll.ohRepositoryObjectCount(Trigger)</f>
        <v>#NAME?</v>
      </c>
    </row>
    <row r="7" spans="1:24" x14ac:dyDescent="0.2">
      <c r="A7" s="1339" t="s">
        <v>514</v>
      </c>
      <c r="B7" s="1338" t="s">
        <v>127</v>
      </c>
      <c r="C7" s="1338" t="s">
        <v>494</v>
      </c>
      <c r="D7" s="1338" t="s">
        <v>513</v>
      </c>
      <c r="E7" s="1338" t="s">
        <v>493</v>
      </c>
      <c r="F7" s="1338" t="s">
        <v>492</v>
      </c>
      <c r="G7" s="1338" t="s">
        <v>512</v>
      </c>
      <c r="H7" s="1337" t="s">
        <v>490</v>
      </c>
      <c r="J7" s="1351"/>
      <c r="K7" s="1323" t="str">
        <f>Currency&amp;VLOOKUP(Currency,FuturesTable,5,0)&amp;VLOOKUP(Currency,FuturesTable,6,0)&amp;"10Y"</f>
        <v>EURAB6E10Y</v>
      </c>
      <c r="L7" s="1322">
        <v>41932</v>
      </c>
      <c r="M7" s="1350" t="str">
        <f>N7&amp;"/"&amp;O7</f>
        <v>1.06/1.1</v>
      </c>
      <c r="N7" s="1349">
        <v>1.06</v>
      </c>
      <c r="O7" s="1349">
        <v>1.1000000000000001</v>
      </c>
      <c r="P7" s="1349" t="e">
        <f ca="1">_xll.RData(K7&amp;"="&amp;VLOOKUP(Currency,FuturesTable,7,0),{"BID","ASK"},,"FRQ:1S",,N7)</f>
        <v>#NAME?</v>
      </c>
      <c r="Q7" s="1348" t="e">
        <f ca="1">_xll.RData(K7&amp;"="&amp;VLOOKUP(Currency,FuturesTable,7,0),"VALUE_DT1",,"FRQ:1S",,L7)</f>
        <v>#NAME?</v>
      </c>
      <c r="R7" s="1308" t="s">
        <v>148</v>
      </c>
      <c r="S7" s="1304"/>
      <c r="T7" s="1304"/>
      <c r="U7" s="1304"/>
    </row>
    <row r="8" spans="1:24" ht="16.5" x14ac:dyDescent="0.2">
      <c r="A8" s="1339" t="s">
        <v>511</v>
      </c>
      <c r="B8" s="1338" t="s">
        <v>92</v>
      </c>
      <c r="C8" s="1338" t="s">
        <v>510</v>
      </c>
      <c r="D8" s="1338" t="s">
        <v>509</v>
      </c>
      <c r="E8" s="1338" t="s">
        <v>508</v>
      </c>
      <c r="F8" s="1338" t="s">
        <v>121</v>
      </c>
      <c r="G8" s="1338" t="s">
        <v>124</v>
      </c>
      <c r="H8" s="1337" t="s">
        <v>487</v>
      </c>
      <c r="J8" s="1313"/>
      <c r="K8" s="1347" t="s">
        <v>507</v>
      </c>
      <c r="L8" s="1346"/>
      <c r="M8" s="1346"/>
      <c r="N8" s="1346"/>
      <c r="O8" s="1346"/>
      <c r="P8" s="1346"/>
      <c r="Q8" s="1345"/>
      <c r="R8" s="1308" t="s">
        <v>148</v>
      </c>
      <c r="S8" s="1304"/>
      <c r="T8" s="1304"/>
      <c r="U8" s="1304"/>
    </row>
    <row r="9" spans="1:24" x14ac:dyDescent="0.2">
      <c r="A9" s="1339" t="s">
        <v>506</v>
      </c>
      <c r="B9" s="1338" t="s">
        <v>92</v>
      </c>
      <c r="C9" s="1338" t="s">
        <v>494</v>
      </c>
      <c r="D9" s="1338" t="s">
        <v>505</v>
      </c>
      <c r="E9" s="1338" t="s">
        <v>504</v>
      </c>
      <c r="F9" s="1338" t="s">
        <v>503</v>
      </c>
      <c r="G9" s="1338" t="s">
        <v>502</v>
      </c>
      <c r="H9" s="1337" t="s">
        <v>501</v>
      </c>
      <c r="J9" s="1313"/>
      <c r="K9" s="1344" t="s">
        <v>427</v>
      </c>
      <c r="L9" s="1343" t="s">
        <v>500</v>
      </c>
      <c r="M9" s="1343" t="s">
        <v>499</v>
      </c>
      <c r="N9" s="1343"/>
      <c r="O9" s="1343"/>
      <c r="P9" s="1343"/>
      <c r="Q9" s="1342" t="s">
        <v>498</v>
      </c>
      <c r="R9" s="1308" t="s">
        <v>148</v>
      </c>
      <c r="S9" s="1304"/>
      <c r="T9" s="1304"/>
      <c r="U9" s="1304"/>
    </row>
    <row r="10" spans="1:24" x14ac:dyDescent="0.2">
      <c r="A10" s="1339" t="s">
        <v>497</v>
      </c>
      <c r="B10" s="1338" t="s">
        <v>127</v>
      </c>
      <c r="C10" s="1338" t="s">
        <v>494</v>
      </c>
      <c r="D10" s="1338" t="s">
        <v>68</v>
      </c>
      <c r="E10" s="1338" t="s">
        <v>493</v>
      </c>
      <c r="F10" s="1338" t="s">
        <v>98</v>
      </c>
      <c r="G10" s="1338" t="s">
        <v>491</v>
      </c>
      <c r="H10" s="1337" t="s">
        <v>496</v>
      </c>
      <c r="J10" s="1313"/>
      <c r="K10" s="1317" t="str">
        <f>PROPER(Currency)&amp;VLOOKUP(Currency,FuturesTable,8,0)&amp;VLOOKUP(Currency,FuturesTable,2,0)</f>
        <v>Euribor6M</v>
      </c>
      <c r="L10" s="1316" t="e">
        <f ca="1">_xll.qlCalendarAdvance("TARGET",L11,"-1M","f",,Trigger)</f>
        <v>#NAME?</v>
      </c>
      <c r="M10" s="1341" t="e">
        <f ca="1">_xll.qlIndexFixing(FirstIndex,L10,,Trigger)</f>
        <v>#NAME?</v>
      </c>
      <c r="N10" s="1341"/>
      <c r="O10" s="1341"/>
      <c r="P10" s="1341"/>
      <c r="Q10" s="1340" t="e">
        <f ca="1">IF(AND(ISERROR(L10),ISERROR(M10)),_xll.ohRangeRetrieveError(L10)&amp;" "&amp;_xll.ohRangeRetrieveError(M10),IF(ISERROR(L10),_xll.ohRangeRetrieveError(L10),_xll.ohRangeRetrieveError(M10)))</f>
        <v>#NAME?</v>
      </c>
      <c r="R10" s="1308" t="s">
        <v>148</v>
      </c>
      <c r="S10" s="1304"/>
      <c r="T10" s="1304"/>
      <c r="U10" s="1304"/>
    </row>
    <row r="11" spans="1:24" x14ac:dyDescent="0.2">
      <c r="A11" s="1339" t="s">
        <v>495</v>
      </c>
      <c r="B11" s="1338" t="s">
        <v>127</v>
      </c>
      <c r="C11" s="1338" t="s">
        <v>494</v>
      </c>
      <c r="D11" s="1338" t="s">
        <v>68</v>
      </c>
      <c r="E11" s="1338" t="s">
        <v>493</v>
      </c>
      <c r="F11" s="1338" t="s">
        <v>492</v>
      </c>
      <c r="G11" s="1338" t="s">
        <v>491</v>
      </c>
      <c r="H11" s="1337" t="s">
        <v>490</v>
      </c>
      <c r="J11" s="1313"/>
      <c r="K11" s="1312"/>
      <c r="L11" s="1311" t="e">
        <f ca="1">_xll.qlLastFixingQuoteReferenceDate(FirstIndex&amp;"LastFixing_Quote",Trigger)</f>
        <v>#NAME?</v>
      </c>
      <c r="M11" s="1336" t="e">
        <f ca="1">_xll.qlQuoteValue(FirstIndex&amp;"LastFixing_Quote",Trigger)</f>
        <v>#NAME?</v>
      </c>
      <c r="N11" s="1336"/>
      <c r="O11" s="1336"/>
      <c r="P11" s="1336"/>
      <c r="Q11" s="1335" t="e">
        <f ca="1">IF(AND(ISERROR(L11),ISERROR(M11)),_xll.ohRangeRetrieveError(L11)&amp;" "&amp;_xll.ohRangeRetrieveError(M11),IF(ISERROR(L11),_xll.ohRangeRetrieveError(L11),_xll.ohRangeRetrieveError(M11)))</f>
        <v>#NAME?</v>
      </c>
      <c r="R11" s="1308"/>
      <c r="S11" s="1304"/>
      <c r="T11" s="1304"/>
      <c r="U11" s="1304"/>
    </row>
    <row r="12" spans="1:24" ht="12" thickBot="1" x14ac:dyDescent="0.25">
      <c r="A12" s="1334" t="s">
        <v>489</v>
      </c>
      <c r="B12" s="1333"/>
      <c r="C12" s="1332"/>
      <c r="D12" s="1331" t="s">
        <v>488</v>
      </c>
      <c r="E12" s="1331" t="s">
        <v>21</v>
      </c>
      <c r="F12" s="1331" t="s">
        <v>121</v>
      </c>
      <c r="G12" s="1331"/>
      <c r="H12" s="1330" t="s">
        <v>487</v>
      </c>
      <c r="J12" s="1313"/>
      <c r="K12" s="1323" t="str">
        <f>UPPER(Currency)&amp;"STD"</f>
        <v>EURSTD</v>
      </c>
      <c r="L12" s="1322" t="e">
        <f ca="1">_xll.qlTermStructureReferenceDate(K12,Trigger)</f>
        <v>#NAME?</v>
      </c>
      <c r="M12" s="1321" t="e">
        <f ca="1">_xll.qlYieldTSDiscount(K12,L12)</f>
        <v>#NAME?</v>
      </c>
      <c r="N12" s="1321"/>
      <c r="O12" s="1321"/>
      <c r="P12" s="1321"/>
      <c r="Q12" s="1329" t="e">
        <f ca="1">IF(ISERROR(L12),_xll.ohRangeRetrieveError(L12),_xll.ohRangeRetrieveError(M12))</f>
        <v>#NAME?</v>
      </c>
      <c r="R12" s="1308" t="s">
        <v>148</v>
      </c>
      <c r="S12" s="1304"/>
      <c r="T12" s="1304"/>
      <c r="U12" s="1304"/>
    </row>
    <row r="13" spans="1:24" ht="12" thickBot="1" x14ac:dyDescent="0.25">
      <c r="J13" s="1313"/>
      <c r="K13" s="1323" t="str">
        <f>UPPER(Currency)&amp;"ON"</f>
        <v>EURON</v>
      </c>
      <c r="L13" s="1322" t="e">
        <f ca="1">_xll.qlTermStructureReferenceDate(K13,Trigger)</f>
        <v>#NAME?</v>
      </c>
      <c r="M13" s="1321" t="e">
        <f ca="1">_xll.qlYieldTSDiscount(K13,L13)</f>
        <v>#NAME?</v>
      </c>
      <c r="N13" s="1321"/>
      <c r="O13" s="1321"/>
      <c r="P13" s="1321"/>
      <c r="Q13" s="1329" t="e">
        <f ca="1">IF(ISERROR(L13),_xll.ohRangeRetrieveError(L13),_xll.ohRangeRetrieveError(M13))</f>
        <v>#NAME?</v>
      </c>
      <c r="R13" s="1308" t="s">
        <v>148</v>
      </c>
      <c r="S13" s="1304"/>
      <c r="T13" s="1304"/>
      <c r="U13" s="1304"/>
    </row>
    <row r="14" spans="1:24" x14ac:dyDescent="0.2">
      <c r="B14" s="1328" t="b">
        <v>1</v>
      </c>
      <c r="C14" s="1327" t="e">
        <f t="array" aca="1" ref="C14:C17" ca="1">_xll.qlIMMNextDates(_xll.qlSettingsEvaluationDate(Trigger)-1,B14:B17)</f>
        <v>#NAME?</v>
      </c>
      <c r="D14" s="1326" t="e">
        <f t="array" aca="1" ref="D14:D17" ca="1">VLOOKUP(Currency,FuturesTable,4,0)&amp;_xll.qlIMMcode(FuturesDates)</f>
        <v>#NAME?</v>
      </c>
      <c r="J14" s="1313"/>
      <c r="K14" s="1323" t="str">
        <f>UPPER(Currency)&amp;"1M"</f>
        <v>EUR1M</v>
      </c>
      <c r="L14" s="1322" t="e">
        <f ca="1">_xll.qlTermStructureReferenceDate(K14,Trigger)</f>
        <v>#NAME?</v>
      </c>
      <c r="M14" s="1321" t="e">
        <f ca="1">_xll.qlYieldTSDiscount(K14,L14)</f>
        <v>#NAME?</v>
      </c>
      <c r="N14" s="1321"/>
      <c r="O14" s="1321"/>
      <c r="P14" s="1321"/>
      <c r="Q14" s="1320" t="e">
        <f ca="1">IF(ISERROR(L14),_xll.ohRangeRetrieveError(L14),_xll.ohRangeRetrieveError(M14))</f>
        <v>#NAME?</v>
      </c>
      <c r="R14" s="1308" t="s">
        <v>148</v>
      </c>
      <c r="S14" s="1304"/>
      <c r="T14" s="1304"/>
      <c r="U14" s="1304"/>
    </row>
    <row r="15" spans="1:24" x14ac:dyDescent="0.2">
      <c r="B15" s="1325" t="b">
        <v>1</v>
      </c>
      <c r="C15" s="1324" t="e">
        <f ca="1"/>
        <v>#NAME?</v>
      </c>
      <c r="D15" s="1308" t="e">
        <f ca="1"/>
        <v>#NAME?</v>
      </c>
      <c r="J15" s="1313"/>
      <c r="K15" s="1323" t="str">
        <f>UPPER(Currency)&amp;"3M"</f>
        <v>EUR3M</v>
      </c>
      <c r="L15" s="1322" t="e">
        <f ca="1">_xll.qlTermStructureReferenceDate(K15,Trigger)</f>
        <v>#NAME?</v>
      </c>
      <c r="M15" s="1321" t="e">
        <f ca="1">_xll.qlYieldTSDiscount(K15,L15)</f>
        <v>#NAME?</v>
      </c>
      <c r="N15" s="1321"/>
      <c r="O15" s="1321"/>
      <c r="P15" s="1321"/>
      <c r="Q15" s="1320" t="e">
        <f ca="1">IF(ISERROR(L15),_xll.ohRangeRetrieveError(L15),_xll.ohRangeRetrieveError(M15))</f>
        <v>#NAME?</v>
      </c>
      <c r="R15" s="1308" t="s">
        <v>148</v>
      </c>
      <c r="S15" s="1304"/>
      <c r="T15" s="1304"/>
      <c r="U15" s="1304"/>
    </row>
    <row r="16" spans="1:24" x14ac:dyDescent="0.2">
      <c r="B16" s="1325" t="b">
        <v>1</v>
      </c>
      <c r="C16" s="1324" t="e">
        <f ca="1"/>
        <v>#NAME?</v>
      </c>
      <c r="D16" s="1308" t="e">
        <f ca="1"/>
        <v>#NAME?</v>
      </c>
      <c r="J16" s="1313"/>
      <c r="K16" s="1323" t="str">
        <f>UPPER(Currency)&amp;"6M"</f>
        <v>EUR6M</v>
      </c>
      <c r="L16" s="1322" t="e">
        <f ca="1">_xll.qlTermStructureReferenceDate(K16,Trigger)</f>
        <v>#NAME?</v>
      </c>
      <c r="M16" s="1321" t="e">
        <f ca="1">_xll.qlYieldTSDiscount(K16,L16)</f>
        <v>#NAME?</v>
      </c>
      <c r="N16" s="1321"/>
      <c r="O16" s="1321"/>
      <c r="P16" s="1321"/>
      <c r="Q16" s="1320" t="e">
        <f ca="1">IF(ISERROR(L16),_xll.ohRangeRetrieveError(L16),_xll.ohRangeRetrieveError(M16))</f>
        <v>#NAME?</v>
      </c>
      <c r="R16" s="1308" t="s">
        <v>148</v>
      </c>
      <c r="S16" s="1304"/>
      <c r="T16" s="1304"/>
      <c r="U16" s="1304"/>
    </row>
    <row r="17" spans="2:21" ht="12" thickBot="1" x14ac:dyDescent="0.25">
      <c r="B17" s="1319" t="b">
        <v>1</v>
      </c>
      <c r="C17" s="1318" t="e">
        <f ca="1"/>
        <v>#NAME?</v>
      </c>
      <c r="D17" s="1305" t="e">
        <f ca="1"/>
        <v>#NAME?</v>
      </c>
      <c r="J17" s="1313"/>
      <c r="K17" s="1312" t="str">
        <f>UPPER(Currency)&amp;"1Y"</f>
        <v>EUR1Y</v>
      </c>
      <c r="L17" s="1311" t="e">
        <f ca="1">_xll.qlTermStructureReferenceDate(K17,Trigger)</f>
        <v>#NAME?</v>
      </c>
      <c r="M17" s="1310" t="e">
        <f ca="1">_xll.qlYieldTSDiscount(K17,L17)</f>
        <v>#NAME?</v>
      </c>
      <c r="N17" s="1310"/>
      <c r="O17" s="1310"/>
      <c r="P17" s="1310"/>
      <c r="Q17" s="1309" t="e">
        <f ca="1">IF(ISERROR(L17),_xll.ohRangeRetrieveError(L17),_xll.ohRangeRetrieveError(M17))</f>
        <v>#NAME?</v>
      </c>
      <c r="R17" s="1308" t="s">
        <v>148</v>
      </c>
      <c r="S17" s="1304"/>
      <c r="T17" s="1304"/>
      <c r="U17" s="1304"/>
    </row>
    <row r="18" spans="2:21" x14ac:dyDescent="0.2">
      <c r="J18" s="1313"/>
      <c r="K18" s="1317" t="s">
        <v>486</v>
      </c>
      <c r="L18" s="1316" t="e">
        <f ca="1">_xll.qlTermStructureReferenceDate(K18,Trigger)</f>
        <v>#NAME?</v>
      </c>
      <c r="M18" s="1315" t="e">
        <f ca="1">_xll.qlYieldTSDiscount(K18,L18)</f>
        <v>#NAME?</v>
      </c>
      <c r="N18" s="1315"/>
      <c r="O18" s="1315"/>
      <c r="P18" s="1315"/>
      <c r="Q18" s="1314" t="e">
        <f ca="1">IF(ISERROR(L18),_xll.ohRangeRetrieveError(L18),_xll.ohRangeRetrieveError(M18))</f>
        <v>#NAME?</v>
      </c>
      <c r="R18" s="1308" t="s">
        <v>148</v>
      </c>
      <c r="S18" s="1304"/>
      <c r="T18" s="1304"/>
      <c r="U18" s="1304"/>
    </row>
    <row r="19" spans="2:21" x14ac:dyDescent="0.2">
      <c r="J19" s="1313"/>
      <c r="K19" s="1312" t="s">
        <v>485</v>
      </c>
      <c r="L19" s="1311" t="e">
        <f ca="1">_xll.qlTermStructureReferenceDate(K19,Trigger)</f>
        <v>#NAME?</v>
      </c>
      <c r="M19" s="1310" t="e">
        <f ca="1">_xll.qlYieldTSDiscount(K19,L19)</f>
        <v>#NAME?</v>
      </c>
      <c r="N19" s="1310"/>
      <c r="O19" s="1310"/>
      <c r="P19" s="1310"/>
      <c r="Q19" s="1309" t="e">
        <f ca="1">IF(ISERROR(L19),_xll.ohRangeRetrieveError(L19),_xll.ohRangeRetrieveError(M19))</f>
        <v>#NAME?</v>
      </c>
      <c r="R19" s="1308" t="s">
        <v>148</v>
      </c>
      <c r="S19" s="1304"/>
      <c r="T19" s="1304"/>
      <c r="U19" s="1304"/>
    </row>
    <row r="20" spans="2:21" ht="12" thickBot="1" x14ac:dyDescent="0.25">
      <c r="J20" s="1307"/>
      <c r="K20" s="1306"/>
      <c r="L20" s="1306"/>
      <c r="M20" s="1306"/>
      <c r="N20" s="1306"/>
      <c r="O20" s="1306"/>
      <c r="P20" s="1306"/>
      <c r="Q20" s="1306"/>
      <c r="R20" s="1305" t="s">
        <v>148</v>
      </c>
      <c r="S20" s="1304"/>
      <c r="T20" s="1304"/>
      <c r="U20" s="1304"/>
    </row>
  </sheetData>
  <dataValidations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45058"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45058" r:id="rId4" name="CommandButton2"/>
      </mc:Fallback>
    </mc:AlternateContent>
    <mc:AlternateContent xmlns:mc="http://schemas.openxmlformats.org/markup-compatibility/2006">
      <mc:Choice Requires="x14">
        <control shapeId="45057"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45057" r:id="rId6" name="CommandButton1"/>
      </mc:Fallback>
    </mc:AlternateContent>
  </control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3"/>
  <dimension ref="A2:H31"/>
  <sheetViews>
    <sheetView showGridLines="0" workbookViewId="0">
      <selection activeCell="H3" sqref="H3:H4"/>
    </sheetView>
  </sheetViews>
  <sheetFormatPr defaultRowHeight="11.25" x14ac:dyDescent="0.2"/>
  <cols>
    <col min="1" max="2" width="2.7109375" style="1" customWidth="1"/>
    <col min="3" max="3" width="20.28515625" style="1" bestFit="1" customWidth="1"/>
    <col min="4" max="4" width="30.7109375" style="1" customWidth="1"/>
    <col min="5" max="6" width="2.7109375" style="1" customWidth="1"/>
    <col min="7" max="7" width="9.140625" style="1" customWidth="1"/>
    <col min="8" max="9" width="9.140625" style="1"/>
    <col min="10" max="10" width="9.7109375" style="1" bestFit="1" customWidth="1"/>
    <col min="11" max="16384" width="9.140625" style="1"/>
  </cols>
  <sheetData>
    <row r="2" spans="1:8" ht="12" thickBot="1" x14ac:dyDescent="0.25">
      <c r="B2" s="233"/>
      <c r="C2" s="232"/>
      <c r="D2" s="232"/>
      <c r="E2" s="231"/>
    </row>
    <row r="3" spans="1:8" ht="11.25" customHeight="1" x14ac:dyDescent="0.25">
      <c r="B3" s="236"/>
      <c r="C3" s="1059" t="s">
        <v>231</v>
      </c>
      <c r="D3" s="1066" t="s">
        <v>230</v>
      </c>
      <c r="E3" s="295"/>
      <c r="G3" s="1361" t="s">
        <v>529</v>
      </c>
      <c r="H3" s="1364" t="e">
        <f ca="1">_xll.ohTrigger(GeneralSettings!Trigger2)</f>
        <v>#NAME?</v>
      </c>
    </row>
    <row r="4" spans="1:8" ht="11.25" customHeight="1" thickBot="1" x14ac:dyDescent="0.3">
      <c r="B4" s="236"/>
      <c r="C4" s="1056" t="s">
        <v>229</v>
      </c>
      <c r="D4" s="130" t="b">
        <v>1</v>
      </c>
      <c r="E4" s="295"/>
      <c r="G4" s="1362" t="s">
        <v>530</v>
      </c>
      <c r="H4" s="1365" t="e">
        <f ca="1">_xll.ohTrigger(EURSTD!Trigger2,D28)</f>
        <v>#NAME?</v>
      </c>
    </row>
    <row r="5" spans="1:8" ht="11.25" customHeight="1" x14ac:dyDescent="0.2">
      <c r="A5" s="23"/>
      <c r="B5" s="1061"/>
      <c r="C5" s="293" t="s">
        <v>239</v>
      </c>
      <c r="D5" s="1064">
        <v>42357.886481481481</v>
      </c>
      <c r="E5" s="295"/>
    </row>
    <row r="6" spans="1:8" ht="11.25" customHeight="1" x14ac:dyDescent="0.2">
      <c r="A6" s="23"/>
      <c r="B6" s="1061"/>
      <c r="C6" s="1056" t="s">
        <v>227</v>
      </c>
      <c r="D6" s="130" t="b">
        <v>1</v>
      </c>
      <c r="E6" s="295"/>
    </row>
    <row r="7" spans="1:8" ht="11.25" customHeight="1" x14ac:dyDescent="0.2">
      <c r="A7" s="23"/>
      <c r="B7" s="1061"/>
      <c r="C7" s="1056" t="s">
        <v>228</v>
      </c>
      <c r="D7" s="1074"/>
      <c r="E7" s="295"/>
    </row>
    <row r="8" spans="1:8" ht="11.25" customHeight="1" x14ac:dyDescent="0.2">
      <c r="A8" s="23"/>
      <c r="B8" s="1061"/>
      <c r="C8" s="1056" t="s">
        <v>431</v>
      </c>
      <c r="D8" s="1060" t="s">
        <v>225</v>
      </c>
      <c r="E8" s="295"/>
    </row>
    <row r="9" spans="1:8" ht="11.25" customHeight="1" x14ac:dyDescent="0.2">
      <c r="B9" s="1054"/>
      <c r="C9" s="1052" t="s">
        <v>224</v>
      </c>
      <c r="D9" s="1073" t="s">
        <v>223</v>
      </c>
      <c r="E9" s="295"/>
    </row>
    <row r="10" spans="1:8" ht="11.25" customHeight="1" x14ac:dyDescent="0.2">
      <c r="B10" s="1054"/>
      <c r="C10" s="1052" t="s">
        <v>398</v>
      </c>
      <c r="D10" s="1072" t="s">
        <v>430</v>
      </c>
      <c r="E10" s="295"/>
    </row>
    <row r="11" spans="1:8" ht="11.25" customHeight="1" x14ac:dyDescent="0.2">
      <c r="B11" s="236"/>
      <c r="C11" s="232"/>
      <c r="D11" s="232"/>
      <c r="E11" s="295"/>
    </row>
    <row r="12" spans="1:8" ht="11.25" customHeight="1" x14ac:dyDescent="0.2">
      <c r="B12" s="1054"/>
      <c r="C12" s="1059" t="s">
        <v>307</v>
      </c>
      <c r="D12" s="1065" t="e">
        <f ca="1">_xll.qlSettingsEvaluationDate(Trigger)</f>
        <v>#NAME?</v>
      </c>
      <c r="E12" s="295"/>
    </row>
    <row r="13" spans="1:8" x14ac:dyDescent="0.2">
      <c r="B13" s="1054"/>
      <c r="C13" s="1056" t="s">
        <v>305</v>
      </c>
      <c r="D13" s="1063" t="e">
        <f ca="1">_xll.qlCalendarAdvance(Calendar,Evaluationdate,"2D","F",,Trigger)</f>
        <v>#NAME?</v>
      </c>
      <c r="E13" s="295"/>
    </row>
    <row r="14" spans="1:8" x14ac:dyDescent="0.2">
      <c r="B14" s="1054"/>
      <c r="C14" s="293" t="s">
        <v>216</v>
      </c>
      <c r="D14" s="1071" t="s">
        <v>215</v>
      </c>
      <c r="E14" s="295"/>
    </row>
    <row r="15" spans="1:8" x14ac:dyDescent="0.2">
      <c r="B15" s="533"/>
      <c r="C15" s="253"/>
      <c r="D15" s="1051"/>
      <c r="E15" s="294"/>
    </row>
    <row r="17" spans="1:5" x14ac:dyDescent="0.2">
      <c r="B17" s="1048"/>
      <c r="C17" s="1047"/>
      <c r="D17" s="1047"/>
      <c r="E17" s="1046"/>
    </row>
    <row r="18" spans="1:5" x14ac:dyDescent="0.2">
      <c r="B18" s="509"/>
      <c r="C18" s="1042" t="s">
        <v>293</v>
      </c>
      <c r="D18" s="1045" t="e">
        <f ca="1">_xll.qlPiecewiseYieldCurve(D20,D21,Calendar,_xll.ohPack(RateHelpersSTD),,,,D22,D23,D24,Permanent,,ObjectOverwrite)</f>
        <v>#NAME?</v>
      </c>
      <c r="E18" s="1028"/>
    </row>
    <row r="19" spans="1:5" x14ac:dyDescent="0.2">
      <c r="B19" s="509"/>
      <c r="C19" s="1036" t="s">
        <v>59</v>
      </c>
      <c r="D19" s="1043" t="e">
        <f ca="1">_xll.ohRangeRetrieveError(YieldCurve_STD)</f>
        <v>#NAME?</v>
      </c>
      <c r="E19" s="1028"/>
    </row>
    <row r="20" spans="1:5" x14ac:dyDescent="0.2">
      <c r="B20" s="509"/>
      <c r="C20" s="1042" t="s">
        <v>427</v>
      </c>
      <c r="D20" s="1041" t="str">
        <f>"_"&amp;Currency&amp;"STD"</f>
        <v>_EURSTD</v>
      </c>
      <c r="E20" s="1028"/>
    </row>
    <row r="21" spans="1:5" x14ac:dyDescent="0.2">
      <c r="B21" s="509"/>
      <c r="C21" s="1038" t="s">
        <v>299</v>
      </c>
      <c r="D21" s="1040">
        <v>0</v>
      </c>
      <c r="E21" s="1028"/>
    </row>
    <row r="22" spans="1:5" x14ac:dyDescent="0.2">
      <c r="B22" s="509"/>
      <c r="C22" s="1038" t="s">
        <v>294</v>
      </c>
      <c r="D22" s="1039"/>
      <c r="E22" s="1028"/>
    </row>
    <row r="23" spans="1:5" x14ac:dyDescent="0.2">
      <c r="B23" s="509"/>
      <c r="C23" s="1038" t="s">
        <v>292</v>
      </c>
      <c r="D23" s="1037" t="s">
        <v>433</v>
      </c>
      <c r="E23" s="1028"/>
    </row>
    <row r="24" spans="1:5" x14ac:dyDescent="0.2">
      <c r="B24" s="509"/>
      <c r="C24" s="1036" t="s">
        <v>290</v>
      </c>
      <c r="D24" s="1035" t="s">
        <v>286</v>
      </c>
      <c r="E24" s="1028"/>
    </row>
    <row r="25" spans="1:5" x14ac:dyDescent="0.2">
      <c r="B25" s="509"/>
      <c r="C25" s="527"/>
      <c r="D25" s="527"/>
      <c r="E25" s="1028"/>
    </row>
    <row r="26" spans="1:5" x14ac:dyDescent="0.2">
      <c r="B26" s="509"/>
      <c r="C26" s="1034" t="e">
        <f ca="1">_xll.qlTermStructureReferenceDate(YieldCurve_STD)</f>
        <v>#NAME?</v>
      </c>
      <c r="D26" s="1033" t="e">
        <f ca="1">_xll.qlYieldTSDiscount(YieldCurve_STD,C26,,Trigger)</f>
        <v>#NAME?</v>
      </c>
      <c r="E26" s="1028"/>
    </row>
    <row r="27" spans="1:5" x14ac:dyDescent="0.2">
      <c r="A27" s="23"/>
      <c r="B27" s="509"/>
      <c r="C27" s="1032" t="e">
        <f ca="1">_xll.qlTermStructureMaxDate(YieldCurve_STD,Trigger)</f>
        <v>#NAME?</v>
      </c>
      <c r="D27" s="1031" t="e">
        <f ca="1">_xll.qlYieldTSDiscount(YieldCurve_STD,C27,,Trigger)</f>
        <v>#NAME?</v>
      </c>
      <c r="E27" s="1028"/>
    </row>
    <row r="28" spans="1:5" x14ac:dyDescent="0.2">
      <c r="B28" s="509"/>
      <c r="C28" s="1032" t="str">
        <f ca="1">Euribor!$D$13</f>
        <v>EURSTD</v>
      </c>
      <c r="D28" s="1031" t="e">
        <f ca="1">_xll.qlRelinkableHandleLinkTo(C28,D18,Trigger)</f>
        <v>#NAME?</v>
      </c>
      <c r="E28" s="1028"/>
    </row>
    <row r="29" spans="1:5" x14ac:dyDescent="0.2">
      <c r="B29" s="509"/>
      <c r="C29" s="1030" t="s">
        <v>425</v>
      </c>
      <c r="D29" s="1029" t="b">
        <v>0</v>
      </c>
      <c r="E29" s="1028"/>
    </row>
    <row r="30" spans="1:5" x14ac:dyDescent="0.2">
      <c r="B30" s="216"/>
      <c r="C30" s="215"/>
      <c r="D30" s="215"/>
      <c r="E30" s="1027"/>
    </row>
    <row r="31" spans="1:5" x14ac:dyDescent="0.2">
      <c r="B31" s="23"/>
      <c r="C31" s="23"/>
      <c r="D31" s="23"/>
      <c r="E31" s="23"/>
    </row>
  </sheetData>
  <dataValidations count="6">
    <dataValidation type="list" allowBlank="1" showInputMessage="1" showErrorMessage="1" sqref="D10:D11">
      <formula1>"MaturityDate,LastRelevantDate,CustomDate"</formula1>
    </dataValidation>
    <dataValidation type="list" allowBlank="1" showInputMessage="1" showErrorMessage="1" sqref="D14">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8">
      <formula1>"ibor,Libor"</formula1>
    </dataValidation>
    <dataValidation type="list" allowBlank="1" showInputMessage="1" showErrorMessage="1" sqref="D3">
      <formula1>"EUR,USD,GBP,JPY,CHF,AUD,CNY,CNH,HKD,RMB,SEK,PLN,HUF,CZK"</formula1>
    </dataValidation>
    <dataValidation type="list" allowBlank="1" showInputMessage="1" showErrorMessage="1" sqref="D2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3">
      <formula1>"Discount,ZeroYield,ForwardRate"</formula1>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dimension ref="A1:AI127"/>
  <sheetViews>
    <sheetView showGridLines="0" topLeftCell="M1" zoomScaleNormal="100" workbookViewId="0">
      <selection activeCell="AI3" sqref="AI3:AI4"/>
    </sheetView>
  </sheetViews>
  <sheetFormatPr defaultRowHeight="11.25" outlineLevelCol="1" x14ac:dyDescent="0.2"/>
  <cols>
    <col min="1" max="1" width="5" style="1" customWidth="1" outlineLevel="1"/>
    <col min="2" max="2" width="9" style="868" customWidth="1" outlineLevel="1"/>
    <col min="3" max="3" width="9.2851562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855468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2.85546875" style="1" customWidth="1"/>
    <col min="31" max="31" width="24.42578125" style="1" bestFit="1" customWidth="1"/>
    <col min="32" max="32" width="9" style="1" bestFit="1" customWidth="1"/>
    <col min="33" max="33" width="9.140625" style="1"/>
    <col min="34" max="34" width="12" style="1" bestFit="1" customWidth="1"/>
    <col min="35" max="16384" width="9.140625" style="1"/>
  </cols>
  <sheetData>
    <row r="1" spans="1:35" ht="18" customHeight="1" x14ac:dyDescent="0.2">
      <c r="G1" s="239" t="s">
        <v>193</v>
      </c>
      <c r="H1" s="239"/>
      <c r="L1" s="965" t="s">
        <v>383</v>
      </c>
      <c r="M1" s="964"/>
      <c r="N1" s="964"/>
      <c r="O1" s="964"/>
      <c r="P1" s="964"/>
      <c r="Q1" s="964"/>
      <c r="R1" s="964"/>
      <c r="S1" s="964"/>
      <c r="T1" s="963"/>
      <c r="U1" s="958"/>
      <c r="V1" s="962" t="str">
        <f>Currency&amp;$G$1</f>
        <v>EURSTD</v>
      </c>
      <c r="W1" s="960"/>
      <c r="X1" s="960"/>
      <c r="Y1" s="961"/>
      <c r="Z1" s="961"/>
      <c r="AA1" s="960"/>
      <c r="AB1" s="960"/>
      <c r="AC1" s="959" t="s">
        <v>378</v>
      </c>
    </row>
    <row r="2" spans="1:35" ht="21.75" customHeight="1" thickBot="1" x14ac:dyDescent="0.25">
      <c r="A2" s="146" t="s">
        <v>388</v>
      </c>
      <c r="B2" s="146" t="s">
        <v>107</v>
      </c>
      <c r="C2" s="146" t="s">
        <v>402</v>
      </c>
      <c r="D2" s="146"/>
      <c r="E2" s="146"/>
      <c r="F2" s="146"/>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1070" t="e">
        <f t="array" aca="1" ref="AC2:AC89" ca="1">_xll.qlPiecewiseYieldCurveData(YieldCurve_STD,Trigger)</f>
        <v>#NAME?</v>
      </c>
      <c r="AE2" s="1375" t="s">
        <v>397</v>
      </c>
      <c r="AF2" s="1376"/>
      <c r="AH2" s="1068"/>
    </row>
    <row r="3" spans="1:35" ht="11.25" customHeight="1" x14ac:dyDescent="0.25">
      <c r="A3" s="952" t="s">
        <v>391</v>
      </c>
      <c r="B3" s="951" t="s">
        <v>185</v>
      </c>
      <c r="C3" s="950" t="s">
        <v>185</v>
      </c>
      <c r="D3" s="947"/>
      <c r="E3" s="947"/>
      <c r="F3" s="947"/>
      <c r="G3" s="949" t="s">
        <v>303</v>
      </c>
      <c r="H3" s="948" t="str">
        <f t="shared" ref="H3:H11" si="0">Currency&amp;$B3&amp;"D"&amp;$H$1&amp;QuoteSuffix</f>
        <v>EUROND_Quote</v>
      </c>
      <c r="I3" s="947"/>
      <c r="J3" s="946" t="e">
        <f ca="1">_xll.qlDepositRateHelper(,H3,G3,Permanent,Trigger,ObjectOverwrite)</f>
        <v>#NAME?</v>
      </c>
      <c r="K3" s="154"/>
      <c r="L3" s="909" t="str">
        <f t="shared" ref="L3:L11" si="1">A3</f>
        <v>Dp</v>
      </c>
      <c r="M3" s="905" t="e">
        <f t="shared" ref="M3:M11" ca="1" si="2">IF(ISBLANK(J3),"--",J3)</f>
        <v>#NAME?</v>
      </c>
      <c r="N3" s="908" t="str">
        <f ca="1">IFERROR(_xll.qlRateHelperQuoteName(M3,Trigger),"--")</f>
        <v>--</v>
      </c>
      <c r="O3" s="907" t="str">
        <f ca="1">IFERROR(_xll.qlRateHelperQuoteValue($M3,Trigger),"--")</f>
        <v>--</v>
      </c>
      <c r="P3" s="906" t="b">
        <v>1</v>
      </c>
      <c r="Q3" s="905">
        <v>10</v>
      </c>
      <c r="R3" s="905">
        <v>1</v>
      </c>
      <c r="S3" s="904" t="str">
        <f ca="1">IFERROR(_xll.qlRateHelperEarliestDate(M3,Trigger),"--")</f>
        <v>--</v>
      </c>
      <c r="T3" s="904" t="str">
        <f ca="1">IFERROR(_xll.qlRateHelperPillarDate(M3,Trigger),"--")</f>
        <v>--</v>
      </c>
      <c r="U3" s="1069"/>
      <c r="V3" s="4" t="str">
        <f t="shared" ref="V3:V34" ca="1" si="3">IFERROR(INDEX($L$3:$L$89,MATCH(X3,$N$3:$N$89,0),1),"")</f>
        <v/>
      </c>
      <c r="W3" s="4" t="e">
        <f t="array" aca="1" ref="W3:W89" ca="1">_xll.qlRateHelperSelection(_xll.ohFilter(RateHelpers,IncludeFlag),_xll.ohFilter(Priority,IncludeFlag),$AF$3,$AF$4,$AF$5,$AF$6,_xll.ohFilter(MinDistance,IncludeFlag),Trigger)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9" t="e">
        <f ca="1"/>
        <v>#NAME?</v>
      </c>
      <c r="AD3" s="914"/>
      <c r="AE3" s="936" t="s">
        <v>396</v>
      </c>
      <c r="AF3" s="944">
        <v>0</v>
      </c>
      <c r="AH3" s="1361" t="s">
        <v>529</v>
      </c>
      <c r="AI3" s="1364" t="e">
        <f ca="1">_xll.ohTrigger(GeneralSettings_4!Trigger)</f>
        <v>#NAME?</v>
      </c>
    </row>
    <row r="4" spans="1:35" ht="11.25" customHeight="1" thickBot="1" x14ac:dyDescent="0.3">
      <c r="A4" s="897" t="s">
        <v>391</v>
      </c>
      <c r="B4" s="899" t="s">
        <v>184</v>
      </c>
      <c r="C4" s="917" t="s">
        <v>185</v>
      </c>
      <c r="D4" s="915"/>
      <c r="E4" s="915"/>
      <c r="F4" s="915"/>
      <c r="G4" s="898" t="s">
        <v>303</v>
      </c>
      <c r="H4" s="945" t="str">
        <f t="shared" si="0"/>
        <v>EURTND_Quote</v>
      </c>
      <c r="I4" s="915"/>
      <c r="J4" s="47" t="e">
        <f ca="1">_xll.qlFraRateHelper(,H4,"1D",G4,PillarDate,,Permanent,Trigger,ObjectOverwrite)</f>
        <v>#NAME?</v>
      </c>
      <c r="K4" s="23"/>
      <c r="L4" s="895" t="str">
        <f t="shared" si="1"/>
        <v>Dp</v>
      </c>
      <c r="M4" s="891" t="e">
        <f t="shared" ca="1" si="2"/>
        <v>#NAME?</v>
      </c>
      <c r="N4" s="894" t="str">
        <f ca="1">IFERROR(_xll.qlRateHelperQuoteName(M4,Trigger),"--")</f>
        <v>--</v>
      </c>
      <c r="O4" s="893" t="str">
        <f ca="1">IFERROR(_xll.qlRateHelperQuoteValue($M4,Trigger),"--")</f>
        <v>--</v>
      </c>
      <c r="P4" s="892" t="b">
        <v>1</v>
      </c>
      <c r="Q4" s="891">
        <v>10</v>
      </c>
      <c r="R4" s="891">
        <v>1</v>
      </c>
      <c r="S4" s="890" t="str">
        <f ca="1">IFERROR(_xll.qlRateHelperEarliestDate(M4,Trigger),"--")</f>
        <v>--</v>
      </c>
      <c r="T4" s="890" t="str">
        <f ca="1">IFERROR(_xll.qlRateHelperPillarDate(M4,Trigger),"--")</f>
        <v>--</v>
      </c>
      <c r="U4" s="1069"/>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9" t="e">
        <f ca="1"/>
        <v>#NAME?</v>
      </c>
      <c r="AD4" s="914"/>
      <c r="AE4" s="936" t="s">
        <v>395</v>
      </c>
      <c r="AF4" s="944">
        <v>0</v>
      </c>
      <c r="AH4" s="1362" t="s">
        <v>530</v>
      </c>
      <c r="AI4" s="1365" t="e">
        <f ca="1">_xll.ohTrigger(RateHelpers)</f>
        <v>#NAME?</v>
      </c>
    </row>
    <row r="5" spans="1:35" ht="11.25" customHeight="1" x14ac:dyDescent="0.2">
      <c r="A5" s="870" t="s">
        <v>391</v>
      </c>
      <c r="B5" s="872" t="s">
        <v>183</v>
      </c>
      <c r="C5" s="902" t="s">
        <v>185</v>
      </c>
      <c r="D5" s="900"/>
      <c r="E5" s="900"/>
      <c r="F5" s="900"/>
      <c r="G5" s="871" t="s">
        <v>303</v>
      </c>
      <c r="H5" s="919" t="str">
        <f t="shared" si="0"/>
        <v>EURSND_Quote</v>
      </c>
      <c r="I5" s="900"/>
      <c r="J5" s="38" t="e">
        <f ca="1">_xll.qlFraRateHelper(,H5,"2D",G5,PillarDate,,Permanent,Trigger,ObjectOverwrite)</f>
        <v>#NAME?</v>
      </c>
      <c r="K5" s="23"/>
      <c r="L5" s="895" t="str">
        <f t="shared" si="1"/>
        <v>Dp</v>
      </c>
      <c r="M5" s="891" t="e">
        <f t="shared" ca="1" si="2"/>
        <v>#NAME?</v>
      </c>
      <c r="N5" s="894" t="str">
        <f ca="1">IFERROR(_xll.qlRateHelperQuoteName(M5,Trigger),"--")</f>
        <v>--</v>
      </c>
      <c r="O5" s="893" t="str">
        <f ca="1">IFERROR(_xll.qlRateHelperQuoteValue($M5,Trigger),"--")</f>
        <v>--</v>
      </c>
      <c r="P5" s="892" t="b">
        <v>1</v>
      </c>
      <c r="Q5" s="891">
        <v>10</v>
      </c>
      <c r="R5" s="891">
        <v>1</v>
      </c>
      <c r="S5" s="890" t="str">
        <f ca="1">IFERROR(_xll.qlRateHelperEarliestDate(M5,Trigger),"--")</f>
        <v>--</v>
      </c>
      <c r="T5" s="890" t="str">
        <f ca="1">IFERROR(_xll.qlRateHelperPillarDate(M5,Trigger),"--")</f>
        <v>--</v>
      </c>
      <c r="U5" s="1069"/>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9" t="e">
        <f ca="1"/>
        <v>#NAME?</v>
      </c>
      <c r="AD5" s="914"/>
      <c r="AE5" s="936" t="s">
        <v>394</v>
      </c>
      <c r="AF5" s="944">
        <v>5</v>
      </c>
      <c r="AH5" s="1068"/>
    </row>
    <row r="6" spans="1:35" ht="11.25" customHeight="1" x14ac:dyDescent="0.2">
      <c r="A6" s="874" t="s">
        <v>391</v>
      </c>
      <c r="B6" s="876" t="s">
        <v>178</v>
      </c>
      <c r="C6" s="912" t="str">
        <f t="shared" ref="C6:C11" si="4">B6</f>
        <v>SW</v>
      </c>
      <c r="D6" s="910"/>
      <c r="E6" s="910"/>
      <c r="F6" s="910"/>
      <c r="G6" s="875" t="str">
        <f t="shared" ref="G6:G11" si="5">PROPER(Currency)&amp;FamilyName&amp;C6</f>
        <v>EuriborSW</v>
      </c>
      <c r="H6" s="934" t="str">
        <f t="shared" si="0"/>
        <v>EURSWD_Quote</v>
      </c>
      <c r="I6" s="910"/>
      <c r="J6" s="43" t="e">
        <f ca="1">_xll.qlDepositRateHelper(,H6,G6,Permanent,Trigger,ObjectOverwrite)</f>
        <v>#NAME?</v>
      </c>
      <c r="K6" s="23"/>
      <c r="L6" s="895" t="str">
        <f t="shared" si="1"/>
        <v>Dp</v>
      </c>
      <c r="M6" s="891" t="e">
        <f t="shared" ca="1" si="2"/>
        <v>#NAME?</v>
      </c>
      <c r="N6" s="894" t="str">
        <f ca="1">IFERROR(_xll.qlRateHelperQuoteName(M6,Trigger),"--")</f>
        <v>--</v>
      </c>
      <c r="O6" s="893" t="str">
        <f ca="1">IFERROR(_xll.qlRateHelperQuoteValue($M6,Trigger),"--")</f>
        <v>--</v>
      </c>
      <c r="P6" s="892" t="b">
        <v>1</v>
      </c>
      <c r="Q6" s="891">
        <v>10</v>
      </c>
      <c r="R6" s="891">
        <v>1</v>
      </c>
      <c r="S6" s="890" t="str">
        <f ca="1">IFERROR(_xll.qlRateHelperEarliestDate(M6,Trigger),"--")</f>
        <v>--</v>
      </c>
      <c r="T6" s="890" t="str">
        <f ca="1">IFERROR(_xll.qlRateHelperPillarDate(M6,Trigger),"--")</f>
        <v>--</v>
      </c>
      <c r="U6" s="1069"/>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9" t="e">
        <f ca="1"/>
        <v>#NAME?</v>
      </c>
      <c r="AD6" s="914"/>
      <c r="AE6" s="936" t="s">
        <v>393</v>
      </c>
      <c r="AF6" s="935" t="s">
        <v>392</v>
      </c>
      <c r="AH6" s="1068"/>
    </row>
    <row r="7" spans="1:35" ht="11.25" customHeight="1" x14ac:dyDescent="0.2">
      <c r="A7" s="874" t="s">
        <v>391</v>
      </c>
      <c r="B7" s="876" t="s">
        <v>175</v>
      </c>
      <c r="C7" s="912" t="str">
        <f t="shared" si="4"/>
        <v>1M</v>
      </c>
      <c r="D7" s="910"/>
      <c r="E7" s="910"/>
      <c r="F7" s="910"/>
      <c r="G7" s="875" t="str">
        <f t="shared" si="5"/>
        <v>Euribor1M</v>
      </c>
      <c r="H7" s="934" t="str">
        <f t="shared" si="0"/>
        <v>EUR1MD_Quote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U7" s="1069"/>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9" t="e">
        <f ca="1"/>
        <v>#NAME?</v>
      </c>
      <c r="AD7" s="914"/>
      <c r="AH7" s="1068"/>
    </row>
    <row r="8" spans="1:35" ht="11.25" customHeight="1" x14ac:dyDescent="0.2">
      <c r="A8" s="874" t="s">
        <v>391</v>
      </c>
      <c r="B8" s="876" t="s">
        <v>174</v>
      </c>
      <c r="C8" s="912" t="str">
        <f t="shared" si="4"/>
        <v>2M</v>
      </c>
      <c r="D8" s="910"/>
      <c r="E8" s="910"/>
      <c r="F8" s="910"/>
      <c r="G8" s="875" t="str">
        <f t="shared" si="5"/>
        <v>Euribor2M</v>
      </c>
      <c r="H8" s="934" t="str">
        <f t="shared" si="0"/>
        <v>EUR2MD_Quote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U8" s="1069"/>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9" t="e">
        <f ca="1"/>
        <v>#NAME?</v>
      </c>
      <c r="AD8" s="914"/>
      <c r="AH8" s="1068"/>
    </row>
    <row r="9" spans="1:35" ht="11.25" customHeight="1" x14ac:dyDescent="0.2">
      <c r="A9" s="874" t="s">
        <v>391</v>
      </c>
      <c r="B9" s="876" t="s">
        <v>127</v>
      </c>
      <c r="C9" s="912" t="str">
        <f t="shared" si="4"/>
        <v>3M</v>
      </c>
      <c r="D9" s="910"/>
      <c r="E9" s="910"/>
      <c r="F9" s="910"/>
      <c r="G9" s="875" t="str">
        <f t="shared" si="5"/>
        <v>Euribor3M</v>
      </c>
      <c r="H9" s="934" t="str">
        <f t="shared" si="0"/>
        <v>EUR3MD_Quote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U9" s="1069"/>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9" t="e">
        <f ca="1"/>
        <v>#NAME?</v>
      </c>
      <c r="AD9" s="914"/>
      <c r="AH9" s="1068"/>
    </row>
    <row r="10" spans="1:35" ht="11.25" customHeight="1" x14ac:dyDescent="0.2">
      <c r="A10" s="874" t="s">
        <v>391</v>
      </c>
      <c r="B10" s="876" t="s">
        <v>92</v>
      </c>
      <c r="C10" s="912" t="str">
        <f t="shared" si="4"/>
        <v>6M</v>
      </c>
      <c r="D10" s="910"/>
      <c r="E10" s="910"/>
      <c r="F10" s="910"/>
      <c r="G10" s="875" t="str">
        <f t="shared" si="5"/>
        <v>Euribor6M</v>
      </c>
      <c r="H10" s="934" t="str">
        <f t="shared" si="0"/>
        <v>EUR6MD_Quote</v>
      </c>
      <c r="I10" s="910"/>
      <c r="J10" s="43" t="e">
        <f ca="1">_xll.qlDepositRateHelper(,H10,G10,Permanent,Trigger,ObjectOverwrite)</f>
        <v>#NAME?</v>
      </c>
      <c r="K10" s="23" t="s">
        <v>148</v>
      </c>
      <c r="L10" s="895" t="str">
        <f t="shared" si="1"/>
        <v>Dp</v>
      </c>
      <c r="M10" s="891" t="e">
        <f t="shared" ca="1" si="2"/>
        <v>#NAME?</v>
      </c>
      <c r="N10" s="894" t="str">
        <f ca="1">IFERROR(_xll.qlRateHelperQuoteName(M10,Trigger),"--")</f>
        <v>--</v>
      </c>
      <c r="O10" s="893" t="str">
        <f ca="1">IFERROR(_xll.qlRateHelperQuoteValue($M10,Trigger),"--")</f>
        <v>--</v>
      </c>
      <c r="P10" s="892" t="b">
        <v>1</v>
      </c>
      <c r="Q10" s="891">
        <v>10</v>
      </c>
      <c r="R10" s="891">
        <v>1</v>
      </c>
      <c r="S10" s="890" t="str">
        <f ca="1">IFERROR(_xll.qlRateHelperEarliestDate(M10,Trigger),"--")</f>
        <v>--</v>
      </c>
      <c r="T10" s="890" t="str">
        <f ca="1">IFERROR(_xll.qlRateHelperPillarDate(M10,Trigger),"--")</f>
        <v>--</v>
      </c>
      <c r="U10" s="1069"/>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9" t="e">
        <f ca="1"/>
        <v>#NAME?</v>
      </c>
      <c r="AD10" s="914"/>
      <c r="AH10" s="1068"/>
    </row>
    <row r="11" spans="1:35" ht="11.25" customHeight="1" x14ac:dyDescent="0.2">
      <c r="A11" s="870" t="s">
        <v>391</v>
      </c>
      <c r="B11" s="872" t="s">
        <v>58</v>
      </c>
      <c r="C11" s="902" t="str">
        <f t="shared" si="4"/>
        <v>1Y</v>
      </c>
      <c r="D11" s="900"/>
      <c r="E11" s="900"/>
      <c r="F11" s="900"/>
      <c r="G11" s="871" t="str">
        <f t="shared" si="5"/>
        <v>Euribor1Y</v>
      </c>
      <c r="H11" s="919" t="str">
        <f t="shared" si="0"/>
        <v>EUR1YD_Quote</v>
      </c>
      <c r="I11" s="900"/>
      <c r="J11" s="38"/>
      <c r="K11" s="23"/>
      <c r="L11" s="886" t="str">
        <f t="shared" si="1"/>
        <v>Dp</v>
      </c>
      <c r="M11" s="882" t="str">
        <f t="shared" si="2"/>
        <v>--</v>
      </c>
      <c r="N11" s="885" t="str">
        <f ca="1">IFERROR(_xll.qlRateHelperQuoteName(M11,Trigger),"--")</f>
        <v>--</v>
      </c>
      <c r="O11" s="884" t="str">
        <f ca="1">IFERROR(_xll.qlRateHelperQuoteValue($M11,Trigger),"--")</f>
        <v>--</v>
      </c>
      <c r="P11" s="883" t="b">
        <v>0</v>
      </c>
      <c r="Q11" s="882">
        <v>10</v>
      </c>
      <c r="R11" s="882">
        <v>1</v>
      </c>
      <c r="S11" s="881" t="str">
        <f ca="1">IFERROR(_xll.qlRateHelperEarliestDate(M11,Trigger),"--")</f>
        <v>--</v>
      </c>
      <c r="T11" s="881" t="str">
        <f ca="1">IFERROR(_xll.qlRateHelperPillarDate(M11,Trigger),"--")</f>
        <v>--</v>
      </c>
      <c r="U11" s="1069"/>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9" t="e">
        <f ca="1"/>
        <v>#NAME?</v>
      </c>
      <c r="AD11" s="914"/>
      <c r="AH11" s="1068"/>
    </row>
    <row r="12" spans="1:35" ht="11.25" customHeight="1" x14ac:dyDescent="0.2">
      <c r="B12" s="1"/>
      <c r="C12" s="1"/>
      <c r="D12" s="1"/>
      <c r="E12" s="1"/>
      <c r="F12" s="1"/>
      <c r="G12" s="1" t="s">
        <v>92</v>
      </c>
      <c r="H12" s="1"/>
      <c r="K12" s="23"/>
      <c r="L12" s="895" t="str">
        <f t="shared" ref="L12:L29" si="6">A14</f>
        <v>FRA</v>
      </c>
      <c r="M12" s="891" t="str">
        <f t="shared" ref="M12:M29" si="7">IF(ISBLANK(J14),"--",J14)</f>
        <v>--</v>
      </c>
      <c r="N12" s="894" t="str">
        <f ca="1">IFERROR(_xll.qlRateHelperQuoteName(M12,Trigger),"--")</f>
        <v>--</v>
      </c>
      <c r="O12" s="893" t="str">
        <f ca="1">IFERROR(_xll.qlRateHelperQuoteValue($M12,Trigger),"--")</f>
        <v>--</v>
      </c>
      <c r="P12" s="892" t="b">
        <v>0</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9" t="e">
        <f ca="1"/>
        <v>#NAME?</v>
      </c>
      <c r="AD12" s="914"/>
      <c r="AH12" s="1068"/>
    </row>
    <row r="13" spans="1:35" ht="11.25" customHeight="1" x14ac:dyDescent="0.2">
      <c r="A13" s="146" t="s">
        <v>388</v>
      </c>
      <c r="B13" s="146" t="s">
        <v>390</v>
      </c>
      <c r="C13" s="146" t="s">
        <v>389</v>
      </c>
      <c r="D13" s="146"/>
      <c r="E13" s="146"/>
      <c r="F13" s="146"/>
      <c r="G13" s="146" t="s">
        <v>14</v>
      </c>
      <c r="H13" s="146" t="s">
        <v>384</v>
      </c>
      <c r="I13" s="146"/>
      <c r="J13" s="146" t="s">
        <v>383</v>
      </c>
      <c r="K13" s="23"/>
      <c r="L13" s="895" t="str">
        <f t="shared" si="6"/>
        <v>FRA</v>
      </c>
      <c r="M13" s="891" t="str">
        <f t="shared" si="7"/>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9" t="e">
        <f ca="1"/>
        <v>#NAME?</v>
      </c>
      <c r="AD13" s="914"/>
      <c r="AH13" s="1068"/>
    </row>
    <row r="14" spans="1:35" ht="11.25" customHeight="1" x14ac:dyDescent="0.2">
      <c r="A14" s="897" t="s">
        <v>181</v>
      </c>
      <c r="B14" s="918">
        <v>1</v>
      </c>
      <c r="C14" s="917" t="str">
        <f t="shared" ref="C14:C31" si="8">"x"&amp;B14+SUBSTITUTE($G$12,"M","")&amp;"F"</f>
        <v>x7F</v>
      </c>
      <c r="D14" s="915"/>
      <c r="E14" s="915"/>
      <c r="F14" s="915"/>
      <c r="G14" s="898" t="str">
        <f t="shared" ref="G14:G31" si="9">PROPER(Currency)&amp;FamilyName&amp;$G$12</f>
        <v>Euribor6M</v>
      </c>
      <c r="H14" s="916" t="str">
        <f t="shared" ref="H14:H31" si="10">Currency&amp;B14&amp;C14&amp;QuoteSuffix</f>
        <v>EUR1x7F_Quote</v>
      </c>
      <c r="I14" s="915"/>
      <c r="J14" s="47"/>
      <c r="K14" s="23"/>
      <c r="L14" s="895" t="str">
        <f t="shared" si="6"/>
        <v>FRA</v>
      </c>
      <c r="M14" s="891" t="str">
        <f t="shared" si="7"/>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9" t="e">
        <f ca="1"/>
        <v>#NAME?</v>
      </c>
      <c r="AD14" s="914"/>
      <c r="AH14" s="1068"/>
    </row>
    <row r="15" spans="1:35" ht="11.25" customHeight="1" x14ac:dyDescent="0.2">
      <c r="A15" s="874" t="s">
        <v>181</v>
      </c>
      <c r="B15" s="913">
        <v>2</v>
      </c>
      <c r="C15" s="912" t="str">
        <f t="shared" si="8"/>
        <v>x8F</v>
      </c>
      <c r="D15" s="910"/>
      <c r="E15" s="910"/>
      <c r="F15" s="910"/>
      <c r="G15" s="875" t="str">
        <f t="shared" si="9"/>
        <v>Euribor6M</v>
      </c>
      <c r="H15" s="911" t="str">
        <f t="shared" si="10"/>
        <v>EUR2x8F_Quote</v>
      </c>
      <c r="I15" s="910"/>
      <c r="J15" s="43"/>
      <c r="K15" s="23"/>
      <c r="L15" s="895" t="str">
        <f t="shared" si="6"/>
        <v>FRA</v>
      </c>
      <c r="M15" s="891" t="str">
        <f t="shared" si="7"/>
        <v>--</v>
      </c>
      <c r="N15" s="894" t="str">
        <f ca="1">IFERROR(_xll.qlRateHelperQuoteName(M15,Trigger),"--")</f>
        <v>--</v>
      </c>
      <c r="O15" s="893" t="str">
        <f ca="1">IFERROR(_xll.qlRateHelperQuoteValue($M15,Trigger),"--")</f>
        <v>--</v>
      </c>
      <c r="P15" s="892" t="b">
        <v>0</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9" t="e">
        <f ca="1"/>
        <v>#NAME?</v>
      </c>
      <c r="AD15" s="914"/>
      <c r="AH15" s="1068"/>
    </row>
    <row r="16" spans="1:35" ht="11.25" customHeight="1" x14ac:dyDescent="0.2">
      <c r="A16" s="874" t="s">
        <v>181</v>
      </c>
      <c r="B16" s="913">
        <v>3</v>
      </c>
      <c r="C16" s="912" t="str">
        <f t="shared" si="8"/>
        <v>x9F</v>
      </c>
      <c r="D16" s="910"/>
      <c r="E16" s="910"/>
      <c r="F16" s="910"/>
      <c r="G16" s="875" t="str">
        <f t="shared" si="9"/>
        <v>Euribor6M</v>
      </c>
      <c r="H16" s="911" t="str">
        <f t="shared" si="10"/>
        <v>EUR3x9F_Quote</v>
      </c>
      <c r="I16" s="910"/>
      <c r="J16" s="43"/>
      <c r="K16" s="23"/>
      <c r="L16" s="895" t="str">
        <f t="shared" si="6"/>
        <v>FRA</v>
      </c>
      <c r="M16" s="891" t="str">
        <f t="shared" si="7"/>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9" t="e">
        <f ca="1"/>
        <v>#NAME?</v>
      </c>
      <c r="AD16" s="914"/>
      <c r="AH16" s="1068"/>
    </row>
    <row r="17" spans="1:34" ht="11.25" customHeight="1" x14ac:dyDescent="0.2">
      <c r="A17" s="874" t="s">
        <v>181</v>
      </c>
      <c r="B17" s="913">
        <v>4</v>
      </c>
      <c r="C17" s="912" t="str">
        <f t="shared" si="8"/>
        <v>x10F</v>
      </c>
      <c r="D17" s="910"/>
      <c r="E17" s="910"/>
      <c r="F17" s="910"/>
      <c r="G17" s="875" t="str">
        <f t="shared" si="9"/>
        <v>Euribor6M</v>
      </c>
      <c r="H17" s="911" t="str">
        <f t="shared" si="10"/>
        <v>EUR4x10F_Quote</v>
      </c>
      <c r="I17" s="910"/>
      <c r="J17" s="43"/>
      <c r="K17" s="23"/>
      <c r="L17" s="895" t="str">
        <f t="shared" si="6"/>
        <v>FRA</v>
      </c>
      <c r="M17" s="891" t="e">
        <f t="shared" ca="1" si="7"/>
        <v>#NAME?</v>
      </c>
      <c r="N17" s="894" t="str">
        <f ca="1">IFERROR(_xll.qlRateHelperQuoteName(M17,Trigger),"--")</f>
        <v>--</v>
      </c>
      <c r="O17" s="893" t="str">
        <f ca="1">IFERROR(_xll.qlRateHelperQuoteValue($M17,Trigger),"--")</f>
        <v>--</v>
      </c>
      <c r="P17" s="892" t="b">
        <v>1</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9" t="e">
        <f ca="1"/>
        <v>#NAME?</v>
      </c>
      <c r="AD17" s="914"/>
      <c r="AH17" s="1068"/>
    </row>
    <row r="18" spans="1:34" ht="11.25" customHeight="1" x14ac:dyDescent="0.2">
      <c r="A18" s="874" t="s">
        <v>181</v>
      </c>
      <c r="B18" s="913">
        <v>5</v>
      </c>
      <c r="C18" s="912" t="str">
        <f t="shared" si="8"/>
        <v>x11F</v>
      </c>
      <c r="D18" s="910"/>
      <c r="E18" s="910"/>
      <c r="F18" s="910"/>
      <c r="G18" s="875" t="str">
        <f t="shared" si="9"/>
        <v>Euribor6M</v>
      </c>
      <c r="H18" s="911" t="str">
        <f t="shared" si="10"/>
        <v>EUR5x11F_Quote</v>
      </c>
      <c r="I18" s="910"/>
      <c r="J18" s="43"/>
      <c r="K18" s="23"/>
      <c r="L18" s="895" t="str">
        <f t="shared" si="6"/>
        <v>FRA</v>
      </c>
      <c r="M18" s="891" t="e">
        <f t="shared" ca="1" si="7"/>
        <v>#NAME?</v>
      </c>
      <c r="N18" s="894" t="str">
        <f ca="1">IFERROR(_xll.qlRateHelperQuoteName(M18,Trigger),"--")</f>
        <v>--</v>
      </c>
      <c r="O18" s="893" t="str">
        <f ca="1">IFERROR(_xll.qlRateHelperQuoteValue($M18,Trigger),"--")</f>
        <v>--</v>
      </c>
      <c r="P18" s="892" t="b">
        <v>1</v>
      </c>
      <c r="Q18" s="891">
        <v>10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9" t="e">
        <f ca="1"/>
        <v>#NAME?</v>
      </c>
      <c r="AD18" s="914"/>
      <c r="AH18" s="1068"/>
    </row>
    <row r="19" spans="1:34" ht="11.25" customHeight="1" x14ac:dyDescent="0.2">
      <c r="A19" s="874" t="s">
        <v>181</v>
      </c>
      <c r="B19" s="913">
        <v>6</v>
      </c>
      <c r="C19" s="912" t="str">
        <f t="shared" si="8"/>
        <v>x12F</v>
      </c>
      <c r="D19" s="910"/>
      <c r="E19" s="910"/>
      <c r="F19" s="910"/>
      <c r="G19" s="875" t="str">
        <f t="shared" si="9"/>
        <v>Euribor6M</v>
      </c>
      <c r="H19" s="911" t="str">
        <f t="shared" si="10"/>
        <v>EUR6x12F_Quote</v>
      </c>
      <c r="I19" s="910"/>
      <c r="J19" s="43" t="e">
        <f ca="1">_xll.qlFraRateHelper(,H19,B19&amp;"M",G19,PillarDate,,Permanent,Trigger,ObjectOverwrite)</f>
        <v>#NAME?</v>
      </c>
      <c r="K19" s="23"/>
      <c r="L19" s="895" t="str">
        <f t="shared" si="6"/>
        <v>FRA</v>
      </c>
      <c r="M19" s="891" t="e">
        <f t="shared" ca="1" si="7"/>
        <v>#NAME?</v>
      </c>
      <c r="N19" s="894" t="str">
        <f ca="1">IFERROR(_xll.qlRateHelperQuoteName(M19,Trigger),"--")</f>
        <v>--</v>
      </c>
      <c r="O19" s="893" t="str">
        <f ca="1">IFERROR(_xll.qlRateHelperQuoteValue($M19,Trigger),"--")</f>
        <v>--</v>
      </c>
      <c r="P19" s="892" t="b">
        <v>1</v>
      </c>
      <c r="Q19" s="891">
        <v>10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9" t="e">
        <f ca="1"/>
        <v>#NAME?</v>
      </c>
      <c r="AD19" s="914"/>
      <c r="AH19" s="1068"/>
    </row>
    <row r="20" spans="1:34" ht="11.25" customHeight="1" x14ac:dyDescent="0.2">
      <c r="A20" s="874" t="s">
        <v>181</v>
      </c>
      <c r="B20" s="913">
        <v>7</v>
      </c>
      <c r="C20" s="912" t="str">
        <f t="shared" si="8"/>
        <v>x13F</v>
      </c>
      <c r="D20" s="910"/>
      <c r="E20" s="910"/>
      <c r="F20" s="910"/>
      <c r="G20" s="875" t="str">
        <f t="shared" si="9"/>
        <v>Euribor6M</v>
      </c>
      <c r="H20" s="911" t="str">
        <f t="shared" si="10"/>
        <v>EUR7x13F_Quote</v>
      </c>
      <c r="I20" s="910"/>
      <c r="J20" s="43" t="e">
        <f ca="1">_xll.qlFraRateHelper(,H20,B20&amp;"M",G20,PillarDate,,Permanent,Trigger,ObjectOverwrite)</f>
        <v>#NAME?</v>
      </c>
      <c r="K20" s="23"/>
      <c r="L20" s="895" t="str">
        <f t="shared" si="6"/>
        <v>FRA</v>
      </c>
      <c r="M20" s="891" t="e">
        <f t="shared" ca="1" si="7"/>
        <v>#NAME?</v>
      </c>
      <c r="N20" s="894" t="str">
        <f ca="1">IFERROR(_xll.qlRateHelperQuoteName(M20,Trigger),"--")</f>
        <v>--</v>
      </c>
      <c r="O20" s="893" t="str">
        <f ca="1">IFERROR(_xll.qlRateHelperQuoteValue($M20,Trigger),"--")</f>
        <v>--</v>
      </c>
      <c r="P20" s="892" t="b">
        <v>1</v>
      </c>
      <c r="Q20" s="891">
        <v>10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9" t="e">
        <f ca="1"/>
        <v>#NAME?</v>
      </c>
      <c r="AD20" s="914"/>
      <c r="AH20" s="1068"/>
    </row>
    <row r="21" spans="1:34" ht="11.25" customHeight="1" x14ac:dyDescent="0.2">
      <c r="A21" s="874" t="s">
        <v>181</v>
      </c>
      <c r="B21" s="913">
        <v>8</v>
      </c>
      <c r="C21" s="912" t="str">
        <f t="shared" si="8"/>
        <v>x14F</v>
      </c>
      <c r="D21" s="910"/>
      <c r="E21" s="910"/>
      <c r="F21" s="910"/>
      <c r="G21" s="875" t="str">
        <f t="shared" si="9"/>
        <v>Euribor6M</v>
      </c>
      <c r="H21" s="911" t="str">
        <f t="shared" si="10"/>
        <v>EUR8x14F_Quote</v>
      </c>
      <c r="I21" s="910"/>
      <c r="J21" s="43" t="e">
        <f ca="1">_xll.qlFraRateHelper(,H21,B21&amp;"M",G21,PillarDate,,Permanent,Trigger,ObjectOverwrite)</f>
        <v>#NAME?</v>
      </c>
      <c r="K21" s="23"/>
      <c r="L21" s="895" t="str">
        <f t="shared" si="6"/>
        <v>FRA</v>
      </c>
      <c r="M21" s="891" t="e">
        <f t="shared" ca="1" si="7"/>
        <v>#NAME?</v>
      </c>
      <c r="N21" s="894" t="str">
        <f ca="1">IFERROR(_xll.qlRateHelperQuoteName(M21,Trigger),"--")</f>
        <v>--</v>
      </c>
      <c r="O21" s="893" t="str">
        <f ca="1">IFERROR(_xll.qlRateHelperQuoteValue($M21,Trigger),"--")</f>
        <v>--</v>
      </c>
      <c r="P21" s="892" t="b">
        <v>1</v>
      </c>
      <c r="Q21" s="891">
        <v>10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9" t="e">
        <f ca="1"/>
        <v>#NAME?</v>
      </c>
      <c r="AD21" s="914"/>
      <c r="AH21" s="1068"/>
    </row>
    <row r="22" spans="1:34" ht="11.25" customHeight="1" x14ac:dyDescent="0.2">
      <c r="A22" s="874" t="s">
        <v>181</v>
      </c>
      <c r="B22" s="913">
        <v>9</v>
      </c>
      <c r="C22" s="912" t="str">
        <f t="shared" si="8"/>
        <v>x15F</v>
      </c>
      <c r="D22" s="910"/>
      <c r="E22" s="910"/>
      <c r="F22" s="910"/>
      <c r="G22" s="875" t="str">
        <f t="shared" si="9"/>
        <v>Euribor6M</v>
      </c>
      <c r="H22" s="911" t="str">
        <f t="shared" si="10"/>
        <v>EUR9x15F_Quote</v>
      </c>
      <c r="I22" s="910"/>
      <c r="J22" s="43" t="e">
        <f ca="1">_xll.qlFraRateHelper(,H22,B22&amp;"M",G22,PillarDate,,Permanent,Trigger,ObjectOverwrite)</f>
        <v>#NAME?</v>
      </c>
      <c r="K22" s="23"/>
      <c r="L22" s="895" t="str">
        <f t="shared" si="6"/>
        <v>FRA</v>
      </c>
      <c r="M22" s="891" t="e">
        <f t="shared" ca="1" si="7"/>
        <v>#NAME?</v>
      </c>
      <c r="N22" s="894" t="str">
        <f ca="1">IFERROR(_xll.qlRateHelperQuoteName(M22,Trigger),"--")</f>
        <v>--</v>
      </c>
      <c r="O22" s="893" t="str">
        <f ca="1">IFERROR(_xll.qlRateHelperQuoteValue($M22,Trigger),"--")</f>
        <v>--</v>
      </c>
      <c r="P22" s="892" t="b">
        <v>1</v>
      </c>
      <c r="Q22" s="891">
        <v>10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9" t="e">
        <f ca="1"/>
        <v>#NAME?</v>
      </c>
      <c r="AD22" s="914"/>
      <c r="AH22" s="1068"/>
    </row>
    <row r="23" spans="1:34" ht="11.25" customHeight="1" x14ac:dyDescent="0.2">
      <c r="A23" s="874" t="s">
        <v>181</v>
      </c>
      <c r="B23" s="913">
        <v>10</v>
      </c>
      <c r="C23" s="912" t="str">
        <f t="shared" si="8"/>
        <v>x16F</v>
      </c>
      <c r="D23" s="910"/>
      <c r="E23" s="910"/>
      <c r="F23" s="910"/>
      <c r="G23" s="875" t="str">
        <f t="shared" si="9"/>
        <v>Euribor6M</v>
      </c>
      <c r="H23" s="911" t="str">
        <f t="shared" si="10"/>
        <v>EUR10x16F_Quote</v>
      </c>
      <c r="I23" s="910"/>
      <c r="J23" s="43" t="e">
        <f ca="1">_xll.qlFraRateHelper(,H23,B23&amp;"M",G23,PillarDate,,Permanent,Trigger,ObjectOverwrite)</f>
        <v>#NAME?</v>
      </c>
      <c r="K23" s="23"/>
      <c r="L23" s="895" t="str">
        <f t="shared" si="6"/>
        <v>FRA</v>
      </c>
      <c r="M23" s="891" t="e">
        <f t="shared" ca="1" si="7"/>
        <v>#NAME?</v>
      </c>
      <c r="N23" s="894" t="str">
        <f ca="1">IFERROR(_xll.qlRateHelperQuoteName(M23,Trigger),"--")</f>
        <v>--</v>
      </c>
      <c r="O23" s="893" t="str">
        <f ca="1">IFERROR(_xll.qlRateHelperQuoteValue($M23,Trigger),"--")</f>
        <v>--</v>
      </c>
      <c r="P23" s="892" t="b">
        <v>1</v>
      </c>
      <c r="Q23" s="891">
        <v>10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9" t="e">
        <f ca="1"/>
        <v>#NAME?</v>
      </c>
      <c r="AD23" s="914"/>
      <c r="AH23" s="1068"/>
    </row>
    <row r="24" spans="1:34" ht="11.25" customHeight="1" x14ac:dyDescent="0.2">
      <c r="A24" s="874" t="s">
        <v>181</v>
      </c>
      <c r="B24" s="913">
        <v>11</v>
      </c>
      <c r="C24" s="912" t="str">
        <f t="shared" si="8"/>
        <v>x17F</v>
      </c>
      <c r="D24" s="910"/>
      <c r="E24" s="910"/>
      <c r="F24" s="910"/>
      <c r="G24" s="875" t="str">
        <f t="shared" si="9"/>
        <v>Euribor6M</v>
      </c>
      <c r="H24" s="911" t="str">
        <f t="shared" si="10"/>
        <v>EUR11x17F_Quote</v>
      </c>
      <c r="I24" s="910"/>
      <c r="J24" s="43" t="e">
        <f ca="1">_xll.qlFraRateHelper(,H24,B24&amp;"M",G24,PillarDate,,Permanent,Trigger,ObjectOverwrite)</f>
        <v>#NAME?</v>
      </c>
      <c r="K24" s="23"/>
      <c r="L24" s="895" t="str">
        <f t="shared" si="6"/>
        <v>FRA</v>
      </c>
      <c r="M24" s="891" t="str">
        <f t="shared" si="7"/>
        <v>--</v>
      </c>
      <c r="N24" s="894" t="str">
        <f ca="1">IFERROR(_xll.qlRateHelperQuoteName(M24,Trigger),"--")</f>
        <v>--</v>
      </c>
      <c r="O24" s="893" t="str">
        <f ca="1">IFERROR(_xll.qlRateHelperQuoteValue($M24,Trigger),"--")</f>
        <v>--</v>
      </c>
      <c r="P24" s="892" t="b">
        <v>0</v>
      </c>
      <c r="Q24" s="891">
        <v>10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9" t="e">
        <f ca="1"/>
        <v>#NAME?</v>
      </c>
      <c r="AD24" s="914"/>
      <c r="AH24" s="1068"/>
    </row>
    <row r="25" spans="1:34" ht="11.25" customHeight="1" x14ac:dyDescent="0.2">
      <c r="A25" s="874" t="s">
        <v>181</v>
      </c>
      <c r="B25" s="913">
        <v>12</v>
      </c>
      <c r="C25" s="912" t="str">
        <f t="shared" si="8"/>
        <v>x18F</v>
      </c>
      <c r="D25" s="910"/>
      <c r="E25" s="910"/>
      <c r="F25" s="910"/>
      <c r="G25" s="875" t="str">
        <f t="shared" si="9"/>
        <v>Euribor6M</v>
      </c>
      <c r="H25" s="911" t="str">
        <f t="shared" si="10"/>
        <v>EUR12x18F_Quote</v>
      </c>
      <c r="I25" s="910"/>
      <c r="J25" s="43" t="e">
        <f ca="1">_xll.qlFraRateHelper(,H25,B25&amp;"M",G25,PillarDate,,Permanent,Trigger,ObjectOverwrite)</f>
        <v>#NAME?</v>
      </c>
      <c r="K25" s="23"/>
      <c r="L25" s="895" t="str">
        <f t="shared" si="6"/>
        <v>FRA</v>
      </c>
      <c r="M25" s="891" t="str">
        <f t="shared" si="7"/>
        <v>--</v>
      </c>
      <c r="N25" s="894" t="str">
        <f ca="1">IFERROR(_xll.qlRateHelperQuoteName(M25,Trigger),"--")</f>
        <v>--</v>
      </c>
      <c r="O25" s="893" t="str">
        <f ca="1">IFERROR(_xll.qlRateHelperQuoteValue($M25,Trigger),"--")</f>
        <v>--</v>
      </c>
      <c r="P25" s="892" t="b">
        <v>0</v>
      </c>
      <c r="Q25" s="891">
        <v>10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9" t="e">
        <f ca="1"/>
        <v>#NAME?</v>
      </c>
      <c r="AD25" s="914"/>
      <c r="AH25" s="1068"/>
    </row>
    <row r="26" spans="1:34" ht="11.25" customHeight="1" x14ac:dyDescent="0.2">
      <c r="A26" s="874" t="s">
        <v>181</v>
      </c>
      <c r="B26" s="913">
        <v>13</v>
      </c>
      <c r="C26" s="912" t="str">
        <f t="shared" si="8"/>
        <v>x19F</v>
      </c>
      <c r="D26" s="910"/>
      <c r="E26" s="910"/>
      <c r="F26" s="910"/>
      <c r="G26" s="875" t="str">
        <f t="shared" si="9"/>
        <v>Euribor6M</v>
      </c>
      <c r="H26" s="911" t="str">
        <f t="shared" si="10"/>
        <v>EUR13x19F_Quote</v>
      </c>
      <c r="I26" s="910"/>
      <c r="J26" s="43"/>
      <c r="K26" s="23"/>
      <c r="L26" s="895" t="str">
        <f t="shared" si="6"/>
        <v>FRA</v>
      </c>
      <c r="M26" s="891" t="e">
        <f t="shared" ca="1" si="7"/>
        <v>#NAME?</v>
      </c>
      <c r="N26" s="894" t="str">
        <f ca="1">IFERROR(_xll.qlRateHelperQuoteName(M26,Trigger),"--")</f>
        <v>--</v>
      </c>
      <c r="O26" s="893" t="str">
        <f ca="1">IFERROR(_xll.qlRateHelperQuoteValue($M26,Trigger),"--")</f>
        <v>--</v>
      </c>
      <c r="P26" s="892" t="b">
        <v>1</v>
      </c>
      <c r="Q26" s="891">
        <v>10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9" t="e">
        <f ca="1"/>
        <v>#NAME?</v>
      </c>
      <c r="AD26" s="914"/>
      <c r="AH26" s="1068"/>
    </row>
    <row r="27" spans="1:34" ht="11.25" customHeight="1" x14ac:dyDescent="0.2">
      <c r="A27" s="874" t="s">
        <v>181</v>
      </c>
      <c r="B27" s="913">
        <v>14</v>
      </c>
      <c r="C27" s="912" t="str">
        <f t="shared" si="8"/>
        <v>x20F</v>
      </c>
      <c r="D27" s="910"/>
      <c r="E27" s="910"/>
      <c r="F27" s="910"/>
      <c r="G27" s="875" t="str">
        <f t="shared" si="9"/>
        <v>Euribor6M</v>
      </c>
      <c r="H27" s="911" t="str">
        <f t="shared" si="10"/>
        <v>EUR14x20F_Quote</v>
      </c>
      <c r="I27" s="910"/>
      <c r="J27" s="43"/>
      <c r="K27" s="23"/>
      <c r="L27" s="895" t="str">
        <f t="shared" si="6"/>
        <v>FRA</v>
      </c>
      <c r="M27" s="891" t="str">
        <f t="shared" si="7"/>
        <v>--</v>
      </c>
      <c r="N27" s="894" t="str">
        <f ca="1">IFERROR(_xll.qlRateHelperQuoteName(M27,Trigger),"--")</f>
        <v>--</v>
      </c>
      <c r="O27" s="893" t="str">
        <f ca="1">IFERROR(_xll.qlRateHelperQuoteValue($M27,Trigger),"--")</f>
        <v>--</v>
      </c>
      <c r="P27" s="892" t="b">
        <v>0</v>
      </c>
      <c r="Q27" s="891">
        <v>10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9" t="e">
        <f ca="1"/>
        <v>#NAME?</v>
      </c>
      <c r="AD27" s="914"/>
      <c r="AH27" s="1068"/>
    </row>
    <row r="28" spans="1:34" ht="11.25" customHeight="1" x14ac:dyDescent="0.2">
      <c r="A28" s="874" t="s">
        <v>181</v>
      </c>
      <c r="B28" s="913">
        <v>15</v>
      </c>
      <c r="C28" s="912" t="str">
        <f t="shared" si="8"/>
        <v>x21F</v>
      </c>
      <c r="D28" s="910"/>
      <c r="E28" s="910"/>
      <c r="F28" s="910"/>
      <c r="G28" s="875" t="str">
        <f t="shared" si="9"/>
        <v>Euribor6M</v>
      </c>
      <c r="H28" s="911" t="str">
        <f t="shared" si="10"/>
        <v>EUR15x21F_Quote</v>
      </c>
      <c r="I28" s="910"/>
      <c r="J28" s="43" t="e">
        <f ca="1">_xll.qlFraRateHelper(,H28,B28&amp;"M",G28,PillarDate,,Permanent,Trigger,ObjectOverwrite)</f>
        <v>#NAME?</v>
      </c>
      <c r="K28" s="23"/>
      <c r="L28" s="895" t="str">
        <f t="shared" si="6"/>
        <v>FRA</v>
      </c>
      <c r="M28" s="891" t="str">
        <f t="shared" si="7"/>
        <v>--</v>
      </c>
      <c r="N28" s="894" t="str">
        <f ca="1">IFERROR(_xll.qlRateHelperQuoteName(M28,Trigger),"--")</f>
        <v>--</v>
      </c>
      <c r="O28" s="893" t="str">
        <f ca="1">IFERROR(_xll.qlRateHelperQuoteValue($M28,Trigger),"--")</f>
        <v>--</v>
      </c>
      <c r="P28" s="892" t="b">
        <v>0</v>
      </c>
      <c r="Q28" s="891">
        <v>10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9" t="e">
        <f ca="1"/>
        <v>#NAME?</v>
      </c>
      <c r="AD28" s="914"/>
      <c r="AH28" s="1068"/>
    </row>
    <row r="29" spans="1:34" ht="11.25" customHeight="1" x14ac:dyDescent="0.2">
      <c r="A29" s="874" t="s">
        <v>181</v>
      </c>
      <c r="B29" s="913">
        <v>16</v>
      </c>
      <c r="C29" s="912" t="str">
        <f t="shared" si="8"/>
        <v>x22F</v>
      </c>
      <c r="D29" s="910"/>
      <c r="E29" s="910"/>
      <c r="F29" s="910"/>
      <c r="G29" s="875" t="str">
        <f t="shared" si="9"/>
        <v>Euribor6M</v>
      </c>
      <c r="H29" s="911" t="str">
        <f t="shared" si="10"/>
        <v>EUR16x22F_Quote</v>
      </c>
      <c r="I29" s="910"/>
      <c r="J29" s="43"/>
      <c r="K29" s="23"/>
      <c r="L29" s="895" t="str">
        <f t="shared" si="6"/>
        <v>FRA</v>
      </c>
      <c r="M29" s="891" t="str">
        <f t="shared" si="7"/>
        <v>--</v>
      </c>
      <c r="N29" s="894" t="str">
        <f ca="1">IFERROR(_xll.qlRateHelperQuoteName(M29,Trigger),"--")</f>
        <v>--</v>
      </c>
      <c r="O29" s="893" t="str">
        <f ca="1">IFERROR(_xll.qlRateHelperQuoteValue($M29,Trigger),"--")</f>
        <v>--</v>
      </c>
      <c r="P29" s="892" t="b">
        <v>0</v>
      </c>
      <c r="Q29" s="891">
        <v>10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9" t="e">
        <f ca="1"/>
        <v>#NAME?</v>
      </c>
      <c r="AD29" s="914"/>
      <c r="AH29" s="1068"/>
    </row>
    <row r="30" spans="1:34" ht="11.25" customHeight="1" x14ac:dyDescent="0.2">
      <c r="A30" s="874" t="s">
        <v>181</v>
      </c>
      <c r="B30" s="913">
        <v>17</v>
      </c>
      <c r="C30" s="912" t="str">
        <f t="shared" si="8"/>
        <v>x23F</v>
      </c>
      <c r="D30" s="910"/>
      <c r="E30" s="910"/>
      <c r="F30" s="910"/>
      <c r="G30" s="875" t="str">
        <f t="shared" si="9"/>
        <v>Euribor6M</v>
      </c>
      <c r="H30" s="911" t="str">
        <f t="shared" si="10"/>
        <v>EUR17x23F_Quote</v>
      </c>
      <c r="I30" s="910"/>
      <c r="J30" s="43"/>
      <c r="K30" s="23"/>
      <c r="L30" s="909" t="str">
        <f t="shared" ref="L30:L51" si="11">A34</f>
        <v>FUT</v>
      </c>
      <c r="M30" s="905" t="str">
        <f t="shared" ref="M30:M51" si="12">IF(ISBLANK(J34),"--",J34)</f>
        <v>--</v>
      </c>
      <c r="N30" s="908" t="str">
        <f ca="1">IFERROR(_xll.qlRateHelperQuoteName(M30,Trigger),"--")</f>
        <v>--</v>
      </c>
      <c r="O30" s="1017" t="str">
        <f ca="1">IFERROR(_xll.qlRateHelperQuoteValue($M30,Trigger),"--")</f>
        <v>--</v>
      </c>
      <c r="P30" s="906" t="b">
        <v>0</v>
      </c>
      <c r="Q30" s="905">
        <v>10</v>
      </c>
      <c r="R30" s="905">
        <v>1</v>
      </c>
      <c r="S30" s="904" t="str">
        <f ca="1">IFERROR(_xll.qlRateHelperEarliestDate(M30,Trigger),"--")</f>
        <v>--</v>
      </c>
      <c r="T30" s="904"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9" t="e">
        <f ca="1"/>
        <v>#NAME?</v>
      </c>
      <c r="AD30" s="914"/>
      <c r="AH30" s="1068"/>
    </row>
    <row r="31" spans="1:34" ht="11.25" customHeight="1" x14ac:dyDescent="0.2">
      <c r="A31" s="870" t="s">
        <v>181</v>
      </c>
      <c r="B31" s="903">
        <v>18</v>
      </c>
      <c r="C31" s="902" t="str">
        <f t="shared" si="8"/>
        <v>x24F</v>
      </c>
      <c r="D31" s="900"/>
      <c r="E31" s="900"/>
      <c r="F31" s="900"/>
      <c r="G31" s="871" t="str">
        <f t="shared" si="9"/>
        <v>Euribor6M</v>
      </c>
      <c r="H31" s="901" t="str">
        <f t="shared" si="10"/>
        <v>EUR18x24F_Quote</v>
      </c>
      <c r="I31" s="900"/>
      <c r="J31" s="38"/>
      <c r="K31" s="23"/>
      <c r="L31" s="895" t="str">
        <f t="shared" si="11"/>
        <v>FUT</v>
      </c>
      <c r="M31" s="891" t="str">
        <f t="shared" si="12"/>
        <v>--</v>
      </c>
      <c r="N31" s="894" t="str">
        <f ca="1">IFERROR(_xll.qlRateHelperQuoteName(M31,Trigger),"--")</f>
        <v>--</v>
      </c>
      <c r="O31" s="1016" t="str">
        <f ca="1">IFERROR(_xll.qlRateHelperQuoteValue($M31,Trigger),"--")</f>
        <v>--</v>
      </c>
      <c r="P31" s="892" t="b">
        <v>0</v>
      </c>
      <c r="Q31" s="891">
        <v>10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9" t="e">
        <f ca="1"/>
        <v>#NAME?</v>
      </c>
      <c r="AD31" s="914"/>
      <c r="AH31" s="1068"/>
    </row>
    <row r="32" spans="1:34" ht="11.25" customHeight="1" x14ac:dyDescent="0.2">
      <c r="B32" s="1"/>
      <c r="C32" s="1"/>
      <c r="D32" s="1"/>
      <c r="E32" s="1"/>
      <c r="F32" s="1"/>
      <c r="G32" s="1" t="s">
        <v>127</v>
      </c>
      <c r="H32" s="1" t="s">
        <v>415</v>
      </c>
      <c r="K32" s="23"/>
      <c r="L32" s="895" t="str">
        <f t="shared" si="11"/>
        <v>FUT</v>
      </c>
      <c r="M32" s="891" t="str">
        <f t="shared" si="12"/>
        <v>--</v>
      </c>
      <c r="N32" s="894" t="str">
        <f ca="1">IFERROR(_xll.qlRateHelperQuoteName(M32,Trigger),"--")</f>
        <v>--</v>
      </c>
      <c r="O32" s="1016" t="str">
        <f ca="1">IFERROR(_xll.qlRateHelperQuoteValue($M32,Trigger),"--")</f>
        <v>--</v>
      </c>
      <c r="P32" s="892" t="b">
        <v>0</v>
      </c>
      <c r="Q32" s="891">
        <v>10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9" t="e">
        <f ca="1"/>
        <v>#NAME?</v>
      </c>
      <c r="AD32" s="914"/>
    </row>
    <row r="33" spans="1:30" ht="11.25" customHeight="1" x14ac:dyDescent="0.2">
      <c r="A33" s="146" t="s">
        <v>388</v>
      </c>
      <c r="B33" s="146" t="s">
        <v>414</v>
      </c>
      <c r="C33" s="146" t="s">
        <v>144</v>
      </c>
      <c r="D33" s="146"/>
      <c r="E33" s="146"/>
      <c r="F33" s="146"/>
      <c r="G33" s="146" t="s">
        <v>14</v>
      </c>
      <c r="H33" s="146" t="s">
        <v>384</v>
      </c>
      <c r="I33" s="146" t="s">
        <v>413</v>
      </c>
      <c r="J33" s="146" t="s">
        <v>383</v>
      </c>
      <c r="K33" s="23"/>
      <c r="L33" s="895" t="str">
        <f t="shared" si="11"/>
        <v>FUT</v>
      </c>
      <c r="M33" s="891" t="str">
        <f t="shared" si="12"/>
        <v>--</v>
      </c>
      <c r="N33" s="894" t="str">
        <f ca="1">IFERROR(_xll.qlRateHelperQuoteName(M33,Trigger),"--")</f>
        <v>--</v>
      </c>
      <c r="O33" s="1016" t="str">
        <f ca="1">IFERROR(_xll.qlRateHelperQuoteValue($M33,Trigger),"--")</f>
        <v>--</v>
      </c>
      <c r="P33" s="892" t="b">
        <v>0</v>
      </c>
      <c r="Q33" s="891">
        <v>10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9" t="e">
        <f ca="1"/>
        <v>#NAME?</v>
      </c>
      <c r="AD33" s="914"/>
    </row>
    <row r="34" spans="1:30" ht="11.25" customHeight="1" x14ac:dyDescent="0.2">
      <c r="A34" s="897" t="s">
        <v>128</v>
      </c>
      <c r="B34" s="918" t="b">
        <v>0</v>
      </c>
      <c r="C34" s="917" t="e">
        <f ca="1">_xll.qlIMMNextCode(Evaluationdate-1,B34,Trigger)</f>
        <v>#NAME?</v>
      </c>
      <c r="D34" s="915"/>
      <c r="E34" s="915"/>
      <c r="F34" s="915"/>
      <c r="G34" s="898" t="str">
        <f t="shared" ref="G34:G55" si="13">PROPER(Currency)&amp;FamilyName&amp;$G$32</f>
        <v>Euribor3M</v>
      </c>
      <c r="H34" s="916" t="e">
        <f t="shared" ref="H34:H55" ca="1" si="14">Currency&amp;"FUT"&amp;$G$32&amp;$C34&amp;QuoteSuffix</f>
        <v>#NAME?</v>
      </c>
      <c r="I34" s="916" t="e">
        <f t="shared" ref="I34:I55" ca="1" si="15">Currency&amp;"FUT"&amp;$G$32&amp;$C34&amp;"ConvAdj"&amp;QuoteSuffix</f>
        <v>#NAME?</v>
      </c>
      <c r="J34" s="47"/>
      <c r="K34" s="23"/>
      <c r="L34" s="895" t="str">
        <f t="shared" si="11"/>
        <v>FUT</v>
      </c>
      <c r="M34" s="891" t="str">
        <f t="shared" si="12"/>
        <v>--</v>
      </c>
      <c r="N34" s="894" t="str">
        <f ca="1">IFERROR(_xll.qlRateHelperQuoteName(M34,Trigger),"--")</f>
        <v>--</v>
      </c>
      <c r="O34" s="1016" t="str">
        <f ca="1">IFERROR(_xll.qlRateHelperQuoteValue($M34,Trigger),"--")</f>
        <v>--</v>
      </c>
      <c r="P34" s="892" t="b">
        <v>0</v>
      </c>
      <c r="Q34" s="891">
        <v>10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9" t="e">
        <f ca="1"/>
        <v>#NAME?</v>
      </c>
      <c r="AD34" s="914"/>
    </row>
    <row r="35" spans="1:30" ht="11.25" customHeight="1" x14ac:dyDescent="0.2">
      <c r="A35" s="874" t="s">
        <v>128</v>
      </c>
      <c r="B35" s="913" t="b">
        <v>0</v>
      </c>
      <c r="C35" s="912" t="e">
        <f ca="1">_xll.qlIMMNextCode(C34,B35,Trigger)</f>
        <v>#NAME?</v>
      </c>
      <c r="D35" s="910"/>
      <c r="E35" s="910"/>
      <c r="F35" s="910"/>
      <c r="G35" s="875" t="str">
        <f t="shared" si="13"/>
        <v>Euribor3M</v>
      </c>
      <c r="H35" s="911" t="e">
        <f t="shared" ca="1" si="14"/>
        <v>#NAME?</v>
      </c>
      <c r="I35" s="911" t="e">
        <f t="shared" ca="1" si="15"/>
        <v>#NAME?</v>
      </c>
      <c r="J35" s="43"/>
      <c r="K35" s="23"/>
      <c r="L35" s="895" t="str">
        <f t="shared" si="11"/>
        <v>FUT</v>
      </c>
      <c r="M35" s="891" t="str">
        <f t="shared" si="12"/>
        <v>--</v>
      </c>
      <c r="N35" s="894" t="str">
        <f ca="1">IFERROR(_xll.qlRateHelperQuoteName(M35,Trigger),"--")</f>
        <v>--</v>
      </c>
      <c r="O35" s="1016" t="str">
        <f ca="1">IFERROR(_xll.qlRateHelperQuoteValue($M35,Trigger),"--")</f>
        <v>--</v>
      </c>
      <c r="P35" s="892" t="b">
        <v>0</v>
      </c>
      <c r="Q35" s="891">
        <v>10</v>
      </c>
      <c r="R35" s="891">
        <v>1</v>
      </c>
      <c r="S35" s="890" t="str">
        <f ca="1">IFERROR(_xll.qlRateHelperEarliestDate(M35,Trigger),"--")</f>
        <v>--</v>
      </c>
      <c r="T35" s="890" t="str">
        <f ca="1">IFERROR(_xll.qlRateHelperPillarDate(M35,Trigger),"--")</f>
        <v>--</v>
      </c>
      <c r="V35" s="4" t="str">
        <f t="shared" ref="V35:V66" ca="1" si="16">IFERROR(INDEX($L$3:$L$89,MATCH(X35,$N$3:$N$89,0),1),"")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9" t="e">
        <f ca="1"/>
        <v>#NAME?</v>
      </c>
      <c r="AD35" s="914"/>
    </row>
    <row r="36" spans="1:30" ht="11.25" customHeight="1" x14ac:dyDescent="0.2">
      <c r="A36" s="874" t="s">
        <v>128</v>
      </c>
      <c r="B36" s="913" t="b">
        <v>0</v>
      </c>
      <c r="C36" s="912" t="e">
        <f ca="1">_xll.qlIMMNextCode(C35,B36,Trigger)</f>
        <v>#NAME?</v>
      </c>
      <c r="D36" s="910"/>
      <c r="E36" s="910"/>
      <c r="F36" s="910"/>
      <c r="G36" s="875" t="str">
        <f t="shared" si="13"/>
        <v>Euribor3M</v>
      </c>
      <c r="H36" s="911" t="e">
        <f t="shared" ca="1" si="14"/>
        <v>#NAME?</v>
      </c>
      <c r="I36" s="911" t="e">
        <f t="shared" ca="1" si="15"/>
        <v>#NAME?</v>
      </c>
      <c r="J36" s="43"/>
      <c r="K36" s="23"/>
      <c r="L36" s="895" t="str">
        <f t="shared" si="11"/>
        <v>FUT</v>
      </c>
      <c r="M36" s="891" t="str">
        <f t="shared" si="12"/>
        <v>--</v>
      </c>
      <c r="N36" s="894" t="str">
        <f ca="1">IFERROR(_xll.qlRateHelperQuoteName(M36,Trigger),"--")</f>
        <v>--</v>
      </c>
      <c r="O36" s="1016" t="str">
        <f ca="1">IFERROR(_xll.qlRateHelperQuoteValue($M36,Trigger),"--")</f>
        <v>--</v>
      </c>
      <c r="P36" s="892" t="b">
        <v>0</v>
      </c>
      <c r="Q36" s="891">
        <v>10</v>
      </c>
      <c r="R36" s="891">
        <v>1</v>
      </c>
      <c r="S36" s="890" t="str">
        <f ca="1">IFERROR(_xll.qlRateHelperEarliestDate(M36,Trigger),"--")</f>
        <v>--</v>
      </c>
      <c r="T36" s="890" t="str">
        <f ca="1">IFERROR(_xll.qlRateHelperPillarDate(M36,Trigger),"--")</f>
        <v>--</v>
      </c>
      <c r="V36" s="4" t="str">
        <f t="shared" ca="1" si="16"/>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9" t="e">
        <f ca="1"/>
        <v>#NAME?</v>
      </c>
      <c r="AD36" s="914"/>
    </row>
    <row r="37" spans="1:30" ht="11.25" customHeight="1" x14ac:dyDescent="0.2">
      <c r="A37" s="874" t="s">
        <v>128</v>
      </c>
      <c r="B37" s="913" t="b">
        <v>0</v>
      </c>
      <c r="C37" s="912" t="e">
        <f ca="1">_xll.qlIMMNextCode(C36,B37,Trigger)</f>
        <v>#NAME?</v>
      </c>
      <c r="D37" s="910"/>
      <c r="E37" s="910"/>
      <c r="F37" s="910"/>
      <c r="G37" s="875" t="str">
        <f t="shared" si="13"/>
        <v>Euribor3M</v>
      </c>
      <c r="H37" s="911" t="e">
        <f t="shared" ca="1" si="14"/>
        <v>#NAME?</v>
      </c>
      <c r="I37" s="911" t="e">
        <f t="shared" ca="1" si="15"/>
        <v>#NAME?</v>
      </c>
      <c r="J37" s="43"/>
      <c r="K37" s="23"/>
      <c r="L37" s="895" t="str">
        <f t="shared" si="11"/>
        <v>FUT</v>
      </c>
      <c r="M37" s="891" t="str">
        <f t="shared" si="12"/>
        <v>--</v>
      </c>
      <c r="N37" s="894" t="str">
        <f ca="1">IFERROR(_xll.qlRateHelperQuoteName(M37,Trigger),"--")</f>
        <v>--</v>
      </c>
      <c r="O37" s="1016" t="str">
        <f ca="1">IFERROR(_xll.qlRateHelperQuoteValue($M37,Trigger),"--")</f>
        <v>--</v>
      </c>
      <c r="P37" s="892" t="b">
        <v>0</v>
      </c>
      <c r="Q37" s="891">
        <v>10</v>
      </c>
      <c r="R37" s="891">
        <v>1</v>
      </c>
      <c r="S37" s="890" t="str">
        <f ca="1">IFERROR(_xll.qlRateHelperEarliestDate(M37,Trigger),"--")</f>
        <v>--</v>
      </c>
      <c r="T37" s="890" t="str">
        <f ca="1">IFERROR(_xll.qlRateHelperPillarDate(M37,Trigger),"--")</f>
        <v>--</v>
      </c>
      <c r="V37" s="4" t="str">
        <f t="shared" ca="1" si="16"/>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9" t="e">
        <f ca="1"/>
        <v>#NAME?</v>
      </c>
      <c r="AD37" s="914"/>
    </row>
    <row r="38" spans="1:30" ht="11.25" customHeight="1" x14ac:dyDescent="0.2">
      <c r="A38" s="870" t="s">
        <v>128</v>
      </c>
      <c r="B38" s="903" t="b">
        <v>0</v>
      </c>
      <c r="C38" s="902" t="e">
        <f ca="1">_xll.qlIMMNextCode(C37,B38,Trigger)</f>
        <v>#NAME?</v>
      </c>
      <c r="D38" s="900"/>
      <c r="E38" s="900"/>
      <c r="F38" s="900"/>
      <c r="G38" s="871" t="str">
        <f t="shared" si="13"/>
        <v>Euribor3M</v>
      </c>
      <c r="H38" s="901" t="e">
        <f t="shared" ca="1" si="14"/>
        <v>#NAME?</v>
      </c>
      <c r="I38" s="901" t="e">
        <f t="shared" ca="1" si="15"/>
        <v>#NAME?</v>
      </c>
      <c r="J38" s="38"/>
      <c r="K38" s="23"/>
      <c r="L38" s="895" t="str">
        <f t="shared" si="11"/>
        <v>FUT</v>
      </c>
      <c r="M38" s="891" t="str">
        <f t="shared" si="12"/>
        <v>--</v>
      </c>
      <c r="N38" s="894" t="str">
        <f ca="1">IFERROR(_xll.qlRateHelperQuoteName(M38,Trigger),"--")</f>
        <v>--</v>
      </c>
      <c r="O38" s="1016" t="str">
        <f ca="1">IFERROR(_xll.qlRateHelperQuoteValue($M38,Trigger),"--")</f>
        <v>--</v>
      </c>
      <c r="P38" s="892" t="b">
        <v>0</v>
      </c>
      <c r="Q38" s="891">
        <v>10</v>
      </c>
      <c r="R38" s="891">
        <v>1</v>
      </c>
      <c r="S38" s="890" t="str">
        <f ca="1">IFERROR(_xll.qlRateHelperEarliestDate(M38,Trigger),"--")</f>
        <v>--</v>
      </c>
      <c r="T38" s="890" t="str">
        <f ca="1">IFERROR(_xll.qlRateHelperPillarDate(M38,Trigger),"--")</f>
        <v>--</v>
      </c>
      <c r="V38" s="4" t="str">
        <f t="shared" ca="1" si="16"/>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9" t="e">
        <f ca="1"/>
        <v>#NAME?</v>
      </c>
      <c r="AD38" s="914"/>
    </row>
    <row r="39" spans="1:30" ht="11.25" customHeight="1" x14ac:dyDescent="0.2">
      <c r="A39" s="874" t="s">
        <v>128</v>
      </c>
      <c r="B39" s="913" t="b">
        <v>1</v>
      </c>
      <c r="C39" s="912" t="e">
        <f ca="1">_xll.qlIMMNextCode(C38,B39,Trigger)</f>
        <v>#NAME?</v>
      </c>
      <c r="D39" s="910"/>
      <c r="E39" s="910"/>
      <c r="F39" s="910"/>
      <c r="G39" s="875" t="str">
        <f t="shared" si="13"/>
        <v>Euribor3M</v>
      </c>
      <c r="H39" s="911" t="e">
        <f t="shared" ca="1" si="14"/>
        <v>#NAME?</v>
      </c>
      <c r="I39" s="911" t="e">
        <f t="shared" ca="1" si="15"/>
        <v>#NAME?</v>
      </c>
      <c r="J39" s="43"/>
      <c r="L39" s="895" t="str">
        <f t="shared" si="11"/>
        <v>FUT</v>
      </c>
      <c r="M39" s="891" t="str">
        <f t="shared" si="12"/>
        <v>--</v>
      </c>
      <c r="N39" s="894" t="str">
        <f ca="1">IFERROR(_xll.qlRateHelperQuoteName(M39,Trigger),"--")</f>
        <v>--</v>
      </c>
      <c r="O39" s="1016" t="str">
        <f ca="1">IFERROR(_xll.qlRateHelperQuoteValue($M39,Trigger),"--")</f>
        <v>--</v>
      </c>
      <c r="P39" s="892" t="b">
        <v>0</v>
      </c>
      <c r="Q39" s="891">
        <v>10</v>
      </c>
      <c r="R39" s="891">
        <v>1</v>
      </c>
      <c r="S39" s="890" t="str">
        <f ca="1">IFERROR(_xll.qlRateHelperEarliestDate(M39,Trigger),"--")</f>
        <v>--</v>
      </c>
      <c r="T39" s="890" t="str">
        <f ca="1">IFERROR(_xll.qlRateHelperPillarDate(M39,Trigger),"--")</f>
        <v>--</v>
      </c>
      <c r="V39" s="4" t="str">
        <f t="shared" ca="1" si="16"/>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9" t="e">
        <f ca="1"/>
        <v>#NAME?</v>
      </c>
      <c r="AD39" s="914"/>
    </row>
    <row r="40" spans="1:30" ht="11.25" customHeight="1" x14ac:dyDescent="0.2">
      <c r="A40" s="874" t="s">
        <v>128</v>
      </c>
      <c r="B40" s="913" t="b">
        <v>1</v>
      </c>
      <c r="C40" s="912" t="e">
        <f ca="1">_xll.qlIMMNextCode(C39,B40,Trigger)</f>
        <v>#NAME?</v>
      </c>
      <c r="D40" s="910"/>
      <c r="E40" s="910"/>
      <c r="F40" s="910"/>
      <c r="G40" s="875" t="str">
        <f t="shared" si="13"/>
        <v>Euribor3M</v>
      </c>
      <c r="H40" s="911" t="e">
        <f t="shared" ca="1" si="14"/>
        <v>#NAME?</v>
      </c>
      <c r="I40" s="911" t="e">
        <f t="shared" ca="1" si="15"/>
        <v>#NAME?</v>
      </c>
      <c r="J40" s="43"/>
      <c r="L40" s="895" t="str">
        <f t="shared" si="11"/>
        <v>FUT</v>
      </c>
      <c r="M40" s="891" t="str">
        <f t="shared" si="12"/>
        <v>--</v>
      </c>
      <c r="N40" s="894" t="str">
        <f ca="1">IFERROR(_xll.qlRateHelperQuoteName(M40,Trigger),"--")</f>
        <v>--</v>
      </c>
      <c r="O40" s="1016" t="str">
        <f ca="1">IFERROR(_xll.qlRateHelperQuoteValue($M40,Trigger),"--")</f>
        <v>--</v>
      </c>
      <c r="P40" s="892" t="b">
        <v>0</v>
      </c>
      <c r="Q40" s="891">
        <v>10</v>
      </c>
      <c r="R40" s="891">
        <v>1</v>
      </c>
      <c r="S40" s="890" t="str">
        <f ca="1">IFERROR(_xll.qlRateHelperEarliestDate(M40,Trigger),"--")</f>
        <v>--</v>
      </c>
      <c r="T40" s="890" t="str">
        <f ca="1">IFERROR(_xll.qlRateHelperPillarDate(M40,Trigger),"--")</f>
        <v>--</v>
      </c>
      <c r="V40" s="4" t="str">
        <f t="shared" ca="1" si="16"/>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9" t="e">
        <f ca="1"/>
        <v>#NAME?</v>
      </c>
      <c r="AD40" s="914"/>
    </row>
    <row r="41" spans="1:30" ht="11.25" customHeight="1" x14ac:dyDescent="0.2">
      <c r="A41" s="874" t="s">
        <v>128</v>
      </c>
      <c r="B41" s="913" t="b">
        <v>1</v>
      </c>
      <c r="C41" s="912" t="e">
        <f ca="1">_xll.qlIMMNextCode(C40,B41,Trigger)</f>
        <v>#NAME?</v>
      </c>
      <c r="D41" s="910"/>
      <c r="E41" s="910"/>
      <c r="F41" s="910"/>
      <c r="G41" s="875" t="str">
        <f t="shared" si="13"/>
        <v>Euribor3M</v>
      </c>
      <c r="H41" s="911" t="e">
        <f t="shared" ca="1" si="14"/>
        <v>#NAME?</v>
      </c>
      <c r="I41" s="911" t="e">
        <f t="shared" ca="1" si="15"/>
        <v>#NAME?</v>
      </c>
      <c r="J41" s="43"/>
      <c r="L41" s="895" t="str">
        <f t="shared" si="11"/>
        <v>FUT</v>
      </c>
      <c r="M41" s="891" t="str">
        <f t="shared" si="12"/>
        <v>--</v>
      </c>
      <c r="N41" s="894" t="str">
        <f ca="1">IFERROR(_xll.qlRateHelperQuoteName(M41,Trigger),"--")</f>
        <v>--</v>
      </c>
      <c r="O41" s="1016" t="str">
        <f ca="1">IFERROR(_xll.qlRateHelperQuoteValue($M41,Trigger),"--")</f>
        <v>--</v>
      </c>
      <c r="P41" s="892" t="b">
        <v>0</v>
      </c>
      <c r="Q41" s="891">
        <v>10</v>
      </c>
      <c r="R41" s="891">
        <v>1</v>
      </c>
      <c r="S41" s="890" t="str">
        <f ca="1">IFERROR(_xll.qlRateHelperEarliestDate(M41,Trigger),"--")</f>
        <v>--</v>
      </c>
      <c r="T41" s="890" t="str">
        <f ca="1">IFERROR(_xll.qlRateHelperPillarDate(M41,Trigger),"--")</f>
        <v>--</v>
      </c>
      <c r="V41" s="4" t="str">
        <f t="shared" ca="1" si="16"/>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9" t="e">
        <f ca="1"/>
        <v>#NAME?</v>
      </c>
      <c r="AD41" s="914"/>
    </row>
    <row r="42" spans="1:30" ht="11.25" customHeight="1" x14ac:dyDescent="0.2">
      <c r="A42" s="874" t="s">
        <v>128</v>
      </c>
      <c r="B42" s="913" t="b">
        <v>1</v>
      </c>
      <c r="C42" s="912" t="e">
        <f ca="1">_xll.qlIMMNextCode(C41,B42,Trigger)</f>
        <v>#NAME?</v>
      </c>
      <c r="D42" s="910"/>
      <c r="E42" s="910"/>
      <c r="F42" s="910"/>
      <c r="G42" s="875" t="str">
        <f t="shared" si="13"/>
        <v>Euribor3M</v>
      </c>
      <c r="H42" s="911" t="e">
        <f t="shared" ca="1" si="14"/>
        <v>#NAME?</v>
      </c>
      <c r="I42" s="911" t="e">
        <f t="shared" ca="1" si="15"/>
        <v>#NAME?</v>
      </c>
      <c r="J42" s="43"/>
      <c r="L42" s="895" t="str">
        <f t="shared" si="11"/>
        <v>FUT</v>
      </c>
      <c r="M42" s="891" t="str">
        <f t="shared" si="12"/>
        <v>--</v>
      </c>
      <c r="N42" s="894" t="str">
        <f ca="1">IFERROR(_xll.qlRateHelperQuoteName(M42,Trigger),"--")</f>
        <v>--</v>
      </c>
      <c r="O42" s="1016" t="str">
        <f ca="1">IFERROR(_xll.qlRateHelperQuoteValue($M42,Trigger),"--")</f>
        <v>--</v>
      </c>
      <c r="P42" s="892" t="b">
        <v>0</v>
      </c>
      <c r="Q42" s="891">
        <v>10</v>
      </c>
      <c r="R42" s="891">
        <v>1</v>
      </c>
      <c r="S42" s="890" t="str">
        <f ca="1">IFERROR(_xll.qlRateHelperEarliestDate(M42,Trigger),"--")</f>
        <v>--</v>
      </c>
      <c r="T42" s="890" t="str">
        <f ca="1">IFERROR(_xll.qlRateHelperPillarDate(M42,Trigger),"--")</f>
        <v>--</v>
      </c>
      <c r="V42" s="4" t="str">
        <f t="shared" ca="1" si="16"/>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9" t="e">
        <f ca="1"/>
        <v>#NAME?</v>
      </c>
      <c r="AD42" s="914"/>
    </row>
    <row r="43" spans="1:30" ht="11.25" customHeight="1" x14ac:dyDescent="0.2">
      <c r="A43" s="874" t="s">
        <v>128</v>
      </c>
      <c r="B43" s="913" t="b">
        <v>1</v>
      </c>
      <c r="C43" s="912" t="e">
        <f ca="1">_xll.qlIMMNextCode(C42,B43,Trigger)</f>
        <v>#NAME?</v>
      </c>
      <c r="D43" s="910"/>
      <c r="E43" s="910"/>
      <c r="F43" s="910"/>
      <c r="G43" s="875" t="str">
        <f t="shared" si="13"/>
        <v>Euribor3M</v>
      </c>
      <c r="H43" s="911" t="e">
        <f t="shared" ca="1" si="14"/>
        <v>#NAME?</v>
      </c>
      <c r="I43" s="911" t="e">
        <f t="shared" ca="1" si="15"/>
        <v>#NAME?</v>
      </c>
      <c r="J43" s="43"/>
      <c r="L43" s="895" t="str">
        <f t="shared" si="11"/>
        <v>FUT</v>
      </c>
      <c r="M43" s="891" t="str">
        <f t="shared" si="12"/>
        <v>--</v>
      </c>
      <c r="N43" s="894" t="str">
        <f ca="1">IFERROR(_xll.qlRateHelperQuoteName(M43,Trigger),"--")</f>
        <v>--</v>
      </c>
      <c r="O43" s="1016" t="str">
        <f ca="1">IFERROR(_xll.qlRateHelperQuoteValue($M43,Trigger),"--")</f>
        <v>--</v>
      </c>
      <c r="P43" s="892" t="b">
        <v>0</v>
      </c>
      <c r="Q43" s="891">
        <v>10</v>
      </c>
      <c r="R43" s="891">
        <v>1</v>
      </c>
      <c r="S43" s="890" t="str">
        <f ca="1">IFERROR(_xll.qlRateHelperEarliestDate(M43,Trigger),"--")</f>
        <v>--</v>
      </c>
      <c r="T43" s="890" t="str">
        <f ca="1">IFERROR(_xll.qlRateHelperPillarDate(M43,Trigger),"--")</f>
        <v>--</v>
      </c>
      <c r="V43" s="4" t="str">
        <f t="shared" ca="1" si="16"/>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9" t="e">
        <f ca="1"/>
        <v>#NAME?</v>
      </c>
      <c r="AD43" s="914"/>
    </row>
    <row r="44" spans="1:30" ht="11.25" customHeight="1" x14ac:dyDescent="0.2">
      <c r="A44" s="874" t="s">
        <v>128</v>
      </c>
      <c r="B44" s="913" t="b">
        <v>1</v>
      </c>
      <c r="C44" s="912" t="e">
        <f ca="1">_xll.qlIMMNextCode(C43,B44,Trigger)</f>
        <v>#NAME?</v>
      </c>
      <c r="D44" s="910"/>
      <c r="E44" s="910"/>
      <c r="F44" s="910"/>
      <c r="G44" s="875" t="str">
        <f t="shared" si="13"/>
        <v>Euribor3M</v>
      </c>
      <c r="H44" s="911" t="e">
        <f t="shared" ca="1" si="14"/>
        <v>#NAME?</v>
      </c>
      <c r="I44" s="911" t="e">
        <f t="shared" ca="1" si="15"/>
        <v>#NAME?</v>
      </c>
      <c r="J44" s="43"/>
      <c r="L44" s="895" t="str">
        <f t="shared" si="11"/>
        <v>FUT</v>
      </c>
      <c r="M44" s="891" t="str">
        <f t="shared" si="12"/>
        <v>--</v>
      </c>
      <c r="N44" s="894" t="str">
        <f ca="1">IFERROR(_xll.qlRateHelperQuoteName(M44,Trigger),"--")</f>
        <v>--</v>
      </c>
      <c r="O44" s="1016" t="str">
        <f ca="1">IFERROR(_xll.qlRateHelperQuoteValue($M44,Trigger),"--")</f>
        <v>--</v>
      </c>
      <c r="P44" s="892" t="b">
        <v>0</v>
      </c>
      <c r="Q44" s="891">
        <v>10</v>
      </c>
      <c r="R44" s="891">
        <v>1</v>
      </c>
      <c r="S44" s="890" t="str">
        <f ca="1">IFERROR(_xll.qlRateHelperEarliestDate(M44,Trigger),"--")</f>
        <v>--</v>
      </c>
      <c r="T44" s="890" t="str">
        <f ca="1">IFERROR(_xll.qlRateHelperPillarDate(M44,Trigger),"--")</f>
        <v>--</v>
      </c>
      <c r="V44" s="4" t="str">
        <f t="shared" ca="1" si="16"/>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9" t="e">
        <f ca="1"/>
        <v>#NAME?</v>
      </c>
      <c r="AD44" s="914"/>
    </row>
    <row r="45" spans="1:30" ht="11.25" customHeight="1" x14ac:dyDescent="0.2">
      <c r="A45" s="874" t="s">
        <v>128</v>
      </c>
      <c r="B45" s="913" t="b">
        <v>1</v>
      </c>
      <c r="C45" s="912" t="e">
        <f ca="1">_xll.qlIMMNextCode(C44,B45,Trigger)</f>
        <v>#NAME?</v>
      </c>
      <c r="D45" s="910"/>
      <c r="E45" s="910"/>
      <c r="F45" s="910"/>
      <c r="G45" s="875" t="str">
        <f t="shared" si="13"/>
        <v>Euribor3M</v>
      </c>
      <c r="H45" s="911" t="e">
        <f t="shared" ca="1" si="14"/>
        <v>#NAME?</v>
      </c>
      <c r="I45" s="911" t="e">
        <f t="shared" ca="1" si="15"/>
        <v>#NAME?</v>
      </c>
      <c r="J45" s="43"/>
      <c r="L45" s="895" t="str">
        <f t="shared" si="11"/>
        <v>FUT</v>
      </c>
      <c r="M45" s="891" t="str">
        <f t="shared" si="12"/>
        <v>--</v>
      </c>
      <c r="N45" s="894" t="str">
        <f ca="1">IFERROR(_xll.qlRateHelperQuoteName(M45,Trigger),"--")</f>
        <v>--</v>
      </c>
      <c r="O45" s="1016" t="str">
        <f ca="1">IFERROR(_xll.qlRateHelperQuoteValue($M45,Trigger),"--")</f>
        <v>--</v>
      </c>
      <c r="P45" s="892" t="b">
        <v>0</v>
      </c>
      <c r="Q45" s="891">
        <v>10</v>
      </c>
      <c r="R45" s="891">
        <v>1</v>
      </c>
      <c r="S45" s="890" t="str">
        <f ca="1">IFERROR(_xll.qlRateHelperEarliestDate(M45,Trigger),"--")</f>
        <v>--</v>
      </c>
      <c r="T45" s="890" t="str">
        <f ca="1">IFERROR(_xll.qlRateHelperPillarDate(M45,Trigger),"--")</f>
        <v>--</v>
      </c>
      <c r="V45" s="4" t="str">
        <f t="shared" ca="1" si="16"/>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9" t="e">
        <f ca="1"/>
        <v>#NAME?</v>
      </c>
      <c r="AD45" s="914"/>
    </row>
    <row r="46" spans="1:30" ht="11.25" customHeight="1" x14ac:dyDescent="0.2">
      <c r="A46" s="874" t="s">
        <v>128</v>
      </c>
      <c r="B46" s="913" t="b">
        <v>1</v>
      </c>
      <c r="C46" s="912" t="e">
        <f ca="1">_xll.qlIMMNextCode(C45,B46,Trigger)</f>
        <v>#NAME?</v>
      </c>
      <c r="D46" s="910"/>
      <c r="E46" s="910"/>
      <c r="F46" s="910"/>
      <c r="G46" s="875" t="str">
        <f t="shared" si="13"/>
        <v>Euribor3M</v>
      </c>
      <c r="H46" s="911" t="e">
        <f t="shared" ca="1" si="14"/>
        <v>#NAME?</v>
      </c>
      <c r="I46" s="911" t="e">
        <f t="shared" ca="1" si="15"/>
        <v>#NAME?</v>
      </c>
      <c r="J46" s="43"/>
      <c r="L46" s="895" t="str">
        <f t="shared" si="11"/>
        <v>FUT</v>
      </c>
      <c r="M46" s="891" t="str">
        <f t="shared" si="12"/>
        <v>--</v>
      </c>
      <c r="N46" s="894" t="str">
        <f ca="1">IFERROR(_xll.qlRateHelperQuoteName(M46,Trigger),"--")</f>
        <v>--</v>
      </c>
      <c r="O46" s="1016" t="str">
        <f ca="1">IFERROR(_xll.qlRateHelperQuoteValue($M46,Trigger),"--")</f>
        <v>--</v>
      </c>
      <c r="P46" s="892" t="b">
        <v>0</v>
      </c>
      <c r="Q46" s="891">
        <v>10</v>
      </c>
      <c r="R46" s="891">
        <v>1</v>
      </c>
      <c r="S46" s="890" t="str">
        <f ca="1">IFERROR(_xll.qlRateHelperEarliestDate(M46,Trigger),"--")</f>
        <v>--</v>
      </c>
      <c r="T46" s="890" t="str">
        <f ca="1">IFERROR(_xll.qlRateHelperPillarDate(M46,Trigger),"--")</f>
        <v>--</v>
      </c>
      <c r="V46" s="4" t="str">
        <f t="shared" ca="1" si="16"/>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9" t="e">
        <f ca="1"/>
        <v>#NAME?</v>
      </c>
      <c r="AD46" s="914"/>
    </row>
    <row r="47" spans="1:30" ht="11.25" customHeight="1" x14ac:dyDescent="0.2">
      <c r="A47" s="874" t="s">
        <v>128</v>
      </c>
      <c r="B47" s="913" t="b">
        <v>1</v>
      </c>
      <c r="C47" s="912" t="e">
        <f ca="1">_xll.qlIMMNextCode(C46,B47,Trigger)</f>
        <v>#NAME?</v>
      </c>
      <c r="D47" s="910"/>
      <c r="E47" s="910"/>
      <c r="F47" s="910"/>
      <c r="G47" s="875" t="str">
        <f t="shared" si="13"/>
        <v>Euribor3M</v>
      </c>
      <c r="H47" s="911" t="e">
        <f t="shared" ca="1" si="14"/>
        <v>#NAME?</v>
      </c>
      <c r="I47" s="911" t="e">
        <f t="shared" ca="1" si="15"/>
        <v>#NAME?</v>
      </c>
      <c r="J47" s="43"/>
      <c r="L47" s="895" t="str">
        <f t="shared" si="11"/>
        <v>FUT</v>
      </c>
      <c r="M47" s="891" t="str">
        <f t="shared" si="12"/>
        <v>--</v>
      </c>
      <c r="N47" s="894" t="str">
        <f ca="1">IFERROR(_xll.qlRateHelperQuoteName(M47,Trigger),"--")</f>
        <v>--</v>
      </c>
      <c r="O47" s="1016" t="str">
        <f ca="1">IFERROR(_xll.qlRateHelperQuoteValue($M47,Trigger),"--")</f>
        <v>--</v>
      </c>
      <c r="P47" s="892" t="b">
        <v>0</v>
      </c>
      <c r="Q47" s="891">
        <v>10</v>
      </c>
      <c r="R47" s="891">
        <v>1</v>
      </c>
      <c r="S47" s="890" t="str">
        <f ca="1">IFERROR(_xll.qlRateHelperEarliestDate(M47,Trigger),"--")</f>
        <v>--</v>
      </c>
      <c r="T47" s="890" t="str">
        <f ca="1">IFERROR(_xll.qlRateHelperPillarDate(M47,Trigger),"--")</f>
        <v>--</v>
      </c>
      <c r="V47" s="4" t="str">
        <f t="shared" ca="1" si="16"/>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9" t="e">
        <f ca="1"/>
        <v>#NAME?</v>
      </c>
      <c r="AD47" s="914"/>
    </row>
    <row r="48" spans="1:30" ht="11.25" customHeight="1" x14ac:dyDescent="0.2">
      <c r="A48" s="874" t="s">
        <v>128</v>
      </c>
      <c r="B48" s="913" t="b">
        <v>1</v>
      </c>
      <c r="C48" s="912" t="e">
        <f ca="1">_xll.qlIMMNextCode(C47,B48,Trigger)</f>
        <v>#NAME?</v>
      </c>
      <c r="D48" s="910"/>
      <c r="E48" s="910"/>
      <c r="F48" s="910"/>
      <c r="G48" s="875" t="str">
        <f t="shared" si="13"/>
        <v>Euribor3M</v>
      </c>
      <c r="H48" s="911" t="e">
        <f t="shared" ca="1" si="14"/>
        <v>#NAME?</v>
      </c>
      <c r="I48" s="911" t="e">
        <f t="shared" ca="1" si="15"/>
        <v>#NAME?</v>
      </c>
      <c r="J48" s="43"/>
      <c r="L48" s="895" t="str">
        <f t="shared" si="11"/>
        <v>FUT</v>
      </c>
      <c r="M48" s="891" t="str">
        <f t="shared" si="12"/>
        <v>--</v>
      </c>
      <c r="N48" s="894" t="str">
        <f ca="1">IFERROR(_xll.qlRateHelperQuoteName(M48,Trigger),"--")</f>
        <v>--</v>
      </c>
      <c r="O48" s="1016" t="str">
        <f ca="1">IFERROR(_xll.qlRateHelperQuoteValue($M48,Trigger),"--")</f>
        <v>--</v>
      </c>
      <c r="P48" s="892" t="b">
        <v>0</v>
      </c>
      <c r="Q48" s="891">
        <v>10</v>
      </c>
      <c r="R48" s="891">
        <v>1</v>
      </c>
      <c r="S48" s="890" t="str">
        <f ca="1">IFERROR(_xll.qlRateHelperEarliestDate(M48,Trigger),"--")</f>
        <v>--</v>
      </c>
      <c r="T48" s="890" t="str">
        <f ca="1">IFERROR(_xll.qlRateHelperPillarDate(M48,Trigger),"--")</f>
        <v>--</v>
      </c>
      <c r="V48" s="4" t="str">
        <f t="shared" ca="1" si="16"/>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9" t="e">
        <f ca="1"/>
        <v>#NAME?</v>
      </c>
      <c r="AD48" s="914"/>
    </row>
    <row r="49" spans="1:30" ht="11.25" customHeight="1" x14ac:dyDescent="0.2">
      <c r="A49" s="874" t="s">
        <v>128</v>
      </c>
      <c r="B49" s="913" t="b">
        <v>1</v>
      </c>
      <c r="C49" s="912" t="e">
        <f ca="1">_xll.qlIMMNextCode(C48,B49,Trigger)</f>
        <v>#NAME?</v>
      </c>
      <c r="D49" s="910"/>
      <c r="E49" s="910"/>
      <c r="F49" s="910"/>
      <c r="G49" s="875" t="str">
        <f t="shared" si="13"/>
        <v>Euribor3M</v>
      </c>
      <c r="H49" s="911" t="e">
        <f t="shared" ca="1" si="14"/>
        <v>#NAME?</v>
      </c>
      <c r="I49" s="911" t="e">
        <f t="shared" ca="1" si="15"/>
        <v>#NAME?</v>
      </c>
      <c r="J49" s="43"/>
      <c r="L49" s="895" t="str">
        <f t="shared" si="11"/>
        <v>FUT</v>
      </c>
      <c r="M49" s="891" t="str">
        <f t="shared" si="12"/>
        <v>--</v>
      </c>
      <c r="N49" s="894" t="str">
        <f ca="1">IFERROR(_xll.qlRateHelperQuoteName(M49,Trigger),"--")</f>
        <v>--</v>
      </c>
      <c r="O49" s="1016" t="str">
        <f ca="1">IFERROR(_xll.qlRateHelperQuoteValue($M49,Trigger),"--")</f>
        <v>--</v>
      </c>
      <c r="P49" s="892" t="b">
        <v>0</v>
      </c>
      <c r="Q49" s="891">
        <v>10</v>
      </c>
      <c r="R49" s="891">
        <v>1</v>
      </c>
      <c r="S49" s="890" t="str">
        <f ca="1">IFERROR(_xll.qlRateHelperEarliestDate(M49,Trigger),"--")</f>
        <v>--</v>
      </c>
      <c r="T49" s="890" t="str">
        <f ca="1">IFERROR(_xll.qlRateHelperPillarDate(M49,Trigger),"--")</f>
        <v>--</v>
      </c>
      <c r="V49" s="4" t="str">
        <f t="shared" ca="1" si="16"/>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9" t="e">
        <f ca="1"/>
        <v>#NAME?</v>
      </c>
      <c r="AD49" s="914"/>
    </row>
    <row r="50" spans="1:30" ht="11.25" customHeight="1" x14ac:dyDescent="0.2">
      <c r="A50" s="874" t="s">
        <v>128</v>
      </c>
      <c r="B50" s="913" t="b">
        <v>1</v>
      </c>
      <c r="C50" s="912" t="e">
        <f ca="1">_xll.qlIMMNextCode(C49,B50,Trigger)</f>
        <v>#NAME?</v>
      </c>
      <c r="D50" s="910"/>
      <c r="E50" s="910"/>
      <c r="F50" s="910"/>
      <c r="G50" s="875" t="str">
        <f t="shared" si="13"/>
        <v>Euribor3M</v>
      </c>
      <c r="H50" s="911" t="e">
        <f t="shared" ca="1" si="14"/>
        <v>#NAME?</v>
      </c>
      <c r="I50" s="911" t="e">
        <f t="shared" ca="1" si="15"/>
        <v>#NAME?</v>
      </c>
      <c r="J50" s="43"/>
      <c r="L50" s="895" t="str">
        <f t="shared" si="11"/>
        <v>FUT</v>
      </c>
      <c r="M50" s="891" t="str">
        <f t="shared" si="12"/>
        <v>--</v>
      </c>
      <c r="N50" s="894" t="str">
        <f ca="1">IFERROR(_xll.qlRateHelperQuoteName(M50,Trigger),"--")</f>
        <v>--</v>
      </c>
      <c r="O50" s="1016" t="str">
        <f ca="1">IFERROR(_xll.qlRateHelperQuoteValue($M50,Trigger),"--")</f>
        <v>--</v>
      </c>
      <c r="P50" s="892" t="b">
        <v>0</v>
      </c>
      <c r="Q50" s="891">
        <v>10</v>
      </c>
      <c r="R50" s="891">
        <v>1</v>
      </c>
      <c r="S50" s="890" t="str">
        <f ca="1">IFERROR(_xll.qlRateHelperEarliestDate(M50,Trigger),"--")</f>
        <v>--</v>
      </c>
      <c r="T50" s="890" t="str">
        <f ca="1">IFERROR(_xll.qlRateHelperPillarDate(M50,Trigger),"--")</f>
        <v>--</v>
      </c>
      <c r="V50" s="4" t="str">
        <f t="shared" ca="1" si="16"/>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9" t="e">
        <f ca="1"/>
        <v>#NAME?</v>
      </c>
      <c r="AD50" s="914"/>
    </row>
    <row r="51" spans="1:30" ht="11.25" customHeight="1" x14ac:dyDescent="0.2">
      <c r="A51" s="874" t="s">
        <v>128</v>
      </c>
      <c r="B51" s="913" t="b">
        <v>1</v>
      </c>
      <c r="C51" s="912" t="e">
        <f ca="1">_xll.qlIMMNextCode(C50,B51,Trigger)</f>
        <v>#NAME?</v>
      </c>
      <c r="D51" s="910"/>
      <c r="E51" s="910"/>
      <c r="F51" s="910"/>
      <c r="G51" s="875" t="str">
        <f t="shared" si="13"/>
        <v>Euribor3M</v>
      </c>
      <c r="H51" s="911" t="e">
        <f t="shared" ca="1" si="14"/>
        <v>#NAME?</v>
      </c>
      <c r="I51" s="911" t="e">
        <f t="shared" ca="1" si="15"/>
        <v>#NAME?</v>
      </c>
      <c r="J51" s="43"/>
      <c r="L51" s="886" t="str">
        <f t="shared" si="11"/>
        <v>FUT</v>
      </c>
      <c r="M51" s="882" t="str">
        <f t="shared" si="12"/>
        <v>--</v>
      </c>
      <c r="N51" s="885" t="str">
        <f ca="1">IFERROR(_xll.qlRateHelperQuoteName(M51,Trigger),"--")</f>
        <v>--</v>
      </c>
      <c r="O51" s="1015" t="str">
        <f ca="1">IFERROR(_xll.qlRateHelperQuoteValue($M51,Trigger),"--")</f>
        <v>--</v>
      </c>
      <c r="P51" s="883" t="b">
        <v>0</v>
      </c>
      <c r="Q51" s="882">
        <v>10</v>
      </c>
      <c r="R51" s="882">
        <v>1</v>
      </c>
      <c r="S51" s="881" t="str">
        <f ca="1">IFERROR(_xll.qlRateHelperEarliestDate(M51,Trigger),"--")</f>
        <v>--</v>
      </c>
      <c r="T51" s="881" t="str">
        <f ca="1">IFERROR(_xll.qlRateHelperPillarDate(M51,Trigger),"--")</f>
        <v>--</v>
      </c>
      <c r="V51" s="4" t="str">
        <f t="shared" ca="1" si="16"/>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9" t="e">
        <f ca="1"/>
        <v>#NAME?</v>
      </c>
      <c r="AD51" s="914"/>
    </row>
    <row r="52" spans="1:30" ht="11.25" customHeight="1" x14ac:dyDescent="0.2">
      <c r="A52" s="874" t="s">
        <v>128</v>
      </c>
      <c r="B52" s="913" t="b">
        <v>1</v>
      </c>
      <c r="C52" s="912" t="e">
        <f ca="1">_xll.qlIMMNextCode(C51,B52,Trigger)</f>
        <v>#NAME?</v>
      </c>
      <c r="D52" s="910"/>
      <c r="E52" s="910"/>
      <c r="F52" s="910"/>
      <c r="G52" s="875" t="str">
        <f t="shared" si="13"/>
        <v>Euribor3M</v>
      </c>
      <c r="H52" s="911" t="e">
        <f t="shared" ca="1" si="14"/>
        <v>#NAME?</v>
      </c>
      <c r="I52" s="911" t="e">
        <f t="shared" ca="1" si="15"/>
        <v>#NAME?</v>
      </c>
      <c r="J52" s="43"/>
      <c r="L52" s="1013" t="str">
        <f t="shared" ref="L52:L89" si="17">A58</f>
        <v>Sw</v>
      </c>
      <c r="M52" s="1067" t="str">
        <f t="shared" ref="M52:M89" si="18">IF(ISBLANK(J58),"--",J58)</f>
        <v>--</v>
      </c>
      <c r="N52" s="1012" t="str">
        <f ca="1">IFERROR(_xll.qlRateHelperQuoteName(M52,Trigger),"--")</f>
        <v>--</v>
      </c>
      <c r="O52" s="1011" t="str">
        <f ca="1">IFERROR(_xll.qlRateHelperQuoteValue($M52,Trigger),"--")</f>
        <v>--</v>
      </c>
      <c r="P52" s="971" t="b">
        <v>0</v>
      </c>
      <c r="Q52" s="1067">
        <v>50</v>
      </c>
      <c r="R52" s="1067">
        <v>1</v>
      </c>
      <c r="S52" s="1010" t="str">
        <f ca="1">IFERROR(_xll.qlRateHelperEarliestDate(M52,Trigger),"--")</f>
        <v>--</v>
      </c>
      <c r="T52" s="1010" t="str">
        <f ca="1">IFERROR(_xll.qlRateHelperPillarDate(M52,Trigger),"--")</f>
        <v>--</v>
      </c>
      <c r="V52" s="4" t="str">
        <f t="shared" ca="1" si="16"/>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9" t="e">
        <f ca="1"/>
        <v>#NAME?</v>
      </c>
      <c r="AD52" s="914"/>
    </row>
    <row r="53" spans="1:30" ht="11.25" customHeight="1" x14ac:dyDescent="0.2">
      <c r="A53" s="874" t="s">
        <v>128</v>
      </c>
      <c r="B53" s="913" t="b">
        <v>1</v>
      </c>
      <c r="C53" s="912" t="e">
        <f ca="1">_xll.qlIMMNextCode(C52,B53,Trigger)</f>
        <v>#NAME?</v>
      </c>
      <c r="D53" s="910"/>
      <c r="E53" s="910"/>
      <c r="F53" s="910"/>
      <c r="G53" s="875" t="str">
        <f t="shared" si="13"/>
        <v>Euribor3M</v>
      </c>
      <c r="H53" s="911" t="e">
        <f t="shared" ca="1" si="14"/>
        <v>#NAME?</v>
      </c>
      <c r="I53" s="911" t="e">
        <f t="shared" ca="1" si="15"/>
        <v>#NAME?</v>
      </c>
      <c r="J53" s="43"/>
      <c r="L53" s="1005" t="str">
        <f t="shared" si="17"/>
        <v>Sw</v>
      </c>
      <c r="M53" s="1014" t="str">
        <f t="shared" si="18"/>
        <v>--</v>
      </c>
      <c r="N53" s="1004" t="str">
        <f ca="1">IFERROR(_xll.qlRateHelperQuoteName(M53,Trigger),"--")</f>
        <v>--</v>
      </c>
      <c r="O53" s="1003" t="str">
        <f ca="1">IFERROR(_xll.qlRateHelperQuoteValue($M53,Trigger),"--")</f>
        <v>--</v>
      </c>
      <c r="P53" s="970" t="b">
        <v>0</v>
      </c>
      <c r="Q53" s="1014">
        <v>50</v>
      </c>
      <c r="R53" s="1014">
        <v>1</v>
      </c>
      <c r="S53" s="1002" t="str">
        <f ca="1">IFERROR(_xll.qlRateHelperEarliestDate(M53,Trigger),"--")</f>
        <v>--</v>
      </c>
      <c r="T53" s="1002" t="str">
        <f ca="1">IFERROR(_xll.qlRateHelperPillarDate(M53,Trigger),"--")</f>
        <v>--</v>
      </c>
      <c r="V53" s="4" t="str">
        <f t="shared" ca="1" si="16"/>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9" t="e">
        <f ca="1"/>
        <v>#NAME?</v>
      </c>
      <c r="AD53" s="914"/>
    </row>
    <row r="54" spans="1:30" ht="11.25" customHeight="1" x14ac:dyDescent="0.2">
      <c r="A54" s="874" t="s">
        <v>128</v>
      </c>
      <c r="B54" s="913" t="b">
        <v>1</v>
      </c>
      <c r="C54" s="912" t="e">
        <f ca="1">_xll.qlIMMNextCode(C53,B54,Trigger)</f>
        <v>#NAME?</v>
      </c>
      <c r="D54" s="910"/>
      <c r="E54" s="910"/>
      <c r="F54" s="910"/>
      <c r="G54" s="875" t="str">
        <f t="shared" si="13"/>
        <v>Euribor3M</v>
      </c>
      <c r="H54" s="911" t="e">
        <f t="shared" ca="1" si="14"/>
        <v>#NAME?</v>
      </c>
      <c r="I54" s="911" t="e">
        <f t="shared" ca="1" si="15"/>
        <v>#NAME?</v>
      </c>
      <c r="J54" s="43"/>
      <c r="L54" s="1005" t="str">
        <f t="shared" si="17"/>
        <v>Sw</v>
      </c>
      <c r="M54" s="1014" t="str">
        <f t="shared" si="18"/>
        <v>--</v>
      </c>
      <c r="N54" s="1004" t="str">
        <f ca="1">IFERROR(_xll.qlRateHelperQuoteName(M54,Trigger),"--")</f>
        <v>--</v>
      </c>
      <c r="O54" s="1003" t="str">
        <f ca="1">IFERROR(_xll.qlRateHelperQuoteValue($M54,Trigger),"--")</f>
        <v>--</v>
      </c>
      <c r="P54" s="970" t="b">
        <v>0</v>
      </c>
      <c r="Q54" s="1014">
        <v>50</v>
      </c>
      <c r="R54" s="1014">
        <v>1</v>
      </c>
      <c r="S54" s="1002" t="str">
        <f ca="1">IFERROR(_xll.qlRateHelperEarliestDate(M54,Trigger),"--")</f>
        <v>--</v>
      </c>
      <c r="T54" s="1002" t="str">
        <f ca="1">IFERROR(_xll.qlRateHelperPillarDate(M54,Trigger),"--")</f>
        <v>--</v>
      </c>
      <c r="V54" s="4" t="str">
        <f t="shared" ca="1" si="16"/>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9" t="e">
        <f ca="1"/>
        <v>#NAME?</v>
      </c>
      <c r="AD54" s="914"/>
    </row>
    <row r="55" spans="1:30" ht="11.25" customHeight="1" x14ac:dyDescent="0.2">
      <c r="A55" s="870" t="s">
        <v>128</v>
      </c>
      <c r="B55" s="903" t="b">
        <v>1</v>
      </c>
      <c r="C55" s="902" t="e">
        <f ca="1">_xll.qlIMMNextCode(C54,B55,Trigger)</f>
        <v>#NAME?</v>
      </c>
      <c r="D55" s="900"/>
      <c r="E55" s="900"/>
      <c r="F55" s="900"/>
      <c r="G55" s="871" t="str">
        <f t="shared" si="13"/>
        <v>Euribor3M</v>
      </c>
      <c r="H55" s="901" t="e">
        <f t="shared" ca="1" si="14"/>
        <v>#NAME?</v>
      </c>
      <c r="I55" s="901" t="e">
        <f t="shared" ca="1" si="15"/>
        <v>#NAME?</v>
      </c>
      <c r="J55" s="38"/>
      <c r="L55" s="1005" t="str">
        <f t="shared" si="17"/>
        <v>Sw</v>
      </c>
      <c r="M55" s="1014" t="str">
        <f t="shared" si="18"/>
        <v>--</v>
      </c>
      <c r="N55" s="1004" t="str">
        <f ca="1">IFERROR(_xll.qlRateHelperQuoteName(M55,Trigger),"--")</f>
        <v>--</v>
      </c>
      <c r="O55" s="1003" t="str">
        <f ca="1">IFERROR(_xll.qlRateHelperQuoteValue($M55,Trigger),"--")</f>
        <v>--</v>
      </c>
      <c r="P55" s="970" t="b">
        <v>0</v>
      </c>
      <c r="Q55" s="1014">
        <v>50</v>
      </c>
      <c r="R55" s="1014">
        <v>1</v>
      </c>
      <c r="S55" s="1002" t="str">
        <f ca="1">IFERROR(_xll.qlRateHelperEarliestDate(M55,Trigger),"--")</f>
        <v>--</v>
      </c>
      <c r="T55" s="1002" t="str">
        <f ca="1">IFERROR(_xll.qlRateHelperPillarDate(M55,Trigger),"--")</f>
        <v>--</v>
      </c>
      <c r="V55" s="4" t="str">
        <f t="shared" ca="1" si="16"/>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9" t="e">
        <f ca="1"/>
        <v>#NAME?</v>
      </c>
      <c r="AD55" s="914"/>
    </row>
    <row r="56" spans="1:30" ht="11.25" customHeight="1" x14ac:dyDescent="0.2">
      <c r="G56" s="239" t="s">
        <v>21</v>
      </c>
      <c r="H56" s="239" t="s">
        <v>66</v>
      </c>
      <c r="L56" s="1005" t="str">
        <f t="shared" si="17"/>
        <v>Sw</v>
      </c>
      <c r="M56" s="1014" t="e">
        <f t="shared" ca="1" si="18"/>
        <v>#NAME?</v>
      </c>
      <c r="N56" s="1004" t="str">
        <f ca="1">IFERROR(_xll.qlRateHelperQuoteName(M56,Trigger),"--")</f>
        <v>--</v>
      </c>
      <c r="O56" s="1003" t="str">
        <f ca="1">IFERROR(_xll.qlRateHelperQuoteValue($M56,Trigger),"--")</f>
        <v>--</v>
      </c>
      <c r="P56" s="970" t="b">
        <v>1</v>
      </c>
      <c r="Q56" s="1014">
        <v>50</v>
      </c>
      <c r="R56" s="1014">
        <v>1</v>
      </c>
      <c r="S56" s="1002" t="str">
        <f ca="1">IFERROR(_xll.qlRateHelperEarliestDate(M56,Trigger),"--")</f>
        <v>--</v>
      </c>
      <c r="T56" s="1002" t="str">
        <f ca="1">IFERROR(_xll.qlRateHelperPillarDate(M56,Trigger),"--")</f>
        <v>--</v>
      </c>
      <c r="V56" s="4" t="str">
        <f t="shared" ca="1" si="16"/>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9" t="e">
        <f ca="1"/>
        <v>#NAME?</v>
      </c>
      <c r="AD56" s="914"/>
    </row>
    <row r="57" spans="1:30" ht="11.25" customHeight="1" x14ac:dyDescent="0.2">
      <c r="A57" s="146" t="s">
        <v>388</v>
      </c>
      <c r="B57" s="146" t="s">
        <v>107</v>
      </c>
      <c r="C57" s="146" t="s">
        <v>387</v>
      </c>
      <c r="D57" s="146" t="s">
        <v>330</v>
      </c>
      <c r="E57" s="146" t="s">
        <v>386</v>
      </c>
      <c r="F57" s="146" t="s">
        <v>385</v>
      </c>
      <c r="G57" s="146" t="s">
        <v>14</v>
      </c>
      <c r="H57" s="146" t="s">
        <v>384</v>
      </c>
      <c r="I57" s="146" t="s">
        <v>62</v>
      </c>
      <c r="J57" s="146" t="s">
        <v>383</v>
      </c>
      <c r="L57" s="1005" t="str">
        <f t="shared" si="17"/>
        <v>Sw</v>
      </c>
      <c r="M57" s="1014" t="e">
        <f t="shared" ca="1" si="18"/>
        <v>#NAME?</v>
      </c>
      <c r="N57" s="1004" t="str">
        <f ca="1">IFERROR(_xll.qlRateHelperQuoteName(M57,Trigger),"--")</f>
        <v>--</v>
      </c>
      <c r="O57" s="1003" t="str">
        <f ca="1">IFERROR(_xll.qlRateHelperQuoteValue($M57,Trigger),"--")</f>
        <v>--</v>
      </c>
      <c r="P57" s="970" t="b">
        <v>1</v>
      </c>
      <c r="Q57" s="1014">
        <v>50</v>
      </c>
      <c r="R57" s="1014">
        <v>1</v>
      </c>
      <c r="S57" s="1002" t="str">
        <f ca="1">IFERROR(_xll.qlRateHelperEarliestDate(M57,Trigger),"--")</f>
        <v>--</v>
      </c>
      <c r="T57" s="1002" t="str">
        <f ca="1">IFERROR(_xll.qlRateHelperPillarDate(M57,Trigger),"--")</f>
        <v>--</v>
      </c>
      <c r="V57" s="4" t="str">
        <f t="shared" ca="1" si="16"/>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9" t="e">
        <f ca="1"/>
        <v>#NAME?</v>
      </c>
      <c r="AD57" s="914"/>
    </row>
    <row r="58" spans="1:30" ht="11.25" customHeight="1" x14ac:dyDescent="0.2">
      <c r="A58" s="897" t="s">
        <v>404</v>
      </c>
      <c r="B58" s="899" t="s">
        <v>58</v>
      </c>
      <c r="C58" s="898" t="s">
        <v>324</v>
      </c>
      <c r="D58" s="875" t="s">
        <v>323</v>
      </c>
      <c r="E58" s="875" t="s">
        <v>322</v>
      </c>
      <c r="F58" s="875" t="s">
        <v>221</v>
      </c>
      <c r="G58" s="875" t="str">
        <f t="shared" ref="G58:G95" si="19">PROPER(Currency)&amp;FamilyName&amp;SUBSTITUTE($H$56,"E","M")</f>
        <v>Euribor6M</v>
      </c>
      <c r="H58" s="874" t="str">
        <f t="shared" ref="H58:H95" si="20">Currency&amp;$G$56&amp;$H$56&amp;$B58&amp;"_Quote"</f>
        <v>EURAB6E1Y_Quote</v>
      </c>
      <c r="I58" s="896">
        <v>0</v>
      </c>
      <c r="J58" s="47"/>
      <c r="L58" s="1005" t="str">
        <f t="shared" si="17"/>
        <v>Sw</v>
      </c>
      <c r="M58" s="1014" t="e">
        <f t="shared" ca="1" si="18"/>
        <v>#NAME?</v>
      </c>
      <c r="N58" s="1004" t="str">
        <f ca="1">IFERROR(_xll.qlRateHelperQuoteName(M58,Trigger),"--")</f>
        <v>--</v>
      </c>
      <c r="O58" s="1003" t="str">
        <f ca="1">IFERROR(_xll.qlRateHelperQuoteValue($M58,Trigger),"--")</f>
        <v>--</v>
      </c>
      <c r="P58" s="970" t="b">
        <v>1</v>
      </c>
      <c r="Q58" s="1014">
        <v>50</v>
      </c>
      <c r="R58" s="1014">
        <v>1</v>
      </c>
      <c r="S58" s="1002" t="str">
        <f ca="1">IFERROR(_xll.qlRateHelperEarliestDate(M58,Trigger),"--")</f>
        <v>--</v>
      </c>
      <c r="T58" s="1002" t="str">
        <f ca="1">IFERROR(_xll.qlRateHelperPillarDate(M58,Trigger),"--")</f>
        <v>--</v>
      </c>
      <c r="V58" s="4" t="str">
        <f t="shared" ca="1" si="16"/>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9" t="e">
        <f ca="1"/>
        <v>#NAME?</v>
      </c>
      <c r="AD58" s="914"/>
    </row>
    <row r="59" spans="1:30" ht="11.25" customHeight="1" x14ac:dyDescent="0.2">
      <c r="A59" s="874" t="s">
        <v>404</v>
      </c>
      <c r="B59" s="876" t="s">
        <v>57</v>
      </c>
      <c r="C59" s="875" t="s">
        <v>324</v>
      </c>
      <c r="D59" s="875" t="s">
        <v>323</v>
      </c>
      <c r="E59" s="875" t="s">
        <v>322</v>
      </c>
      <c r="F59" s="875" t="s">
        <v>221</v>
      </c>
      <c r="G59" s="875" t="str">
        <f t="shared" si="19"/>
        <v>Euribor6M</v>
      </c>
      <c r="H59" s="874" t="str">
        <f t="shared" si="20"/>
        <v>EURAB6E15M_Quote</v>
      </c>
      <c r="I59" s="877">
        <v>0</v>
      </c>
      <c r="J59" s="43"/>
      <c r="L59" s="1005" t="str">
        <f t="shared" si="17"/>
        <v>Sw</v>
      </c>
      <c r="M59" s="1014" t="e">
        <f t="shared" ca="1" si="18"/>
        <v>#NAME?</v>
      </c>
      <c r="N59" s="1004" t="str">
        <f ca="1">IFERROR(_xll.qlRateHelperQuoteName(M59,Trigger),"--")</f>
        <v>--</v>
      </c>
      <c r="O59" s="1003" t="str">
        <f ca="1">IFERROR(_xll.qlRateHelperQuoteValue($M59,Trigger),"--")</f>
        <v>--</v>
      </c>
      <c r="P59" s="970" t="b">
        <v>1</v>
      </c>
      <c r="Q59" s="1014">
        <v>50</v>
      </c>
      <c r="R59" s="1014">
        <v>1</v>
      </c>
      <c r="S59" s="1002" t="str">
        <f ca="1">IFERROR(_xll.qlRateHelperEarliestDate(M59,Trigger),"--")</f>
        <v>--</v>
      </c>
      <c r="T59" s="1002" t="str">
        <f ca="1">IFERROR(_xll.qlRateHelperPillarDate(M59,Trigger),"--")</f>
        <v>--</v>
      </c>
      <c r="V59" s="4" t="str">
        <f t="shared" ca="1" si="16"/>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9" t="e">
        <f ca="1"/>
        <v>#NAME?</v>
      </c>
      <c r="AD59" s="914"/>
    </row>
    <row r="60" spans="1:30" ht="11.25" customHeight="1" x14ac:dyDescent="0.2">
      <c r="A60" s="874" t="s">
        <v>404</v>
      </c>
      <c r="B60" s="876" t="s">
        <v>56</v>
      </c>
      <c r="C60" s="875" t="s">
        <v>324</v>
      </c>
      <c r="D60" s="875" t="s">
        <v>323</v>
      </c>
      <c r="E60" s="875" t="s">
        <v>322</v>
      </c>
      <c r="F60" s="875" t="s">
        <v>221</v>
      </c>
      <c r="G60" s="875" t="str">
        <f t="shared" si="19"/>
        <v>Euribor6M</v>
      </c>
      <c r="H60" s="874" t="str">
        <f t="shared" si="20"/>
        <v>EURAB6E18M_Quote</v>
      </c>
      <c r="I60" s="877">
        <v>0</v>
      </c>
      <c r="J60" s="43"/>
      <c r="L60" s="1005" t="str">
        <f t="shared" si="17"/>
        <v>Sw</v>
      </c>
      <c r="M60" s="1014" t="e">
        <f t="shared" ca="1" si="18"/>
        <v>#NAME?</v>
      </c>
      <c r="N60" s="1004" t="str">
        <f ca="1">IFERROR(_xll.qlRateHelperQuoteName(M60,Trigger),"--")</f>
        <v>--</v>
      </c>
      <c r="O60" s="1003" t="str">
        <f ca="1">IFERROR(_xll.qlRateHelperQuoteValue($M60,Trigger),"--")</f>
        <v>--</v>
      </c>
      <c r="P60" s="970" t="b">
        <v>1</v>
      </c>
      <c r="Q60" s="1014">
        <v>50</v>
      </c>
      <c r="R60" s="1014">
        <v>1</v>
      </c>
      <c r="S60" s="1002" t="str">
        <f ca="1">IFERROR(_xll.qlRateHelperEarliestDate(M60,Trigger),"--")</f>
        <v>--</v>
      </c>
      <c r="T60" s="1002" t="str">
        <f ca="1">IFERROR(_xll.qlRateHelperPillarDate(M60,Trigger),"--")</f>
        <v>--</v>
      </c>
      <c r="V60" s="4" t="str">
        <f t="shared" ca="1" si="16"/>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9" t="e">
        <f ca="1"/>
        <v>#NAME?</v>
      </c>
      <c r="AD60" s="914"/>
    </row>
    <row r="61" spans="1:30" ht="11.25" customHeight="1" x14ac:dyDescent="0.2">
      <c r="A61" s="874" t="s">
        <v>404</v>
      </c>
      <c r="B61" s="876" t="s">
        <v>55</v>
      </c>
      <c r="C61" s="875" t="s">
        <v>324</v>
      </c>
      <c r="D61" s="875" t="s">
        <v>323</v>
      </c>
      <c r="E61" s="875" t="s">
        <v>322</v>
      </c>
      <c r="F61" s="875" t="s">
        <v>221</v>
      </c>
      <c r="G61" s="875" t="str">
        <f t="shared" si="19"/>
        <v>Euribor6M</v>
      </c>
      <c r="H61" s="874" t="str">
        <f t="shared" si="20"/>
        <v>EURAB6E21M_Quote</v>
      </c>
      <c r="I61" s="877">
        <v>0</v>
      </c>
      <c r="J61" s="43"/>
      <c r="L61" s="1005" t="str">
        <f t="shared" si="17"/>
        <v>Sw</v>
      </c>
      <c r="M61" s="1014" t="e">
        <f t="shared" ca="1" si="18"/>
        <v>#NAME?</v>
      </c>
      <c r="N61" s="1004" t="str">
        <f ca="1">IFERROR(_xll.qlRateHelperQuoteName(M61,Trigger),"--")</f>
        <v>--</v>
      </c>
      <c r="O61" s="1003" t="str">
        <f ca="1">IFERROR(_xll.qlRateHelperQuoteValue($M61,Trigger),"--")</f>
        <v>--</v>
      </c>
      <c r="P61" s="970" t="b">
        <v>1</v>
      </c>
      <c r="Q61" s="1014">
        <v>50</v>
      </c>
      <c r="R61" s="1014">
        <v>1</v>
      </c>
      <c r="S61" s="1002" t="str">
        <f ca="1">IFERROR(_xll.qlRateHelperEarliestDate(M61,Trigger),"--")</f>
        <v>--</v>
      </c>
      <c r="T61" s="1002" t="str">
        <f ca="1">IFERROR(_xll.qlRateHelperPillarDate(M61,Trigger),"--")</f>
        <v>--</v>
      </c>
      <c r="V61" s="4" t="str">
        <f t="shared" ca="1" si="16"/>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9" t="e">
        <f ca="1"/>
        <v>#NAME?</v>
      </c>
      <c r="AD61" s="914"/>
    </row>
    <row r="62" spans="1:30" ht="11.25" customHeight="1" x14ac:dyDescent="0.2">
      <c r="A62" s="874" t="s">
        <v>404</v>
      </c>
      <c r="B62" s="876" t="s">
        <v>54</v>
      </c>
      <c r="C62" s="875" t="s">
        <v>324</v>
      </c>
      <c r="D62" s="875" t="s">
        <v>323</v>
      </c>
      <c r="E62" s="875" t="s">
        <v>322</v>
      </c>
      <c r="F62" s="875" t="s">
        <v>221</v>
      </c>
      <c r="G62" s="875" t="str">
        <f t="shared" si="19"/>
        <v>Euribor6M</v>
      </c>
      <c r="H62" s="874" t="str">
        <f t="shared" si="20"/>
        <v>EURAB6E2Y_Quote</v>
      </c>
      <c r="I62" s="877">
        <v>0</v>
      </c>
      <c r="J62" s="43" t="e">
        <f ca="1">_xll.qlSwapRateHelper2(,H62,,B62,Calendar,D62,E62,F62,G62,I62,C62,Discounting,PillarDate,,Permanent,Trigger,ObjectOverwrite)</f>
        <v>#NAME?</v>
      </c>
      <c r="L62" s="1005" t="str">
        <f t="shared" si="17"/>
        <v>Sw</v>
      </c>
      <c r="M62" s="1014" t="e">
        <f t="shared" ca="1" si="18"/>
        <v>#NAME?</v>
      </c>
      <c r="N62" s="1004" t="str">
        <f ca="1">IFERROR(_xll.qlRateHelperQuoteName(M62,Trigger),"--")</f>
        <v>--</v>
      </c>
      <c r="O62" s="1003" t="str">
        <f ca="1">IFERROR(_xll.qlRateHelperQuoteValue($M62,Trigger),"--")</f>
        <v>--</v>
      </c>
      <c r="P62" s="970" t="b">
        <v>1</v>
      </c>
      <c r="Q62" s="1014">
        <v>50</v>
      </c>
      <c r="R62" s="1014">
        <v>1</v>
      </c>
      <c r="S62" s="1002" t="str">
        <f ca="1">IFERROR(_xll.qlRateHelperEarliestDate(M62,Trigger),"--")</f>
        <v>--</v>
      </c>
      <c r="T62" s="1002" t="str">
        <f ca="1">IFERROR(_xll.qlRateHelperPillarDate(M62,Trigger),"--")</f>
        <v>--</v>
      </c>
      <c r="V62" s="4" t="str">
        <f t="shared" ca="1" si="16"/>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9" t="e">
        <f ca="1"/>
        <v>#NAME?</v>
      </c>
      <c r="AD62" s="914"/>
    </row>
    <row r="63" spans="1:30" ht="11.25" customHeight="1" x14ac:dyDescent="0.2">
      <c r="A63" s="874" t="s">
        <v>404</v>
      </c>
      <c r="B63" s="876" t="s">
        <v>53</v>
      </c>
      <c r="C63" s="875" t="s">
        <v>324</v>
      </c>
      <c r="D63" s="875" t="s">
        <v>323</v>
      </c>
      <c r="E63" s="875" t="s">
        <v>322</v>
      </c>
      <c r="F63" s="875" t="s">
        <v>221</v>
      </c>
      <c r="G63" s="875" t="str">
        <f t="shared" si="19"/>
        <v>Euribor6M</v>
      </c>
      <c r="H63" s="874" t="str">
        <f t="shared" si="20"/>
        <v>EURAB6E3Y_Quote</v>
      </c>
      <c r="I63" s="877">
        <v>0</v>
      </c>
      <c r="J63" s="43" t="e">
        <f ca="1">_xll.qlSwapRateHelper2(,H63,,B63,Calendar,D63,E63,F63,G63,I63,C63,Discounting,PillarDate,,Permanent,Trigger,ObjectOverwrite)</f>
        <v>#NAME?</v>
      </c>
      <c r="L63" s="1005" t="str">
        <f t="shared" si="17"/>
        <v>Sw</v>
      </c>
      <c r="M63" s="1014" t="e">
        <f t="shared" ca="1" si="18"/>
        <v>#NAME?</v>
      </c>
      <c r="N63" s="1004" t="str">
        <f ca="1">IFERROR(_xll.qlRateHelperQuoteName(M63,Trigger),"--")</f>
        <v>--</v>
      </c>
      <c r="O63" s="1003" t="str">
        <f ca="1">IFERROR(_xll.qlRateHelperQuoteValue($M63,Trigger),"--")</f>
        <v>--</v>
      </c>
      <c r="P63" s="970" t="b">
        <v>1</v>
      </c>
      <c r="Q63" s="1014">
        <v>50</v>
      </c>
      <c r="R63" s="1014">
        <v>1</v>
      </c>
      <c r="S63" s="1002" t="str">
        <f ca="1">IFERROR(_xll.qlRateHelperEarliestDate(M63,Trigger),"--")</f>
        <v>--</v>
      </c>
      <c r="T63" s="1002" t="str">
        <f ca="1">IFERROR(_xll.qlRateHelperPillarDate(M63,Trigger),"--")</f>
        <v>--</v>
      </c>
      <c r="V63" s="4" t="str">
        <f t="shared" ca="1" si="16"/>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9" t="e">
        <f ca="1"/>
        <v>#NAME?</v>
      </c>
      <c r="AD63" s="914"/>
    </row>
    <row r="64" spans="1:30" ht="11.25" customHeight="1" x14ac:dyDescent="0.2">
      <c r="A64" s="874" t="s">
        <v>404</v>
      </c>
      <c r="B64" s="876" t="s">
        <v>52</v>
      </c>
      <c r="C64" s="875" t="s">
        <v>324</v>
      </c>
      <c r="D64" s="875" t="s">
        <v>323</v>
      </c>
      <c r="E64" s="875" t="s">
        <v>322</v>
      </c>
      <c r="F64" s="875" t="s">
        <v>221</v>
      </c>
      <c r="G64" s="875" t="str">
        <f t="shared" si="19"/>
        <v>Euribor6M</v>
      </c>
      <c r="H64" s="874" t="str">
        <f t="shared" si="20"/>
        <v>EURAB6E4Y_Quote</v>
      </c>
      <c r="I64" s="877">
        <v>0</v>
      </c>
      <c r="J64" s="43" t="e">
        <f ca="1">_xll.qlSwapRateHelper2(,H64,,B64,Calendar,D64,E64,F64,G64,I64,C64,Discounting,PillarDate,,Permanent,Trigger,ObjectOverwrite)</f>
        <v>#NAME?</v>
      </c>
      <c r="L64" s="1005" t="str">
        <f t="shared" si="17"/>
        <v>Sw</v>
      </c>
      <c r="M64" s="1014" t="e">
        <f t="shared" ca="1" si="18"/>
        <v>#NAME?</v>
      </c>
      <c r="N64" s="1004" t="str">
        <f ca="1">IFERROR(_xll.qlRateHelperQuoteName(M64,Trigger),"--")</f>
        <v>--</v>
      </c>
      <c r="O64" s="1003" t="str">
        <f ca="1">IFERROR(_xll.qlRateHelperQuoteValue($M64,Trigger),"--")</f>
        <v>--</v>
      </c>
      <c r="P64" s="970" t="b">
        <v>1</v>
      </c>
      <c r="Q64" s="1014">
        <v>50</v>
      </c>
      <c r="R64" s="1014">
        <v>1</v>
      </c>
      <c r="S64" s="1002" t="str">
        <f ca="1">IFERROR(_xll.qlRateHelperEarliestDate(M64,Trigger),"--")</f>
        <v>--</v>
      </c>
      <c r="T64" s="1002" t="str">
        <f ca="1">IFERROR(_xll.qlRateHelperPillarDate(M64,Trigger),"--")</f>
        <v>--</v>
      </c>
      <c r="V64" s="4" t="str">
        <f t="shared" ca="1" si="16"/>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9" t="e">
        <f ca="1"/>
        <v>#NAME?</v>
      </c>
      <c r="AD64" s="914"/>
    </row>
    <row r="65" spans="1:30" ht="11.25" customHeight="1" x14ac:dyDescent="0.2">
      <c r="A65" s="874" t="s">
        <v>404</v>
      </c>
      <c r="B65" s="876" t="s">
        <v>51</v>
      </c>
      <c r="C65" s="875" t="s">
        <v>324</v>
      </c>
      <c r="D65" s="875" t="s">
        <v>323</v>
      </c>
      <c r="E65" s="875" t="s">
        <v>322</v>
      </c>
      <c r="F65" s="875" t="s">
        <v>221</v>
      </c>
      <c r="G65" s="875" t="str">
        <f t="shared" si="19"/>
        <v>Euribor6M</v>
      </c>
      <c r="H65" s="874" t="str">
        <f t="shared" si="20"/>
        <v>EURAB6E5Y_Quote</v>
      </c>
      <c r="I65" s="877">
        <v>0</v>
      </c>
      <c r="J65" s="43" t="e">
        <f ca="1">_xll.qlSwapRateHelper2(,H65,,B65,Calendar,D65,E65,F65,G65,I65,C65,Discounting,PillarDate,,Permanent,Trigger,ObjectOverwrite)</f>
        <v>#NAME?</v>
      </c>
      <c r="L65" s="1005" t="str">
        <f t="shared" si="17"/>
        <v>Sw</v>
      </c>
      <c r="M65" s="970" t="e">
        <f t="shared" ca="1" si="18"/>
        <v>#NAME?</v>
      </c>
      <c r="N65" s="1004" t="str">
        <f ca="1">IFERROR(_xll.qlRateHelperQuoteName(M65,Trigger),"--")</f>
        <v>--</v>
      </c>
      <c r="O65" s="1003" t="str">
        <f ca="1">IFERROR(_xll.qlRateHelperQuoteValue($M65,Trigger),"--")</f>
        <v>--</v>
      </c>
      <c r="P65" s="970" t="b">
        <v>1</v>
      </c>
      <c r="Q65" s="970">
        <v>50</v>
      </c>
      <c r="R65" s="970">
        <v>1</v>
      </c>
      <c r="S65" s="1002" t="str">
        <f ca="1">IFERROR(_xll.qlRateHelperEarliestDate(M65,Trigger),"--")</f>
        <v>--</v>
      </c>
      <c r="T65" s="1002" t="str">
        <f ca="1">IFERROR(_xll.qlRateHelperPillarDate(M65,Trigger),"--")</f>
        <v>--</v>
      </c>
      <c r="V65" s="4" t="str">
        <f t="shared" ca="1" si="16"/>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9" t="e">
        <f ca="1"/>
        <v>#NAME?</v>
      </c>
      <c r="AD65" s="914"/>
    </row>
    <row r="66" spans="1:30" ht="11.25" customHeight="1" x14ac:dyDescent="0.2">
      <c r="A66" s="874" t="s">
        <v>404</v>
      </c>
      <c r="B66" s="876" t="s">
        <v>50</v>
      </c>
      <c r="C66" s="875" t="s">
        <v>324</v>
      </c>
      <c r="D66" s="875" t="s">
        <v>323</v>
      </c>
      <c r="E66" s="875" t="s">
        <v>322</v>
      </c>
      <c r="F66" s="875" t="s">
        <v>221</v>
      </c>
      <c r="G66" s="875" t="str">
        <f t="shared" si="19"/>
        <v>Euribor6M</v>
      </c>
      <c r="H66" s="874" t="str">
        <f t="shared" si="20"/>
        <v>EURAB6E6Y_Quote</v>
      </c>
      <c r="I66" s="877">
        <v>0</v>
      </c>
      <c r="J66" s="43" t="e">
        <f ca="1">_xll.qlSwapRateHelper2(,H66,,B66,Calendar,D66,E66,F66,G66,I66,C66,Discounting,PillarDate,,Permanent,Trigger,ObjectOverwrite)</f>
        <v>#NAME?</v>
      </c>
      <c r="L66" s="1005" t="str">
        <f t="shared" si="17"/>
        <v>Sw</v>
      </c>
      <c r="M66" s="970" t="e">
        <f t="shared" ca="1" si="18"/>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6"/>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9" t="e">
        <f ca="1"/>
        <v>#NAME?</v>
      </c>
      <c r="AD66" s="914"/>
    </row>
    <row r="67" spans="1:30" ht="11.25" customHeight="1" x14ac:dyDescent="0.2">
      <c r="A67" s="874" t="s">
        <v>404</v>
      </c>
      <c r="B67" s="876" t="s">
        <v>49</v>
      </c>
      <c r="C67" s="875" t="s">
        <v>324</v>
      </c>
      <c r="D67" s="875" t="s">
        <v>323</v>
      </c>
      <c r="E67" s="875" t="s">
        <v>322</v>
      </c>
      <c r="F67" s="875" t="s">
        <v>221</v>
      </c>
      <c r="G67" s="875" t="str">
        <f t="shared" si="19"/>
        <v>Euribor6M</v>
      </c>
      <c r="H67" s="874" t="str">
        <f t="shared" si="20"/>
        <v>EURAB6E7Y_Quote</v>
      </c>
      <c r="I67" s="877">
        <v>0</v>
      </c>
      <c r="J67" s="43" t="e">
        <f ca="1">_xll.qlSwapRateHelper2(,H67,,B67,Calendar,D67,E67,F67,G67,I67,C67,Discounting,PillarDate,,Permanent,Trigger,ObjectOverwrite)</f>
        <v>#NAME?</v>
      </c>
      <c r="L67" s="1005" t="str">
        <f t="shared" si="17"/>
        <v>Sw</v>
      </c>
      <c r="M67" s="970" t="e">
        <f t="shared" ca="1" si="18"/>
        <v>#NAME?</v>
      </c>
      <c r="N67" s="1004" t="str">
        <f ca="1">IFERROR(_xll.qlRateHelperQuoteName(M67,Trigger),"--")</f>
        <v>--</v>
      </c>
      <c r="O67" s="1003" t="str">
        <f ca="1">IFERROR(_xll.qlRateHelperQuoteValue($M67,Trigger),"--")</f>
        <v>--</v>
      </c>
      <c r="P67" s="970" t="b">
        <v>1</v>
      </c>
      <c r="Q67" s="970">
        <v>50</v>
      </c>
      <c r="R67" s="970">
        <v>1</v>
      </c>
      <c r="S67" s="1002" t="str">
        <f ca="1">IFERROR(_xll.qlRateHelperEarliestDate(M67,Trigger),"--")</f>
        <v>--</v>
      </c>
      <c r="T67" s="1002" t="str">
        <f ca="1">IFERROR(_xll.qlRateHelperPillarDate(M67,Trigger),"--")</f>
        <v>--</v>
      </c>
      <c r="V67" s="4" t="str">
        <f t="shared" ref="V67:V89" ca="1" si="21">IFERROR(INDEX($L$3:$L$89,MATCH(X67,$N$3:$N$89,0),1),"")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9" t="e">
        <f ca="1"/>
        <v>#NAME?</v>
      </c>
      <c r="AD67" s="914"/>
    </row>
    <row r="68" spans="1:30" ht="11.25" customHeight="1" x14ac:dyDescent="0.2">
      <c r="A68" s="874" t="s">
        <v>404</v>
      </c>
      <c r="B68" s="876" t="s">
        <v>48</v>
      </c>
      <c r="C68" s="875" t="s">
        <v>324</v>
      </c>
      <c r="D68" s="875" t="s">
        <v>323</v>
      </c>
      <c r="E68" s="875" t="s">
        <v>322</v>
      </c>
      <c r="F68" s="875" t="s">
        <v>221</v>
      </c>
      <c r="G68" s="875" t="str">
        <f t="shared" si="19"/>
        <v>Euribor6M</v>
      </c>
      <c r="H68" s="874" t="str">
        <f t="shared" si="20"/>
        <v>EURAB6E8Y_Quote</v>
      </c>
      <c r="I68" s="877">
        <v>0</v>
      </c>
      <c r="J68" s="43" t="e">
        <f ca="1">_xll.qlSwapRateHelper2(,H68,,B68,Calendar,D68,E68,F68,G68,I68,C68,Discounting,PillarDate,,Permanent,Trigger,ObjectOverwrite)</f>
        <v>#NAME?</v>
      </c>
      <c r="L68" s="1005" t="str">
        <f t="shared" si="17"/>
        <v>Sw</v>
      </c>
      <c r="M68" s="970" t="e">
        <f t="shared" ca="1" si="18"/>
        <v>#NAME?</v>
      </c>
      <c r="N68" s="1004" t="str">
        <f ca="1">IFERROR(_xll.qlRateHelperQuoteName(M68,Trigger),"--")</f>
        <v>--</v>
      </c>
      <c r="O68" s="1003" t="str">
        <f ca="1">IFERROR(_xll.qlRateHelperQuoteValue($M68,Trigger),"--")</f>
        <v>--</v>
      </c>
      <c r="P68" s="970" t="b">
        <v>1</v>
      </c>
      <c r="Q68" s="970">
        <v>50</v>
      </c>
      <c r="R68" s="970">
        <v>1</v>
      </c>
      <c r="S68" s="1002" t="str">
        <f ca="1">IFERROR(_xll.qlRateHelperEarliestDate(M68,Trigger),"--")</f>
        <v>--</v>
      </c>
      <c r="T68" s="1002" t="str">
        <f ca="1">IFERROR(_xll.qlRateHelperPillarDate(M68,Trigger),"--")</f>
        <v>--</v>
      </c>
      <c r="V68" s="4" t="str">
        <f t="shared" ca="1" si="21"/>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9" t="e">
        <f ca="1"/>
        <v>#NAME?</v>
      </c>
      <c r="AD68" s="914"/>
    </row>
    <row r="69" spans="1:30" ht="11.25" customHeight="1" x14ac:dyDescent="0.2">
      <c r="A69" s="874" t="s">
        <v>404</v>
      </c>
      <c r="B69" s="876" t="s">
        <v>47</v>
      </c>
      <c r="C69" s="875" t="s">
        <v>324</v>
      </c>
      <c r="D69" s="875" t="s">
        <v>323</v>
      </c>
      <c r="E69" s="875" t="s">
        <v>322</v>
      </c>
      <c r="F69" s="875" t="s">
        <v>221</v>
      </c>
      <c r="G69" s="875" t="str">
        <f t="shared" si="19"/>
        <v>Euribor6M</v>
      </c>
      <c r="H69" s="874" t="str">
        <f t="shared" si="20"/>
        <v>EURAB6E9Y_Quote</v>
      </c>
      <c r="I69" s="877">
        <v>0</v>
      </c>
      <c r="J69" s="43" t="e">
        <f ca="1">_xll.qlSwapRateHelper2(,H69,,B69,Calendar,D69,E69,F69,G69,I69,C69,Discounting,PillarDate,,Permanent,Trigger,ObjectOverwrite)</f>
        <v>#NAME?</v>
      </c>
      <c r="L69" s="1005" t="str">
        <f t="shared" si="17"/>
        <v>Sw</v>
      </c>
      <c r="M69" s="970" t="e">
        <f t="shared" ca="1" si="18"/>
        <v>#NAME?</v>
      </c>
      <c r="N69" s="1004" t="str">
        <f ca="1">IFERROR(_xll.qlRateHelperQuoteName(M69,Trigger),"--")</f>
        <v>--</v>
      </c>
      <c r="O69" s="1003" t="str">
        <f ca="1">IFERROR(_xll.qlRateHelperQuoteValue($M69,Trigger),"--")</f>
        <v>--</v>
      </c>
      <c r="P69" s="970" t="b">
        <v>1</v>
      </c>
      <c r="Q69" s="970">
        <v>50</v>
      </c>
      <c r="R69" s="970">
        <v>1</v>
      </c>
      <c r="S69" s="1002" t="str">
        <f ca="1">IFERROR(_xll.qlRateHelperEarliestDate(M69,Trigger),"--")</f>
        <v>--</v>
      </c>
      <c r="T69" s="1002" t="str">
        <f ca="1">IFERROR(_xll.qlRateHelperPillarDate(M69,Trigger),"--")</f>
        <v>--</v>
      </c>
      <c r="V69" s="4" t="str">
        <f t="shared" ca="1" si="21"/>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9" t="e">
        <f ca="1"/>
        <v>#NAME?</v>
      </c>
      <c r="AD69" s="914"/>
    </row>
    <row r="70" spans="1:30" ht="11.25" customHeight="1" x14ac:dyDescent="0.2">
      <c r="A70" s="874" t="s">
        <v>404</v>
      </c>
      <c r="B70" s="876" t="s">
        <v>46</v>
      </c>
      <c r="C70" s="875" t="s">
        <v>324</v>
      </c>
      <c r="D70" s="875" t="s">
        <v>323</v>
      </c>
      <c r="E70" s="875" t="s">
        <v>322</v>
      </c>
      <c r="F70" s="875" t="s">
        <v>221</v>
      </c>
      <c r="G70" s="875" t="str">
        <f t="shared" si="19"/>
        <v>Euribor6M</v>
      </c>
      <c r="H70" s="874" t="str">
        <f t="shared" si="20"/>
        <v>EURAB6E10Y_Quote</v>
      </c>
      <c r="I70" s="877">
        <v>0</v>
      </c>
      <c r="J70" s="43" t="e">
        <f ca="1">_xll.qlSwapRateHelper2(,H70,,B70,Calendar,D70,E70,F70,G70,I70,C70,Discounting,PillarDate,,Permanent,Trigger,ObjectOverwrite)</f>
        <v>#NAME?</v>
      </c>
      <c r="L70" s="1005" t="str">
        <f t="shared" si="17"/>
        <v>Sw</v>
      </c>
      <c r="M70" s="970" t="e">
        <f t="shared" ca="1" si="18"/>
        <v>#NAME?</v>
      </c>
      <c r="N70" s="1004" t="str">
        <f ca="1">IFERROR(_xll.qlRateHelperQuoteName(M70,Trigger),"--")</f>
        <v>--</v>
      </c>
      <c r="O70" s="1003" t="str">
        <f ca="1">IFERROR(_xll.qlRateHelperQuoteValue($M70,Trigger),"--")</f>
        <v>--</v>
      </c>
      <c r="P70" s="970" t="b">
        <v>1</v>
      </c>
      <c r="Q70" s="970">
        <v>50</v>
      </c>
      <c r="R70" s="970">
        <v>1</v>
      </c>
      <c r="S70" s="1002" t="str">
        <f ca="1">IFERROR(_xll.qlRateHelperEarliestDate(M70,Trigger),"--")</f>
        <v>--</v>
      </c>
      <c r="T70" s="1002" t="str">
        <f ca="1">IFERROR(_xll.qlRateHelperPillarDate(M70,Trigger),"--")</f>
        <v>--</v>
      </c>
      <c r="V70" s="4" t="str">
        <f t="shared" ca="1" si="21"/>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9" t="e">
        <f ca="1"/>
        <v>#NAME?</v>
      </c>
      <c r="AD70" s="914"/>
    </row>
    <row r="71" spans="1:30" ht="11.25" customHeight="1" x14ac:dyDescent="0.2">
      <c r="A71" s="874" t="s">
        <v>404</v>
      </c>
      <c r="B71" s="876" t="s">
        <v>45</v>
      </c>
      <c r="C71" s="875" t="s">
        <v>324</v>
      </c>
      <c r="D71" s="875" t="s">
        <v>323</v>
      </c>
      <c r="E71" s="875" t="s">
        <v>322</v>
      </c>
      <c r="F71" s="875" t="s">
        <v>221</v>
      </c>
      <c r="G71" s="875" t="str">
        <f t="shared" si="19"/>
        <v>Euribor6M</v>
      </c>
      <c r="H71" s="874" t="str">
        <f t="shared" si="20"/>
        <v>EURAB6E11Y_Quote</v>
      </c>
      <c r="I71" s="877">
        <v>0</v>
      </c>
      <c r="J71" s="43" t="e">
        <f ca="1">_xll.qlSwapRateHelper2(,H71,,B71,Calendar,D71,E71,F71,G71,I71,C71,Discounting,PillarDate,,Permanent,Trigger,ObjectOverwrite)</f>
        <v>#NAME?</v>
      </c>
      <c r="L71" s="1005" t="str">
        <f t="shared" si="17"/>
        <v>Sw</v>
      </c>
      <c r="M71" s="970" t="e">
        <f t="shared" ca="1" si="18"/>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1"/>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9" t="e">
        <f ca="1"/>
        <v>#NAME?</v>
      </c>
      <c r="AD71" s="914"/>
    </row>
    <row r="72" spans="1:30" ht="11.25" customHeight="1" x14ac:dyDescent="0.2">
      <c r="A72" s="874" t="s">
        <v>404</v>
      </c>
      <c r="B72" s="876" t="s">
        <v>44</v>
      </c>
      <c r="C72" s="875" t="s">
        <v>324</v>
      </c>
      <c r="D72" s="875" t="s">
        <v>323</v>
      </c>
      <c r="E72" s="875" t="s">
        <v>322</v>
      </c>
      <c r="F72" s="875" t="s">
        <v>221</v>
      </c>
      <c r="G72" s="875" t="str">
        <f t="shared" si="19"/>
        <v>Euribor6M</v>
      </c>
      <c r="H72" s="874" t="str">
        <f t="shared" si="20"/>
        <v>EURAB6E12Y_Quote</v>
      </c>
      <c r="I72" s="877">
        <v>0</v>
      </c>
      <c r="J72" s="43" t="e">
        <f ca="1">_xll.qlSwapRateHelper2(,H72,,B72,Calendar,D72,E72,F72,G72,I72,C72,Discounting,PillarDate,,Permanent,Trigger,ObjectOverwrite)</f>
        <v>#NAME?</v>
      </c>
      <c r="L72" s="1005" t="str">
        <f t="shared" si="17"/>
        <v>Sw</v>
      </c>
      <c r="M72" s="970" t="e">
        <f t="shared" ca="1" si="18"/>
        <v>#NAME?</v>
      </c>
      <c r="N72" s="1004" t="str">
        <f ca="1">IFERROR(_xll.qlRateHelperQuoteName(M72,Trigger),"--")</f>
        <v>--</v>
      </c>
      <c r="O72" s="1003" t="str">
        <f ca="1">IFERROR(_xll.qlRateHelperQuoteValue($M72,Trigger),"--")</f>
        <v>--</v>
      </c>
      <c r="P72" s="970" t="b">
        <v>1</v>
      </c>
      <c r="Q72" s="970">
        <v>50</v>
      </c>
      <c r="R72" s="970">
        <v>1</v>
      </c>
      <c r="S72" s="1002" t="str">
        <f ca="1">IFERROR(_xll.qlRateHelperEarliestDate(M72,Trigger),"--")</f>
        <v>--</v>
      </c>
      <c r="T72" s="1002" t="str">
        <f ca="1">IFERROR(_xll.qlRateHelperPillarDate(M72,Trigger),"--")</f>
        <v>--</v>
      </c>
      <c r="V72" s="4" t="str">
        <f t="shared" ca="1" si="21"/>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9" t="e">
        <f ca="1"/>
        <v>#NAME?</v>
      </c>
      <c r="AD72" s="914"/>
    </row>
    <row r="73" spans="1:30" ht="11.25" customHeight="1" x14ac:dyDescent="0.2">
      <c r="A73" s="874" t="s">
        <v>404</v>
      </c>
      <c r="B73" s="876" t="s">
        <v>43</v>
      </c>
      <c r="C73" s="875" t="s">
        <v>324</v>
      </c>
      <c r="D73" s="875" t="s">
        <v>323</v>
      </c>
      <c r="E73" s="875" t="s">
        <v>322</v>
      </c>
      <c r="F73" s="875" t="s">
        <v>221</v>
      </c>
      <c r="G73" s="875" t="str">
        <f t="shared" si="19"/>
        <v>Euribor6M</v>
      </c>
      <c r="H73" s="874" t="str">
        <f t="shared" si="20"/>
        <v>EURAB6E13Y_Quote</v>
      </c>
      <c r="I73" s="877">
        <v>0</v>
      </c>
      <c r="J73" s="43" t="e">
        <f ca="1">_xll.qlSwapRateHelper2(,H73,,B73,Calendar,D73,E73,F73,G73,I73,C73,Discounting,PillarDate,,Permanent,Trigger,ObjectOverwrite)</f>
        <v>#NAME?</v>
      </c>
      <c r="L73" s="1005" t="str">
        <f t="shared" si="17"/>
        <v>Sw</v>
      </c>
      <c r="M73" s="970" t="e">
        <f t="shared" ca="1" si="18"/>
        <v>#NAME?</v>
      </c>
      <c r="N73" s="1004" t="str">
        <f ca="1">IFERROR(_xll.qlRateHelperQuoteName(M73,Trigger),"--")</f>
        <v>--</v>
      </c>
      <c r="O73" s="1003" t="str">
        <f ca="1">IFERROR(_xll.qlRateHelperQuoteValue($M73,Trigger),"--")</f>
        <v>--</v>
      </c>
      <c r="P73" s="970" t="b">
        <v>1</v>
      </c>
      <c r="Q73" s="970">
        <v>50</v>
      </c>
      <c r="R73" s="970">
        <v>1</v>
      </c>
      <c r="S73" s="1002" t="str">
        <f ca="1">IFERROR(_xll.qlRateHelperEarliestDate(M73,Trigger),"--")</f>
        <v>--</v>
      </c>
      <c r="T73" s="1002" t="str">
        <f ca="1">IFERROR(_xll.qlRateHelperPillarDate(M73,Trigger),"--")</f>
        <v>--</v>
      </c>
      <c r="V73" s="4" t="str">
        <f t="shared" ca="1" si="21"/>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9" t="e">
        <f ca="1"/>
        <v>#NAME?</v>
      </c>
      <c r="AD73" s="914"/>
    </row>
    <row r="74" spans="1:30" ht="11.25" customHeight="1" x14ac:dyDescent="0.2">
      <c r="A74" s="874" t="s">
        <v>404</v>
      </c>
      <c r="B74" s="876" t="s">
        <v>42</v>
      </c>
      <c r="C74" s="875" t="s">
        <v>324</v>
      </c>
      <c r="D74" s="875" t="s">
        <v>323</v>
      </c>
      <c r="E74" s="875" t="s">
        <v>322</v>
      </c>
      <c r="F74" s="875" t="s">
        <v>221</v>
      </c>
      <c r="G74" s="875" t="str">
        <f t="shared" si="19"/>
        <v>Euribor6M</v>
      </c>
      <c r="H74" s="874" t="str">
        <f t="shared" si="20"/>
        <v>EURAB6E14Y_Quote</v>
      </c>
      <c r="I74" s="877">
        <v>0</v>
      </c>
      <c r="J74" s="43" t="e">
        <f ca="1">_xll.qlSwapRateHelper2(,H74,,B74,Calendar,D74,E74,F74,G74,I74,C74,Discounting,PillarDate,,Permanent,Trigger,ObjectOverwrite)</f>
        <v>#NAME?</v>
      </c>
      <c r="L74" s="1005" t="str">
        <f t="shared" si="17"/>
        <v>Sw</v>
      </c>
      <c r="M74" s="970" t="e">
        <f t="shared" ca="1" si="18"/>
        <v>#NAME?</v>
      </c>
      <c r="N74" s="1004" t="str">
        <f ca="1">IFERROR(_xll.qlRateHelperQuoteName(M74,Trigger),"--")</f>
        <v>--</v>
      </c>
      <c r="O74" s="1003" t="str">
        <f ca="1">IFERROR(_xll.qlRateHelperQuoteValue($M74,Trigger),"--")</f>
        <v>--</v>
      </c>
      <c r="P74" s="970" t="b">
        <v>1</v>
      </c>
      <c r="Q74" s="970">
        <v>50</v>
      </c>
      <c r="R74" s="970">
        <v>1</v>
      </c>
      <c r="S74" s="1002" t="str">
        <f ca="1">IFERROR(_xll.qlRateHelperEarliestDate(M74,Trigger),"--")</f>
        <v>--</v>
      </c>
      <c r="T74" s="1002" t="str">
        <f ca="1">IFERROR(_xll.qlRateHelperPillarDate(M74,Trigger),"--")</f>
        <v>--</v>
      </c>
      <c r="V74" s="4" t="str">
        <f t="shared" ca="1" si="21"/>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9" t="e">
        <f ca="1"/>
        <v>#NAME?</v>
      </c>
      <c r="AD74" s="914"/>
    </row>
    <row r="75" spans="1:30" ht="11.25" customHeight="1" x14ac:dyDescent="0.2">
      <c r="A75" s="874" t="s">
        <v>404</v>
      </c>
      <c r="B75" s="876" t="s">
        <v>41</v>
      </c>
      <c r="C75" s="875" t="s">
        <v>324</v>
      </c>
      <c r="D75" s="875" t="s">
        <v>323</v>
      </c>
      <c r="E75" s="875" t="s">
        <v>322</v>
      </c>
      <c r="F75" s="875" t="s">
        <v>221</v>
      </c>
      <c r="G75" s="875" t="str">
        <f t="shared" si="19"/>
        <v>Euribor6M</v>
      </c>
      <c r="H75" s="874" t="str">
        <f t="shared" si="20"/>
        <v>EURAB6E15Y_Quote</v>
      </c>
      <c r="I75" s="877">
        <v>0</v>
      </c>
      <c r="J75" s="43" t="e">
        <f ca="1">_xll.qlSwapRateHelper2(,H75,,B75,Calendar,D75,E75,F75,G75,I75,C75,Discounting,PillarDate,,Permanent,Trigger,ObjectOverwrite)</f>
        <v>#NAME?</v>
      </c>
      <c r="L75" s="1005" t="str">
        <f t="shared" si="17"/>
        <v>Sw</v>
      </c>
      <c r="M75" s="970" t="e">
        <f t="shared" ca="1" si="18"/>
        <v>#NAME?</v>
      </c>
      <c r="N75" s="1004" t="str">
        <f ca="1">IFERROR(_xll.qlRateHelperQuoteName(M75,Trigger),"--")</f>
        <v>--</v>
      </c>
      <c r="O75" s="1003" t="str">
        <f ca="1">IFERROR(_xll.qlRateHelperQuoteValue($M75,Trigger),"--")</f>
        <v>--</v>
      </c>
      <c r="P75" s="970" t="b">
        <v>1</v>
      </c>
      <c r="Q75" s="970">
        <v>50</v>
      </c>
      <c r="R75" s="970">
        <v>1</v>
      </c>
      <c r="S75" s="1002" t="str">
        <f ca="1">IFERROR(_xll.qlRateHelperEarliestDate(M75,Trigger),"--")</f>
        <v>--</v>
      </c>
      <c r="T75" s="1002" t="str">
        <f ca="1">IFERROR(_xll.qlRateHelperPillarDate(M75,Trigger),"--")</f>
        <v>--</v>
      </c>
      <c r="V75" s="4" t="str">
        <f t="shared" ca="1" si="21"/>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9" t="e">
        <f ca="1"/>
        <v>#NAME?</v>
      </c>
      <c r="AD75" s="914"/>
    </row>
    <row r="76" spans="1:30" ht="11.25" customHeight="1" x14ac:dyDescent="0.2">
      <c r="A76" s="874" t="s">
        <v>404</v>
      </c>
      <c r="B76" s="876" t="s">
        <v>40</v>
      </c>
      <c r="C76" s="875" t="s">
        <v>324</v>
      </c>
      <c r="D76" s="875" t="s">
        <v>323</v>
      </c>
      <c r="E76" s="875" t="s">
        <v>322</v>
      </c>
      <c r="F76" s="875" t="s">
        <v>221</v>
      </c>
      <c r="G76" s="875" t="str">
        <f t="shared" si="19"/>
        <v>Euribor6M</v>
      </c>
      <c r="H76" s="874" t="str">
        <f t="shared" si="20"/>
        <v>EURAB6E16Y_Quote</v>
      </c>
      <c r="I76" s="877">
        <v>0</v>
      </c>
      <c r="J76" s="43" t="e">
        <f ca="1">_xll.qlSwapRateHelper2(,H76,,B76,Calendar,D76,E76,F76,G76,I76,C76,Discounting,PillarDate,,Permanent,Trigger,ObjectOverwrite)</f>
        <v>#NAME?</v>
      </c>
      <c r="L76" s="1005" t="str">
        <f t="shared" si="17"/>
        <v>Sw</v>
      </c>
      <c r="M76" s="970" t="e">
        <f t="shared" ca="1" si="18"/>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1"/>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9" t="e">
        <f ca="1"/>
        <v>#NAME?</v>
      </c>
      <c r="AD76" s="914"/>
    </row>
    <row r="77" spans="1:30" ht="11.25" customHeight="1" x14ac:dyDescent="0.2">
      <c r="A77" s="874" t="s">
        <v>404</v>
      </c>
      <c r="B77" s="876" t="s">
        <v>39</v>
      </c>
      <c r="C77" s="875" t="s">
        <v>324</v>
      </c>
      <c r="D77" s="875" t="s">
        <v>323</v>
      </c>
      <c r="E77" s="875" t="s">
        <v>322</v>
      </c>
      <c r="F77" s="875" t="s">
        <v>221</v>
      </c>
      <c r="G77" s="875" t="str">
        <f t="shared" si="19"/>
        <v>Euribor6M</v>
      </c>
      <c r="H77" s="874" t="str">
        <f t="shared" si="20"/>
        <v>EURAB6E17Y_Quote</v>
      </c>
      <c r="I77" s="877">
        <v>0</v>
      </c>
      <c r="J77" s="43" t="e">
        <f ca="1">_xll.qlSwapRateHelper2(,H77,,B77,Calendar,D77,E77,F77,G77,I77,C77,Discounting,PillarDate,,Permanent,Trigger,ObjectOverwrite)</f>
        <v>#NAME?</v>
      </c>
      <c r="L77" s="1005" t="str">
        <f t="shared" si="17"/>
        <v>Sw</v>
      </c>
      <c r="M77" s="970" t="e">
        <f t="shared" ca="1" si="18"/>
        <v>#NAME?</v>
      </c>
      <c r="N77" s="1004" t="str">
        <f ca="1">IFERROR(_xll.qlRateHelperQuoteName(M77,Trigger),"--")</f>
        <v>--</v>
      </c>
      <c r="O77" s="1003" t="str">
        <f ca="1">IFERROR(_xll.qlRateHelperQuoteValue($M77,Trigger),"--")</f>
        <v>--</v>
      </c>
      <c r="P77" s="970" t="b">
        <v>1</v>
      </c>
      <c r="Q77" s="970">
        <v>50</v>
      </c>
      <c r="R77" s="970">
        <v>1</v>
      </c>
      <c r="S77" s="1002" t="str">
        <f ca="1">IFERROR(_xll.qlRateHelperEarliestDate(M77,Trigger),"--")</f>
        <v>--</v>
      </c>
      <c r="T77" s="1002" t="str">
        <f ca="1">IFERROR(_xll.qlRateHelperPillarDate(M77,Trigger),"--")</f>
        <v>--</v>
      </c>
      <c r="V77" s="4" t="str">
        <f t="shared" ca="1" si="21"/>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9" t="e">
        <f ca="1"/>
        <v>#NAME?</v>
      </c>
      <c r="AD77" s="914"/>
    </row>
    <row r="78" spans="1:30" ht="11.25" customHeight="1" x14ac:dyDescent="0.2">
      <c r="A78" s="874" t="s">
        <v>404</v>
      </c>
      <c r="B78" s="876" t="s">
        <v>38</v>
      </c>
      <c r="C78" s="875" t="s">
        <v>324</v>
      </c>
      <c r="D78" s="875" t="s">
        <v>323</v>
      </c>
      <c r="E78" s="875" t="s">
        <v>322</v>
      </c>
      <c r="F78" s="875" t="s">
        <v>221</v>
      </c>
      <c r="G78" s="875" t="str">
        <f t="shared" si="19"/>
        <v>Euribor6M</v>
      </c>
      <c r="H78" s="874" t="str">
        <f t="shared" si="20"/>
        <v>EURAB6E18Y_Quote</v>
      </c>
      <c r="I78" s="877">
        <v>0</v>
      </c>
      <c r="J78" s="43" t="e">
        <f ca="1">_xll.qlSwapRateHelper2(,H78,,B78,Calendar,D78,E78,F78,G78,I78,C78,Discounting,PillarDate,,Permanent,Trigger,ObjectOverwrite)</f>
        <v>#NAME?</v>
      </c>
      <c r="L78" s="1005" t="str">
        <f t="shared" si="17"/>
        <v>Sw</v>
      </c>
      <c r="M78" s="970" t="e">
        <f t="shared" ca="1" si="18"/>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1"/>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9" t="e">
        <f ca="1"/>
        <v>#NAME?</v>
      </c>
      <c r="AD78" s="914"/>
    </row>
    <row r="79" spans="1:30" ht="11.25" customHeight="1" x14ac:dyDescent="0.2">
      <c r="A79" s="874" t="s">
        <v>404</v>
      </c>
      <c r="B79" s="876" t="s">
        <v>37</v>
      </c>
      <c r="C79" s="875" t="s">
        <v>324</v>
      </c>
      <c r="D79" s="875" t="s">
        <v>323</v>
      </c>
      <c r="E79" s="875" t="s">
        <v>322</v>
      </c>
      <c r="F79" s="875" t="s">
        <v>221</v>
      </c>
      <c r="G79" s="875" t="str">
        <f t="shared" si="19"/>
        <v>Euribor6M</v>
      </c>
      <c r="H79" s="874" t="str">
        <f t="shared" si="20"/>
        <v>EURAB6E19Y_Quote</v>
      </c>
      <c r="I79" s="877">
        <v>0</v>
      </c>
      <c r="J79" s="43" t="e">
        <f ca="1">_xll.qlSwapRateHelper2(,H79,,B79,Calendar,D79,E79,F79,G79,I79,C79,Discounting,PillarDate,,Permanent,Trigger,ObjectOverwrite)</f>
        <v>#NAME?</v>
      </c>
      <c r="L79" s="1005" t="str">
        <f t="shared" si="17"/>
        <v>Sw</v>
      </c>
      <c r="M79" s="970" t="e">
        <f t="shared" ca="1" si="18"/>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1"/>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9" t="e">
        <f ca="1"/>
        <v>#NAME?</v>
      </c>
      <c r="AD79" s="914"/>
    </row>
    <row r="80" spans="1:30" ht="11.25" customHeight="1" x14ac:dyDescent="0.2">
      <c r="A80" s="874" t="s">
        <v>404</v>
      </c>
      <c r="B80" s="876" t="s">
        <v>36</v>
      </c>
      <c r="C80" s="875" t="s">
        <v>324</v>
      </c>
      <c r="D80" s="875" t="s">
        <v>323</v>
      </c>
      <c r="E80" s="875" t="s">
        <v>322</v>
      </c>
      <c r="F80" s="875" t="s">
        <v>221</v>
      </c>
      <c r="G80" s="875" t="str">
        <f t="shared" si="19"/>
        <v>Euribor6M</v>
      </c>
      <c r="H80" s="874" t="str">
        <f t="shared" si="20"/>
        <v>EURAB6E20Y_Quote</v>
      </c>
      <c r="I80" s="877">
        <v>0</v>
      </c>
      <c r="J80" s="43" t="e">
        <f ca="1">_xll.qlSwapRateHelper2(,H80,,B80,Calendar,D80,E80,F80,G80,I80,C80,Discounting,PillarDate,,Permanent,Trigger,ObjectOverwrite)</f>
        <v>#NAME?</v>
      </c>
      <c r="L80" s="1005" t="str">
        <f t="shared" si="17"/>
        <v>Sw</v>
      </c>
      <c r="M80" s="970" t="e">
        <f t="shared" ca="1" si="18"/>
        <v>#NAME?</v>
      </c>
      <c r="N80" s="1004" t="str">
        <f ca="1">IFERROR(_xll.qlRateHelperQuoteName(M80,Trigger),"--")</f>
        <v>--</v>
      </c>
      <c r="O80" s="1003" t="str">
        <f ca="1">IFERROR(_xll.qlRateHelperQuoteValue($M80,Trigger),"--")</f>
        <v>--</v>
      </c>
      <c r="P80" s="970" t="b">
        <v>1</v>
      </c>
      <c r="Q80" s="970">
        <v>50</v>
      </c>
      <c r="R80" s="970">
        <v>1</v>
      </c>
      <c r="S80" s="1002" t="str">
        <f ca="1">IFERROR(_xll.qlRateHelperEarliestDate(M80,Trigger),"--")</f>
        <v>--</v>
      </c>
      <c r="T80" s="1002" t="str">
        <f ca="1">IFERROR(_xll.qlRateHelperPillarDate(M80,Trigger),"--")</f>
        <v>--</v>
      </c>
      <c r="V80" s="4" t="str">
        <f t="shared" ca="1" si="21"/>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9" t="e">
        <f ca="1"/>
        <v>#NAME?</v>
      </c>
      <c r="AD80" s="914"/>
    </row>
    <row r="81" spans="1:30" x14ac:dyDescent="0.2">
      <c r="A81" s="874" t="s">
        <v>404</v>
      </c>
      <c r="B81" s="876" t="s">
        <v>35</v>
      </c>
      <c r="C81" s="875" t="s">
        <v>324</v>
      </c>
      <c r="D81" s="875" t="s">
        <v>323</v>
      </c>
      <c r="E81" s="875" t="s">
        <v>322</v>
      </c>
      <c r="F81" s="875" t="s">
        <v>221</v>
      </c>
      <c r="G81" s="875" t="str">
        <f t="shared" si="19"/>
        <v>Euribor6M</v>
      </c>
      <c r="H81" s="874" t="str">
        <f t="shared" si="20"/>
        <v>EURAB6E21Y_Quote</v>
      </c>
      <c r="I81" s="877">
        <v>0</v>
      </c>
      <c r="J81" s="43" t="e">
        <f ca="1">_xll.qlSwapRateHelper2(,H81,,B81,Calendar,D81,E81,F81,G81,I81,C81,Discounting,PillarDate,,Permanent,Trigger,ObjectOverwrite)</f>
        <v>#NAME?</v>
      </c>
      <c r="L81" s="1005" t="str">
        <f t="shared" si="17"/>
        <v>Sw</v>
      </c>
      <c r="M81" s="970" t="e">
        <f t="shared" ca="1" si="18"/>
        <v>#NAME?</v>
      </c>
      <c r="N81" s="1004" t="str">
        <f ca="1">IFERROR(_xll.qlRateHelperQuoteName(M81,Trigger),"--")</f>
        <v>--</v>
      </c>
      <c r="O81" s="1003" t="str">
        <f ca="1">IFERROR(_xll.qlRateHelperQuoteValue($M81,Trigger),"--")</f>
        <v>--</v>
      </c>
      <c r="P81" s="970" t="b">
        <v>1</v>
      </c>
      <c r="Q81" s="970">
        <v>50</v>
      </c>
      <c r="R81" s="970">
        <v>1</v>
      </c>
      <c r="S81" s="1002" t="str">
        <f ca="1">IFERROR(_xll.qlRateHelperEarliestDate(M81,Trigger),"--")</f>
        <v>--</v>
      </c>
      <c r="T81" s="1002" t="str">
        <f ca="1">IFERROR(_xll.qlRateHelperPillarDate(M81,Trigger),"--")</f>
        <v>--</v>
      </c>
      <c r="V81" s="4" t="str">
        <f t="shared" ca="1" si="21"/>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9" t="e">
        <f ca="1"/>
        <v>#NAME?</v>
      </c>
      <c r="AD81" s="914"/>
    </row>
    <row r="82" spans="1:30" x14ac:dyDescent="0.2">
      <c r="A82" s="874" t="s">
        <v>404</v>
      </c>
      <c r="B82" s="876" t="s">
        <v>34</v>
      </c>
      <c r="C82" s="875" t="s">
        <v>324</v>
      </c>
      <c r="D82" s="875" t="s">
        <v>323</v>
      </c>
      <c r="E82" s="875" t="s">
        <v>322</v>
      </c>
      <c r="F82" s="875" t="s">
        <v>221</v>
      </c>
      <c r="G82" s="875" t="str">
        <f t="shared" si="19"/>
        <v>Euribor6M</v>
      </c>
      <c r="H82" s="874" t="str">
        <f t="shared" si="20"/>
        <v>EURAB6E22Y_Quote</v>
      </c>
      <c r="I82" s="877">
        <v>0</v>
      </c>
      <c r="J82" s="43" t="e">
        <f ca="1">_xll.qlSwapRateHelper2(,H82,,B82,Calendar,D82,E82,F82,G82,I82,C82,Discounting,PillarDate,,Permanent,Trigger,ObjectOverwrite)</f>
        <v>#NAME?</v>
      </c>
      <c r="L82" s="1005" t="str">
        <f t="shared" si="17"/>
        <v>Sw</v>
      </c>
      <c r="M82" s="970" t="e">
        <f t="shared" ca="1" si="18"/>
        <v>#NAME?</v>
      </c>
      <c r="N82" s="1004" t="str">
        <f ca="1">IFERROR(_xll.qlRateHelperQuoteName(M82,Trigger),"--")</f>
        <v>--</v>
      </c>
      <c r="O82" s="1003" t="str">
        <f ca="1">IFERROR(_xll.qlRateHelperQuoteValue($M82,Trigger),"--")</f>
        <v>--</v>
      </c>
      <c r="P82" s="970" t="b">
        <v>1</v>
      </c>
      <c r="Q82" s="970">
        <v>50</v>
      </c>
      <c r="R82" s="970">
        <v>1</v>
      </c>
      <c r="S82" s="1002" t="str">
        <f ca="1">IFERROR(_xll.qlRateHelperEarliestDate(M82,Trigger),"--")</f>
        <v>--</v>
      </c>
      <c r="T82" s="1002" t="str">
        <f ca="1">IFERROR(_xll.qlRateHelperPillarDate(M82,Trigger),"--")</f>
        <v>--</v>
      </c>
      <c r="V82" s="4" t="str">
        <f t="shared" ca="1" si="21"/>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9" t="e">
        <f ca="1"/>
        <v>#NAME?</v>
      </c>
      <c r="AD82" s="914"/>
    </row>
    <row r="83" spans="1:30" x14ac:dyDescent="0.2">
      <c r="A83" s="874" t="s">
        <v>404</v>
      </c>
      <c r="B83" s="876" t="s">
        <v>33</v>
      </c>
      <c r="C83" s="875" t="s">
        <v>324</v>
      </c>
      <c r="D83" s="875" t="s">
        <v>323</v>
      </c>
      <c r="E83" s="875" t="s">
        <v>322</v>
      </c>
      <c r="F83" s="875" t="s">
        <v>221</v>
      </c>
      <c r="G83" s="875" t="str">
        <f t="shared" si="19"/>
        <v>Euribor6M</v>
      </c>
      <c r="H83" s="874" t="str">
        <f t="shared" si="20"/>
        <v>EURAB6E23Y_Quote</v>
      </c>
      <c r="I83" s="877">
        <v>0</v>
      </c>
      <c r="J83" s="43" t="e">
        <f ca="1">_xll.qlSwapRateHelper2(,H83,,B83,Calendar,D83,E83,F83,G83,I83,C83,Discounting,PillarDate,,Permanent,Trigger,ObjectOverwrite)</f>
        <v>#NAME?</v>
      </c>
      <c r="L83" s="1005" t="str">
        <f t="shared" si="17"/>
        <v>Sw</v>
      </c>
      <c r="M83" s="970" t="e">
        <f t="shared" ca="1" si="18"/>
        <v>#NAME?</v>
      </c>
      <c r="N83" s="1004" t="str">
        <f ca="1">IFERROR(_xll.qlRateHelperQuoteName(M83,Trigger),"--")</f>
        <v>--</v>
      </c>
      <c r="O83" s="1003" t="str">
        <f ca="1">IFERROR(_xll.qlRateHelperQuoteValue($M83,Trigger),"--")</f>
        <v>--</v>
      </c>
      <c r="P83" s="970" t="b">
        <v>1</v>
      </c>
      <c r="Q83" s="970">
        <v>50</v>
      </c>
      <c r="R83" s="970">
        <v>1</v>
      </c>
      <c r="S83" s="1002" t="str">
        <f ca="1">IFERROR(_xll.qlRateHelperEarliestDate(M83,Trigger),"--")</f>
        <v>--</v>
      </c>
      <c r="T83" s="1002" t="str">
        <f ca="1">IFERROR(_xll.qlRateHelperPillarDate(M83,Trigger),"--")</f>
        <v>--</v>
      </c>
      <c r="V83" s="4" t="str">
        <f t="shared" ca="1" si="21"/>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9" t="e">
        <f ca="1"/>
        <v>#NAME?</v>
      </c>
      <c r="AD83" s="914"/>
    </row>
    <row r="84" spans="1:30" x14ac:dyDescent="0.2">
      <c r="A84" s="874" t="s">
        <v>404</v>
      </c>
      <c r="B84" s="876" t="s">
        <v>32</v>
      </c>
      <c r="C84" s="875" t="s">
        <v>324</v>
      </c>
      <c r="D84" s="875" t="s">
        <v>323</v>
      </c>
      <c r="E84" s="875" t="s">
        <v>322</v>
      </c>
      <c r="F84" s="875" t="s">
        <v>221</v>
      </c>
      <c r="G84" s="875" t="str">
        <f t="shared" si="19"/>
        <v>Euribor6M</v>
      </c>
      <c r="H84" s="874" t="str">
        <f t="shared" si="20"/>
        <v>EURAB6E24Y_Quote</v>
      </c>
      <c r="I84" s="877">
        <v>0</v>
      </c>
      <c r="J84" s="43" t="e">
        <f ca="1">_xll.qlSwapRateHelper2(,H84,,B84,Calendar,D84,E84,F84,G84,I84,C84,Discounting,PillarDate,,Permanent,Trigger,ObjectOverwrite)</f>
        <v>#NAME?</v>
      </c>
      <c r="L84" s="1005" t="str">
        <f t="shared" si="17"/>
        <v>Sw</v>
      </c>
      <c r="M84" s="970" t="e">
        <f t="shared" ca="1" si="18"/>
        <v>#NAME?</v>
      </c>
      <c r="N84" s="1004" t="str">
        <f ca="1">IFERROR(_xll.qlRateHelperQuoteName(M84,Trigger),"--")</f>
        <v>--</v>
      </c>
      <c r="O84" s="1003" t="str">
        <f ca="1">IFERROR(_xll.qlRateHelperQuoteValue($M84,Trigger),"--")</f>
        <v>--</v>
      </c>
      <c r="P84" s="970" t="b">
        <v>1</v>
      </c>
      <c r="Q84" s="970">
        <v>50</v>
      </c>
      <c r="R84" s="970">
        <v>1</v>
      </c>
      <c r="S84" s="1002" t="str">
        <f ca="1">IFERROR(_xll.qlRateHelperEarliestDate(M84,Trigger),"--")</f>
        <v>--</v>
      </c>
      <c r="T84" s="1002" t="str">
        <f ca="1">IFERROR(_xll.qlRateHelperPillarDate(M84,Trigger),"--")</f>
        <v>--</v>
      </c>
      <c r="V84" s="4" t="str">
        <f t="shared" ca="1" si="21"/>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9" t="e">
        <f ca="1"/>
        <v>#NAME?</v>
      </c>
      <c r="AD84" s="914"/>
    </row>
    <row r="85" spans="1:30" x14ac:dyDescent="0.2">
      <c r="A85" s="874" t="s">
        <v>404</v>
      </c>
      <c r="B85" s="876" t="s">
        <v>31</v>
      </c>
      <c r="C85" s="875" t="s">
        <v>324</v>
      </c>
      <c r="D85" s="875" t="s">
        <v>323</v>
      </c>
      <c r="E85" s="875" t="s">
        <v>322</v>
      </c>
      <c r="F85" s="875" t="s">
        <v>221</v>
      </c>
      <c r="G85" s="875" t="str">
        <f t="shared" si="19"/>
        <v>Euribor6M</v>
      </c>
      <c r="H85" s="874" t="str">
        <f t="shared" si="20"/>
        <v>EURAB6E25Y_Quote</v>
      </c>
      <c r="I85" s="877">
        <v>0</v>
      </c>
      <c r="J85" s="43" t="e">
        <f ca="1">_xll.qlSwapRateHelper2(,H85,,B85,Calendar,D85,E85,F85,G85,I85,C85,Discounting,PillarDate,,Permanent,Trigger,ObjectOverwrite)</f>
        <v>#NAME?</v>
      </c>
      <c r="L85" s="1005" t="str">
        <f t="shared" si="17"/>
        <v>Sw</v>
      </c>
      <c r="M85" s="970" t="e">
        <f t="shared" ca="1" si="18"/>
        <v>#NAME?</v>
      </c>
      <c r="N85" s="1004" t="str">
        <f ca="1">IFERROR(_xll.qlRateHelperQuoteName(M85,Trigger),"--")</f>
        <v>--</v>
      </c>
      <c r="O85" s="1003" t="str">
        <f ca="1">IFERROR(_xll.qlRateHelperQuoteValue($M85,Trigger),"--")</f>
        <v>--</v>
      </c>
      <c r="P85" s="970" t="b">
        <v>1</v>
      </c>
      <c r="Q85" s="970">
        <v>50</v>
      </c>
      <c r="R85" s="970">
        <v>1</v>
      </c>
      <c r="S85" s="1002" t="str">
        <f ca="1">IFERROR(_xll.qlRateHelperEarliestDate(M85,Trigger),"--")</f>
        <v>--</v>
      </c>
      <c r="T85" s="1002" t="str">
        <f ca="1">IFERROR(_xll.qlRateHelperPillarDate(M85,Trigger),"--")</f>
        <v>--</v>
      </c>
      <c r="V85" s="4" t="str">
        <f t="shared" ca="1" si="21"/>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9" t="e">
        <f ca="1"/>
        <v>#NAME?</v>
      </c>
      <c r="AD85" s="914"/>
    </row>
    <row r="86" spans="1:30" x14ac:dyDescent="0.2">
      <c r="A86" s="874" t="s">
        <v>404</v>
      </c>
      <c r="B86" s="876" t="s">
        <v>30</v>
      </c>
      <c r="C86" s="875" t="s">
        <v>324</v>
      </c>
      <c r="D86" s="875" t="s">
        <v>323</v>
      </c>
      <c r="E86" s="875" t="s">
        <v>322</v>
      </c>
      <c r="F86" s="875" t="s">
        <v>221</v>
      </c>
      <c r="G86" s="875" t="str">
        <f t="shared" si="19"/>
        <v>Euribor6M</v>
      </c>
      <c r="H86" s="874" t="str">
        <f t="shared" si="20"/>
        <v>EURAB6E26Y_Quote</v>
      </c>
      <c r="I86" s="877">
        <v>0</v>
      </c>
      <c r="J86" s="43" t="e">
        <f ca="1">_xll.qlSwapRateHelper2(,H86,,B86,Calendar,D86,E86,F86,G86,I86,C86,Discounting,PillarDate,,Permanent,Trigger,ObjectOverwrite)</f>
        <v>#NAME?</v>
      </c>
      <c r="L86" s="1005" t="str">
        <f t="shared" si="17"/>
        <v>Sw</v>
      </c>
      <c r="M86" s="970" t="e">
        <f t="shared" ca="1" si="18"/>
        <v>#NAME?</v>
      </c>
      <c r="N86" s="1004" t="str">
        <f ca="1">IFERROR(_xll.qlRateHelperQuoteName(M86,Trigger),"--")</f>
        <v>--</v>
      </c>
      <c r="O86" s="1003" t="str">
        <f ca="1">IFERROR(_xll.qlRateHelperQuoteValue($M86,Trigger),"--")</f>
        <v>--</v>
      </c>
      <c r="P86" s="970" t="b">
        <v>1</v>
      </c>
      <c r="Q86" s="970">
        <v>50</v>
      </c>
      <c r="R86" s="970">
        <v>1</v>
      </c>
      <c r="S86" s="1002" t="str">
        <f ca="1">IFERROR(_xll.qlRateHelperEarliestDate(M86,Trigger),"--")</f>
        <v>--</v>
      </c>
      <c r="T86" s="1002" t="str">
        <f ca="1">IFERROR(_xll.qlRateHelperPillarDate(M86,Trigger),"--")</f>
        <v>--</v>
      </c>
      <c r="V86" s="4" t="str">
        <f t="shared" ca="1" si="21"/>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9" t="e">
        <f ca="1"/>
        <v>#NAME?</v>
      </c>
      <c r="AD86" s="914"/>
    </row>
    <row r="87" spans="1:30" x14ac:dyDescent="0.2">
      <c r="A87" s="874" t="s">
        <v>404</v>
      </c>
      <c r="B87" s="876" t="s">
        <v>29</v>
      </c>
      <c r="C87" s="875" t="s">
        <v>324</v>
      </c>
      <c r="D87" s="875" t="s">
        <v>323</v>
      </c>
      <c r="E87" s="875" t="s">
        <v>322</v>
      </c>
      <c r="F87" s="875" t="s">
        <v>221</v>
      </c>
      <c r="G87" s="875" t="str">
        <f t="shared" si="19"/>
        <v>Euribor6M</v>
      </c>
      <c r="H87" s="874" t="str">
        <f t="shared" si="20"/>
        <v>EURAB6E27Y_Quote</v>
      </c>
      <c r="I87" s="877">
        <v>0</v>
      </c>
      <c r="J87" s="43" t="e">
        <f ca="1">_xll.qlSwapRateHelper2(,H87,,B87,Calendar,D87,E87,F87,G87,I87,C87,Discounting,PillarDate,,Permanent,Trigger,ObjectOverwrite)</f>
        <v>#NAME?</v>
      </c>
      <c r="L87" s="1005" t="str">
        <f t="shared" si="17"/>
        <v>Sw</v>
      </c>
      <c r="M87" s="970" t="str">
        <f t="shared" si="18"/>
        <v>--</v>
      </c>
      <c r="N87" s="1004" t="str">
        <f ca="1">IFERROR(_xll.qlRateHelperQuoteName(M87,Trigger),"--")</f>
        <v>--</v>
      </c>
      <c r="O87" s="1003" t="str">
        <f ca="1">IFERROR(_xll.qlRateHelperQuoteValue($M87,Trigger),"--")</f>
        <v>--</v>
      </c>
      <c r="P87" s="970" t="b">
        <v>0</v>
      </c>
      <c r="Q87" s="970">
        <v>50</v>
      </c>
      <c r="R87" s="970">
        <v>1</v>
      </c>
      <c r="S87" s="1002" t="str">
        <f ca="1">IFERROR(_xll.qlRateHelperEarliestDate(M87,Trigger),"--")</f>
        <v>--</v>
      </c>
      <c r="T87" s="1002" t="str">
        <f ca="1">IFERROR(_xll.qlRateHelperPillarDate(M87,Trigger),"--")</f>
        <v>--</v>
      </c>
      <c r="V87" s="4" t="str">
        <f t="shared" ca="1" si="21"/>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9" t="e">
        <f ca="1"/>
        <v>#NAME?</v>
      </c>
      <c r="AD87" s="914"/>
    </row>
    <row r="88" spans="1:30" x14ac:dyDescent="0.2">
      <c r="A88" s="874" t="s">
        <v>404</v>
      </c>
      <c r="B88" s="876" t="s">
        <v>28</v>
      </c>
      <c r="C88" s="875" t="s">
        <v>324</v>
      </c>
      <c r="D88" s="875" t="s">
        <v>323</v>
      </c>
      <c r="E88" s="875" t="s">
        <v>322</v>
      </c>
      <c r="F88" s="875" t="s">
        <v>221</v>
      </c>
      <c r="G88" s="875" t="str">
        <f t="shared" si="19"/>
        <v>Euribor6M</v>
      </c>
      <c r="H88" s="874" t="str">
        <f t="shared" si="20"/>
        <v>EURAB6E28Y_Quote</v>
      </c>
      <c r="I88" s="877">
        <v>0</v>
      </c>
      <c r="J88" s="43" t="e">
        <f ca="1">_xll.qlSwapRateHelper2(,H88,,B88,Calendar,D88,E88,F88,G88,I88,C88,Discounting,PillarDate,,Permanent,Trigger,ObjectOverwrite)</f>
        <v>#NAME?</v>
      </c>
      <c r="K88" s="1" t="s">
        <v>148</v>
      </c>
      <c r="L88" s="1005" t="str">
        <f t="shared" si="17"/>
        <v>Sw</v>
      </c>
      <c r="M88" s="970" t="e">
        <f t="shared" ca="1" si="18"/>
        <v>#NAME?</v>
      </c>
      <c r="N88" s="1004" t="str">
        <f ca="1">IFERROR(_xll.qlRateHelperQuoteName(M88,Trigger),"--")</f>
        <v>--</v>
      </c>
      <c r="O88" s="1003" t="str">
        <f ca="1">IFERROR(_xll.qlRateHelperQuoteValue($M88,Trigger),"--")</f>
        <v>--</v>
      </c>
      <c r="P88" s="970" t="b">
        <v>1</v>
      </c>
      <c r="Q88" s="970">
        <v>50</v>
      </c>
      <c r="R88" s="970">
        <v>1</v>
      </c>
      <c r="S88" s="1002" t="str">
        <f ca="1">IFERROR(_xll.qlRateHelperEarliestDate(M88,Trigger),"--")</f>
        <v>--</v>
      </c>
      <c r="T88" s="1002" t="str">
        <f ca="1">IFERROR(_xll.qlRateHelperPillarDate(M88,Trigger),"--")</f>
        <v>--</v>
      </c>
      <c r="V88" s="4" t="str">
        <f t="shared" ca="1" si="21"/>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9" t="e">
        <f ca="1"/>
        <v>#NAME?</v>
      </c>
      <c r="AD88" s="914"/>
    </row>
    <row r="89" spans="1:30" x14ac:dyDescent="0.2">
      <c r="A89" s="874" t="s">
        <v>404</v>
      </c>
      <c r="B89" s="876" t="s">
        <v>27</v>
      </c>
      <c r="C89" s="875" t="s">
        <v>324</v>
      </c>
      <c r="D89" s="875" t="s">
        <v>323</v>
      </c>
      <c r="E89" s="875" t="s">
        <v>322</v>
      </c>
      <c r="F89" s="875" t="s">
        <v>221</v>
      </c>
      <c r="G89" s="875" t="str">
        <f t="shared" si="19"/>
        <v>Euribor6M</v>
      </c>
      <c r="H89" s="874" t="str">
        <f t="shared" si="20"/>
        <v>EURAB6E29Y_Quote</v>
      </c>
      <c r="I89" s="877">
        <v>0</v>
      </c>
      <c r="J89" s="43" t="e">
        <f ca="1">_xll.qlSwapRateHelper2(,H89,,B89,Calendar,D89,E89,F89,G89,I89,C89,Discounting,PillarDate,,Permanent,Trigger,ObjectOverwrite)</f>
        <v>#NAME?</v>
      </c>
      <c r="L89" s="1001" t="str">
        <f t="shared" si="17"/>
        <v>Sw</v>
      </c>
      <c r="M89" s="969" t="e">
        <f t="shared" ca="1" si="18"/>
        <v>#NAME?</v>
      </c>
      <c r="N89" s="1000" t="str">
        <f ca="1">IFERROR(_xll.qlRateHelperQuoteName(M89,Trigger),"--")</f>
        <v>--</v>
      </c>
      <c r="O89" s="999" t="str">
        <f ca="1">IFERROR(_xll.qlRateHelperQuoteValue($M89,Trigger),"--")</f>
        <v>--</v>
      </c>
      <c r="P89" s="969" t="b">
        <v>1</v>
      </c>
      <c r="Q89" s="969">
        <v>50</v>
      </c>
      <c r="R89" s="969">
        <v>1</v>
      </c>
      <c r="S89" s="998" t="str">
        <f ca="1">IFERROR(_xll.qlRateHelperEarliestDate(M89,Trigger),"--")</f>
        <v>--</v>
      </c>
      <c r="T89" s="998" t="str">
        <f ca="1">IFERROR(_xll.qlRateHelperPillarDate(M89,Trigger),"--")</f>
        <v>--</v>
      </c>
      <c r="V89" s="2" t="str">
        <f t="shared" ca="1" si="21"/>
        <v/>
      </c>
      <c r="W89" s="2" t="e">
        <f ca="1"/>
        <v>#NAME?</v>
      </c>
      <c r="X89" s="2" t="str">
        <f ca="1">IFERROR(_xll.qlRateHelperQuoteName(W89,Trigger),"")</f>
        <v/>
      </c>
      <c r="Y89" s="880" t="str">
        <f ca="1">IFERROR(_xll.qlRateHelperRate(W89,Trigger),"")</f>
        <v/>
      </c>
      <c r="Z89" s="879" t="str">
        <f ca="1">IF(ISERROR(_xll.qlSwapRateHelperSpread($W89)),IF(ISERROR(_xll.qlFuturesRateHelperConvexityAdjustment($W89)),"",_xll.qlFuturesRateHelperConvexityAdjustment($W89)),_xll.qlSwapRateHelperSpread($W89))</f>
        <v/>
      </c>
      <c r="AA89" s="3" t="str">
        <f ca="1">IFERROR(_xll.qlRateHelperEarliestDate(W89,Trigger),"")</f>
        <v/>
      </c>
      <c r="AB89" s="3" t="str">
        <f ca="1">IFERROR(_xll.qlRateHelperPillarDate(W89,Trigger),"")</f>
        <v/>
      </c>
      <c r="AC89" s="880" t="e">
        <f ca="1"/>
        <v>#NAME?</v>
      </c>
      <c r="AD89" s="914"/>
    </row>
    <row r="90" spans="1:30" x14ac:dyDescent="0.2">
      <c r="A90" s="874" t="s">
        <v>404</v>
      </c>
      <c r="B90" s="876" t="s">
        <v>26</v>
      </c>
      <c r="C90" s="875" t="s">
        <v>324</v>
      </c>
      <c r="D90" s="875" t="s">
        <v>323</v>
      </c>
      <c r="E90" s="875" t="s">
        <v>322</v>
      </c>
      <c r="F90" s="875" t="s">
        <v>221</v>
      </c>
      <c r="G90" s="875" t="str">
        <f t="shared" si="19"/>
        <v>Euribor6M</v>
      </c>
      <c r="H90" s="874" t="str">
        <f t="shared" si="20"/>
        <v>EURAB6E30Y_Quote</v>
      </c>
      <c r="I90" s="877">
        <v>0</v>
      </c>
      <c r="J90" s="43" t="e">
        <f ca="1">_xll.qlSwapRateHelper2(,H90,,B90,Calendar,D90,E90,F90,G90,I90,C90,Discounting,PillarDate,,Permanent,Trigger,ObjectOverwrite)</f>
        <v>#NAME?</v>
      </c>
      <c r="AD90" s="914"/>
    </row>
    <row r="91" spans="1:30" x14ac:dyDescent="0.2">
      <c r="A91" s="874" t="s">
        <v>404</v>
      </c>
      <c r="B91" s="876" t="s">
        <v>25</v>
      </c>
      <c r="C91" s="875" t="s">
        <v>324</v>
      </c>
      <c r="D91" s="875" t="s">
        <v>323</v>
      </c>
      <c r="E91" s="875" t="s">
        <v>322</v>
      </c>
      <c r="F91" s="875" t="s">
        <v>221</v>
      </c>
      <c r="G91" s="875" t="str">
        <f t="shared" si="19"/>
        <v>Euribor6M</v>
      </c>
      <c r="H91" s="874" t="str">
        <f t="shared" si="20"/>
        <v>EURAB6E35Y_Quote</v>
      </c>
      <c r="I91" s="877">
        <v>0</v>
      </c>
      <c r="J91" s="43" t="e">
        <f ca="1">_xll.qlSwapRateHelper2(,H91,,B91,Calendar,D91,E91,F91,G91,I91,C91,Discounting,PillarDate,,Permanent,Trigger,ObjectOverwrite)</f>
        <v>#NAME?</v>
      </c>
      <c r="AD91" s="914"/>
    </row>
    <row r="92" spans="1:30" x14ac:dyDescent="0.2">
      <c r="A92" s="874" t="s">
        <v>404</v>
      </c>
      <c r="B92" s="876" t="s">
        <v>24</v>
      </c>
      <c r="C92" s="875" t="s">
        <v>324</v>
      </c>
      <c r="D92" s="875" t="s">
        <v>323</v>
      </c>
      <c r="E92" s="875" t="s">
        <v>322</v>
      </c>
      <c r="F92" s="875" t="s">
        <v>221</v>
      </c>
      <c r="G92" s="875" t="str">
        <f t="shared" si="19"/>
        <v>Euribor6M</v>
      </c>
      <c r="H92" s="874" t="str">
        <f t="shared" si="20"/>
        <v>EURAB6E40Y_Quote</v>
      </c>
      <c r="I92" s="873">
        <v>0</v>
      </c>
      <c r="J92" s="43" t="e">
        <f ca="1">_xll.qlSwapRateHelper2(,H92,,B92,Calendar,D92,E92,F92,G92,I92,C92,Discounting,PillarDate,,Permanent,Trigger,ObjectOverwrite)</f>
        <v>#NAME?</v>
      </c>
      <c r="AD92" s="914"/>
    </row>
    <row r="93" spans="1:30" x14ac:dyDescent="0.2">
      <c r="A93" s="874" t="s">
        <v>404</v>
      </c>
      <c r="B93" s="876" t="s">
        <v>432</v>
      </c>
      <c r="C93" s="875" t="s">
        <v>324</v>
      </c>
      <c r="D93" s="875" t="s">
        <v>323</v>
      </c>
      <c r="E93" s="875" t="s">
        <v>322</v>
      </c>
      <c r="F93" s="875" t="s">
        <v>221</v>
      </c>
      <c r="G93" s="875" t="str">
        <f t="shared" si="19"/>
        <v>Euribor6M</v>
      </c>
      <c r="H93" s="874" t="str">
        <f t="shared" si="20"/>
        <v>EURAB6E45Y_Quote</v>
      </c>
      <c r="I93" s="873">
        <v>0</v>
      </c>
      <c r="J93" s="43"/>
      <c r="AD93" s="914"/>
    </row>
    <row r="94" spans="1:30" x14ac:dyDescent="0.2">
      <c r="A94" s="874" t="s">
        <v>404</v>
      </c>
      <c r="B94" s="876" t="s">
        <v>23</v>
      </c>
      <c r="C94" s="875" t="s">
        <v>324</v>
      </c>
      <c r="D94" s="875" t="s">
        <v>323</v>
      </c>
      <c r="E94" s="875" t="s">
        <v>322</v>
      </c>
      <c r="F94" s="875" t="s">
        <v>221</v>
      </c>
      <c r="G94" s="875" t="str">
        <f t="shared" si="19"/>
        <v>Euribor6M</v>
      </c>
      <c r="H94" s="874" t="str">
        <f t="shared" si="20"/>
        <v>EURAB6E50Y_Quote</v>
      </c>
      <c r="I94" s="873">
        <v>0</v>
      </c>
      <c r="J94" s="43" t="e">
        <f ca="1">_xll.qlSwapRateHelper2(,H94,,B94,Calendar,D94,E94,F94,G94,I94,C94,Discounting,PillarDate,,Permanent,Trigger,ObjectOverwrite)</f>
        <v>#NAME?</v>
      </c>
      <c r="AD94" s="914"/>
    </row>
    <row r="95" spans="1:30" x14ac:dyDescent="0.2">
      <c r="A95" s="870" t="s">
        <v>404</v>
      </c>
      <c r="B95" s="872" t="s">
        <v>22</v>
      </c>
      <c r="C95" s="871" t="s">
        <v>324</v>
      </c>
      <c r="D95" s="871" t="s">
        <v>323</v>
      </c>
      <c r="E95" s="871" t="s">
        <v>322</v>
      </c>
      <c r="F95" s="871" t="s">
        <v>221</v>
      </c>
      <c r="G95" s="871" t="str">
        <f t="shared" si="19"/>
        <v>Euribor6M</v>
      </c>
      <c r="H95" s="870" t="str">
        <f t="shared" si="20"/>
        <v>EURAB6E60Y_Quote</v>
      </c>
      <c r="I95" s="869">
        <v>0</v>
      </c>
      <c r="J95" s="38" t="e">
        <f ca="1">_xll.qlSwapRateHelper2(,H95,,B95,Calendar,D95,E95,F95,G95,I95,C95,Discounting,PillarDate,,Permanent,Trigger,ObjectOverwrite)</f>
        <v>#NAME?</v>
      </c>
      <c r="AD95" s="914"/>
    </row>
    <row r="96" spans="1:30" x14ac:dyDescent="0.2">
      <c r="AD96" s="914"/>
    </row>
    <row r="97" spans="30:30" x14ac:dyDescent="0.2">
      <c r="AD97" s="914"/>
    </row>
    <row r="98" spans="30:30" x14ac:dyDescent="0.2">
      <c r="AD98" s="914"/>
    </row>
    <row r="99" spans="30:30" x14ac:dyDescent="0.2">
      <c r="AD99" s="914"/>
    </row>
    <row r="100" spans="30:30" x14ac:dyDescent="0.2">
      <c r="AD100" s="914"/>
    </row>
    <row r="101" spans="30:30" x14ac:dyDescent="0.2">
      <c r="AD101" s="914"/>
    </row>
    <row r="102" spans="30:30" x14ac:dyDescent="0.2">
      <c r="AD102" s="914"/>
    </row>
    <row r="103" spans="30:30" x14ac:dyDescent="0.2">
      <c r="AD103" s="914"/>
    </row>
    <row r="104" spans="30:30" x14ac:dyDescent="0.2">
      <c r="AD104" s="914"/>
    </row>
    <row r="105" spans="30:30" x14ac:dyDescent="0.2">
      <c r="AD105" s="914"/>
    </row>
    <row r="106" spans="30:30" x14ac:dyDescent="0.2">
      <c r="AD106" s="914"/>
    </row>
    <row r="107" spans="30:30" x14ac:dyDescent="0.2">
      <c r="AD107" s="914"/>
    </row>
    <row r="108" spans="30:30" x14ac:dyDescent="0.2">
      <c r="AD108" s="914"/>
    </row>
    <row r="109" spans="30:30" x14ac:dyDescent="0.2">
      <c r="AD109" s="914"/>
    </row>
    <row r="110" spans="30:30" x14ac:dyDescent="0.2">
      <c r="AD110" s="914"/>
    </row>
    <row r="111" spans="30:30" x14ac:dyDescent="0.2">
      <c r="AD111" s="914"/>
    </row>
    <row r="112" spans="30:30" x14ac:dyDescent="0.2">
      <c r="AD112" s="914"/>
    </row>
    <row r="113" spans="30:30" x14ac:dyDescent="0.2">
      <c r="AD113" s="914"/>
    </row>
    <row r="114" spans="30:30" x14ac:dyDescent="0.2">
      <c r="AD114" s="914"/>
    </row>
    <row r="115" spans="30:30" x14ac:dyDescent="0.2">
      <c r="AD115" s="914"/>
    </row>
    <row r="116" spans="30:30" x14ac:dyDescent="0.2">
      <c r="AD116" s="914"/>
    </row>
    <row r="117" spans="30:30" x14ac:dyDescent="0.2">
      <c r="AD117" s="914"/>
    </row>
    <row r="118" spans="30:30" x14ac:dyDescent="0.2">
      <c r="AD118" s="914"/>
    </row>
    <row r="119" spans="30:30" x14ac:dyDescent="0.2">
      <c r="AD119" s="914"/>
    </row>
    <row r="120" spans="30:30" x14ac:dyDescent="0.2">
      <c r="AD120" s="914"/>
    </row>
    <row r="121" spans="30:30" x14ac:dyDescent="0.2">
      <c r="AD121" s="914"/>
    </row>
    <row r="122" spans="30:30" x14ac:dyDescent="0.2">
      <c r="AD122" s="914"/>
    </row>
    <row r="123" spans="30:30" x14ac:dyDescent="0.2">
      <c r="AD123" s="914"/>
    </row>
    <row r="124" spans="30:30" x14ac:dyDescent="0.2">
      <c r="AD124" s="914"/>
    </row>
    <row r="125" spans="30:30" x14ac:dyDescent="0.2">
      <c r="AD125" s="914"/>
    </row>
    <row r="126" spans="30:30" x14ac:dyDescent="0.2">
      <c r="AD126" s="914"/>
    </row>
    <row r="127" spans="30:30" x14ac:dyDescent="0.2">
      <c r="AD127" s="914"/>
    </row>
  </sheetData>
  <mergeCells count="1">
    <mergeCell ref="AE2:AF2"/>
  </mergeCells>
  <dataValidations count="4">
    <dataValidation type="list" allowBlank="1" showInputMessage="1" showErrorMessage="1" sqref="AF6">
      <formula1>"AllDepos,DeposBeforeFirstFuturesStartDate,DeposBeforeFirstFuturesStartDatePlusOne,DeposBeforeFirstFuturesExpiryDate"</formula1>
    </dataValidation>
    <dataValidation type="list" allowBlank="1" showInputMessage="1" showErrorMessage="1" sqref="F58:F95 F3">
      <formula1>"Actual/Actual (ISDA),Actual/360,30/360 (Bond Basis),30E/360 (Eurobond Basis),Actual/365 (Fixed),Actual/Actual (ISMA),Actual/Actual (AFB),1/1,30/360 (Italian),Simple"</formula1>
    </dataValidation>
    <dataValidation type="list" allowBlank="1" showInputMessage="1" showErrorMessage="1" sqref="E58:E95 E3">
      <formula1>"Following,Modified Following,Preceding,Modified Preceding,Unadjusted,Half-Month Modified Following"</formula1>
    </dataValidation>
    <dataValidation type="list" allowBlank="1" showInputMessage="1" showErrorMessage="1" sqref="D58:D95">
      <formula1>"Annual,Semiannual,EveryFourthMonth,Quarterly,Bimonthly,Monthly,Biweekly,Weekly,Daily,Once,NoFrequency"</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dimension ref="A2:M55"/>
  <sheetViews>
    <sheetView showGridLines="0" workbookViewId="0">
      <selection activeCell="M3" sqref="M3:M4"/>
    </sheetView>
  </sheetViews>
  <sheetFormatPr defaultRowHeight="11.25" x14ac:dyDescent="0.2"/>
  <cols>
    <col min="1" max="2" width="2.7109375" style="1" customWidth="1"/>
    <col min="3" max="3" width="20.28515625" style="1" bestFit="1" customWidth="1"/>
    <col min="4" max="4" width="30.7109375" style="1" customWidth="1"/>
    <col min="5" max="7" width="2.7109375" style="1" customWidth="1"/>
    <col min="8" max="8" width="20.28515625" style="1" bestFit="1" customWidth="1"/>
    <col min="9" max="9" width="30.7109375" style="1" customWidth="1"/>
    <col min="10" max="10" width="2.7109375" style="1" customWidth="1"/>
    <col min="11" max="13" width="9.140625" style="1"/>
    <col min="14" max="14" width="9.7109375" style="1" bestFit="1" customWidth="1"/>
    <col min="15" max="16384" width="9.140625" style="1"/>
  </cols>
  <sheetData>
    <row r="2" spans="1:13" ht="12" thickBot="1" x14ac:dyDescent="0.25">
      <c r="B2" s="233"/>
      <c r="C2" s="232"/>
      <c r="D2" s="232"/>
      <c r="E2" s="231"/>
      <c r="G2" s="233"/>
      <c r="H2" s="232"/>
      <c r="I2" s="232"/>
      <c r="J2" s="231"/>
    </row>
    <row r="3" spans="1:13" ht="11.25" customHeight="1" x14ac:dyDescent="0.25">
      <c r="B3" s="236"/>
      <c r="C3" s="1059" t="s">
        <v>231</v>
      </c>
      <c r="D3" s="1066" t="s">
        <v>230</v>
      </c>
      <c r="E3" s="295"/>
      <c r="G3" s="236"/>
      <c r="H3" s="1059" t="s">
        <v>307</v>
      </c>
      <c r="I3" s="1065" t="e">
        <f ca="1">_xll.qlSettingsEvaluationDate(Trigger)</f>
        <v>#NAME?</v>
      </c>
      <c r="J3" s="295"/>
      <c r="L3" s="1361" t="s">
        <v>529</v>
      </c>
      <c r="M3" s="1364" t="e">
        <f ca="1">_xll.ohTrigger('General Settings_3'!Trigger2)</f>
        <v>#NAME?</v>
      </c>
    </row>
    <row r="4" spans="1:13" ht="11.25" customHeight="1" thickBot="1" x14ac:dyDescent="0.3">
      <c r="B4" s="236"/>
      <c r="C4" s="1056" t="s">
        <v>229</v>
      </c>
      <c r="D4" s="130" t="b">
        <v>1</v>
      </c>
      <c r="E4" s="295"/>
      <c r="G4" s="236"/>
      <c r="H4" s="1056" t="s">
        <v>305</v>
      </c>
      <c r="I4" s="1063" t="e">
        <f ca="1">_xll.qlCalendarAdvance(Calendar,Evaluationdate,"2D","F",,Trigger)</f>
        <v>#NAME?</v>
      </c>
      <c r="J4" s="295"/>
      <c r="L4" s="1362" t="s">
        <v>530</v>
      </c>
      <c r="M4" s="1365" t="e">
        <f ca="1">_xll.ohTrigger(EURON!Trigger2,EUR3M!Trigger2,EUR6M!Trigger2,EUR1M!Trigger2,EUR1Y!Trigger2,D23,D38,D53,I23,I38)</f>
        <v>#NAME?</v>
      </c>
    </row>
    <row r="5" spans="1:13" ht="11.25" customHeight="1" x14ac:dyDescent="0.2">
      <c r="A5" s="23"/>
      <c r="B5" s="1061"/>
      <c r="C5" s="293" t="s">
        <v>239</v>
      </c>
      <c r="D5" s="1064">
        <v>42357.886435185188</v>
      </c>
      <c r="E5" s="295"/>
      <c r="G5" s="236"/>
      <c r="H5" s="1056" t="s">
        <v>216</v>
      </c>
      <c r="I5" s="1063" t="s">
        <v>215</v>
      </c>
      <c r="J5" s="295"/>
    </row>
    <row r="6" spans="1:13" ht="11.25" customHeight="1" x14ac:dyDescent="0.2">
      <c r="A6" s="23"/>
      <c r="B6" s="1061"/>
      <c r="C6" s="1056" t="s">
        <v>227</v>
      </c>
      <c r="D6" s="130" t="b">
        <v>1</v>
      </c>
      <c r="E6" s="295"/>
      <c r="G6" s="236"/>
      <c r="H6" s="1062"/>
      <c r="I6" s="1062"/>
      <c r="J6" s="295"/>
    </row>
    <row r="7" spans="1:13" ht="11.25" customHeight="1" x14ac:dyDescent="0.2">
      <c r="A7" s="23"/>
      <c r="B7" s="1061"/>
      <c r="C7" s="1056" t="s">
        <v>228</v>
      </c>
      <c r="D7" s="1060" t="str">
        <f>Currency&amp;"ON"</f>
        <v>EURON</v>
      </c>
      <c r="E7" s="295"/>
      <c r="G7" s="236"/>
      <c r="H7" s="1059" t="s">
        <v>431</v>
      </c>
      <c r="I7" s="1058" t="s">
        <v>225</v>
      </c>
      <c r="J7" s="295"/>
    </row>
    <row r="8" spans="1:13" ht="11.25" customHeight="1" x14ac:dyDescent="0.2">
      <c r="A8" s="23"/>
      <c r="B8" s="1054"/>
      <c r="C8" s="1052" t="s">
        <v>398</v>
      </c>
      <c r="D8" s="1057" t="s">
        <v>430</v>
      </c>
      <c r="E8" s="295"/>
      <c r="G8" s="236"/>
      <c r="H8" s="1056" t="s">
        <v>224</v>
      </c>
      <c r="I8" s="1055" t="s">
        <v>223</v>
      </c>
      <c r="J8" s="295"/>
    </row>
    <row r="9" spans="1:13" ht="11.25" customHeight="1" x14ac:dyDescent="0.2">
      <c r="B9" s="1054"/>
      <c r="C9" s="1053"/>
      <c r="D9" s="1053"/>
      <c r="E9" s="295"/>
      <c r="G9" s="236"/>
      <c r="H9" s="1052" t="s">
        <v>429</v>
      </c>
      <c r="I9" s="382" t="s">
        <v>428</v>
      </c>
      <c r="J9" s="295"/>
    </row>
    <row r="10" spans="1:13" ht="11.25" customHeight="1" x14ac:dyDescent="0.2">
      <c r="B10" s="533"/>
      <c r="C10" s="253"/>
      <c r="D10" s="1051"/>
      <c r="E10" s="294"/>
      <c r="G10" s="533"/>
      <c r="H10" s="253"/>
      <c r="I10" s="1051"/>
      <c r="J10" s="294"/>
    </row>
    <row r="11" spans="1:13" ht="11.25" customHeight="1" x14ac:dyDescent="0.2"/>
    <row r="12" spans="1:13" x14ac:dyDescent="0.2">
      <c r="B12" s="1048"/>
      <c r="C12" s="1047"/>
      <c r="D12" s="1047"/>
      <c r="E12" s="1046"/>
      <c r="G12" s="1048"/>
      <c r="H12" s="1047"/>
      <c r="I12" s="1047"/>
      <c r="J12" s="1046"/>
    </row>
    <row r="13" spans="1:13" x14ac:dyDescent="0.2">
      <c r="B13" s="509"/>
      <c r="C13" s="1042" t="s">
        <v>293</v>
      </c>
      <c r="D13" s="1045" t="e">
        <f ca="1">_xll.qlPiecewiseYieldCurve($D$15,$D$16,Calendar,_xll.ohPack(RateHelpersON),,JumpQuotes_ON,JumpDates_ON,D17,D18,D19,Permanent,,ObjectOverwrite)</f>
        <v>#NAME?</v>
      </c>
      <c r="E13" s="1028"/>
      <c r="G13" s="509"/>
      <c r="H13" s="1042" t="s">
        <v>293</v>
      </c>
      <c r="I13" s="1045" t="e">
        <f ca="1">_xll.qlPiecewiseYieldCurve(I15,I16,Calendar,_xll.ohPack(RateHelpers3M),,JumpQuotes_3M,JumpDates_3M,I17,I18,I19,Permanent,,ObjectOverwrite)</f>
        <v>#NAME?</v>
      </c>
      <c r="J13" s="1028"/>
    </row>
    <row r="14" spans="1:13" x14ac:dyDescent="0.2">
      <c r="B14" s="509"/>
      <c r="C14" s="1036" t="s">
        <v>59</v>
      </c>
      <c r="D14" s="1043" t="e">
        <f ca="1">_xll.ohRangeRetrieveError(YieldCurve_ON)</f>
        <v>#NAME?</v>
      </c>
      <c r="E14" s="1028"/>
      <c r="G14" s="509"/>
      <c r="H14" s="1036" t="s">
        <v>59</v>
      </c>
      <c r="I14" s="1043" t="e">
        <f ca="1">_xll.ohRangeRetrieveError(YieldCurve_3M)</f>
        <v>#NAME?</v>
      </c>
      <c r="J14" s="1028"/>
    </row>
    <row r="15" spans="1:13" x14ac:dyDescent="0.2">
      <c r="B15" s="509"/>
      <c r="C15" s="1042" t="s">
        <v>427</v>
      </c>
      <c r="D15" s="1041" t="str">
        <f>"_"&amp;Currency&amp;"ON"</f>
        <v>_EURON</v>
      </c>
      <c r="E15" s="1028"/>
      <c r="G15" s="509"/>
      <c r="H15" s="1042" t="s">
        <v>427</v>
      </c>
      <c r="I15" s="1041" t="str">
        <f>"_"&amp;Currency&amp;"3M"</f>
        <v>_EUR3M</v>
      </c>
      <c r="J15" s="1028"/>
    </row>
    <row r="16" spans="1:13" x14ac:dyDescent="0.2">
      <c r="B16" s="509"/>
      <c r="C16" s="1038" t="s">
        <v>299</v>
      </c>
      <c r="D16" s="1040">
        <v>0</v>
      </c>
      <c r="E16" s="1028"/>
      <c r="G16" s="509"/>
      <c r="H16" s="1038" t="s">
        <v>299</v>
      </c>
      <c r="I16" s="1040">
        <v>2</v>
      </c>
      <c r="J16" s="1028"/>
    </row>
    <row r="17" spans="1:10" x14ac:dyDescent="0.2">
      <c r="B17" s="509"/>
      <c r="C17" s="1038" t="s">
        <v>294</v>
      </c>
      <c r="D17" s="1039"/>
      <c r="E17" s="1028"/>
      <c r="G17" s="509"/>
      <c r="H17" s="1038" t="s">
        <v>294</v>
      </c>
      <c r="I17" s="1039"/>
      <c r="J17" s="1028"/>
    </row>
    <row r="18" spans="1:10" x14ac:dyDescent="0.2">
      <c r="B18" s="509"/>
      <c r="C18" s="1038" t="s">
        <v>292</v>
      </c>
      <c r="D18" s="1037" t="s">
        <v>378</v>
      </c>
      <c r="E18" s="1028"/>
      <c r="G18" s="509"/>
      <c r="H18" s="1038" t="s">
        <v>292</v>
      </c>
      <c r="I18" s="1037" t="s">
        <v>378</v>
      </c>
      <c r="J18" s="1028"/>
    </row>
    <row r="19" spans="1:10" x14ac:dyDescent="0.2">
      <c r="B19" s="509"/>
      <c r="C19" s="1036" t="s">
        <v>290</v>
      </c>
      <c r="D19" s="1035" t="s">
        <v>426</v>
      </c>
      <c r="E19" s="1028"/>
      <c r="G19" s="509"/>
      <c r="H19" s="1036" t="s">
        <v>290</v>
      </c>
      <c r="I19" s="1035" t="s">
        <v>426</v>
      </c>
      <c r="J19" s="1028"/>
    </row>
    <row r="20" spans="1:10" x14ac:dyDescent="0.2">
      <c r="B20" s="509"/>
      <c r="C20" s="527"/>
      <c r="D20" s="527"/>
      <c r="E20" s="1028"/>
      <c r="G20" s="509"/>
      <c r="H20" s="527"/>
      <c r="I20" s="527"/>
      <c r="J20" s="1028"/>
    </row>
    <row r="21" spans="1:10" x14ac:dyDescent="0.2">
      <c r="B21" s="509"/>
      <c r="C21" s="1034" t="e">
        <f ca="1">_xll.qlTermStructureReferenceDate(YieldCurve_ON)</f>
        <v>#NAME?</v>
      </c>
      <c r="D21" s="1033" t="e">
        <f ca="1">_xll.qlYieldTSDiscount(YieldCurve_ON,C21,,Trigger)</f>
        <v>#NAME?</v>
      </c>
      <c r="E21" s="1028"/>
      <c r="G21" s="509"/>
      <c r="H21" s="1034" t="e">
        <f ca="1">_xll.qlTermStructureReferenceDate(YieldCurve_3M)</f>
        <v>#NAME?</v>
      </c>
      <c r="I21" s="1033" t="e">
        <f ca="1">_xll.qlYieldTSDiscount(YieldCurve_3M,H21,,Trigger)</f>
        <v>#NAME?</v>
      </c>
      <c r="J21" s="1028"/>
    </row>
    <row r="22" spans="1:10" x14ac:dyDescent="0.2">
      <c r="B22" s="509"/>
      <c r="C22" s="1032" t="e">
        <f ca="1">_xll.qlTermStructureMaxDate(YieldCurve_ON,Trigger)</f>
        <v>#NAME?</v>
      </c>
      <c r="D22" s="1031" t="e">
        <f ca="1">_xll.qlYieldTSDiscount(YieldCurve_ON,C22,,Trigger)</f>
        <v>#NAME?</v>
      </c>
      <c r="E22" s="1028"/>
      <c r="G22" s="509"/>
      <c r="H22" s="1032" t="e">
        <f ca="1">_xll.qlTermStructureMaxDate(YieldCurve_3M,Trigger)</f>
        <v>#NAME?</v>
      </c>
      <c r="I22" s="1031" t="e">
        <f ca="1">_xll.qlYieldTSDiscount(YieldCurve_3M,H22,,Trigger)</f>
        <v>#NAME?</v>
      </c>
      <c r="J22" s="1028"/>
    </row>
    <row r="23" spans="1:10" x14ac:dyDescent="0.2">
      <c r="B23" s="509"/>
      <c r="C23" s="1032" t="str">
        <f ca="1">Euribor!$D$4</f>
        <v>EURON</v>
      </c>
      <c r="D23" s="1031" t="e">
        <f ca="1">_xll.qlRelinkableHandleLinkTo(C23,D13,Trigger)</f>
        <v>#NAME?</v>
      </c>
      <c r="E23" s="1028"/>
      <c r="G23" s="509"/>
      <c r="H23" s="1032" t="str">
        <f ca="1">Euribor!$D$9</f>
        <v>EUR3M</v>
      </c>
      <c r="I23" s="1031" t="e">
        <f ca="1">_xll.qlRelinkableHandleLinkTo(H23,I13,Trigger)</f>
        <v>#NAME?</v>
      </c>
      <c r="J23" s="1028"/>
    </row>
    <row r="24" spans="1:10" x14ac:dyDescent="0.2">
      <c r="B24" s="509"/>
      <c r="C24" s="1030" t="s">
        <v>425</v>
      </c>
      <c r="D24" s="1029" t="b">
        <v>0</v>
      </c>
      <c r="E24" s="1028"/>
      <c r="G24" s="509"/>
      <c r="H24" s="1030" t="s">
        <v>425</v>
      </c>
      <c r="I24" s="1029" t="b">
        <v>0</v>
      </c>
      <c r="J24" s="1028"/>
    </row>
    <row r="25" spans="1:10" x14ac:dyDescent="0.2">
      <c r="B25" s="216"/>
      <c r="C25" s="215"/>
      <c r="D25" s="215"/>
      <c r="E25" s="1027"/>
      <c r="G25" s="216"/>
      <c r="H25" s="215"/>
      <c r="I25" s="215"/>
      <c r="J25" s="1027"/>
    </row>
    <row r="26" spans="1:10" x14ac:dyDescent="0.2">
      <c r="A26" s="23"/>
      <c r="B26" s="23"/>
      <c r="C26" s="23"/>
      <c r="D26" s="23"/>
      <c r="E26" s="23"/>
      <c r="G26" s="23"/>
      <c r="H26" s="23"/>
      <c r="I26" s="23"/>
      <c r="J26" s="23"/>
    </row>
    <row r="27" spans="1:10" x14ac:dyDescent="0.2">
      <c r="B27" s="1048"/>
      <c r="C27" s="1050"/>
      <c r="D27" s="1050"/>
      <c r="E27" s="1046"/>
      <c r="F27" s="1044"/>
      <c r="G27" s="1048"/>
      <c r="H27" s="1047"/>
      <c r="I27" s="1047"/>
      <c r="J27" s="1046"/>
    </row>
    <row r="28" spans="1:10" x14ac:dyDescent="0.2">
      <c r="B28" s="1049"/>
      <c r="C28" s="1042" t="s">
        <v>293</v>
      </c>
      <c r="D28" s="1045" t="e">
        <f ca="1">_xll.qlPiecewiseYieldCurve(D30,D31,Calendar,_xll.ohPack(RateHelpers6M),,JumpQuotes_6M,JumpDates_6M,D32,D33,D34,Permanent,,ObjectOverwrite)</f>
        <v>#NAME?</v>
      </c>
      <c r="E28" s="1028"/>
      <c r="F28" s="1044"/>
      <c r="G28" s="509"/>
      <c r="H28" s="1042" t="s">
        <v>293</v>
      </c>
      <c r="I28" s="1045" t="e">
        <f ca="1">_xll.qlPiecewiseYieldCurve(I30,I31,Calendar,_xll.ohPack(RateHelpers1M),,JumpQuotes_1M,JumpDates_1M,I32,I33,I34,Permanent,,ObjectOverwrite)</f>
        <v>#NAME?</v>
      </c>
      <c r="J28" s="1028"/>
    </row>
    <row r="29" spans="1:10" x14ac:dyDescent="0.2">
      <c r="B29" s="1049"/>
      <c r="C29" s="1036" t="s">
        <v>59</v>
      </c>
      <c r="D29" s="1043" t="e">
        <f ca="1">_xll.ohRangeRetrieveError(YieldCurve_6M)</f>
        <v>#NAME?</v>
      </c>
      <c r="E29" s="1028"/>
      <c r="F29" s="1044"/>
      <c r="G29" s="509"/>
      <c r="H29" s="1036" t="s">
        <v>59</v>
      </c>
      <c r="I29" s="1043" t="e">
        <f ca="1">_xll.ohRangeRetrieveError(YieldCurve_1M)</f>
        <v>#NAME?</v>
      </c>
      <c r="J29" s="1028"/>
    </row>
    <row r="30" spans="1:10" x14ac:dyDescent="0.2">
      <c r="B30" s="509"/>
      <c r="C30" s="1042" t="s">
        <v>427</v>
      </c>
      <c r="D30" s="1041" t="str">
        <f>"_"&amp;Currency&amp;"6M"</f>
        <v>_EUR6M</v>
      </c>
      <c r="E30" s="1028"/>
      <c r="F30" s="1044"/>
      <c r="G30" s="509"/>
      <c r="H30" s="1042" t="s">
        <v>427</v>
      </c>
      <c r="I30" s="1041" t="str">
        <f>"_"&amp;Currency&amp;"1M"</f>
        <v>_EUR1M</v>
      </c>
      <c r="J30" s="1028"/>
    </row>
    <row r="31" spans="1:10" x14ac:dyDescent="0.2">
      <c r="B31" s="509"/>
      <c r="C31" s="1038" t="s">
        <v>299</v>
      </c>
      <c r="D31" s="1040">
        <v>2</v>
      </c>
      <c r="E31" s="1028"/>
      <c r="F31" s="1044"/>
      <c r="G31" s="509"/>
      <c r="H31" s="1038" t="s">
        <v>299</v>
      </c>
      <c r="I31" s="1040">
        <v>2</v>
      </c>
      <c r="J31" s="1028"/>
    </row>
    <row r="32" spans="1:10" x14ac:dyDescent="0.2">
      <c r="B32" s="509"/>
      <c r="C32" s="1038" t="s">
        <v>294</v>
      </c>
      <c r="D32" s="1039"/>
      <c r="E32" s="1028"/>
      <c r="F32" s="1044"/>
      <c r="G32" s="509"/>
      <c r="H32" s="1038" t="s">
        <v>294</v>
      </c>
      <c r="I32" s="1039"/>
      <c r="J32" s="1028"/>
    </row>
    <row r="33" spans="2:10" x14ac:dyDescent="0.2">
      <c r="B33" s="509"/>
      <c r="C33" s="1038" t="s">
        <v>292</v>
      </c>
      <c r="D33" s="1037" t="s">
        <v>378</v>
      </c>
      <c r="E33" s="1028"/>
      <c r="F33" s="1044"/>
      <c r="G33" s="509"/>
      <c r="H33" s="1038" t="s">
        <v>292</v>
      </c>
      <c r="I33" s="1037" t="s">
        <v>378</v>
      </c>
      <c r="J33" s="1028"/>
    </row>
    <row r="34" spans="2:10" x14ac:dyDescent="0.2">
      <c r="B34" s="509"/>
      <c r="C34" s="1036" t="s">
        <v>290</v>
      </c>
      <c r="D34" s="1035" t="s">
        <v>426</v>
      </c>
      <c r="E34" s="1028"/>
      <c r="F34" s="1044"/>
      <c r="G34" s="509"/>
      <c r="H34" s="1036" t="s">
        <v>290</v>
      </c>
      <c r="I34" s="1035" t="s">
        <v>426</v>
      </c>
      <c r="J34" s="1028"/>
    </row>
    <row r="35" spans="2:10" x14ac:dyDescent="0.2">
      <c r="B35" s="509"/>
      <c r="C35" s="527"/>
      <c r="D35" s="527"/>
      <c r="E35" s="1028"/>
      <c r="F35" s="1044"/>
      <c r="G35" s="509"/>
      <c r="H35" s="527"/>
      <c r="I35" s="527"/>
      <c r="J35" s="1028"/>
    </row>
    <row r="36" spans="2:10" x14ac:dyDescent="0.2">
      <c r="B36" s="509"/>
      <c r="C36" s="1034" t="e">
        <f ca="1">_xll.qlTermStructureReferenceDate(YieldCurve_6M)</f>
        <v>#NAME?</v>
      </c>
      <c r="D36" s="1033" t="e">
        <f ca="1">_xll.qlYieldTSDiscount(YieldCurve_6M,C36,,Trigger)</f>
        <v>#NAME?</v>
      </c>
      <c r="E36" s="1028"/>
      <c r="F36" s="1044"/>
      <c r="G36" s="509"/>
      <c r="H36" s="1034" t="e">
        <f ca="1">_xll.qlTermStructureReferenceDate(YieldCurve_1M)</f>
        <v>#NAME?</v>
      </c>
      <c r="I36" s="1033" t="e">
        <f ca="1">_xll.qlYieldTSDiscount(YieldCurve_1M,H36,,Trigger)</f>
        <v>#NAME?</v>
      </c>
      <c r="J36" s="1028"/>
    </row>
    <row r="37" spans="2:10" x14ac:dyDescent="0.2">
      <c r="B37" s="509"/>
      <c r="C37" s="1032" t="e">
        <f ca="1">_xll.qlTermStructureMaxDate(YieldCurve_6M,Trigger)</f>
        <v>#NAME?</v>
      </c>
      <c r="D37" s="1031" t="e">
        <f ca="1">_xll.qlYieldTSDiscount(YieldCurve_6M,C37,,Trigger)</f>
        <v>#NAME?</v>
      </c>
      <c r="E37" s="1028"/>
      <c r="F37" s="1044"/>
      <c r="G37" s="509"/>
      <c r="H37" s="1032" t="e">
        <f ca="1">_xll.qlTermStructureMaxDate(YieldCurve_1M,Trigger)</f>
        <v>#NAME?</v>
      </c>
      <c r="I37" s="1031" t="e">
        <f ca="1">_xll.qlYieldTSDiscount(YieldCurve_1M,H37,,Trigger)</f>
        <v>#NAME?</v>
      </c>
      <c r="J37" s="1028"/>
    </row>
    <row r="38" spans="2:10" x14ac:dyDescent="0.2">
      <c r="B38" s="509"/>
      <c r="C38" s="1032" t="str">
        <f ca="1">Euribor!$D$10</f>
        <v>EUR6M</v>
      </c>
      <c r="D38" s="1031" t="e">
        <f ca="1">_xll.qlRelinkableHandleLinkTo(C38,D28,Trigger)</f>
        <v>#NAME?</v>
      </c>
      <c r="E38" s="1028"/>
      <c r="F38" s="1044"/>
      <c r="G38" s="509"/>
      <c r="H38" s="1032" t="str">
        <f ca="1">Euribor!$D$7</f>
        <v>EUR1M</v>
      </c>
      <c r="I38" s="1031" t="e">
        <f ca="1">_xll.qlRelinkableHandleLinkTo(H38,I28,Trigger)</f>
        <v>#NAME?</v>
      </c>
      <c r="J38" s="1028"/>
    </row>
    <row r="39" spans="2:10" x14ac:dyDescent="0.2">
      <c r="B39" s="509"/>
      <c r="C39" s="1030" t="s">
        <v>425</v>
      </c>
      <c r="D39" s="1029" t="b">
        <v>0</v>
      </c>
      <c r="E39" s="1028"/>
      <c r="F39" s="1044"/>
      <c r="G39" s="509"/>
      <c r="H39" s="1030" t="s">
        <v>425</v>
      </c>
      <c r="I39" s="1029" t="b">
        <v>0</v>
      </c>
      <c r="J39" s="1028"/>
    </row>
    <row r="40" spans="2:10" x14ac:dyDescent="0.2">
      <c r="B40" s="216"/>
      <c r="C40" s="215"/>
      <c r="D40" s="215"/>
      <c r="E40" s="1027"/>
      <c r="F40" s="1044"/>
      <c r="G40" s="216"/>
      <c r="H40" s="215"/>
      <c r="I40" s="215"/>
      <c r="J40" s="1027"/>
    </row>
    <row r="41" spans="2:10" x14ac:dyDescent="0.2">
      <c r="F41" s="1044"/>
    </row>
    <row r="42" spans="2:10" x14ac:dyDescent="0.2">
      <c r="B42" s="1048"/>
      <c r="C42" s="1047"/>
      <c r="D42" s="1047"/>
      <c r="E42" s="1046"/>
      <c r="F42" s="1044"/>
    </row>
    <row r="43" spans="2:10" x14ac:dyDescent="0.2">
      <c r="B43" s="509"/>
      <c r="C43" s="1042" t="s">
        <v>293</v>
      </c>
      <c r="D43" s="1045" t="e">
        <f ca="1">_xll.qlPiecewiseYieldCurve(D45,D46,Calendar,_xll.ohPack(RateHelpers1Y),,,,D47,D48,D49,Permanent,,ObjectOverwrite)</f>
        <v>#NAME?</v>
      </c>
      <c r="E43" s="1028"/>
      <c r="F43" s="1044"/>
    </row>
    <row r="44" spans="2:10" x14ac:dyDescent="0.2">
      <c r="B44" s="509"/>
      <c r="C44" s="1036" t="s">
        <v>59</v>
      </c>
      <c r="D44" s="1043" t="e">
        <f ca="1">_xll.ohRangeRetrieveError(YieldCurve_1Y)</f>
        <v>#NAME?</v>
      </c>
      <c r="E44" s="1028"/>
    </row>
    <row r="45" spans="2:10" x14ac:dyDescent="0.2">
      <c r="B45" s="509"/>
      <c r="C45" s="1042" t="s">
        <v>427</v>
      </c>
      <c r="D45" s="1041" t="str">
        <f>"_"&amp;Currency&amp;"1Y"</f>
        <v>_EUR1Y</v>
      </c>
      <c r="E45" s="1028"/>
    </row>
    <row r="46" spans="2:10" x14ac:dyDescent="0.2">
      <c r="B46" s="509"/>
      <c r="C46" s="1038" t="s">
        <v>299</v>
      </c>
      <c r="D46" s="1040">
        <v>2</v>
      </c>
      <c r="E46" s="1028"/>
    </row>
    <row r="47" spans="2:10" x14ac:dyDescent="0.2">
      <c r="B47" s="509"/>
      <c r="C47" s="1038" t="s">
        <v>294</v>
      </c>
      <c r="D47" s="1039"/>
      <c r="E47" s="1028"/>
    </row>
    <row r="48" spans="2:10" x14ac:dyDescent="0.2">
      <c r="B48" s="509"/>
      <c r="C48" s="1038" t="s">
        <v>292</v>
      </c>
      <c r="D48" s="1037" t="s">
        <v>378</v>
      </c>
      <c r="E48" s="1028"/>
    </row>
    <row r="49" spans="2:5" x14ac:dyDescent="0.2">
      <c r="B49" s="509"/>
      <c r="C49" s="1036" t="s">
        <v>290</v>
      </c>
      <c r="D49" s="1035" t="s">
        <v>426</v>
      </c>
      <c r="E49" s="1028"/>
    </row>
    <row r="50" spans="2:5" x14ac:dyDescent="0.2">
      <c r="B50" s="509"/>
      <c r="C50" s="527"/>
      <c r="D50" s="527"/>
      <c r="E50" s="1028"/>
    </row>
    <row r="51" spans="2:5" x14ac:dyDescent="0.2">
      <c r="B51" s="509"/>
      <c r="C51" s="1034" t="e">
        <f ca="1">_xll.qlTermStructureReferenceDate(YieldCurve_1Y)</f>
        <v>#NAME?</v>
      </c>
      <c r="D51" s="1033" t="e">
        <f ca="1">_xll.qlYieldTSDiscount(YieldCurve_1Y,C51,,Trigger)</f>
        <v>#NAME?</v>
      </c>
      <c r="E51" s="1028"/>
    </row>
    <row r="52" spans="2:5" x14ac:dyDescent="0.2">
      <c r="B52" s="509"/>
      <c r="C52" s="1032" t="e">
        <f ca="1">_xll.qlTermStructureMaxDate(YieldCurve_1Y,Trigger)</f>
        <v>#NAME?</v>
      </c>
      <c r="D52" s="1031" t="e">
        <f ca="1">_xll.qlYieldTSDiscount(YieldCurve_1Y,C52,,Trigger)</f>
        <v>#NAME?</v>
      </c>
      <c r="E52" s="1028"/>
    </row>
    <row r="53" spans="2:5" x14ac:dyDescent="0.2">
      <c r="B53" s="509"/>
      <c r="C53" s="1032" t="str">
        <f ca="1">Euribor!$D$12</f>
        <v>EUR1Y</v>
      </c>
      <c r="D53" s="1031" t="e">
        <f ca="1">_xll.qlRelinkableHandleLinkTo(C53,D43,Trigger)</f>
        <v>#NAME?</v>
      </c>
      <c r="E53" s="1028"/>
    </row>
    <row r="54" spans="2:5" x14ac:dyDescent="0.2">
      <c r="B54" s="509"/>
      <c r="C54" s="1030" t="s">
        <v>425</v>
      </c>
      <c r="D54" s="1029" t="b">
        <v>0</v>
      </c>
      <c r="E54" s="1028"/>
    </row>
    <row r="55" spans="2:5" x14ac:dyDescent="0.2">
      <c r="B55" s="216"/>
      <c r="C55" s="215"/>
      <c r="D55" s="215"/>
      <c r="E55" s="1027"/>
    </row>
  </sheetData>
  <dataValidations count="5">
    <dataValidation type="list" allowBlank="1" showInputMessage="1" showErrorMessage="1" sqref="D8">
      <formula1>"MaturityDate,LastRelevantDate,CustomDate"</formula1>
    </dataValidation>
    <dataValidation type="list" allowBlank="1" showInputMessage="1" showErrorMessage="1" sqref="I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3">
      <formula1>"EUR,USD,GBP,JPY,CHF,AUD,CNY,CNH,HKD,RMB,SEK,PLN,HUF,CZK"</formula1>
    </dataValidation>
    <dataValidation type="list" allowBlank="1" showInputMessage="1" showErrorMessage="1" sqref="D34 D19 I19 I34 D49">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33 D18 I18 I33 D48">
      <formula1>"Discount,ZeroYield,ForwardRate"</formula1>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0"/>
  <dimension ref="A1:AL80"/>
  <sheetViews>
    <sheetView showGridLines="0" topLeftCell="M1" zoomScaleNormal="100" workbookViewId="0">
      <selection activeCell="AL3" sqref="AL3:AL4"/>
    </sheetView>
  </sheetViews>
  <sheetFormatPr defaultRowHeight="11.25" outlineLevelCol="1" x14ac:dyDescent="0.2"/>
  <cols>
    <col min="1" max="1" width="6" style="1" customWidth="1" outlineLevel="1"/>
    <col min="2" max="2" width="6" style="868" customWidth="1" outlineLevel="1"/>
    <col min="3" max="4" width="11" style="239" customWidth="1" outlineLevel="1"/>
    <col min="5" max="5" width="12" style="867" customWidth="1" outlineLevel="1"/>
    <col min="6" max="6" width="21.42578125" style="1" customWidth="1" outlineLevel="1"/>
    <col min="7" max="7" width="9" style="1" customWidth="1" outlineLevel="1"/>
    <col min="8" max="8" width="15.140625" style="1" customWidth="1" outlineLevel="1"/>
    <col min="9" max="9" width="2.7109375" style="1" customWidth="1"/>
    <col min="10" max="10" width="6" style="1" customWidth="1" outlineLevel="1"/>
    <col min="11" max="11" width="15.140625" style="866" customWidth="1" outlineLevel="1"/>
    <col min="12" max="12" width="21.42578125" style="866" customWidth="1" outlineLevel="1"/>
    <col min="13" max="13" width="12" style="866" customWidth="1" outlineLevel="1"/>
    <col min="14" max="14" width="7.85546875" style="866" customWidth="1" outlineLevel="1"/>
    <col min="15" max="15" width="9" style="866" customWidth="1" outlineLevel="1"/>
    <col min="16" max="16" width="5.85546875" style="866" customWidth="1" outlineLevel="1"/>
    <col min="17" max="18" width="10.7109375" style="866" customWidth="1" outlineLevel="1"/>
    <col min="19" max="19" width="2.7109375" style="23" customWidth="1" outlineLevel="1"/>
    <col min="20" max="20" width="6" style="1" customWidth="1"/>
    <col min="21" max="21" width="10.140625" style="1" customWidth="1" outlineLevel="1"/>
    <col min="22" max="22" width="24.7109375" style="1" customWidth="1"/>
    <col min="23" max="24" width="9.7109375" style="1" customWidth="1"/>
    <col min="25" max="26" width="17.28515625" style="1" bestFit="1" customWidth="1"/>
    <col min="27" max="27" width="12" style="1" bestFit="1" customWidth="1"/>
    <col min="28" max="28" width="3.5703125" style="1" customWidth="1"/>
    <col min="29" max="29" width="2.7109375" style="1" customWidth="1"/>
    <col min="30" max="30" width="24.42578125" style="1" bestFit="1" customWidth="1"/>
    <col min="31" max="31" width="24.42578125" style="1" hidden="1" customWidth="1" outlineLevel="1"/>
    <col min="32" max="32" width="7" style="1" hidden="1" customWidth="1" outlineLevel="1"/>
    <col min="33" max="33" width="11" style="1" hidden="1" customWidth="1" outlineLevel="1"/>
    <col min="34" max="34" width="9" style="1" bestFit="1" customWidth="1" collapsed="1"/>
    <col min="35" max="35" width="10" style="1" customWidth="1"/>
    <col min="36" max="36" width="24.42578125" style="1" bestFit="1" customWidth="1"/>
    <col min="37" max="16384" width="9.140625" style="1"/>
  </cols>
  <sheetData>
    <row r="1" spans="1:38" ht="18" customHeight="1" x14ac:dyDescent="0.2">
      <c r="E1" s="239" t="s">
        <v>303</v>
      </c>
      <c r="J1" s="965" t="s">
        <v>383</v>
      </c>
      <c r="K1" s="964"/>
      <c r="L1" s="964"/>
      <c r="M1" s="964"/>
      <c r="N1" s="964"/>
      <c r="O1" s="964"/>
      <c r="P1" s="964"/>
      <c r="Q1" s="964"/>
      <c r="R1" s="963"/>
      <c r="S1" s="958"/>
      <c r="T1" s="962" t="str">
        <f>Currency&amp;"OIS"</f>
        <v>EUROIS</v>
      </c>
      <c r="U1" s="960"/>
      <c r="V1" s="960"/>
      <c r="W1" s="961"/>
      <c r="X1" s="961"/>
      <c r="Y1" s="960"/>
      <c r="Z1" s="960"/>
      <c r="AA1" s="959" t="s">
        <v>378</v>
      </c>
    </row>
    <row r="2" spans="1:38" ht="21.75" customHeight="1" thickBot="1" x14ac:dyDescent="0.25">
      <c r="A2" s="146" t="s">
        <v>388</v>
      </c>
      <c r="B2" s="146" t="s">
        <v>107</v>
      </c>
      <c r="C2" s="146" t="s">
        <v>424</v>
      </c>
      <c r="D2" s="146"/>
      <c r="E2" s="146" t="s">
        <v>14</v>
      </c>
      <c r="F2" s="146" t="s">
        <v>384</v>
      </c>
      <c r="G2" s="146"/>
      <c r="H2" s="146" t="s">
        <v>383</v>
      </c>
      <c r="J2" s="956" t="s">
        <v>388</v>
      </c>
      <c r="K2" s="956" t="s">
        <v>383</v>
      </c>
      <c r="L2" s="956" t="s">
        <v>101</v>
      </c>
      <c r="M2" s="956" t="s">
        <v>325</v>
      </c>
      <c r="N2" s="956" t="s">
        <v>281</v>
      </c>
      <c r="O2" s="956" t="s">
        <v>280</v>
      </c>
      <c r="P2" s="956" t="s">
        <v>400</v>
      </c>
      <c r="Q2" s="956" t="s">
        <v>272</v>
      </c>
      <c r="R2" s="956" t="s">
        <v>398</v>
      </c>
      <c r="S2" s="958"/>
      <c r="T2" s="956" t="s">
        <v>388</v>
      </c>
      <c r="U2" s="956" t="s">
        <v>383</v>
      </c>
      <c r="V2" s="956" t="s">
        <v>101</v>
      </c>
      <c r="W2" s="957" t="s">
        <v>273</v>
      </c>
      <c r="X2" s="957" t="s">
        <v>399</v>
      </c>
      <c r="Y2" s="956" t="s">
        <v>272</v>
      </c>
      <c r="Z2" s="956" t="s">
        <v>398</v>
      </c>
      <c r="AA2" s="955" t="e">
        <f t="array" aca="1" ref="AA2:AA57" ca="1">_xll.qlPiecewiseYieldCurveData(YieldCurve_ON,Trigger)</f>
        <v>#NAME?</v>
      </c>
      <c r="AD2" s="954" t="s">
        <v>397</v>
      </c>
      <c r="AE2" s="994"/>
      <c r="AF2" s="994"/>
      <c r="AG2" s="994"/>
      <c r="AH2" s="953"/>
    </row>
    <row r="3" spans="1:38" ht="11.25" customHeight="1" x14ac:dyDescent="0.25">
      <c r="A3" s="897" t="s">
        <v>391</v>
      </c>
      <c r="B3" s="899" t="s">
        <v>185</v>
      </c>
      <c r="C3" s="917" t="s">
        <v>324</v>
      </c>
      <c r="D3" s="910"/>
      <c r="E3" s="898" t="str">
        <f>$E$1</f>
        <v>Eonia</v>
      </c>
      <c r="F3" s="1020" t="str">
        <f>Currency&amp;$B3&amp;"D"&amp;QuoteSuffix</f>
        <v>EUROND_Quote</v>
      </c>
      <c r="G3" s="910"/>
      <c r="H3" s="47" t="e">
        <f ca="1">_xll.qlDepositRateHelper(,F3,E3,Permanent,Trigger,ObjectOverwrite)</f>
        <v>#NAME?</v>
      </c>
      <c r="I3" s="154"/>
      <c r="J3" s="895" t="str">
        <f>A3</f>
        <v>Dp</v>
      </c>
      <c r="K3" s="891" t="e">
        <f ca="1">IF(ISBLANK(H3),"--",H3)</f>
        <v>#NAME?</v>
      </c>
      <c r="L3" s="894" t="str">
        <f ca="1">IFERROR(_xll.qlRateHelperQuoteName(K3,Trigger),"--")</f>
        <v>--</v>
      </c>
      <c r="M3" s="893" t="str">
        <f ca="1">IFERROR(_xll.qlRateHelperQuoteValue($K3,Trigger),"--")</f>
        <v>--</v>
      </c>
      <c r="N3" s="892" t="b">
        <v>1</v>
      </c>
      <c r="O3" s="891">
        <v>70</v>
      </c>
      <c r="P3" s="891">
        <v>1</v>
      </c>
      <c r="Q3" s="890" t="str">
        <f ca="1">IFERROR(_xll.qlRateHelperEarliestDate(K3,Trigger),"--")</f>
        <v>--</v>
      </c>
      <c r="R3" s="890" t="str">
        <f ca="1">IFERROR(_xll.qlRateHelperPillarDate(K3,Trigger),"--")</f>
        <v>--</v>
      </c>
      <c r="T3" s="4" t="str">
        <f t="shared" ref="T3:T34" ca="1" si="0">IFERROR(INDEX($J$3:$J$57,MATCH(V3,$L$3:$L$57,0),1),"")</f>
        <v/>
      </c>
      <c r="U3" s="4" t="e">
        <f t="array" aca="1" ref="U3:U57" ca="1">_xll.qlRateHelperSelection(_xll.ohFilter(RateHelpers,IncludeFlag),_xll.ohFilter(Priority,IncludeFlag),AH3,AH4,AH5,AH6,_xll.ohFilter(MinDistance,IncludeFlag),Trigger)</f>
        <v>#NAME?</v>
      </c>
      <c r="V3" s="4" t="str">
        <f ca="1">IFERROR(_xll.qlRateHelperQuoteName(U3,Trigger),"")</f>
        <v/>
      </c>
      <c r="W3" s="889" t="str">
        <f ca="1">IFERROR(_xll.qlRateHelperRate(U3,Trigger),"")</f>
        <v/>
      </c>
      <c r="X3" s="888" t="str">
        <f ca="1">IF(ISERROR(_xll.qlSwapRateHelperSpread($U3)),IF(ISERROR(_xll.qlFuturesRateHelperConvexityAdjustment($U3)),"",_xll.qlFuturesRateHelperConvexityAdjustment($U3)),_xll.qlSwapRateHelperSpread($U3))</f>
        <v/>
      </c>
      <c r="Y3" s="5" t="str">
        <f ca="1">IFERROR(_xll.qlRateHelperEarliestDate(U3,Trigger),"")</f>
        <v/>
      </c>
      <c r="Z3" s="5" t="str">
        <f ca="1">IFERROR(_xll.qlRateHelperPillarDate(U3,Trigger),"")</f>
        <v/>
      </c>
      <c r="AA3" s="887" t="e">
        <f ca="1"/>
        <v>#NAME?</v>
      </c>
      <c r="AB3" s="914"/>
      <c r="AD3" s="936" t="s">
        <v>396</v>
      </c>
      <c r="AH3" s="944">
        <v>0</v>
      </c>
      <c r="AK3" s="1361" t="s">
        <v>529</v>
      </c>
      <c r="AL3" s="1364" t="e">
        <f ca="1">_xll.ohTrigger(GeneralSettings!Trigger)</f>
        <v>#NAME?</v>
      </c>
    </row>
    <row r="4" spans="1:38" ht="11.25" customHeight="1" thickBot="1" x14ac:dyDescent="0.3">
      <c r="A4" s="897" t="s">
        <v>391</v>
      </c>
      <c r="B4" s="899" t="s">
        <v>184</v>
      </c>
      <c r="C4" s="917" t="s">
        <v>242</v>
      </c>
      <c r="D4" s="915"/>
      <c r="E4" s="898" t="str">
        <f>$E$1</f>
        <v>Eonia</v>
      </c>
      <c r="F4" s="1020" t="str">
        <f>Currency&amp;$B4&amp;"D"&amp;QuoteSuffix</f>
        <v>EURTND_Quote</v>
      </c>
      <c r="G4" s="915"/>
      <c r="H4" s="47" t="e">
        <f ca="1">_xll.qlFraRateHelper(,F4,C4,E4,PillarDate,,Permanent,Trigger,ObjectOverwrite)</f>
        <v>#NAME?</v>
      </c>
      <c r="I4" s="23"/>
      <c r="J4" s="895" t="str">
        <f>A4</f>
        <v>Dp</v>
      </c>
      <c r="K4" s="891" t="e">
        <f ca="1">IF(ISBLANK(H4),"--",H4)</f>
        <v>#NAME?</v>
      </c>
      <c r="L4" s="894" t="str">
        <f ca="1">IFERROR(_xll.qlRateHelperQuoteName(K4,Trigger),"--")</f>
        <v>--</v>
      </c>
      <c r="M4" s="893" t="str">
        <f ca="1">IFERROR(_xll.qlRateHelperQuoteValue($K4,Trigger),"--")</f>
        <v>--</v>
      </c>
      <c r="N4" s="892" t="b">
        <v>1</v>
      </c>
      <c r="O4" s="891">
        <v>70</v>
      </c>
      <c r="P4" s="891">
        <v>1</v>
      </c>
      <c r="Q4" s="890" t="str">
        <f ca="1">IFERROR(_xll.qlRateHelperEarliestDate(K4,Trigger),"--")</f>
        <v>--</v>
      </c>
      <c r="R4" s="890" t="str">
        <f ca="1">IFERROR(_xll.qlRateHelperPillarDate(K4,Trigger),"--")</f>
        <v>--</v>
      </c>
      <c r="T4" s="4" t="str">
        <f t="shared" ca="1" si="0"/>
        <v/>
      </c>
      <c r="U4" s="4" t="e">
        <f ca="1"/>
        <v>#NAME?</v>
      </c>
      <c r="V4" s="4" t="str">
        <f ca="1">IFERROR(_xll.qlRateHelperQuoteName(U4,Trigger),"")</f>
        <v/>
      </c>
      <c r="W4" s="889" t="str">
        <f ca="1">IFERROR(_xll.qlRateHelperRate(U4,Trigger),"")</f>
        <v/>
      </c>
      <c r="X4" s="888" t="str">
        <f ca="1">IF(ISERROR(_xll.qlSwapRateHelperSpread($U4)),IF(ISERROR(_xll.qlFuturesRateHelperConvexityAdjustment($U4)),"",_xll.qlFuturesRateHelperConvexityAdjustment($U4)),_xll.qlSwapRateHelperSpread($U4))</f>
        <v/>
      </c>
      <c r="Y4" s="5" t="str">
        <f ca="1">IFERROR(_xll.qlRateHelperEarliestDate(U4,Trigger),"")</f>
        <v/>
      </c>
      <c r="Z4" s="5" t="str">
        <f ca="1">IFERROR(_xll.qlRateHelperPillarDate(U4,Trigger),"")</f>
        <v/>
      </c>
      <c r="AA4" s="887" t="e">
        <f ca="1"/>
        <v>#NAME?</v>
      </c>
      <c r="AB4" s="914"/>
      <c r="AD4" s="936" t="s">
        <v>395</v>
      </c>
      <c r="AH4" s="944">
        <v>0</v>
      </c>
      <c r="AK4" s="1362" t="s">
        <v>530</v>
      </c>
      <c r="AL4" s="1365" t="e">
        <f ca="1">_xll.ohTrigger(RateHelpers)</f>
        <v>#NAME?</v>
      </c>
    </row>
    <row r="5" spans="1:38" ht="11.25" customHeight="1" x14ac:dyDescent="0.2">
      <c r="A5" s="870" t="s">
        <v>391</v>
      </c>
      <c r="B5" s="872" t="s">
        <v>183</v>
      </c>
      <c r="C5" s="902" t="s">
        <v>423</v>
      </c>
      <c r="D5" s="900"/>
      <c r="E5" s="871" t="str">
        <f>$E$1</f>
        <v>Eonia</v>
      </c>
      <c r="F5" s="1018" t="str">
        <f>Currency&amp;$B5&amp;"D"&amp;QuoteSuffix</f>
        <v>EURSND_Quote</v>
      </c>
      <c r="G5" s="900"/>
      <c r="H5" s="38"/>
      <c r="I5" s="23"/>
      <c r="J5" s="886" t="str">
        <f>A5</f>
        <v>Dp</v>
      </c>
      <c r="K5" s="882" t="str">
        <f>IF(ISBLANK(H5),"--",H5)</f>
        <v>--</v>
      </c>
      <c r="L5" s="885" t="str">
        <f ca="1">IFERROR(_xll.qlRateHelperQuoteName(K5,Trigger),"--")</f>
        <v>--</v>
      </c>
      <c r="M5" s="884" t="str">
        <f ca="1">IFERROR(_xll.qlRateHelperQuoteValue($K5,Trigger),"--")</f>
        <v>--</v>
      </c>
      <c r="N5" s="883" t="b">
        <v>0</v>
      </c>
      <c r="O5" s="882">
        <v>70</v>
      </c>
      <c r="P5" s="882">
        <v>1</v>
      </c>
      <c r="Q5" s="881" t="str">
        <f ca="1">IFERROR(_xll.qlRateHelperEarliestDate(K5,Trigger),"--")</f>
        <v>--</v>
      </c>
      <c r="R5" s="881" t="str">
        <f ca="1">IFERROR(_xll.qlRateHelperPillarDate(K5,Trigger),"--")</f>
        <v>--</v>
      </c>
      <c r="T5" s="4" t="str">
        <f t="shared" ca="1" si="0"/>
        <v/>
      </c>
      <c r="U5" s="4" t="e">
        <f ca="1"/>
        <v>#NAME?</v>
      </c>
      <c r="V5" s="4" t="str">
        <f ca="1">IFERROR(_xll.qlRateHelperQuoteName(U5,Trigger),"")</f>
        <v/>
      </c>
      <c r="W5" s="889" t="str">
        <f ca="1">IFERROR(_xll.qlRateHelperRate(U5,Trigger),"")</f>
        <v/>
      </c>
      <c r="X5" s="888" t="str">
        <f ca="1">IF(ISERROR(_xll.qlSwapRateHelperSpread($U5)),IF(ISERROR(_xll.qlFuturesRateHelperConvexityAdjustment($U5)),"",_xll.qlFuturesRateHelperConvexityAdjustment($U5)),_xll.qlSwapRateHelperSpread($U5))</f>
        <v/>
      </c>
      <c r="Y5" s="5" t="str">
        <f ca="1">IFERROR(_xll.qlRateHelperEarliestDate(U5,Trigger),"")</f>
        <v/>
      </c>
      <c r="Z5" s="5" t="str">
        <f ca="1">IFERROR(_xll.qlRateHelperPillarDate(U5,Trigger),"")</f>
        <v/>
      </c>
      <c r="AA5" s="887" t="e">
        <f ca="1"/>
        <v>#NAME?</v>
      </c>
      <c r="AB5" s="914"/>
      <c r="AC5" s="972"/>
      <c r="AD5" s="936" t="s">
        <v>394</v>
      </c>
      <c r="AH5" s="944">
        <v>0</v>
      </c>
    </row>
    <row r="6" spans="1:38" ht="11.25" customHeight="1" x14ac:dyDescent="0.2">
      <c r="E6" s="867" t="s">
        <v>422</v>
      </c>
      <c r="I6" s="23"/>
      <c r="J6" s="909" t="str">
        <f t="shared" ref="J6:J16" si="1">A8</f>
        <v>ECB</v>
      </c>
      <c r="K6" s="905" t="e">
        <f t="shared" ref="K6:K16" ca="1" si="2">IF(ISBLANK(H8),"--",H8)</f>
        <v>#NAME?</v>
      </c>
      <c r="L6" s="908" t="str">
        <f ca="1">IFERROR(_xll.qlRateHelperQuoteName(K6,Trigger),"--")</f>
        <v>--</v>
      </c>
      <c r="M6" s="907" t="str">
        <f ca="1">IFERROR(_xll.qlRateHelperQuoteValue($K6,Trigger),"--")</f>
        <v>--</v>
      </c>
      <c r="N6" s="906" t="b">
        <f ca="1">NOT(ISERROR(_xll.qlQuoteValue(L6)))</f>
        <v>0</v>
      </c>
      <c r="O6" s="905">
        <v>70</v>
      </c>
      <c r="P6" s="905">
        <v>14</v>
      </c>
      <c r="Q6" s="904" t="str">
        <f ca="1">IFERROR(_xll.qlRateHelperEarliestDate(K6,Trigger),"--")</f>
        <v>--</v>
      </c>
      <c r="R6" s="904" t="str">
        <f ca="1">IFERROR(_xll.qlRateHelperPillarDate(K6,Trigger),"--")</f>
        <v>--</v>
      </c>
      <c r="T6" s="4" t="str">
        <f t="shared" ca="1" si="0"/>
        <v/>
      </c>
      <c r="U6" s="4" t="e">
        <f ca="1"/>
        <v>#NAME?</v>
      </c>
      <c r="V6" s="4" t="str">
        <f ca="1">IFERROR(_xll.qlRateHelperQuoteName(U6,Trigger),"")</f>
        <v/>
      </c>
      <c r="W6" s="889" t="str">
        <f ca="1">IFERROR(_xll.qlRateHelperRate(U6,Trigger),"")</f>
        <v/>
      </c>
      <c r="X6" s="888" t="str">
        <f ca="1">IF(ISERROR(_xll.qlSwapRateHelperSpread($U6)),IF(ISERROR(_xll.qlFuturesRateHelperConvexityAdjustment($U6)),"",_xll.qlFuturesRateHelperConvexityAdjustment($U6)),_xll.qlSwapRateHelperSpread($U6))</f>
        <v/>
      </c>
      <c r="Y6" s="5" t="str">
        <f ca="1">IFERROR(_xll.qlRateHelperEarliestDate(U6,Trigger),"")</f>
        <v/>
      </c>
      <c r="Z6" s="5" t="str">
        <f ca="1">IFERROR(_xll.qlRateHelperPillarDate(U6,Trigger),"")</f>
        <v/>
      </c>
      <c r="AA6" s="887" t="e">
        <f ca="1"/>
        <v>#NAME?</v>
      </c>
      <c r="AB6" s="914"/>
      <c r="AD6" s="936" t="s">
        <v>393</v>
      </c>
      <c r="AH6" s="935" t="s">
        <v>392</v>
      </c>
    </row>
    <row r="7" spans="1:38" ht="11.25" customHeight="1" x14ac:dyDescent="0.2">
      <c r="A7" s="146" t="s">
        <v>388</v>
      </c>
      <c r="B7" s="146" t="s">
        <v>144</v>
      </c>
      <c r="C7" s="146" t="s">
        <v>310</v>
      </c>
      <c r="D7" s="146" t="s">
        <v>421</v>
      </c>
      <c r="E7" s="146" t="s">
        <v>14</v>
      </c>
      <c r="F7" s="146" t="s">
        <v>384</v>
      </c>
      <c r="G7" s="146"/>
      <c r="H7" s="146" t="s">
        <v>383</v>
      </c>
      <c r="I7" s="23"/>
      <c r="J7" s="895" t="str">
        <f t="shared" si="1"/>
        <v>ECB</v>
      </c>
      <c r="K7" s="891" t="e">
        <f t="shared" ca="1" si="2"/>
        <v>#NAME?</v>
      </c>
      <c r="L7" s="894" t="str">
        <f ca="1">IFERROR(_xll.qlRateHelperQuoteName(K7,Trigger),"--")</f>
        <v>--</v>
      </c>
      <c r="M7" s="893" t="str">
        <f ca="1">IFERROR(_xll.qlRateHelperQuoteValue($K7,Trigger),"--")</f>
        <v>--</v>
      </c>
      <c r="N7" s="892" t="b">
        <f ca="1">NOT(ISERROR(_xll.qlQuoteValue(L7)))</f>
        <v>0</v>
      </c>
      <c r="O7" s="891">
        <v>70</v>
      </c>
      <c r="P7" s="891">
        <v>30</v>
      </c>
      <c r="Q7" s="890" t="str">
        <f ca="1">IFERROR(_xll.qlRateHelperEarliestDate(K7,Trigger),"--")</f>
        <v>--</v>
      </c>
      <c r="R7" s="890" t="str">
        <f ca="1">IFERROR(_xll.qlRateHelperPillarDate(K7,Trigger),"--")</f>
        <v>--</v>
      </c>
      <c r="T7" s="4" t="str">
        <f t="shared" ca="1" si="0"/>
        <v/>
      </c>
      <c r="U7" s="4" t="e">
        <f ca="1"/>
        <v>#NAME?</v>
      </c>
      <c r="V7" s="4" t="str">
        <f ca="1">IFERROR(_xll.qlRateHelperQuoteName(U7,Trigger),"")</f>
        <v/>
      </c>
      <c r="W7" s="889" t="str">
        <f ca="1">IFERROR(_xll.qlRateHelperRate(U7,Trigger),"")</f>
        <v/>
      </c>
      <c r="X7" s="888" t="str">
        <f ca="1">IF(ISERROR(_xll.qlSwapRateHelperSpread($U7)),IF(ISERROR(_xll.qlFuturesRateHelperConvexityAdjustment($U7)),"",_xll.qlFuturesRateHelperConvexityAdjustment($U7)),_xll.qlSwapRateHelperSpread($U7))</f>
        <v/>
      </c>
      <c r="Y7" s="5" t="str">
        <f ca="1">IFERROR(_xll.qlRateHelperEarliestDate(U7,Trigger),"")</f>
        <v/>
      </c>
      <c r="Z7" s="5" t="str">
        <f ca="1">IFERROR(_xll.qlRateHelperPillarDate(U7,Trigger),"")</f>
        <v/>
      </c>
      <c r="AA7" s="887" t="e">
        <f ca="1"/>
        <v>#NAME?</v>
      </c>
      <c r="AB7" s="914"/>
    </row>
    <row r="8" spans="1:38" ht="11.25" customHeight="1" x14ac:dyDescent="0.2">
      <c r="A8" s="897" t="s">
        <v>146</v>
      </c>
      <c r="B8" s="899" t="e">
        <f ca="1">_xll.qlECBNextCode(Settlementdate,Trigger)</f>
        <v>#NAME?</v>
      </c>
      <c r="C8" s="1026" t="e">
        <f ca="1">_xll.qlECBdate(B8,Trigger)</f>
        <v>#NAME?</v>
      </c>
      <c r="D8" s="1026" t="e">
        <f ca="1">_xll.qlECBNextDate(C8,Trigger)</f>
        <v>#NAME?</v>
      </c>
      <c r="E8" s="896" t="str">
        <f t="shared" ref="E8:E18" si="3">$E$1</f>
        <v>Eonia</v>
      </c>
      <c r="F8" s="1020" t="e">
        <f t="shared" ref="F8:F18" ca="1" si="4">Currency&amp;$E$6&amp;B8&amp;QuoteSuffix</f>
        <v>#NAME?</v>
      </c>
      <c r="G8" s="915"/>
      <c r="H8" s="47" t="e">
        <f ca="1">_xll.qlDatedOISRateHelper(,C8,D8,F8,E8,,Permanent,Trigger,ObjectOverwrite)</f>
        <v>#NAME?</v>
      </c>
      <c r="I8" s="23"/>
      <c r="J8" s="895" t="str">
        <f t="shared" si="1"/>
        <v>ECB</v>
      </c>
      <c r="K8" s="891" t="e">
        <f t="shared" ca="1" si="2"/>
        <v>#NAME?</v>
      </c>
      <c r="L8" s="894" t="str">
        <f ca="1">IFERROR(_xll.qlRateHelperQuoteName(K8,Trigger),"--")</f>
        <v>--</v>
      </c>
      <c r="M8" s="893" t="str">
        <f ca="1">IFERROR(_xll.qlRateHelperQuoteValue($K8,Trigger),"--")</f>
        <v>--</v>
      </c>
      <c r="N8" s="892" t="b">
        <f ca="1">NOT(ISERROR(_xll.qlQuoteValue(L8)))</f>
        <v>0</v>
      </c>
      <c r="O8" s="891">
        <v>70</v>
      </c>
      <c r="P8" s="891">
        <v>30</v>
      </c>
      <c r="Q8" s="890" t="str">
        <f ca="1">IFERROR(_xll.qlRateHelperEarliestDate(K8,Trigger),"--")</f>
        <v>--</v>
      </c>
      <c r="R8" s="890" t="str">
        <f ca="1">IFERROR(_xll.qlRateHelperPillarDate(K8,Trigger),"--")</f>
        <v>--</v>
      </c>
      <c r="T8" s="4" t="str">
        <f t="shared" ca="1" si="0"/>
        <v/>
      </c>
      <c r="U8" s="4" t="e">
        <f ca="1"/>
        <v>#NAME?</v>
      </c>
      <c r="V8" s="4" t="str">
        <f ca="1">IFERROR(_xll.qlRateHelperQuoteName(U8,Trigger),"")</f>
        <v/>
      </c>
      <c r="W8" s="889" t="str">
        <f ca="1">IFERROR(_xll.qlRateHelperRate(U8,Trigger),"")</f>
        <v/>
      </c>
      <c r="X8" s="888" t="str">
        <f ca="1">IF(ISERROR(_xll.qlSwapRateHelperSpread($U8)),IF(ISERROR(_xll.qlFuturesRateHelperConvexityAdjustment($U8)),"",_xll.qlFuturesRateHelperConvexityAdjustment($U8)),_xll.qlSwapRateHelperSpread($U8))</f>
        <v/>
      </c>
      <c r="Y8" s="5" t="str">
        <f ca="1">IFERROR(_xll.qlRateHelperEarliestDate(U8,Trigger),"")</f>
        <v/>
      </c>
      <c r="Z8" s="5" t="str">
        <f ca="1">IFERROR(_xll.qlRateHelperPillarDate(U8,Trigger),"")</f>
        <v/>
      </c>
      <c r="AA8" s="887" t="e">
        <f ca="1"/>
        <v>#NAME?</v>
      </c>
      <c r="AB8" s="914"/>
    </row>
    <row r="9" spans="1:38" ht="11.25" customHeight="1" x14ac:dyDescent="0.2">
      <c r="A9" s="874" t="s">
        <v>146</v>
      </c>
      <c r="B9" s="876" t="e">
        <f ca="1">_xll.qlECBNextCode(C8,Trigger)</f>
        <v>#NAME?</v>
      </c>
      <c r="C9" s="1025" t="e">
        <f ca="1">_xll.qlECBdate(B9,Trigger)</f>
        <v>#NAME?</v>
      </c>
      <c r="D9" s="1025" t="e">
        <f ca="1">_xll.qlECBNextDate(C9,Trigger)</f>
        <v>#NAME?</v>
      </c>
      <c r="E9" s="877" t="str">
        <f t="shared" si="3"/>
        <v>Eonia</v>
      </c>
      <c r="F9" s="1019" t="e">
        <f t="shared" ca="1" si="4"/>
        <v>#NAME?</v>
      </c>
      <c r="G9" s="910"/>
      <c r="H9" s="43" t="e">
        <f ca="1">_xll.qlDatedOISRateHelper(,C9,D9,F9,E9,,Permanent,Trigger,ObjectOverwrite)</f>
        <v>#NAME?</v>
      </c>
      <c r="I9" s="23"/>
      <c r="J9" s="895" t="str">
        <f t="shared" si="1"/>
        <v>ECB</v>
      </c>
      <c r="K9" s="891" t="e">
        <f t="shared" ca="1" si="2"/>
        <v>#NAME?</v>
      </c>
      <c r="L9" s="894" t="str">
        <f ca="1">IFERROR(_xll.qlRateHelperQuoteName(K9,Trigger),"--")</f>
        <v>--</v>
      </c>
      <c r="M9" s="893" t="str">
        <f ca="1">IFERROR(_xll.qlRateHelperQuoteValue($K9,Trigger),"--")</f>
        <v>--</v>
      </c>
      <c r="N9" s="892" t="b">
        <f ca="1">NOT(ISERROR(_xll.qlQuoteValue(L9)))</f>
        <v>0</v>
      </c>
      <c r="O9" s="891">
        <v>70</v>
      </c>
      <c r="P9" s="891">
        <v>30</v>
      </c>
      <c r="Q9" s="890" t="str">
        <f ca="1">IFERROR(_xll.qlRateHelperEarliestDate(K9,Trigger),"--")</f>
        <v>--</v>
      </c>
      <c r="R9" s="890" t="str">
        <f ca="1">IFERROR(_xll.qlRateHelperPillarDate(K9,Trigger),"--")</f>
        <v>--</v>
      </c>
      <c r="T9" s="4" t="str">
        <f t="shared" ca="1" si="0"/>
        <v/>
      </c>
      <c r="U9" s="4" t="e">
        <f ca="1"/>
        <v>#NAME?</v>
      </c>
      <c r="V9" s="4" t="str">
        <f ca="1">IFERROR(_xll.qlRateHelperQuoteName(U9,Trigger),"")</f>
        <v/>
      </c>
      <c r="W9" s="889" t="str">
        <f ca="1">IFERROR(_xll.qlRateHelperRate(U9,Trigger),"")</f>
        <v/>
      </c>
      <c r="X9" s="888" t="str">
        <f ca="1">IF(ISERROR(_xll.qlSwapRateHelperSpread($U9)),IF(ISERROR(_xll.qlFuturesRateHelperConvexityAdjustment($U9)),"",_xll.qlFuturesRateHelperConvexityAdjustment($U9)),_xll.qlSwapRateHelperSpread($U9))</f>
        <v/>
      </c>
      <c r="Y9" s="5" t="str">
        <f ca="1">IFERROR(_xll.qlRateHelperEarliestDate(U9,Trigger),"")</f>
        <v/>
      </c>
      <c r="Z9" s="5" t="str">
        <f ca="1">IFERROR(_xll.qlRateHelperPillarDate(U9,Trigger),"")</f>
        <v/>
      </c>
      <c r="AA9" s="887" t="e">
        <f ca="1"/>
        <v>#NAME?</v>
      </c>
      <c r="AB9" s="914"/>
      <c r="AE9" s="1" t="s">
        <v>276</v>
      </c>
    </row>
    <row r="10" spans="1:38" ht="11.25" customHeight="1" x14ac:dyDescent="0.2">
      <c r="A10" s="874" t="s">
        <v>146</v>
      </c>
      <c r="B10" s="876" t="e">
        <f ca="1">_xll.qlECBNextCode(C9,Trigger)</f>
        <v>#NAME?</v>
      </c>
      <c r="C10" s="1025" t="e">
        <f ca="1">_xll.qlECBdate(B10,Trigger)</f>
        <v>#NAME?</v>
      </c>
      <c r="D10" s="1025" t="e">
        <f ca="1">_xll.qlECBNextDate(C10,Trigger)</f>
        <v>#NAME?</v>
      </c>
      <c r="E10" s="877" t="str">
        <f t="shared" si="3"/>
        <v>Eonia</v>
      </c>
      <c r="F10" s="1019" t="e">
        <f t="shared" ca="1" si="4"/>
        <v>#NAME?</v>
      </c>
      <c r="G10" s="910"/>
      <c r="H10" s="43" t="e">
        <f ca="1">_xll.qlDatedOISRateHelper(,C10,D10,F10,E10,,Permanent,Trigger,ObjectOverwrite)</f>
        <v>#NAME?</v>
      </c>
      <c r="I10" s="23"/>
      <c r="J10" s="895" t="str">
        <f t="shared" si="1"/>
        <v>ECB</v>
      </c>
      <c r="K10" s="891" t="e">
        <f t="shared" ca="1" si="2"/>
        <v>#NAME?</v>
      </c>
      <c r="L10" s="894" t="str">
        <f ca="1">IFERROR(_xll.qlRateHelperQuoteName(K10,Trigger),"--")</f>
        <v>--</v>
      </c>
      <c r="M10" s="893" t="str">
        <f ca="1">IFERROR(_xll.qlRateHelperQuoteValue($K10,Trigger),"--")</f>
        <v>--</v>
      </c>
      <c r="N10" s="892" t="b">
        <f ca="1">NOT(ISERROR(_xll.qlQuoteValue(L10)))</f>
        <v>0</v>
      </c>
      <c r="O10" s="891">
        <v>70</v>
      </c>
      <c r="P10" s="891">
        <v>30</v>
      </c>
      <c r="Q10" s="890" t="str">
        <f ca="1">IFERROR(_xll.qlRateHelperEarliestDate(K10,Trigger),"--")</f>
        <v>--</v>
      </c>
      <c r="R10" s="890" t="str">
        <f ca="1">IFERROR(_xll.qlRateHelperPillarDate(K10,Trigger),"--")</f>
        <v>--</v>
      </c>
      <c r="T10" s="4" t="str">
        <f t="shared" ca="1" si="0"/>
        <v/>
      </c>
      <c r="U10" s="4" t="e">
        <f ca="1"/>
        <v>#NAME?</v>
      </c>
      <c r="V10" s="4" t="str">
        <f ca="1">IFERROR(_xll.qlRateHelperQuoteName(U10,Trigger),"")</f>
        <v/>
      </c>
      <c r="W10" s="889" t="str">
        <f ca="1">IFERROR(_xll.qlRateHelperRate(U10,Trigger),"")</f>
        <v/>
      </c>
      <c r="X10" s="888" t="str">
        <f ca="1">IF(ISERROR(_xll.qlSwapRateHelperSpread($U10)),IF(ISERROR(_xll.qlFuturesRateHelperConvexityAdjustment($U10)),"",_xll.qlFuturesRateHelperConvexityAdjustment($U10)),_xll.qlSwapRateHelperSpread($U10))</f>
        <v/>
      </c>
      <c r="Y10" s="5" t="str">
        <f ca="1">IFERROR(_xll.qlRateHelperEarliestDate(U10,Trigger),"")</f>
        <v/>
      </c>
      <c r="Z10" s="5" t="str">
        <f ca="1">IFERROR(_xll.qlRateHelperPillarDate(U10,Trigger),"")</f>
        <v/>
      </c>
      <c r="AA10" s="887" t="e">
        <f ca="1"/>
        <v>#NAME?</v>
      </c>
      <c r="AB10" s="914"/>
      <c r="AC10" s="956" t="s">
        <v>89</v>
      </c>
      <c r="AD10" s="956" t="s">
        <v>409</v>
      </c>
      <c r="AE10" s="956" t="s">
        <v>408</v>
      </c>
      <c r="AF10" s="956" t="s">
        <v>275</v>
      </c>
      <c r="AG10" s="956" t="s">
        <v>407</v>
      </c>
      <c r="AH10" s="956" t="s">
        <v>406</v>
      </c>
      <c r="AI10" s="956" t="s">
        <v>265</v>
      </c>
      <c r="AJ10" s="956" t="s">
        <v>405</v>
      </c>
    </row>
    <row r="11" spans="1:38" ht="11.25" customHeight="1" x14ac:dyDescent="0.2">
      <c r="A11" s="874" t="s">
        <v>146</v>
      </c>
      <c r="B11" s="876" t="e">
        <f ca="1">_xll.qlECBNextCode(C10,Trigger)</f>
        <v>#NAME?</v>
      </c>
      <c r="C11" s="1025" t="e">
        <f ca="1">_xll.qlECBdate(B11,Trigger)</f>
        <v>#NAME?</v>
      </c>
      <c r="D11" s="1025" t="e">
        <f ca="1">_xll.qlECBNextDate(C11,Trigger)</f>
        <v>#NAME?</v>
      </c>
      <c r="E11" s="877" t="str">
        <f t="shared" si="3"/>
        <v>Eonia</v>
      </c>
      <c r="F11" s="1019" t="e">
        <f t="shared" ca="1" si="4"/>
        <v>#NAME?</v>
      </c>
      <c r="G11" s="910"/>
      <c r="H11" s="43" t="e">
        <f ca="1">_xll.qlDatedOISRateHelper(,C11,D11,F11,E11,,Permanent,Trigger,ObjectOverwrite)</f>
        <v>#NAME?</v>
      </c>
      <c r="I11" s="23"/>
      <c r="J11" s="895" t="str">
        <f t="shared" si="1"/>
        <v>ECB</v>
      </c>
      <c r="K11" s="891" t="e">
        <f t="shared" ca="1" si="2"/>
        <v>#NAME?</v>
      </c>
      <c r="L11" s="894" t="str">
        <f ca="1">IFERROR(_xll.qlRateHelperQuoteName(K11,Trigger),"--")</f>
        <v>--</v>
      </c>
      <c r="M11" s="893" t="str">
        <f ca="1">IFERROR(_xll.qlRateHelperQuoteValue($K11,Trigger),"--")</f>
        <v>--</v>
      </c>
      <c r="N11" s="892" t="b">
        <f ca="1">NOT(ISERROR(_xll.qlQuoteValue(L11)))</f>
        <v>0</v>
      </c>
      <c r="O11" s="891">
        <v>70</v>
      </c>
      <c r="P11" s="891">
        <v>30</v>
      </c>
      <c r="Q11" s="890" t="str">
        <f ca="1">IFERROR(_xll.qlRateHelperEarliestDate(K11,Trigger),"--")</f>
        <v>--</v>
      </c>
      <c r="R11" s="890" t="str">
        <f ca="1">IFERROR(_xll.qlRateHelperPillarDate(K11,Trigger),"--")</f>
        <v>--</v>
      </c>
      <c r="T11" s="4" t="str">
        <f t="shared" ca="1" si="0"/>
        <v/>
      </c>
      <c r="U11" s="4" t="e">
        <f ca="1"/>
        <v>#NAME?</v>
      </c>
      <c r="V11" s="4" t="str">
        <f ca="1">IFERROR(_xll.qlRateHelperQuoteName(U11,Trigger),"")</f>
        <v/>
      </c>
      <c r="W11" s="889" t="str">
        <f ca="1">IFERROR(_xll.qlRateHelperRate(U11,Trigger),"")</f>
        <v/>
      </c>
      <c r="X11" s="888" t="str">
        <f ca="1">IF(ISERROR(_xll.qlSwapRateHelperSpread($U11)),IF(ISERROR(_xll.qlFuturesRateHelperConvexityAdjustment($U11)),"",_xll.qlFuturesRateHelperConvexityAdjustment($U11)),_xll.qlSwapRateHelperSpread($U11))</f>
        <v/>
      </c>
      <c r="Y11" s="5" t="str">
        <f ca="1">IFERROR(_xll.qlRateHelperEarliestDate(U11,Trigger),"")</f>
        <v/>
      </c>
      <c r="Z11" s="5" t="str">
        <f ca="1">IFERROR(_xll.qlRateHelperPillarDate(U11,Trigger),"")</f>
        <v/>
      </c>
      <c r="AA11" s="887" t="e">
        <f ca="1"/>
        <v>#NAME?</v>
      </c>
      <c r="AB11" s="914"/>
      <c r="AC11" s="990">
        <v>1</v>
      </c>
      <c r="AD11" s="991" t="e">
        <f ca="1">_xll.qlCalendarEndOfMonth(Calendar,Settlementdate,Trigger)</f>
        <v>#NAME?</v>
      </c>
      <c r="AE11" s="990" t="str">
        <f t="shared" ref="AE11:AE23" si="5">Currency&amp;$AE$9&amp;AC11&amp;JumpSuffix&amp;QuoteSuffix</f>
        <v>EURJump1_SYNTHON_Quote</v>
      </c>
      <c r="AF11" s="989" t="e">
        <f ca="1">_xll.qlDayCounterYearFraction("actual/360",AD11,_xll.qlCalendarAdvance(Calendar,AD11,"1D",,,Trigger))</f>
        <v>#NAME?</v>
      </c>
      <c r="AG11" s="986" t="e">
        <f ca="1">IF(_xll.qlQuoteIsValid(AE11,Trigger),_xll.qlQuoteValue(AE11,Trigger),1)</f>
        <v>#NAME?</v>
      </c>
      <c r="AH11" s="988" t="e">
        <f t="shared" ref="AH11:AH23" ca="1" si="6">-LN(AG11)/AF11</f>
        <v>#NAME?</v>
      </c>
      <c r="AI11" s="997"/>
      <c r="AJ11" s="986" t="str">
        <f>IF(ISBLANK(AI11),AE11,EXP(-AI11*AF11))</f>
        <v>EURJump1_SYNTHON_Quote</v>
      </c>
    </row>
    <row r="12" spans="1:38" ht="11.25" customHeight="1" x14ac:dyDescent="0.2">
      <c r="A12" s="874" t="s">
        <v>146</v>
      </c>
      <c r="B12" s="876" t="e">
        <f ca="1">_xll.qlECBNextCode(C11,Trigger)</f>
        <v>#NAME?</v>
      </c>
      <c r="C12" s="1025" t="e">
        <f ca="1">_xll.qlECBdate(B12,Trigger)</f>
        <v>#NAME?</v>
      </c>
      <c r="D12" s="1025" t="e">
        <f ca="1">_xll.qlECBNextDate(C12,Trigger)</f>
        <v>#NAME?</v>
      </c>
      <c r="E12" s="877" t="str">
        <f t="shared" si="3"/>
        <v>Eonia</v>
      </c>
      <c r="F12" s="1019" t="e">
        <f t="shared" ca="1" si="4"/>
        <v>#NAME?</v>
      </c>
      <c r="G12" s="910"/>
      <c r="H12" s="43" t="e">
        <f ca="1">_xll.qlDatedOISRateHelper(,C12,D12,F12,E12,,Permanent,Trigger,ObjectOverwrite)</f>
        <v>#NAME?</v>
      </c>
      <c r="I12" s="23"/>
      <c r="J12" s="895" t="str">
        <f t="shared" si="1"/>
        <v>ECB</v>
      </c>
      <c r="K12" s="891" t="e">
        <f t="shared" ca="1" si="2"/>
        <v>#NAME?</v>
      </c>
      <c r="L12" s="894" t="str">
        <f ca="1">IFERROR(_xll.qlRateHelperQuoteName(K12,Trigger),"--")</f>
        <v>--</v>
      </c>
      <c r="M12" s="893" t="str">
        <f ca="1">IFERROR(_xll.qlRateHelperQuoteValue($K12,Trigger),"--")</f>
        <v>--</v>
      </c>
      <c r="N12" s="892" t="b">
        <f ca="1">NOT(ISERROR(_xll.qlQuoteValue(L12)))</f>
        <v>0</v>
      </c>
      <c r="O12" s="891">
        <v>70</v>
      </c>
      <c r="P12" s="891">
        <v>30</v>
      </c>
      <c r="Q12" s="890" t="str">
        <f ca="1">IFERROR(_xll.qlRateHelperEarliestDate(K12,Trigger),"--")</f>
        <v>--</v>
      </c>
      <c r="R12" s="890" t="str">
        <f ca="1">IFERROR(_xll.qlRateHelperPillarDate(K12,Trigger),"--")</f>
        <v>--</v>
      </c>
      <c r="T12" s="4" t="str">
        <f t="shared" ca="1" si="0"/>
        <v/>
      </c>
      <c r="U12" s="4" t="e">
        <f ca="1"/>
        <v>#NAME?</v>
      </c>
      <c r="V12" s="4" t="str">
        <f ca="1">IFERROR(_xll.qlRateHelperQuoteName(U12,Trigger),"")</f>
        <v/>
      </c>
      <c r="W12" s="889" t="str">
        <f ca="1">IFERROR(_xll.qlRateHelperRate(U12,Trigger),"")</f>
        <v/>
      </c>
      <c r="X12" s="888" t="str">
        <f ca="1">IF(ISERROR(_xll.qlSwapRateHelperSpread($U12)),IF(ISERROR(_xll.qlFuturesRateHelperConvexityAdjustment($U12)),"",_xll.qlFuturesRateHelperConvexityAdjustment($U12)),_xll.qlSwapRateHelperSpread($U12))</f>
        <v/>
      </c>
      <c r="Y12" s="5" t="str">
        <f ca="1">IFERROR(_xll.qlRateHelperEarliestDate(U12,Trigger),"")</f>
        <v/>
      </c>
      <c r="Z12" s="5" t="str">
        <f ca="1">IFERROR(_xll.qlRateHelperPillarDate(U12,Trigger),"")</f>
        <v/>
      </c>
      <c r="AA12" s="887" t="e">
        <f ca="1"/>
        <v>#NAME?</v>
      </c>
      <c r="AB12" s="914"/>
      <c r="AC12" s="983">
        <v>2</v>
      </c>
      <c r="AD12" s="984" t="e">
        <f ca="1">_xll.qlCalendarEndOfMonth(Calendar,_xll.qlCalendarAdvance(Calendar,AD11,"1m","mf",TRUE),Trigger)</f>
        <v>#NAME?</v>
      </c>
      <c r="AE12" s="983" t="str">
        <f t="shared" si="5"/>
        <v>EURJump2_SYNTHON_Quote</v>
      </c>
      <c r="AF12" s="982" t="e">
        <f ca="1">_xll.qlDayCounterYearFraction("actual/360",AD12,_xll.qlCalendarAdvance(Calendar,AD12,"1D",,,Trigger))</f>
        <v>#NAME?</v>
      </c>
      <c r="AG12" s="979" t="e">
        <f ca="1">IF(_xll.qlQuoteIsValid(AE12,Trigger),_xll.qlQuoteValue(AE12,Trigger),1)</f>
        <v>#NAME?</v>
      </c>
      <c r="AH12" s="981" t="e">
        <f t="shared" ca="1" si="6"/>
        <v>#NAME?</v>
      </c>
      <c r="AI12" s="996"/>
      <c r="AJ12" s="979" t="str">
        <f t="shared" ref="AJ12:AJ23" si="7">IF(ISBLANK(AI12),AE12,AI12)</f>
        <v>EURJump2_SYNTHON_Quote</v>
      </c>
    </row>
    <row r="13" spans="1:38" ht="11.25" customHeight="1" x14ac:dyDescent="0.2">
      <c r="A13" s="874" t="s">
        <v>146</v>
      </c>
      <c r="B13" s="876" t="e">
        <f ca="1">_xll.qlECBNextCode(C12,Trigger)</f>
        <v>#NAME?</v>
      </c>
      <c r="C13" s="1025" t="e">
        <f ca="1">_xll.qlECBdate(B13,Trigger)</f>
        <v>#NAME?</v>
      </c>
      <c r="D13" s="1025" t="e">
        <f ca="1">_xll.qlECBNextDate(C13,Trigger)</f>
        <v>#NAME?</v>
      </c>
      <c r="E13" s="877" t="str">
        <f t="shared" si="3"/>
        <v>Eonia</v>
      </c>
      <c r="F13" s="1019" t="e">
        <f t="shared" ca="1" si="4"/>
        <v>#NAME?</v>
      </c>
      <c r="G13" s="910"/>
      <c r="H13" s="43" t="e">
        <f ca="1">_xll.qlDatedOISRateHelper(,C13,D13,F13,E13,,Permanent,Trigger,ObjectOverwrite)</f>
        <v>#NAME?</v>
      </c>
      <c r="I13" s="23"/>
      <c r="J13" s="895" t="str">
        <f t="shared" si="1"/>
        <v>ECB</v>
      </c>
      <c r="K13" s="891" t="e">
        <f t="shared" ca="1" si="2"/>
        <v>#NAME?</v>
      </c>
      <c r="L13" s="894" t="str">
        <f ca="1">IFERROR(_xll.qlRateHelperQuoteName(K13,Trigger),"--")</f>
        <v>--</v>
      </c>
      <c r="M13" s="893" t="str">
        <f ca="1">IFERROR(_xll.qlRateHelperQuoteValue($K13,Trigger),"--")</f>
        <v>--</v>
      </c>
      <c r="N13" s="892" t="b">
        <f ca="1">NOT(ISERROR(_xll.qlQuoteValue(L13)))</f>
        <v>0</v>
      </c>
      <c r="O13" s="891">
        <v>70</v>
      </c>
      <c r="P13" s="891">
        <v>30</v>
      </c>
      <c r="Q13" s="890" t="str">
        <f ca="1">IFERROR(_xll.qlRateHelperEarliestDate(K13,Trigger),"--")</f>
        <v>--</v>
      </c>
      <c r="R13" s="890" t="str">
        <f ca="1">IFERROR(_xll.qlRateHelperPillarDate(K13,Trigger),"--")</f>
        <v>--</v>
      </c>
      <c r="T13" s="4" t="str">
        <f t="shared" ca="1" si="0"/>
        <v/>
      </c>
      <c r="U13" s="4" t="e">
        <f ca="1"/>
        <v>#NAME?</v>
      </c>
      <c r="V13" s="4" t="str">
        <f ca="1">IFERROR(_xll.qlRateHelperQuoteName(U13,Trigger),"")</f>
        <v/>
      </c>
      <c r="W13" s="889" t="str">
        <f ca="1">IFERROR(_xll.qlRateHelperRate(U13,Trigger),"")</f>
        <v/>
      </c>
      <c r="X13" s="888" t="str">
        <f ca="1">IF(ISERROR(_xll.qlSwapRateHelperSpread($U13)),IF(ISERROR(_xll.qlFuturesRateHelperConvexityAdjustment($U13)),"",_xll.qlFuturesRateHelperConvexityAdjustment($U13)),_xll.qlSwapRateHelperSpread($U13))</f>
        <v/>
      </c>
      <c r="Y13" s="5" t="str">
        <f ca="1">IFERROR(_xll.qlRateHelperEarliestDate(U13,Trigger),"")</f>
        <v/>
      </c>
      <c r="Z13" s="5" t="str">
        <f ca="1">IFERROR(_xll.qlRateHelperPillarDate(U13,Trigger),"")</f>
        <v/>
      </c>
      <c r="AA13" s="887" t="e">
        <f ca="1"/>
        <v>#NAME?</v>
      </c>
      <c r="AB13" s="914"/>
      <c r="AC13" s="983">
        <v>3</v>
      </c>
      <c r="AD13" s="984" t="e">
        <f ca="1">_xll.qlCalendarEndOfMonth(Calendar,_xll.qlCalendarAdvance(Calendar,AD12,"1m","mf",TRUE),Trigger)</f>
        <v>#NAME?</v>
      </c>
      <c r="AE13" s="983" t="str">
        <f t="shared" si="5"/>
        <v>EURJump3_SYNTHON_Quote</v>
      </c>
      <c r="AF13" s="982" t="e">
        <f ca="1">_xll.qlDayCounterYearFraction("actual/360",AD13,_xll.qlCalendarAdvance(Calendar,AD13,"1D",,,Trigger))</f>
        <v>#NAME?</v>
      </c>
      <c r="AG13" s="979" t="e">
        <f ca="1">IF(_xll.qlQuoteIsValid(AE13,Trigger),_xll.qlQuoteValue(AE13,Trigger),1)</f>
        <v>#NAME?</v>
      </c>
      <c r="AH13" s="981" t="e">
        <f t="shared" ca="1" si="6"/>
        <v>#NAME?</v>
      </c>
      <c r="AI13" s="996"/>
      <c r="AJ13" s="979" t="str">
        <f t="shared" si="7"/>
        <v>EURJump3_SYNTHON_Quote</v>
      </c>
    </row>
    <row r="14" spans="1:38" ht="11.25" customHeight="1" x14ac:dyDescent="0.2">
      <c r="A14" s="874" t="s">
        <v>146</v>
      </c>
      <c r="B14" s="876" t="e">
        <f ca="1">_xll.qlECBNextCode(C13,Trigger)</f>
        <v>#NAME?</v>
      </c>
      <c r="C14" s="1025" t="e">
        <f ca="1">_xll.qlECBdate(B14,Trigger)</f>
        <v>#NAME?</v>
      </c>
      <c r="D14" s="1025" t="e">
        <f ca="1">_xll.qlECBNextDate(C14,Trigger)</f>
        <v>#NAME?</v>
      </c>
      <c r="E14" s="877" t="str">
        <f t="shared" si="3"/>
        <v>Eonia</v>
      </c>
      <c r="F14" s="1019" t="e">
        <f t="shared" ca="1" si="4"/>
        <v>#NAME?</v>
      </c>
      <c r="G14" s="910"/>
      <c r="H14" s="43" t="e">
        <f ca="1">_xll.qlDatedOISRateHelper(,C14,D14,F14,E14,,Permanent,Trigger,ObjectOverwrite)</f>
        <v>#NAME?</v>
      </c>
      <c r="I14" s="23"/>
      <c r="J14" s="895" t="str">
        <f t="shared" si="1"/>
        <v>ECB</v>
      </c>
      <c r="K14" s="891" t="e">
        <f t="shared" ca="1" si="2"/>
        <v>#NAME?</v>
      </c>
      <c r="L14" s="894" t="str">
        <f ca="1">IFERROR(_xll.qlRateHelperQuoteName(K14,Trigger),"--")</f>
        <v>--</v>
      </c>
      <c r="M14" s="893" t="str">
        <f ca="1">IFERROR(_xll.qlRateHelperQuoteValue($K14,Trigger),"--")</f>
        <v>--</v>
      </c>
      <c r="N14" s="892" t="b">
        <f ca="1">NOT(ISERROR(_xll.qlQuoteValue(L14)))</f>
        <v>0</v>
      </c>
      <c r="O14" s="891">
        <v>70</v>
      </c>
      <c r="P14" s="891">
        <v>30</v>
      </c>
      <c r="Q14" s="890" t="str">
        <f ca="1">IFERROR(_xll.qlRateHelperEarliestDate(K14,Trigger),"--")</f>
        <v>--</v>
      </c>
      <c r="R14" s="890" t="str">
        <f ca="1">IFERROR(_xll.qlRateHelperPillarDate(K14,Trigger),"--")</f>
        <v>--</v>
      </c>
      <c r="T14" s="4" t="str">
        <f t="shared" ca="1" si="0"/>
        <v/>
      </c>
      <c r="U14" s="4" t="e">
        <f ca="1"/>
        <v>#NAME?</v>
      </c>
      <c r="V14" s="4" t="str">
        <f ca="1">IFERROR(_xll.qlRateHelperQuoteName(U14,Trigger),"")</f>
        <v/>
      </c>
      <c r="W14" s="889" t="str">
        <f ca="1">IFERROR(_xll.qlRateHelperRate(U14,Trigger),"")</f>
        <v/>
      </c>
      <c r="X14" s="888" t="str">
        <f ca="1">IF(ISERROR(_xll.qlSwapRateHelperSpread($U14)),IF(ISERROR(_xll.qlFuturesRateHelperConvexityAdjustment($U14)),"",_xll.qlFuturesRateHelperConvexityAdjustment($U14)),_xll.qlSwapRateHelperSpread($U14))</f>
        <v/>
      </c>
      <c r="Y14" s="5" t="str">
        <f ca="1">IFERROR(_xll.qlRateHelperEarliestDate(U14,Trigger),"")</f>
        <v/>
      </c>
      <c r="Z14" s="5" t="str">
        <f ca="1">IFERROR(_xll.qlRateHelperPillarDate(U14,Trigger),"")</f>
        <v/>
      </c>
      <c r="AA14" s="887" t="e">
        <f ca="1"/>
        <v>#NAME?</v>
      </c>
      <c r="AB14" s="914"/>
      <c r="AC14" s="983">
        <v>4</v>
      </c>
      <c r="AD14" s="984" t="e">
        <f ca="1">_xll.qlCalendarEndOfMonth(Calendar,_xll.qlCalendarAdvance(Calendar,AD13,"1m","mf",TRUE),Trigger)</f>
        <v>#NAME?</v>
      </c>
      <c r="AE14" s="983" t="str">
        <f t="shared" si="5"/>
        <v>EURJump4_SYNTHON_Quote</v>
      </c>
      <c r="AF14" s="982" t="e">
        <f ca="1">_xll.qlDayCounterYearFraction("actual/360",AD14,_xll.qlCalendarAdvance(Calendar,AD14,"1D",,,Trigger))</f>
        <v>#NAME?</v>
      </c>
      <c r="AG14" s="979" t="e">
        <f ca="1">IF(_xll.qlQuoteIsValid(AE14,Trigger),_xll.qlQuoteValue(AE14,Trigger),1)</f>
        <v>#NAME?</v>
      </c>
      <c r="AH14" s="981" t="e">
        <f t="shared" ca="1" si="6"/>
        <v>#NAME?</v>
      </c>
      <c r="AI14" s="996"/>
      <c r="AJ14" s="979" t="str">
        <f t="shared" si="7"/>
        <v>EURJump4_SYNTHON_Quote</v>
      </c>
    </row>
    <row r="15" spans="1:38" ht="11.25" customHeight="1" x14ac:dyDescent="0.2">
      <c r="A15" s="874" t="s">
        <v>146</v>
      </c>
      <c r="B15" s="876" t="e">
        <f ca="1">_xll.qlECBNextCode(C14,Trigger)</f>
        <v>#NAME?</v>
      </c>
      <c r="C15" s="1025" t="e">
        <f ca="1">_xll.qlECBdate(B15,Trigger)</f>
        <v>#NAME?</v>
      </c>
      <c r="D15" s="1025" t="e">
        <f ca="1">_xll.qlECBNextDate(C15,Trigger)</f>
        <v>#NAME?</v>
      </c>
      <c r="E15" s="877" t="str">
        <f t="shared" si="3"/>
        <v>Eonia</v>
      </c>
      <c r="F15" s="1019" t="e">
        <f t="shared" ca="1" si="4"/>
        <v>#NAME?</v>
      </c>
      <c r="G15" s="910"/>
      <c r="H15" s="43" t="e">
        <f ca="1">_xll.qlDatedOISRateHelper(,C15,D15,F15,E15,,Permanent,Trigger,ObjectOverwrite)</f>
        <v>#NAME?</v>
      </c>
      <c r="I15" s="23"/>
      <c r="J15" s="895" t="str">
        <f t="shared" si="1"/>
        <v>ECB</v>
      </c>
      <c r="K15" s="891" t="e">
        <f t="shared" ca="1" si="2"/>
        <v>#NAME?</v>
      </c>
      <c r="L15" s="894" t="str">
        <f ca="1">IFERROR(_xll.qlRateHelperQuoteName(K15,Trigger),"--")</f>
        <v>--</v>
      </c>
      <c r="M15" s="893" t="str">
        <f ca="1">IFERROR(_xll.qlRateHelperQuoteValue($K15,Trigger),"--")</f>
        <v>--</v>
      </c>
      <c r="N15" s="892" t="b">
        <f ca="1">NOT(ISERROR(_xll.qlQuoteValue(L15)))</f>
        <v>0</v>
      </c>
      <c r="O15" s="891">
        <v>70</v>
      </c>
      <c r="P15" s="891">
        <v>30</v>
      </c>
      <c r="Q15" s="890" t="str">
        <f ca="1">IFERROR(_xll.qlRateHelperEarliestDate(K15,Trigger),"--")</f>
        <v>--</v>
      </c>
      <c r="R15" s="890" t="str">
        <f ca="1">IFERROR(_xll.qlRateHelperPillarDate(K15,Trigger),"--")</f>
        <v>--</v>
      </c>
      <c r="T15" s="4" t="str">
        <f t="shared" ca="1" si="0"/>
        <v/>
      </c>
      <c r="U15" s="4" t="e">
        <f ca="1"/>
        <v>#NAME?</v>
      </c>
      <c r="V15" s="4" t="str">
        <f ca="1">IFERROR(_xll.qlRateHelperQuoteName(U15,Trigger),"")</f>
        <v/>
      </c>
      <c r="W15" s="889" t="str">
        <f ca="1">IFERROR(_xll.qlRateHelperRate(U15,Trigger),"")</f>
        <v/>
      </c>
      <c r="X15" s="888" t="str">
        <f ca="1">IF(ISERROR(_xll.qlSwapRateHelperSpread($U15)),IF(ISERROR(_xll.qlFuturesRateHelperConvexityAdjustment($U15)),"",_xll.qlFuturesRateHelperConvexityAdjustment($U15)),_xll.qlSwapRateHelperSpread($U15))</f>
        <v/>
      </c>
      <c r="Y15" s="5" t="str">
        <f ca="1">IFERROR(_xll.qlRateHelperEarliestDate(U15,Trigger),"")</f>
        <v/>
      </c>
      <c r="Z15" s="5" t="str">
        <f ca="1">IFERROR(_xll.qlRateHelperPillarDate(U15,Trigger),"")</f>
        <v/>
      </c>
      <c r="AA15" s="887" t="e">
        <f ca="1"/>
        <v>#NAME?</v>
      </c>
      <c r="AB15" s="914"/>
      <c r="AC15" s="983">
        <v>5</v>
      </c>
      <c r="AD15" s="984" t="e">
        <f ca="1">_xll.qlCalendarEndOfMonth(Calendar,_xll.qlCalendarAdvance(Calendar,AD14,"1m","mf",TRUE),Trigger)</f>
        <v>#NAME?</v>
      </c>
      <c r="AE15" s="983" t="str">
        <f t="shared" si="5"/>
        <v>EURJump5_SYNTHON_Quote</v>
      </c>
      <c r="AF15" s="982" t="e">
        <f ca="1">_xll.qlDayCounterYearFraction("actual/360",AD15,_xll.qlCalendarAdvance(Calendar,AD15,"1D",,,Trigger))</f>
        <v>#NAME?</v>
      </c>
      <c r="AG15" s="979" t="e">
        <f ca="1">IF(_xll.qlQuoteIsValid(AE15,Trigger),_xll.qlQuoteValue(AE15,Trigger),1)</f>
        <v>#NAME?</v>
      </c>
      <c r="AH15" s="981" t="e">
        <f t="shared" ca="1" si="6"/>
        <v>#NAME?</v>
      </c>
      <c r="AI15" s="996"/>
      <c r="AJ15" s="979" t="str">
        <f t="shared" si="7"/>
        <v>EURJump5_SYNTHON_Quote</v>
      </c>
    </row>
    <row r="16" spans="1:38" ht="11.25" customHeight="1" x14ac:dyDescent="0.2">
      <c r="A16" s="874" t="s">
        <v>146</v>
      </c>
      <c r="B16" s="876" t="e">
        <f ca="1">_xll.qlECBNextCode(C15,Trigger)</f>
        <v>#NAME?</v>
      </c>
      <c r="C16" s="1025" t="e">
        <f ca="1">_xll.qlECBdate(B16,Trigger)</f>
        <v>#NAME?</v>
      </c>
      <c r="D16" s="1025" t="e">
        <f ca="1">_xll.qlECBNextDate(C16,Trigger)</f>
        <v>#NAME?</v>
      </c>
      <c r="E16" s="877" t="str">
        <f t="shared" si="3"/>
        <v>Eonia</v>
      </c>
      <c r="F16" s="1019" t="e">
        <f t="shared" ca="1" si="4"/>
        <v>#NAME?</v>
      </c>
      <c r="G16" s="910"/>
      <c r="H16" s="43" t="e">
        <f ca="1">_xll.qlDatedOISRateHelper(,C16,D16,F16,E16,,Permanent,Trigger,ObjectOverwrite)</f>
        <v>#NAME?</v>
      </c>
      <c r="I16" s="23"/>
      <c r="J16" s="895" t="str">
        <f t="shared" si="1"/>
        <v>ECB</v>
      </c>
      <c r="K16" s="891" t="e">
        <f t="shared" ca="1" si="2"/>
        <v>#NAME?</v>
      </c>
      <c r="L16" s="894" t="str">
        <f ca="1">IFERROR(_xll.qlRateHelperQuoteName(K16,Trigger),"--")</f>
        <v>--</v>
      </c>
      <c r="M16" s="893" t="str">
        <f ca="1">IFERROR(_xll.qlRateHelperQuoteValue($K16,Trigger),"--")</f>
        <v>--</v>
      </c>
      <c r="N16" s="892" t="b">
        <f ca="1">NOT(ISERROR(_xll.qlQuoteValue(L16)))</f>
        <v>0</v>
      </c>
      <c r="O16" s="891">
        <v>70</v>
      </c>
      <c r="P16" s="891">
        <v>30</v>
      </c>
      <c r="Q16" s="890" t="str">
        <f ca="1">IFERROR(_xll.qlRateHelperEarliestDate(K16,Trigger),"--")</f>
        <v>--</v>
      </c>
      <c r="R16" s="890" t="str">
        <f ca="1">IFERROR(_xll.qlRateHelperPillarDate(K16,Trigger),"--")</f>
        <v>--</v>
      </c>
      <c r="T16" s="4" t="str">
        <f t="shared" ca="1" si="0"/>
        <v/>
      </c>
      <c r="U16" s="4" t="e">
        <f ca="1"/>
        <v>#NAME?</v>
      </c>
      <c r="V16" s="4" t="str">
        <f ca="1">IFERROR(_xll.qlRateHelperQuoteName(U16,Trigger),"")</f>
        <v/>
      </c>
      <c r="W16" s="889" t="str">
        <f ca="1">IFERROR(_xll.qlRateHelperRate(U16,Trigger),"")</f>
        <v/>
      </c>
      <c r="X16" s="888" t="str">
        <f ca="1">IF(ISERROR(_xll.qlSwapRateHelperSpread($U16)),IF(ISERROR(_xll.qlFuturesRateHelperConvexityAdjustment($U16)),"",_xll.qlFuturesRateHelperConvexityAdjustment($U16)),_xll.qlSwapRateHelperSpread($U16))</f>
        <v/>
      </c>
      <c r="Y16" s="5" t="str">
        <f ca="1">IFERROR(_xll.qlRateHelperEarliestDate(U16,Trigger),"")</f>
        <v/>
      </c>
      <c r="Z16" s="5" t="str">
        <f ca="1">IFERROR(_xll.qlRateHelperPillarDate(U16,Trigger),"")</f>
        <v/>
      </c>
      <c r="AA16" s="887" t="e">
        <f ca="1"/>
        <v>#NAME?</v>
      </c>
      <c r="AB16" s="914"/>
      <c r="AC16" s="983">
        <v>6</v>
      </c>
      <c r="AD16" s="984" t="e">
        <f ca="1">_xll.qlCalendarEndOfMonth(Calendar,_xll.qlCalendarAdvance(Calendar,AD15,"1m","mf",TRUE),Trigger)</f>
        <v>#NAME?</v>
      </c>
      <c r="AE16" s="983" t="str">
        <f t="shared" si="5"/>
        <v>EURJump6_SYNTHON_Quote</v>
      </c>
      <c r="AF16" s="982" t="e">
        <f ca="1">_xll.qlDayCounterYearFraction("actual/360",AD16,_xll.qlCalendarAdvance(Calendar,AD16,"1D",,,Trigger))</f>
        <v>#NAME?</v>
      </c>
      <c r="AG16" s="979" t="e">
        <f ca="1">IF(_xll.qlQuoteIsValid(AE16,Trigger),_xll.qlQuoteValue(AE16,Trigger),1)</f>
        <v>#NAME?</v>
      </c>
      <c r="AH16" s="981" t="e">
        <f t="shared" ca="1" si="6"/>
        <v>#NAME?</v>
      </c>
      <c r="AI16" s="996"/>
      <c r="AJ16" s="979" t="str">
        <f t="shared" si="7"/>
        <v>EURJump6_SYNTHON_Quote</v>
      </c>
    </row>
    <row r="17" spans="1:36" ht="11.25" customHeight="1" x14ac:dyDescent="0.2">
      <c r="A17" s="874" t="s">
        <v>146</v>
      </c>
      <c r="B17" s="876" t="e">
        <f ca="1">_xll.qlECBNextCode(C16,Trigger)</f>
        <v>#NAME?</v>
      </c>
      <c r="C17" s="1025" t="e">
        <f ca="1">_xll.qlECBdate(B17,Trigger)</f>
        <v>#NAME?</v>
      </c>
      <c r="D17" s="1025" t="e">
        <f ca="1">_xll.qlECBNextDate(C17,Trigger)</f>
        <v>#NAME?</v>
      </c>
      <c r="E17" s="877" t="str">
        <f t="shared" si="3"/>
        <v>Eonia</v>
      </c>
      <c r="F17" s="1019" t="e">
        <f t="shared" ca="1" si="4"/>
        <v>#NAME?</v>
      </c>
      <c r="G17" s="910"/>
      <c r="H17" s="43" t="e">
        <f ca="1">_xll.qlDatedOISRateHelper(,C17,D17,F17,E17,,Permanent,Trigger,ObjectOverwrite)</f>
        <v>#NAME?</v>
      </c>
      <c r="I17" s="23"/>
      <c r="J17" s="909" t="str">
        <f>A21</f>
        <v>FUTON</v>
      </c>
      <c r="K17" s="905" t="e">
        <f ca="1">IF(ISBLANK(H21),"--",H21)</f>
        <v>#NAME?</v>
      </c>
      <c r="L17" s="908" t="str">
        <f ca="1">IFERROR(_xll.qlRateHelperQuoteName(K17,Trigger),"--")</f>
        <v>--</v>
      </c>
      <c r="M17" s="1024" t="str">
        <f ca="1">IFERROR(_xll.qlRateHelperQuoteValue($K17,Trigger),"--")</f>
        <v>--</v>
      </c>
      <c r="N17" s="906" t="b">
        <v>0</v>
      </c>
      <c r="O17" s="905">
        <v>70</v>
      </c>
      <c r="P17" s="905">
        <v>7</v>
      </c>
      <c r="Q17" s="904" t="str">
        <f ca="1">IFERROR(_xll.qlRateHelperEarliestDate(K17,Trigger),"--")</f>
        <v>--</v>
      </c>
      <c r="R17" s="904" t="str">
        <f ca="1">IFERROR(_xll.qlRateHelperPillarDate(K17,Trigger),"--")</f>
        <v>--</v>
      </c>
      <c r="T17" s="4" t="str">
        <f t="shared" ca="1" si="0"/>
        <v/>
      </c>
      <c r="U17" s="4" t="e">
        <f ca="1"/>
        <v>#NAME?</v>
      </c>
      <c r="V17" s="4" t="str">
        <f ca="1">IFERROR(_xll.qlRateHelperQuoteName(U17,Trigger),"")</f>
        <v/>
      </c>
      <c r="W17" s="889" t="str">
        <f ca="1">IFERROR(_xll.qlRateHelperRate(U17,Trigger),"")</f>
        <v/>
      </c>
      <c r="X17" s="888" t="str">
        <f ca="1">IF(ISERROR(_xll.qlSwapRateHelperSpread($U17)),IF(ISERROR(_xll.qlFuturesRateHelperConvexityAdjustment($U17)),"",_xll.qlFuturesRateHelperConvexityAdjustment($U17)),_xll.qlSwapRateHelperSpread($U17))</f>
        <v/>
      </c>
      <c r="Y17" s="5" t="str">
        <f ca="1">IFERROR(_xll.qlRateHelperEarliestDate(U17,Trigger),"")</f>
        <v/>
      </c>
      <c r="Z17" s="5" t="str">
        <f ca="1">IFERROR(_xll.qlRateHelperPillarDate(U17,Trigger),"")</f>
        <v/>
      </c>
      <c r="AA17" s="887" t="e">
        <f ca="1"/>
        <v>#NAME?</v>
      </c>
      <c r="AB17" s="914"/>
      <c r="AC17" s="983">
        <v>7</v>
      </c>
      <c r="AD17" s="984" t="e">
        <f ca="1">_xll.qlCalendarEndOfMonth(Calendar,_xll.qlCalendarAdvance(Calendar,AD16,"1m","mf",TRUE),Trigger)</f>
        <v>#NAME?</v>
      </c>
      <c r="AE17" s="983" t="str">
        <f t="shared" si="5"/>
        <v>EURJump7_SYNTHON_Quote</v>
      </c>
      <c r="AF17" s="982" t="e">
        <f ca="1">_xll.qlDayCounterYearFraction("actual/360",AD17,_xll.qlCalendarAdvance(Calendar,AD17,"1D",,,Trigger))</f>
        <v>#NAME?</v>
      </c>
      <c r="AG17" s="979" t="e">
        <f ca="1">IF(_xll.qlQuoteIsValid(AE17,Trigger),_xll.qlQuoteValue(AE17,Trigger),1)</f>
        <v>#NAME?</v>
      </c>
      <c r="AH17" s="981" t="e">
        <f t="shared" ca="1" si="6"/>
        <v>#NAME?</v>
      </c>
      <c r="AI17" s="996"/>
      <c r="AJ17" s="979" t="str">
        <f t="shared" si="7"/>
        <v>EURJump7_SYNTHON_Quote</v>
      </c>
    </row>
    <row r="18" spans="1:36" ht="11.25" customHeight="1" x14ac:dyDescent="0.2">
      <c r="A18" s="870" t="s">
        <v>146</v>
      </c>
      <c r="B18" s="872" t="e">
        <f ca="1">_xll.qlECBNextCode(C17,Trigger)</f>
        <v>#NAME?</v>
      </c>
      <c r="C18" s="1023" t="e">
        <f ca="1">_xll.qlECBdate(B18,Trigger)</f>
        <v>#NAME?</v>
      </c>
      <c r="D18" s="1023" t="e">
        <f ca="1">_xll.qlECBNextDate(C18,Trigger)</f>
        <v>#NAME?</v>
      </c>
      <c r="E18" s="985" t="str">
        <f t="shared" si="3"/>
        <v>Eonia</v>
      </c>
      <c r="F18" s="1018" t="e">
        <f t="shared" ca="1" si="4"/>
        <v>#NAME?</v>
      </c>
      <c r="G18" s="900"/>
      <c r="H18" s="38" t="e">
        <f ca="1">_xll.qlDatedOISRateHelper(,C18,D18,F18,E18,,Permanent,Trigger,ObjectOverwrite)</f>
        <v>#NAME?</v>
      </c>
      <c r="I18" s="23"/>
      <c r="J18" s="895" t="str">
        <f>A22</f>
        <v>FUTON</v>
      </c>
      <c r="K18" s="891" t="str">
        <f>IF(ISBLANK(H22),"--",H22)</f>
        <v>--</v>
      </c>
      <c r="L18" s="894" t="str">
        <f ca="1">IFERROR(_xll.qlRateHelperQuoteName(K18,Trigger),"--")</f>
        <v>--</v>
      </c>
      <c r="M18" s="1022" t="str">
        <f ca="1">IFERROR(_xll.qlRateHelperQuoteValue($K18,Trigger),"--")</f>
        <v>--</v>
      </c>
      <c r="N18" s="892" t="b">
        <v>0</v>
      </c>
      <c r="O18" s="891">
        <v>60</v>
      </c>
      <c r="P18" s="891">
        <v>7</v>
      </c>
      <c r="Q18" s="890" t="str">
        <f ca="1">IFERROR(_xll.qlRateHelperEarliestDate(K18,Trigger),"--")</f>
        <v>--</v>
      </c>
      <c r="R18" s="890" t="str">
        <f ca="1">IFERROR(_xll.qlRateHelperPillarDate(K18,Trigger),"--")</f>
        <v>--</v>
      </c>
      <c r="T18" s="4" t="str">
        <f t="shared" ca="1" si="0"/>
        <v/>
      </c>
      <c r="U18" s="4" t="e">
        <f ca="1"/>
        <v>#NAME?</v>
      </c>
      <c r="V18" s="4" t="str">
        <f ca="1">IFERROR(_xll.qlRateHelperQuoteName(U18,Trigger),"")</f>
        <v/>
      </c>
      <c r="W18" s="889" t="str">
        <f ca="1">IFERROR(_xll.qlRateHelperRate(U18,Trigger),"")</f>
        <v/>
      </c>
      <c r="X18" s="888" t="str">
        <f ca="1">IF(ISERROR(_xll.qlSwapRateHelperSpread($U18)),IF(ISERROR(_xll.qlFuturesRateHelperConvexityAdjustment($U18)),"",_xll.qlFuturesRateHelperConvexityAdjustment($U18)),_xll.qlSwapRateHelperSpread($U18))</f>
        <v/>
      </c>
      <c r="Y18" s="5" t="str">
        <f ca="1">IFERROR(_xll.qlRateHelperEarliestDate(U18,Trigger),"")</f>
        <v/>
      </c>
      <c r="Z18" s="5" t="str">
        <f ca="1">IFERROR(_xll.qlRateHelperPillarDate(U18,Trigger),"")</f>
        <v/>
      </c>
      <c r="AA18" s="887" t="e">
        <f ca="1"/>
        <v>#NAME?</v>
      </c>
      <c r="AB18" s="914"/>
      <c r="AC18" s="983">
        <v>8</v>
      </c>
      <c r="AD18" s="984" t="e">
        <f ca="1">_xll.qlCalendarEndOfMonth(Calendar,_xll.qlCalendarAdvance(Calendar,AD17,"1m","mf",TRUE),Trigger)</f>
        <v>#NAME?</v>
      </c>
      <c r="AE18" s="983" t="str">
        <f t="shared" si="5"/>
        <v>EURJump8_SYNTHON_Quote</v>
      </c>
      <c r="AF18" s="982" t="e">
        <f ca="1">_xll.qlDayCounterYearFraction("actual/360",AD18,_xll.qlCalendarAdvance(Calendar,AD18,"1D",,,Trigger))</f>
        <v>#NAME?</v>
      </c>
      <c r="AG18" s="979" t="e">
        <f ca="1">IF(_xll.qlQuoteIsValid(AE18,Trigger),_xll.qlQuoteValue(AE18,Trigger),1)</f>
        <v>#NAME?</v>
      </c>
      <c r="AH18" s="981" t="e">
        <f t="shared" ca="1" si="6"/>
        <v>#NAME?</v>
      </c>
      <c r="AI18" s="996"/>
      <c r="AJ18" s="979" t="str">
        <f t="shared" si="7"/>
        <v>EURJump8_SYNTHON_Quote</v>
      </c>
    </row>
    <row r="19" spans="1:36" ht="11.25" customHeight="1" x14ac:dyDescent="0.2">
      <c r="C19" s="868"/>
      <c r="D19" s="868"/>
      <c r="E19" s="867" t="s">
        <v>127</v>
      </c>
      <c r="I19" s="23"/>
      <c r="J19" s="895" t="str">
        <f>A23</f>
        <v>FUTON</v>
      </c>
      <c r="K19" s="891" t="str">
        <f>IF(ISBLANK(H23),"--",H23)</f>
        <v>--</v>
      </c>
      <c r="L19" s="894" t="str">
        <f ca="1">IFERROR(_xll.qlRateHelperQuoteName(K19,Trigger),"--")</f>
        <v>--</v>
      </c>
      <c r="M19" s="1022" t="str">
        <f ca="1">IFERROR(_xll.qlRateHelperQuoteValue($K19,Trigger),"--")</f>
        <v>--</v>
      </c>
      <c r="N19" s="892" t="b">
        <v>0</v>
      </c>
      <c r="O19" s="891">
        <v>60</v>
      </c>
      <c r="P19" s="891">
        <v>7</v>
      </c>
      <c r="Q19" s="890" t="str">
        <f ca="1">IFERROR(_xll.qlRateHelperEarliestDate(K19,Trigger),"--")</f>
        <v>--</v>
      </c>
      <c r="R19" s="890" t="str">
        <f ca="1">IFERROR(_xll.qlRateHelperPillarDate(K19,Trigger),"--")</f>
        <v>--</v>
      </c>
      <c r="T19" s="4" t="str">
        <f t="shared" ca="1" si="0"/>
        <v/>
      </c>
      <c r="U19" s="4" t="e">
        <f ca="1"/>
        <v>#NAME?</v>
      </c>
      <c r="V19" s="4" t="str">
        <f ca="1">IFERROR(_xll.qlRateHelperQuoteName(U19,Trigger),"")</f>
        <v/>
      </c>
      <c r="W19" s="889" t="str">
        <f ca="1">IFERROR(_xll.qlRateHelperRate(U19,Trigger),"")</f>
        <v/>
      </c>
      <c r="X19" s="888" t="str">
        <f ca="1">IF(ISERROR(_xll.qlSwapRateHelperSpread($U19)),IF(ISERROR(_xll.qlFuturesRateHelperConvexityAdjustment($U19)),"",_xll.qlFuturesRateHelperConvexityAdjustment($U19)),_xll.qlSwapRateHelperSpread($U19))</f>
        <v/>
      </c>
      <c r="Y19" s="5" t="str">
        <f ca="1">IFERROR(_xll.qlRateHelperEarliestDate(U19,Trigger),"")</f>
        <v/>
      </c>
      <c r="Z19" s="5" t="str">
        <f ca="1">IFERROR(_xll.qlRateHelperPillarDate(U19,Trigger),"")</f>
        <v/>
      </c>
      <c r="AA19" s="887" t="e">
        <f ca="1"/>
        <v>#NAME?</v>
      </c>
      <c r="AB19" s="914"/>
      <c r="AC19" s="983">
        <v>9</v>
      </c>
      <c r="AD19" s="984" t="e">
        <f ca="1">_xll.qlCalendarEndOfMonth(Calendar,_xll.qlCalendarAdvance(Calendar,AD18,"1m","mf",TRUE),Trigger)</f>
        <v>#NAME?</v>
      </c>
      <c r="AE19" s="983" t="str">
        <f t="shared" si="5"/>
        <v>EURJump9_SYNTHON_Quote</v>
      </c>
      <c r="AF19" s="982" t="e">
        <f ca="1">_xll.qlDayCounterYearFraction("actual/360",AD19,_xll.qlCalendarAdvance(Calendar,AD19,"1D",,,Trigger))</f>
        <v>#NAME?</v>
      </c>
      <c r="AG19" s="979" t="e">
        <f ca="1">IF(_xll.qlQuoteIsValid(AE19,Trigger),_xll.qlQuoteValue(AE19,Trigger),1)</f>
        <v>#NAME?</v>
      </c>
      <c r="AH19" s="981" t="e">
        <f t="shared" ca="1" si="6"/>
        <v>#NAME?</v>
      </c>
      <c r="AI19" s="996"/>
      <c r="AJ19" s="979" t="str">
        <f t="shared" si="7"/>
        <v>EURJump9_SYNTHON_Quote</v>
      </c>
    </row>
    <row r="20" spans="1:36" ht="11.25" customHeight="1" x14ac:dyDescent="0.2">
      <c r="A20" s="146" t="s">
        <v>388</v>
      </c>
      <c r="B20" s="146" t="s">
        <v>144</v>
      </c>
      <c r="C20" s="146"/>
      <c r="D20" s="146"/>
      <c r="E20" s="146" t="s">
        <v>14</v>
      </c>
      <c r="F20" s="146" t="s">
        <v>384</v>
      </c>
      <c r="G20" s="146" t="s">
        <v>420</v>
      </c>
      <c r="H20" s="146" t="s">
        <v>383</v>
      </c>
      <c r="I20" s="23"/>
      <c r="J20" s="895" t="str">
        <f>A24</f>
        <v>FUTON</v>
      </c>
      <c r="K20" s="891" t="str">
        <f>IF(ISBLANK(H24),"--",H24)</f>
        <v>--</v>
      </c>
      <c r="L20" s="894" t="str">
        <f ca="1">IFERROR(_xll.qlRateHelperQuoteName(K20,Trigger),"--")</f>
        <v>--</v>
      </c>
      <c r="M20" s="1022" t="str">
        <f ca="1">IFERROR(_xll.qlRateHelperQuoteValue($K20,Trigger),"--")</f>
        <v>--</v>
      </c>
      <c r="N20" s="892" t="b">
        <v>0</v>
      </c>
      <c r="O20" s="891">
        <v>50</v>
      </c>
      <c r="P20" s="891">
        <v>7</v>
      </c>
      <c r="Q20" s="890" t="str">
        <f ca="1">IFERROR(_xll.qlRateHelperEarliestDate(K20,Trigger),"--")</f>
        <v>--</v>
      </c>
      <c r="R20" s="890" t="str">
        <f ca="1">IFERROR(_xll.qlRateHelperPillarDate(K20,Trigger),"--")</f>
        <v>--</v>
      </c>
      <c r="T20" s="4" t="str">
        <f t="shared" ca="1" si="0"/>
        <v/>
      </c>
      <c r="U20" s="4" t="e">
        <f ca="1"/>
        <v>#NAME?</v>
      </c>
      <c r="V20" s="4" t="str">
        <f ca="1">IFERROR(_xll.qlRateHelperQuoteName(U20,Trigger),"")</f>
        <v/>
      </c>
      <c r="W20" s="889" t="str">
        <f ca="1">IFERROR(_xll.qlRateHelperRate(U20,Trigger),"")</f>
        <v/>
      </c>
      <c r="X20" s="888" t="str">
        <f ca="1">IF(ISERROR(_xll.qlSwapRateHelperSpread($U20)),IF(ISERROR(_xll.qlFuturesRateHelperConvexityAdjustment($U20)),"",_xll.qlFuturesRateHelperConvexityAdjustment($U20)),_xll.qlSwapRateHelperSpread($U20))</f>
        <v/>
      </c>
      <c r="Y20" s="5" t="str">
        <f ca="1">IFERROR(_xll.qlRateHelperEarliestDate(U20,Trigger),"")</f>
        <v/>
      </c>
      <c r="Z20" s="5" t="str">
        <f ca="1">IFERROR(_xll.qlRateHelperPillarDate(U20,Trigger),"")</f>
        <v/>
      </c>
      <c r="AA20" s="887" t="e">
        <f ca="1"/>
        <v>#NAME?</v>
      </c>
      <c r="AB20" s="914"/>
      <c r="AC20" s="983">
        <v>10</v>
      </c>
      <c r="AD20" s="984" t="e">
        <f ca="1">_xll.qlCalendarEndOfMonth(Calendar,_xll.qlCalendarAdvance(Calendar,AD19,"1m","mf",TRUE),Trigger)</f>
        <v>#NAME?</v>
      </c>
      <c r="AE20" s="983" t="str">
        <f t="shared" si="5"/>
        <v>EURJump10_SYNTHON_Quote</v>
      </c>
      <c r="AF20" s="982" t="e">
        <f ca="1">_xll.qlDayCounterYearFraction("actual/360",AD20,_xll.qlCalendarAdvance(Calendar,AD20,"1D",,,Trigger))</f>
        <v>#NAME?</v>
      </c>
      <c r="AG20" s="979" t="e">
        <f ca="1">IF(_xll.qlQuoteIsValid(AE20,Trigger),_xll.qlQuoteValue(AE20,Trigger),1)</f>
        <v>#NAME?</v>
      </c>
      <c r="AH20" s="981" t="e">
        <f t="shared" ca="1" si="6"/>
        <v>#NAME?</v>
      </c>
      <c r="AI20" s="996"/>
      <c r="AJ20" s="979" t="str">
        <f t="shared" si="7"/>
        <v>EURJump10_SYNTHON_Quote</v>
      </c>
    </row>
    <row r="21" spans="1:36" ht="11.25" customHeight="1" x14ac:dyDescent="0.2">
      <c r="A21" s="897" t="s">
        <v>419</v>
      </c>
      <c r="B21" s="899" t="e">
        <f ca="1">_xll.qlIMMNextCode(Evaluationdate-1,TRUE,Trigger)</f>
        <v>#NAME?</v>
      </c>
      <c r="C21" s="915"/>
      <c r="D21" s="915"/>
      <c r="E21" s="896" t="str">
        <f>PROPER(Currency)&amp;FamilyName&amp;$E$19</f>
        <v>Euribor3M</v>
      </c>
      <c r="F21" s="1020" t="e">
        <f ca="1">Currency&amp;"OIS"&amp;B21&amp;QuoteSuffix</f>
        <v>#NAME?</v>
      </c>
      <c r="G21" s="1020">
        <v>0</v>
      </c>
      <c r="H21" s="47" t="e">
        <f ca="1">_xll.qlFuturesRateHelper(,F21,,B21,E21,G21,Permanent,Trigger,ObjectOverwrite)</f>
        <v>#NAME?</v>
      </c>
      <c r="I21" s="23"/>
      <c r="J21" s="886" t="str">
        <f>A25</f>
        <v>FUTON</v>
      </c>
      <c r="K21" s="882" t="str">
        <f>IF(ISBLANK(H25),"--",H25)</f>
        <v>--</v>
      </c>
      <c r="L21" s="885" t="str">
        <f ca="1">IFERROR(_xll.qlRateHelperQuoteName(K21,Trigger),"--")</f>
        <v>--</v>
      </c>
      <c r="M21" s="1021" t="str">
        <f ca="1">IFERROR(_xll.qlRateHelperQuoteValue($K21,Trigger),"--")</f>
        <v>--</v>
      </c>
      <c r="N21" s="883" t="b">
        <v>0</v>
      </c>
      <c r="O21" s="882">
        <v>50</v>
      </c>
      <c r="P21" s="882">
        <v>7</v>
      </c>
      <c r="Q21" s="881" t="str">
        <f ca="1">IFERROR(_xll.qlRateHelperEarliestDate(K21,Trigger),"--")</f>
        <v>--</v>
      </c>
      <c r="R21" s="881" t="str">
        <f ca="1">IFERROR(_xll.qlRateHelperPillarDate(K21,Trigger),"--")</f>
        <v>--</v>
      </c>
      <c r="T21" s="4" t="str">
        <f t="shared" ca="1" si="0"/>
        <v/>
      </c>
      <c r="U21" s="4" t="e">
        <f ca="1"/>
        <v>#NAME?</v>
      </c>
      <c r="V21" s="4" t="str">
        <f ca="1">IFERROR(_xll.qlRateHelperQuoteName(U21,Trigger),"")</f>
        <v/>
      </c>
      <c r="W21" s="889" t="str">
        <f ca="1">IFERROR(_xll.qlRateHelperRate(U21,Trigger),"")</f>
        <v/>
      </c>
      <c r="X21" s="888" t="str">
        <f ca="1">IF(ISERROR(_xll.qlSwapRateHelperSpread($U21)),IF(ISERROR(_xll.qlFuturesRateHelperConvexityAdjustment($U21)),"",_xll.qlFuturesRateHelperConvexityAdjustment($U21)),_xll.qlSwapRateHelperSpread($U21))</f>
        <v/>
      </c>
      <c r="Y21" s="5" t="str">
        <f ca="1">IFERROR(_xll.qlRateHelperEarliestDate(U21,Trigger),"")</f>
        <v/>
      </c>
      <c r="Z21" s="5" t="str">
        <f ca="1">IFERROR(_xll.qlRateHelperPillarDate(U21,Trigger),"")</f>
        <v/>
      </c>
      <c r="AA21" s="887" t="e">
        <f ca="1"/>
        <v>#NAME?</v>
      </c>
      <c r="AB21" s="914"/>
      <c r="AC21" s="983">
        <v>11</v>
      </c>
      <c r="AD21" s="984" t="e">
        <f ca="1">_xll.qlCalendarEndOfMonth(Calendar,_xll.qlCalendarAdvance(Calendar,AD20,"1m","mf",TRUE),Trigger)</f>
        <v>#NAME?</v>
      </c>
      <c r="AE21" s="983" t="str">
        <f t="shared" si="5"/>
        <v>EURJump11_SYNTHON_Quote</v>
      </c>
      <c r="AF21" s="982" t="e">
        <f ca="1">_xll.qlDayCounterYearFraction("actual/360",AD21,_xll.qlCalendarAdvance(Calendar,AD21,"1D",,,Trigger))</f>
        <v>#NAME?</v>
      </c>
      <c r="AG21" s="979" t="e">
        <f ca="1">IF(_xll.qlQuoteIsValid(AE21,Trigger),_xll.qlQuoteValue(AE21,Trigger),1)</f>
        <v>#NAME?</v>
      </c>
      <c r="AH21" s="981" t="e">
        <f t="shared" ca="1" si="6"/>
        <v>#NAME?</v>
      </c>
      <c r="AI21" s="996"/>
      <c r="AJ21" s="979" t="str">
        <f t="shared" si="7"/>
        <v>EURJump11_SYNTHON_Quote</v>
      </c>
    </row>
    <row r="22" spans="1:36" ht="11.25" customHeight="1" x14ac:dyDescent="0.2">
      <c r="A22" s="874" t="s">
        <v>419</v>
      </c>
      <c r="B22" s="876" t="e">
        <f ca="1">_xll.qlIMMNextCode(B21,TRUE,Trigger)</f>
        <v>#NAME?</v>
      </c>
      <c r="C22" s="910"/>
      <c r="D22" s="910"/>
      <c r="E22" s="877" t="str">
        <f>PROPER(Currency)&amp;FamilyName&amp;$E$19</f>
        <v>Euribor3M</v>
      </c>
      <c r="F22" s="1019" t="e">
        <f ca="1">Currency&amp;"OIS"&amp;B22&amp;QuoteSuffix</f>
        <v>#NAME?</v>
      </c>
      <c r="G22" s="1019">
        <v>0</v>
      </c>
      <c r="H22" s="43"/>
      <c r="J22" s="895" t="str">
        <f t="shared" ref="J22:J57" si="8">A28</f>
        <v>OIS</v>
      </c>
      <c r="K22" s="891" t="e">
        <f t="shared" ref="K22:K57" ca="1" si="9">IF(ISBLANK(H28),"--",H28)</f>
        <v>#NAME?</v>
      </c>
      <c r="L22" s="894" t="str">
        <f ca="1">IFERROR(_xll.qlRateHelperQuoteName(K22,Trigger),"--")</f>
        <v>--</v>
      </c>
      <c r="M22" s="893" t="str">
        <f ca="1">IFERROR(_xll.qlRateHelperQuoteValue($K22,Trigger),"--")</f>
        <v>--</v>
      </c>
      <c r="N22" s="892" t="b">
        <v>1</v>
      </c>
      <c r="O22" s="891">
        <v>50</v>
      </c>
      <c r="P22" s="891">
        <v>1</v>
      </c>
      <c r="Q22" s="890" t="str">
        <f ca="1">IFERROR(_xll.qlRateHelperEarliestDate(K22,Trigger),"--")</f>
        <v>--</v>
      </c>
      <c r="R22" s="890" t="str">
        <f ca="1">IFERROR(_xll.qlRateHelperPillarDate(K22,Trigger),"--")</f>
        <v>--</v>
      </c>
      <c r="T22" s="4" t="str">
        <f t="shared" ca="1" si="0"/>
        <v/>
      </c>
      <c r="U22" s="4" t="e">
        <f ca="1"/>
        <v>#NAME?</v>
      </c>
      <c r="V22" s="4" t="str">
        <f ca="1">IFERROR(_xll.qlRateHelperQuoteName(U22,Trigger),"")</f>
        <v/>
      </c>
      <c r="W22" s="889" t="str">
        <f ca="1">IFERROR(_xll.qlRateHelperRate(U22,Trigger),"")</f>
        <v/>
      </c>
      <c r="X22" s="888" t="str">
        <f ca="1">IF(ISERROR(_xll.qlSwapRateHelperSpread($U22)),IF(ISERROR(_xll.qlFuturesRateHelperConvexityAdjustment($U22)),"",_xll.qlFuturesRateHelperConvexityAdjustment($U22)),_xll.qlSwapRateHelperSpread($U22))</f>
        <v/>
      </c>
      <c r="Y22" s="5" t="str">
        <f ca="1">IFERROR(_xll.qlRateHelperEarliestDate(U22,Trigger),"")</f>
        <v/>
      </c>
      <c r="Z22" s="5" t="str">
        <f ca="1">IFERROR(_xll.qlRateHelperPillarDate(U22,Trigger),"")</f>
        <v/>
      </c>
      <c r="AA22" s="887" t="e">
        <f ca="1"/>
        <v>#NAME?</v>
      </c>
      <c r="AB22" s="914"/>
      <c r="AC22" s="983">
        <v>12</v>
      </c>
      <c r="AD22" s="984" t="e">
        <f ca="1">_xll.qlCalendarEndOfMonth(Calendar,_xll.qlCalendarAdvance(Calendar,AD21,"1m","mf",TRUE),Trigger)</f>
        <v>#NAME?</v>
      </c>
      <c r="AE22" s="983" t="str">
        <f t="shared" si="5"/>
        <v>EURJump12_SYNTHON_Quote</v>
      </c>
      <c r="AF22" s="982" t="e">
        <f ca="1">_xll.qlDayCounterYearFraction("actual/360",AD22,_xll.qlCalendarAdvance(Calendar,AD22,"1D",,,Trigger))</f>
        <v>#NAME?</v>
      </c>
      <c r="AG22" s="979" t="e">
        <f ca="1">IF(_xll.qlQuoteIsValid(AE22,Trigger),_xll.qlQuoteValue(AE22,Trigger),1)</f>
        <v>#NAME?</v>
      </c>
      <c r="AH22" s="981" t="e">
        <f t="shared" ca="1" si="6"/>
        <v>#NAME?</v>
      </c>
      <c r="AI22" s="996"/>
      <c r="AJ22" s="979" t="str">
        <f t="shared" si="7"/>
        <v>EURJump12_SYNTHON_Quote</v>
      </c>
    </row>
    <row r="23" spans="1:36" ht="11.25" customHeight="1" x14ac:dyDescent="0.2">
      <c r="A23" s="874" t="s">
        <v>419</v>
      </c>
      <c r="B23" s="876" t="e">
        <f ca="1">_xll.qlIMMNextCode(B22,TRUE,Trigger)</f>
        <v>#NAME?</v>
      </c>
      <c r="C23" s="910"/>
      <c r="D23" s="910"/>
      <c r="E23" s="877" t="str">
        <f>PROPER(Currency)&amp;FamilyName&amp;$E$19</f>
        <v>Euribor3M</v>
      </c>
      <c r="F23" s="1019" t="e">
        <f ca="1">Currency&amp;"OIS"&amp;B23&amp;QuoteSuffix</f>
        <v>#NAME?</v>
      </c>
      <c r="G23" s="1019">
        <v>0</v>
      </c>
      <c r="H23" s="43"/>
      <c r="J23" s="895" t="str">
        <f t="shared" si="8"/>
        <v>OIS</v>
      </c>
      <c r="K23" s="891" t="e">
        <f t="shared" ca="1" si="9"/>
        <v>#NAME?</v>
      </c>
      <c r="L23" s="894" t="str">
        <f ca="1">IFERROR(_xll.qlRateHelperQuoteName(K23,Trigger),"--")</f>
        <v>--</v>
      </c>
      <c r="M23" s="893" t="str">
        <f ca="1">IFERROR(_xll.qlRateHelperQuoteValue($K23,Trigger),"--")</f>
        <v>--</v>
      </c>
      <c r="N23" s="892" t="b">
        <v>1</v>
      </c>
      <c r="O23" s="891">
        <v>50</v>
      </c>
      <c r="P23" s="891">
        <v>1</v>
      </c>
      <c r="Q23" s="890" t="str">
        <f ca="1">IFERROR(_xll.qlRateHelperEarliestDate(K23,Trigger),"--")</f>
        <v>--</v>
      </c>
      <c r="R23" s="890" t="str">
        <f ca="1">IFERROR(_xll.qlRateHelperPillarDate(K23,Trigger),"--")</f>
        <v>--</v>
      </c>
      <c r="T23" s="4" t="str">
        <f t="shared" ca="1" si="0"/>
        <v/>
      </c>
      <c r="U23" s="4" t="e">
        <f ca="1"/>
        <v>#NAME?</v>
      </c>
      <c r="V23" s="4" t="str">
        <f ca="1">IFERROR(_xll.qlRateHelperQuoteName(U23,Trigger),"")</f>
        <v/>
      </c>
      <c r="W23" s="889" t="str">
        <f ca="1">IFERROR(_xll.qlRateHelperRate(U23,Trigger),"")</f>
        <v/>
      </c>
      <c r="X23" s="888" t="str">
        <f ca="1">IF(ISERROR(_xll.qlSwapRateHelperSpread($U23)),IF(ISERROR(_xll.qlFuturesRateHelperConvexityAdjustment($U23)),"",_xll.qlFuturesRateHelperConvexityAdjustment($U23)),_xll.qlSwapRateHelperSpread($U23))</f>
        <v/>
      </c>
      <c r="Y23" s="5" t="str">
        <f ca="1">IFERROR(_xll.qlRateHelperEarliestDate(U23,Trigger),"")</f>
        <v/>
      </c>
      <c r="Z23" s="5" t="str">
        <f ca="1">IFERROR(_xll.qlRateHelperPillarDate(U23,Trigger),"")</f>
        <v/>
      </c>
      <c r="AA23" s="887" t="e">
        <f ca="1"/>
        <v>#NAME?</v>
      </c>
      <c r="AB23" s="914"/>
      <c r="AC23" s="977">
        <v>13</v>
      </c>
      <c r="AD23" s="978" t="e">
        <f ca="1">_xll.qlCalendarAdjust(Calendar,DATE(YEAR(AD11)+1,12,31),"preceding",Trigger)</f>
        <v>#NAME?</v>
      </c>
      <c r="AE23" s="977" t="str">
        <f t="shared" si="5"/>
        <v>EURJump13_SYNTHON_Quote</v>
      </c>
      <c r="AF23" s="976" t="e">
        <f ca="1">_xll.qlDayCounterYearFraction("actual/360",AD23,_xll.qlCalendarAdvance(Calendar,AD23,"1D",,,Trigger))</f>
        <v>#NAME?</v>
      </c>
      <c r="AG23" s="973" t="e">
        <f ca="1">IF(_xll.qlQuoteIsValid(AE23,Trigger),_xll.qlQuoteValue(AE23,Trigger),1)</f>
        <v>#NAME?</v>
      </c>
      <c r="AH23" s="975" t="e">
        <f t="shared" ca="1" si="6"/>
        <v>#NAME?</v>
      </c>
      <c r="AI23" s="995"/>
      <c r="AJ23" s="973" t="str">
        <f t="shared" si="7"/>
        <v>EURJump13_SYNTHON_Quote</v>
      </c>
    </row>
    <row r="24" spans="1:36" ht="11.25" customHeight="1" x14ac:dyDescent="0.2">
      <c r="A24" s="874" t="s">
        <v>419</v>
      </c>
      <c r="B24" s="876" t="e">
        <f ca="1">_xll.qlIMMNextCode(B23,TRUE,Trigger)</f>
        <v>#NAME?</v>
      </c>
      <c r="C24" s="910"/>
      <c r="D24" s="910"/>
      <c r="E24" s="877" t="str">
        <f>PROPER(Currency)&amp;FamilyName&amp;$E$19</f>
        <v>Euribor3M</v>
      </c>
      <c r="F24" s="1019" t="e">
        <f ca="1">Currency&amp;"OIS"&amp;B24&amp;QuoteSuffix</f>
        <v>#NAME?</v>
      </c>
      <c r="G24" s="1019">
        <v>0</v>
      </c>
      <c r="H24" s="43"/>
      <c r="J24" s="895" t="str">
        <f t="shared" si="8"/>
        <v>OIS</v>
      </c>
      <c r="K24" s="891" t="e">
        <f t="shared" ca="1" si="9"/>
        <v>#NAME?</v>
      </c>
      <c r="L24" s="894" t="str">
        <f ca="1">IFERROR(_xll.qlRateHelperQuoteName(K24,Trigger),"--")</f>
        <v>--</v>
      </c>
      <c r="M24" s="893" t="str">
        <f ca="1">IFERROR(_xll.qlRateHelperQuoteValue($K24,Trigger),"--")</f>
        <v>--</v>
      </c>
      <c r="N24" s="892" t="b">
        <v>1</v>
      </c>
      <c r="O24" s="891">
        <v>50</v>
      </c>
      <c r="P24" s="891">
        <v>1</v>
      </c>
      <c r="Q24" s="890" t="str">
        <f ca="1">IFERROR(_xll.qlRateHelperEarliestDate(K24,Trigger),"--")</f>
        <v>--</v>
      </c>
      <c r="R24" s="890" t="str">
        <f ca="1">IFERROR(_xll.qlRateHelperPillarDate(K24,Trigger),"--")</f>
        <v>--</v>
      </c>
      <c r="T24" s="4" t="str">
        <f t="shared" ca="1" si="0"/>
        <v/>
      </c>
      <c r="U24" s="4" t="e">
        <f ca="1"/>
        <v>#NAME?</v>
      </c>
      <c r="V24" s="4" t="str">
        <f ca="1">IFERROR(_xll.qlRateHelperQuoteName(U24,Trigger),"")</f>
        <v/>
      </c>
      <c r="W24" s="889" t="str">
        <f ca="1">IFERROR(_xll.qlRateHelperRate(U24,Trigger),"")</f>
        <v/>
      </c>
      <c r="X24" s="888" t="str">
        <f ca="1">IF(ISERROR(_xll.qlSwapRateHelperSpread($U24)),IF(ISERROR(_xll.qlFuturesRateHelperConvexityAdjustment($U24)),"",_xll.qlFuturesRateHelperConvexityAdjustment($U24)),_xll.qlSwapRateHelperSpread($U24))</f>
        <v/>
      </c>
      <c r="Y24" s="5" t="str">
        <f ca="1">IFERROR(_xll.qlRateHelperEarliestDate(U24,Trigger),"")</f>
        <v/>
      </c>
      <c r="Z24" s="5" t="str">
        <f ca="1">IFERROR(_xll.qlRateHelperPillarDate(U24,Trigger),"")</f>
        <v/>
      </c>
      <c r="AA24" s="887" t="e">
        <f ca="1"/>
        <v>#NAME?</v>
      </c>
      <c r="AB24" s="914"/>
    </row>
    <row r="25" spans="1:36" ht="11.25" customHeight="1" x14ac:dyDescent="0.2">
      <c r="A25" s="870" t="s">
        <v>419</v>
      </c>
      <c r="B25" s="872" t="e">
        <f ca="1">_xll.qlIMMNextCode(B24,TRUE,Trigger)</f>
        <v>#NAME?</v>
      </c>
      <c r="C25" s="900"/>
      <c r="D25" s="900"/>
      <c r="E25" s="985" t="str">
        <f>PROPER(Currency)&amp;FamilyName&amp;$E$19</f>
        <v>Euribor3M</v>
      </c>
      <c r="F25" s="1018" t="e">
        <f ca="1">Currency&amp;"OIS"&amp;B25&amp;QuoteSuffix</f>
        <v>#NAME?</v>
      </c>
      <c r="G25" s="1018">
        <v>0</v>
      </c>
      <c r="H25" s="38"/>
      <c r="J25" s="895" t="str">
        <f t="shared" si="8"/>
        <v>OIS</v>
      </c>
      <c r="K25" s="891" t="e">
        <f t="shared" ca="1" si="9"/>
        <v>#NAME?</v>
      </c>
      <c r="L25" s="894" t="str">
        <f ca="1">IFERROR(_xll.qlRateHelperQuoteName(K25,Trigger),"--")</f>
        <v>--</v>
      </c>
      <c r="M25" s="893" t="str">
        <f ca="1">IFERROR(_xll.qlRateHelperQuoteValue($K25,Trigger),"--")</f>
        <v>--</v>
      </c>
      <c r="N25" s="892" t="b">
        <v>1</v>
      </c>
      <c r="O25" s="891">
        <v>50</v>
      </c>
      <c r="P25" s="891">
        <v>1</v>
      </c>
      <c r="Q25" s="890" t="str">
        <f ca="1">IFERROR(_xll.qlRateHelperEarliestDate(K25,Trigger),"--")</f>
        <v>--</v>
      </c>
      <c r="R25" s="890" t="str">
        <f ca="1">IFERROR(_xll.qlRateHelperPillarDate(K25,Trigger),"--")</f>
        <v>--</v>
      </c>
      <c r="T25" s="4" t="str">
        <f t="shared" ca="1" si="0"/>
        <v/>
      </c>
      <c r="U25" s="4" t="e">
        <f ca="1"/>
        <v>#NAME?</v>
      </c>
      <c r="V25" s="4" t="str">
        <f ca="1">IFERROR(_xll.qlRateHelperQuoteName(U25,Trigger),"")</f>
        <v/>
      </c>
      <c r="W25" s="889" t="str">
        <f ca="1">IFERROR(_xll.qlRateHelperRate(U25,Trigger),"")</f>
        <v/>
      </c>
      <c r="X25" s="888" t="str">
        <f ca="1">IF(ISERROR(_xll.qlSwapRateHelperSpread($U25)),IF(ISERROR(_xll.qlFuturesRateHelperConvexityAdjustment($U25)),"",_xll.qlFuturesRateHelperConvexityAdjustment($U25)),_xll.qlSwapRateHelperSpread($U25))</f>
        <v/>
      </c>
      <c r="Y25" s="5" t="str">
        <f ca="1">IFERROR(_xll.qlRateHelperEarliestDate(U25,Trigger),"")</f>
        <v/>
      </c>
      <c r="Z25" s="5" t="str">
        <f ca="1">IFERROR(_xll.qlRateHelperPillarDate(U25,Trigger),"")</f>
        <v/>
      </c>
      <c r="AA25" s="887" t="e">
        <f ca="1"/>
        <v>#NAME?</v>
      </c>
      <c r="AB25" s="914"/>
    </row>
    <row r="26" spans="1:36" ht="11.25" customHeight="1" x14ac:dyDescent="0.2">
      <c r="E26" s="239" t="s">
        <v>117</v>
      </c>
      <c r="J26" s="895" t="str">
        <f t="shared" si="8"/>
        <v>OIS</v>
      </c>
      <c r="K26" s="891" t="e">
        <f t="shared" ca="1" si="9"/>
        <v>#NAME?</v>
      </c>
      <c r="L26" s="894" t="str">
        <f ca="1">IFERROR(_xll.qlRateHelperQuoteName(K26,Trigger),"--")</f>
        <v>--</v>
      </c>
      <c r="M26" s="893" t="str">
        <f ca="1">IFERROR(_xll.qlRateHelperQuoteValue($K26,Trigger),"--")</f>
        <v>--</v>
      </c>
      <c r="N26" s="892" t="b">
        <v>1</v>
      </c>
      <c r="O26" s="891">
        <v>50</v>
      </c>
      <c r="P26" s="891">
        <v>1</v>
      </c>
      <c r="Q26" s="890" t="str">
        <f ca="1">IFERROR(_xll.qlRateHelperEarliestDate(K26,Trigger),"--")</f>
        <v>--</v>
      </c>
      <c r="R26" s="890" t="str">
        <f ca="1">IFERROR(_xll.qlRateHelperPillarDate(K26,Trigger),"--")</f>
        <v>--</v>
      </c>
      <c r="T26" s="4" t="str">
        <f t="shared" ca="1" si="0"/>
        <v/>
      </c>
      <c r="U26" s="4" t="e">
        <f ca="1"/>
        <v>#NAME?</v>
      </c>
      <c r="V26" s="4" t="str">
        <f ca="1">IFERROR(_xll.qlRateHelperQuoteName(U26,Trigger),"")</f>
        <v/>
      </c>
      <c r="W26" s="889" t="str">
        <f ca="1">IFERROR(_xll.qlRateHelperRate(U26,Trigger),"")</f>
        <v/>
      </c>
      <c r="X26" s="888" t="str">
        <f ca="1">IF(ISERROR(_xll.qlSwapRateHelperSpread($U26)),IF(ISERROR(_xll.qlFuturesRateHelperConvexityAdjustment($U26)),"",_xll.qlFuturesRateHelperConvexityAdjustment($U26)),_xll.qlSwapRateHelperSpread($U26))</f>
        <v/>
      </c>
      <c r="Y26" s="5" t="str">
        <f ca="1">IFERROR(_xll.qlRateHelperEarliestDate(U26,Trigger),"")</f>
        <v/>
      </c>
      <c r="Z26" s="5" t="str">
        <f ca="1">IFERROR(_xll.qlRateHelperPillarDate(U26,Trigger),"")</f>
        <v/>
      </c>
      <c r="AA26" s="887" t="e">
        <f ca="1"/>
        <v>#NAME?</v>
      </c>
      <c r="AB26" s="914"/>
    </row>
    <row r="27" spans="1:36" ht="11.25" customHeight="1" x14ac:dyDescent="0.2">
      <c r="A27" s="146" t="s">
        <v>388</v>
      </c>
      <c r="B27" s="146" t="s">
        <v>107</v>
      </c>
      <c r="C27" s="146" t="s">
        <v>418</v>
      </c>
      <c r="D27" s="146"/>
      <c r="E27" s="146" t="s">
        <v>14</v>
      </c>
      <c r="F27" s="146" t="s">
        <v>384</v>
      </c>
      <c r="G27" s="146"/>
      <c r="H27" s="146" t="s">
        <v>383</v>
      </c>
      <c r="J27" s="895" t="str">
        <f t="shared" si="8"/>
        <v>OIS</v>
      </c>
      <c r="K27" s="891" t="e">
        <f t="shared" ca="1" si="9"/>
        <v>#NAME?</v>
      </c>
      <c r="L27" s="894" t="str">
        <f ca="1">IFERROR(_xll.qlRateHelperQuoteName(K27,Trigger),"--")</f>
        <v>--</v>
      </c>
      <c r="M27" s="893" t="str">
        <f ca="1">IFERROR(_xll.qlRateHelperQuoteValue($K27,Trigger),"--")</f>
        <v>--</v>
      </c>
      <c r="N27" s="892" t="b">
        <v>1</v>
      </c>
      <c r="O27" s="891">
        <v>50</v>
      </c>
      <c r="P27" s="891">
        <v>1</v>
      </c>
      <c r="Q27" s="890" t="str">
        <f ca="1">IFERROR(_xll.qlRateHelperEarliestDate(K27,Trigger),"--")</f>
        <v>--</v>
      </c>
      <c r="R27" s="890" t="str">
        <f ca="1">IFERROR(_xll.qlRateHelperPillarDate(K27,Trigger),"--")</f>
        <v>--</v>
      </c>
      <c r="T27" s="4" t="str">
        <f t="shared" ca="1" si="0"/>
        <v/>
      </c>
      <c r="U27" s="4" t="e">
        <f ca="1"/>
        <v>#NAME?</v>
      </c>
      <c r="V27" s="4" t="str">
        <f ca="1">IFERROR(_xll.qlRateHelperQuoteName(U27,Trigger),"")</f>
        <v/>
      </c>
      <c r="W27" s="889" t="str">
        <f ca="1">IFERROR(_xll.qlRateHelperRate(U27,Trigger),"")</f>
        <v/>
      </c>
      <c r="X27" s="888" t="str">
        <f ca="1">IF(ISERROR(_xll.qlSwapRateHelperSpread($U27)),IF(ISERROR(_xll.qlFuturesRateHelperConvexityAdjustment($U27)),"",_xll.qlFuturesRateHelperConvexityAdjustment($U27)),_xll.qlSwapRateHelperSpread($U27))</f>
        <v/>
      </c>
      <c r="Y27" s="5" t="str">
        <f ca="1">IFERROR(_xll.qlRateHelperEarliestDate(U27,Trigger),"")</f>
        <v/>
      </c>
      <c r="Z27" s="5" t="str">
        <f ca="1">IFERROR(_xll.qlRateHelperPillarDate(U27,Trigger),"")</f>
        <v/>
      </c>
      <c r="AA27" s="887" t="e">
        <f ca="1"/>
        <v>#NAME?</v>
      </c>
      <c r="AB27" s="914"/>
    </row>
    <row r="28" spans="1:36" ht="11.25" customHeight="1" x14ac:dyDescent="0.2">
      <c r="A28" s="897" t="s">
        <v>135</v>
      </c>
      <c r="B28" s="899" t="s">
        <v>353</v>
      </c>
      <c r="C28" s="898">
        <f t="shared" ref="C28:C63" si="10">IF(B28="O/N",0,IF(B28="T/N",1,2))</f>
        <v>2</v>
      </c>
      <c r="D28" s="910"/>
      <c r="E28" s="912" t="str">
        <f t="shared" ref="E28:E63" si="11">$E$1</f>
        <v>Eonia</v>
      </c>
      <c r="F28" s="1020" t="str">
        <f t="shared" ref="F28:F63" si="12">Currency&amp;$E$26&amp;IF($B28="1W","SW",$B28)&amp;QuoteSuffix</f>
        <v>EUREONSW_Quote</v>
      </c>
      <c r="G28" s="910"/>
      <c r="H28" s="47" t="e">
        <f ca="1">_xll.qlOISRateHelper(,C28,B28,F28,$E28,,Permanent,Trigger,ObjectOverwrite)</f>
        <v>#NAME?</v>
      </c>
      <c r="J28" s="895" t="str">
        <f t="shared" si="8"/>
        <v>OIS</v>
      </c>
      <c r="K28" s="891" t="e">
        <f t="shared" ca="1" si="9"/>
        <v>#NAME?</v>
      </c>
      <c r="L28" s="894" t="str">
        <f ca="1">IFERROR(_xll.qlRateHelperQuoteName(K28,Trigger),"--")</f>
        <v>--</v>
      </c>
      <c r="M28" s="893" t="str">
        <f ca="1">IFERROR(_xll.qlRateHelperQuoteValue($K28,Trigger),"--")</f>
        <v>--</v>
      </c>
      <c r="N28" s="892" t="b">
        <v>1</v>
      </c>
      <c r="O28" s="891">
        <v>50</v>
      </c>
      <c r="P28" s="891">
        <v>1</v>
      </c>
      <c r="Q28" s="890" t="str">
        <f ca="1">IFERROR(_xll.qlRateHelperEarliestDate(K28,Trigger),"--")</f>
        <v>--</v>
      </c>
      <c r="R28" s="890" t="str">
        <f ca="1">IFERROR(_xll.qlRateHelperPillarDate(K28,Trigger),"--")</f>
        <v>--</v>
      </c>
      <c r="T28" s="4" t="str">
        <f t="shared" ca="1" si="0"/>
        <v/>
      </c>
      <c r="U28" s="4" t="e">
        <f ca="1"/>
        <v>#NAME?</v>
      </c>
      <c r="V28" s="4" t="str">
        <f ca="1">IFERROR(_xll.qlRateHelperQuoteName(U28,Trigger),"")</f>
        <v/>
      </c>
      <c r="W28" s="889" t="str">
        <f ca="1">IFERROR(_xll.qlRateHelperRate(U28,Trigger),"")</f>
        <v/>
      </c>
      <c r="X28" s="888" t="str">
        <f ca="1">IF(ISERROR(_xll.qlSwapRateHelperSpread($U28)),IF(ISERROR(_xll.qlFuturesRateHelperConvexityAdjustment($U28)),"",_xll.qlFuturesRateHelperConvexityAdjustment($U28)),_xll.qlSwapRateHelperSpread($U28))</f>
        <v/>
      </c>
      <c r="Y28" s="5" t="str">
        <f ca="1">IFERROR(_xll.qlRateHelperEarliestDate(U28,Trigger),"")</f>
        <v/>
      </c>
      <c r="Z28" s="5" t="str">
        <f ca="1">IFERROR(_xll.qlRateHelperPillarDate(U28,Trigger),"")</f>
        <v/>
      </c>
      <c r="AA28" s="887" t="e">
        <f ca="1"/>
        <v>#NAME?</v>
      </c>
      <c r="AB28" s="914"/>
    </row>
    <row r="29" spans="1:36" ht="11.25" customHeight="1" x14ac:dyDescent="0.2">
      <c r="A29" s="874" t="s">
        <v>135</v>
      </c>
      <c r="B29" s="876" t="s">
        <v>177</v>
      </c>
      <c r="C29" s="875">
        <f t="shared" si="10"/>
        <v>2</v>
      </c>
      <c r="D29" s="910"/>
      <c r="E29" s="912" t="str">
        <f t="shared" si="11"/>
        <v>Eonia</v>
      </c>
      <c r="F29" s="1019" t="str">
        <f t="shared" si="12"/>
        <v>EUREON2W_Quote</v>
      </c>
      <c r="G29" s="910"/>
      <c r="H29" s="43" t="e">
        <f ca="1">_xll.qlOISRateHelper(,C29,B29,F29,$E29,,Permanent,Trigger,ObjectOverwrite)</f>
        <v>#NAME?</v>
      </c>
      <c r="J29" s="895" t="str">
        <f t="shared" si="8"/>
        <v>OIS</v>
      </c>
      <c r="K29" s="891" t="e">
        <f t="shared" ca="1" si="9"/>
        <v>#NAME?</v>
      </c>
      <c r="L29" s="894" t="str">
        <f ca="1">IFERROR(_xll.qlRateHelperQuoteName(K29,Trigger),"--")</f>
        <v>--</v>
      </c>
      <c r="M29" s="893" t="str">
        <f ca="1">IFERROR(_xll.qlRateHelperQuoteValue($K29,Trigger),"--")</f>
        <v>--</v>
      </c>
      <c r="N29" s="892" t="b">
        <v>1</v>
      </c>
      <c r="O29" s="891">
        <v>50</v>
      </c>
      <c r="P29" s="891">
        <v>1</v>
      </c>
      <c r="Q29" s="890" t="str">
        <f ca="1">IFERROR(_xll.qlRateHelperEarliestDate(K29,Trigger),"--")</f>
        <v>--</v>
      </c>
      <c r="R29" s="890" t="str">
        <f ca="1">IFERROR(_xll.qlRateHelperPillarDate(K29,Trigger),"--")</f>
        <v>--</v>
      </c>
      <c r="T29" s="4" t="str">
        <f t="shared" ca="1" si="0"/>
        <v/>
      </c>
      <c r="U29" s="4" t="e">
        <f ca="1"/>
        <v>#NAME?</v>
      </c>
      <c r="V29" s="4" t="str">
        <f ca="1">IFERROR(_xll.qlRateHelperQuoteName(U29,Trigger),"")</f>
        <v/>
      </c>
      <c r="W29" s="889" t="str">
        <f ca="1">IFERROR(_xll.qlRateHelperRate(U29,Trigger),"")</f>
        <v/>
      </c>
      <c r="X29" s="888" t="str">
        <f ca="1">IF(ISERROR(_xll.qlSwapRateHelperSpread($U29)),IF(ISERROR(_xll.qlFuturesRateHelperConvexityAdjustment($U29)),"",_xll.qlFuturesRateHelperConvexityAdjustment($U29)),_xll.qlSwapRateHelperSpread($U29))</f>
        <v/>
      </c>
      <c r="Y29" s="5" t="str">
        <f ca="1">IFERROR(_xll.qlRateHelperEarliestDate(U29,Trigger),"")</f>
        <v/>
      </c>
      <c r="Z29" s="5" t="str">
        <f ca="1">IFERROR(_xll.qlRateHelperPillarDate(U29,Trigger),"")</f>
        <v/>
      </c>
      <c r="AA29" s="887" t="e">
        <f ca="1"/>
        <v>#NAME?</v>
      </c>
      <c r="AB29" s="914"/>
    </row>
    <row r="30" spans="1:36" ht="11.25" customHeight="1" x14ac:dyDescent="0.2">
      <c r="A30" s="874" t="s">
        <v>135</v>
      </c>
      <c r="B30" s="876" t="s">
        <v>176</v>
      </c>
      <c r="C30" s="875">
        <f t="shared" si="10"/>
        <v>2</v>
      </c>
      <c r="D30" s="910"/>
      <c r="E30" s="912" t="str">
        <f t="shared" si="11"/>
        <v>Eonia</v>
      </c>
      <c r="F30" s="1019" t="str">
        <f t="shared" si="12"/>
        <v>EUREON3W_Quote</v>
      </c>
      <c r="G30" s="910"/>
      <c r="H30" s="43" t="e">
        <f ca="1">_xll.qlOISRateHelper(,C30,B30,F30,$E30,,Permanent,Trigger,ObjectOverwrite)</f>
        <v>#NAME?</v>
      </c>
      <c r="J30" s="895" t="str">
        <f t="shared" si="8"/>
        <v>OIS</v>
      </c>
      <c r="K30" s="891" t="e">
        <f t="shared" ca="1" si="9"/>
        <v>#NAME?</v>
      </c>
      <c r="L30" s="894" t="str">
        <f ca="1">IFERROR(_xll.qlRateHelperQuoteName(K30,Trigger),"--")</f>
        <v>--</v>
      </c>
      <c r="M30" s="893" t="str">
        <f ca="1">IFERROR(_xll.qlRateHelperQuoteValue($K30,Trigger),"--")</f>
        <v>--</v>
      </c>
      <c r="N30" s="892" t="b">
        <v>1</v>
      </c>
      <c r="O30" s="891">
        <v>50</v>
      </c>
      <c r="P30" s="891">
        <v>1</v>
      </c>
      <c r="Q30" s="890" t="str">
        <f ca="1">IFERROR(_xll.qlRateHelperEarliestDate(K30,Trigger),"--")</f>
        <v>--</v>
      </c>
      <c r="R30" s="890" t="str">
        <f ca="1">IFERROR(_xll.qlRateHelperPillarDate(K30,Trigger),"--")</f>
        <v>--</v>
      </c>
      <c r="T30" s="4" t="str">
        <f t="shared" ca="1" si="0"/>
        <v/>
      </c>
      <c r="U30" s="4" t="e">
        <f ca="1"/>
        <v>#NAME?</v>
      </c>
      <c r="V30" s="4" t="str">
        <f ca="1">IFERROR(_xll.qlRateHelperQuoteName(U30,Trigger),"")</f>
        <v/>
      </c>
      <c r="W30" s="889" t="str">
        <f ca="1">IFERROR(_xll.qlRateHelperRate(U30,Trigger),"")</f>
        <v/>
      </c>
      <c r="X30" s="888" t="str">
        <f ca="1">IF(ISERROR(_xll.qlSwapRateHelperSpread($U30)),IF(ISERROR(_xll.qlFuturesRateHelperConvexityAdjustment($U30)),"",_xll.qlFuturesRateHelperConvexityAdjustment($U30)),_xll.qlSwapRateHelperSpread($U30))</f>
        <v/>
      </c>
      <c r="Y30" s="5" t="str">
        <f ca="1">IFERROR(_xll.qlRateHelperEarliestDate(U30,Trigger),"")</f>
        <v/>
      </c>
      <c r="Z30" s="5" t="str">
        <f ca="1">IFERROR(_xll.qlRateHelperPillarDate(U30,Trigger),"")</f>
        <v/>
      </c>
      <c r="AA30" s="887" t="e">
        <f ca="1"/>
        <v>#NAME?</v>
      </c>
      <c r="AB30" s="914"/>
    </row>
    <row r="31" spans="1:36" ht="11.25" customHeight="1" x14ac:dyDescent="0.2">
      <c r="A31" s="874" t="s">
        <v>135</v>
      </c>
      <c r="B31" s="876" t="s">
        <v>175</v>
      </c>
      <c r="C31" s="875">
        <f t="shared" si="10"/>
        <v>2</v>
      </c>
      <c r="D31" s="910"/>
      <c r="E31" s="912" t="str">
        <f t="shared" si="11"/>
        <v>Eonia</v>
      </c>
      <c r="F31" s="1019" t="str">
        <f t="shared" si="12"/>
        <v>EUREON1M_Quote</v>
      </c>
      <c r="G31" s="910"/>
      <c r="H31" s="43" t="e">
        <f ca="1">_xll.qlOISRateHelper(,C31,B31,F31,$E31,,Permanent,Trigger,ObjectOverwrite)</f>
        <v>#NAME?</v>
      </c>
      <c r="J31" s="895" t="str">
        <f t="shared" si="8"/>
        <v>OIS</v>
      </c>
      <c r="K31" s="891" t="e">
        <f t="shared" ca="1" si="9"/>
        <v>#NAME?</v>
      </c>
      <c r="L31" s="894" t="str">
        <f ca="1">IFERROR(_xll.qlRateHelperQuoteName(K31,Trigger),"--")</f>
        <v>--</v>
      </c>
      <c r="M31" s="893" t="str">
        <f ca="1">IFERROR(_xll.qlRateHelperQuoteValue($K31,Trigger),"--")</f>
        <v>--</v>
      </c>
      <c r="N31" s="892" t="b">
        <v>1</v>
      </c>
      <c r="O31" s="891">
        <v>50</v>
      </c>
      <c r="P31" s="891">
        <v>1</v>
      </c>
      <c r="Q31" s="890" t="str">
        <f ca="1">IFERROR(_xll.qlRateHelperEarliestDate(K31,Trigger),"--")</f>
        <v>--</v>
      </c>
      <c r="R31" s="890" t="str">
        <f ca="1">IFERROR(_xll.qlRateHelperPillarDate(K31,Trigger),"--")</f>
        <v>--</v>
      </c>
      <c r="T31" s="4" t="str">
        <f t="shared" ca="1" si="0"/>
        <v/>
      </c>
      <c r="U31" s="4" t="e">
        <f ca="1"/>
        <v>#NAME?</v>
      </c>
      <c r="V31" s="4" t="str">
        <f ca="1">IFERROR(_xll.qlRateHelperQuoteName(U31,Trigger),"")</f>
        <v/>
      </c>
      <c r="W31" s="889" t="str">
        <f ca="1">IFERROR(_xll.qlRateHelperRate(U31,Trigger),"")</f>
        <v/>
      </c>
      <c r="X31" s="888" t="str">
        <f ca="1">IF(ISERROR(_xll.qlSwapRateHelperSpread($U31)),IF(ISERROR(_xll.qlFuturesRateHelperConvexityAdjustment($U31)),"",_xll.qlFuturesRateHelperConvexityAdjustment($U31)),_xll.qlSwapRateHelperSpread($U31))</f>
        <v/>
      </c>
      <c r="Y31" s="5" t="str">
        <f ca="1">IFERROR(_xll.qlRateHelperEarliestDate(U31,Trigger),"")</f>
        <v/>
      </c>
      <c r="Z31" s="5" t="str">
        <f ca="1">IFERROR(_xll.qlRateHelperPillarDate(U31,Trigger),"")</f>
        <v/>
      </c>
      <c r="AA31" s="887" t="e">
        <f ca="1"/>
        <v>#NAME?</v>
      </c>
      <c r="AB31" s="914"/>
    </row>
    <row r="32" spans="1:36" ht="11.25" customHeight="1" x14ac:dyDescent="0.2">
      <c r="A32" s="874" t="s">
        <v>135</v>
      </c>
      <c r="B32" s="876" t="s">
        <v>174</v>
      </c>
      <c r="C32" s="875">
        <f t="shared" si="10"/>
        <v>2</v>
      </c>
      <c r="D32" s="910"/>
      <c r="E32" s="912" t="str">
        <f t="shared" si="11"/>
        <v>Eonia</v>
      </c>
      <c r="F32" s="1019" t="str">
        <f t="shared" si="12"/>
        <v>EUREON2M_Quote</v>
      </c>
      <c r="G32" s="910"/>
      <c r="H32" s="43" t="e">
        <f ca="1">_xll.qlOISRateHelper(,C32,B32,F32,$E32,,Permanent,Trigger,ObjectOverwrite)</f>
        <v>#NAME?</v>
      </c>
      <c r="J32" s="895" t="str">
        <f t="shared" si="8"/>
        <v>OIS</v>
      </c>
      <c r="K32" s="891" t="e">
        <f t="shared" ca="1" si="9"/>
        <v>#NAME?</v>
      </c>
      <c r="L32" s="894" t="str">
        <f ca="1">IFERROR(_xll.qlRateHelperQuoteName(K32,Trigger),"--")</f>
        <v>--</v>
      </c>
      <c r="M32" s="893" t="str">
        <f ca="1">IFERROR(_xll.qlRateHelperQuoteValue($K32,Trigger),"--")</f>
        <v>--</v>
      </c>
      <c r="N32" s="892" t="b">
        <v>1</v>
      </c>
      <c r="O32" s="891">
        <v>50</v>
      </c>
      <c r="P32" s="891">
        <v>1</v>
      </c>
      <c r="Q32" s="890" t="str">
        <f ca="1">IFERROR(_xll.qlRateHelperEarliestDate(K32,Trigger),"--")</f>
        <v>--</v>
      </c>
      <c r="R32" s="890" t="str">
        <f ca="1">IFERROR(_xll.qlRateHelperPillarDate(K32,Trigger),"--")</f>
        <v>--</v>
      </c>
      <c r="T32" s="4" t="str">
        <f t="shared" ca="1" si="0"/>
        <v/>
      </c>
      <c r="U32" s="4" t="e">
        <f ca="1"/>
        <v>#NAME?</v>
      </c>
      <c r="V32" s="4" t="str">
        <f ca="1">IFERROR(_xll.qlRateHelperQuoteName(U32,Trigger),"")</f>
        <v/>
      </c>
      <c r="W32" s="889" t="str">
        <f ca="1">IFERROR(_xll.qlRateHelperRate(U32,Trigger),"")</f>
        <v/>
      </c>
      <c r="X32" s="888" t="str">
        <f ca="1">IF(ISERROR(_xll.qlSwapRateHelperSpread($U32)),IF(ISERROR(_xll.qlFuturesRateHelperConvexityAdjustment($U32)),"",_xll.qlFuturesRateHelperConvexityAdjustment($U32)),_xll.qlSwapRateHelperSpread($U32))</f>
        <v/>
      </c>
      <c r="Y32" s="5" t="str">
        <f ca="1">IFERROR(_xll.qlRateHelperEarliestDate(U32,Trigger),"")</f>
        <v/>
      </c>
      <c r="Z32" s="5" t="str">
        <f ca="1">IFERROR(_xll.qlRateHelperPillarDate(U32,Trigger),"")</f>
        <v/>
      </c>
      <c r="AA32" s="887" t="e">
        <f ca="1"/>
        <v>#NAME?</v>
      </c>
      <c r="AB32" s="914"/>
    </row>
    <row r="33" spans="1:28" ht="11.25" customHeight="1" x14ac:dyDescent="0.2">
      <c r="A33" s="874" t="s">
        <v>135</v>
      </c>
      <c r="B33" s="876" t="s">
        <v>127</v>
      </c>
      <c r="C33" s="875">
        <f t="shared" si="10"/>
        <v>2</v>
      </c>
      <c r="D33" s="910"/>
      <c r="E33" s="912" t="str">
        <f t="shared" si="11"/>
        <v>Eonia</v>
      </c>
      <c r="F33" s="1019" t="str">
        <f t="shared" si="12"/>
        <v>EUREON3M_Quote</v>
      </c>
      <c r="G33" s="910"/>
      <c r="H33" s="43" t="e">
        <f ca="1">_xll.qlOISRateHelper(,C33,B33,F33,$E33,,Permanent,Trigger,ObjectOverwrite)</f>
        <v>#NAME?</v>
      </c>
      <c r="J33" s="895" t="str">
        <f t="shared" si="8"/>
        <v>OIS</v>
      </c>
      <c r="K33" s="891" t="e">
        <f t="shared" ca="1" si="9"/>
        <v>#NAME?</v>
      </c>
      <c r="L33" s="894" t="str">
        <f ca="1">IFERROR(_xll.qlRateHelperQuoteName(K33,Trigger),"--")</f>
        <v>--</v>
      </c>
      <c r="M33" s="893" t="str">
        <f ca="1">IFERROR(_xll.qlRateHelperQuoteValue($K33,Trigger),"--")</f>
        <v>--</v>
      </c>
      <c r="N33" s="892" t="b">
        <v>1</v>
      </c>
      <c r="O33" s="891">
        <v>50</v>
      </c>
      <c r="P33" s="891">
        <v>1</v>
      </c>
      <c r="Q33" s="890" t="str">
        <f ca="1">IFERROR(_xll.qlRateHelperEarliestDate(K33,Trigger),"--")</f>
        <v>--</v>
      </c>
      <c r="R33" s="890" t="str">
        <f ca="1">IFERROR(_xll.qlRateHelperPillarDate(K33,Trigger),"--")</f>
        <v>--</v>
      </c>
      <c r="T33" s="4" t="str">
        <f t="shared" ca="1" si="0"/>
        <v/>
      </c>
      <c r="U33" s="4" t="e">
        <f ca="1"/>
        <v>#NAME?</v>
      </c>
      <c r="V33" s="4" t="str">
        <f ca="1">IFERROR(_xll.qlRateHelperQuoteName(U33,Trigger),"")</f>
        <v/>
      </c>
      <c r="W33" s="889" t="str">
        <f ca="1">IFERROR(_xll.qlRateHelperRate(U33,Trigger),"")</f>
        <v/>
      </c>
      <c r="X33" s="888" t="str">
        <f ca="1">IF(ISERROR(_xll.qlSwapRateHelperSpread($U33)),IF(ISERROR(_xll.qlFuturesRateHelperConvexityAdjustment($U33)),"",_xll.qlFuturesRateHelperConvexityAdjustment($U33)),_xll.qlSwapRateHelperSpread($U33))</f>
        <v/>
      </c>
      <c r="Y33" s="5" t="str">
        <f ca="1">IFERROR(_xll.qlRateHelperEarliestDate(U33,Trigger),"")</f>
        <v/>
      </c>
      <c r="Z33" s="5" t="str">
        <f ca="1">IFERROR(_xll.qlRateHelperPillarDate(U33,Trigger),"")</f>
        <v/>
      </c>
      <c r="AA33" s="887" t="e">
        <f ca="1"/>
        <v>#NAME?</v>
      </c>
      <c r="AB33" s="914"/>
    </row>
    <row r="34" spans="1:28" ht="11.25" customHeight="1" x14ac:dyDescent="0.2">
      <c r="A34" s="874" t="s">
        <v>135</v>
      </c>
      <c r="B34" s="876" t="s">
        <v>173</v>
      </c>
      <c r="C34" s="875">
        <f t="shared" si="10"/>
        <v>2</v>
      </c>
      <c r="D34" s="910"/>
      <c r="E34" s="912" t="str">
        <f t="shared" si="11"/>
        <v>Eonia</v>
      </c>
      <c r="F34" s="1019" t="str">
        <f t="shared" si="12"/>
        <v>EUREON4M_Quote</v>
      </c>
      <c r="G34" s="910"/>
      <c r="H34" s="43" t="e">
        <f ca="1">_xll.qlOISRateHelper(,C34,B34,F34,$E34,,Permanent,Trigger,ObjectOverwrite)</f>
        <v>#NAME?</v>
      </c>
      <c r="J34" s="895" t="str">
        <f t="shared" si="8"/>
        <v>OIS</v>
      </c>
      <c r="K34" s="891" t="e">
        <f t="shared" ca="1" si="9"/>
        <v>#NAME?</v>
      </c>
      <c r="L34" s="894" t="str">
        <f ca="1">IFERROR(_xll.qlRateHelperQuoteName(K34,Trigger),"--")</f>
        <v>--</v>
      </c>
      <c r="M34" s="893" t="str">
        <f ca="1">IFERROR(_xll.qlRateHelperQuoteValue($K34,Trigger),"--")</f>
        <v>--</v>
      </c>
      <c r="N34" s="892" t="b">
        <v>1</v>
      </c>
      <c r="O34" s="891">
        <v>50</v>
      </c>
      <c r="P34" s="891">
        <v>1</v>
      </c>
      <c r="Q34" s="890" t="str">
        <f ca="1">IFERROR(_xll.qlRateHelperEarliestDate(K34,Trigger),"--")</f>
        <v>--</v>
      </c>
      <c r="R34" s="890" t="str">
        <f ca="1">IFERROR(_xll.qlRateHelperPillarDate(K34,Trigger),"--")</f>
        <v>--</v>
      </c>
      <c r="T34" s="4" t="str">
        <f t="shared" ca="1" si="0"/>
        <v/>
      </c>
      <c r="U34" s="4" t="e">
        <f ca="1"/>
        <v>#NAME?</v>
      </c>
      <c r="V34" s="4" t="str">
        <f ca="1">IFERROR(_xll.qlRateHelperQuoteName(U34,Trigger),"")</f>
        <v/>
      </c>
      <c r="W34" s="889" t="str">
        <f ca="1">IFERROR(_xll.qlRateHelperRate(U34,Trigger),"")</f>
        <v/>
      </c>
      <c r="X34" s="888" t="str">
        <f ca="1">IF(ISERROR(_xll.qlSwapRateHelperSpread($U34)),IF(ISERROR(_xll.qlFuturesRateHelperConvexityAdjustment($U34)),"",_xll.qlFuturesRateHelperConvexityAdjustment($U34)),_xll.qlSwapRateHelperSpread($U34))</f>
        <v/>
      </c>
      <c r="Y34" s="5" t="str">
        <f ca="1">IFERROR(_xll.qlRateHelperEarliestDate(U34,Trigger),"")</f>
        <v/>
      </c>
      <c r="Z34" s="5" t="str">
        <f ca="1">IFERROR(_xll.qlRateHelperPillarDate(U34,Trigger),"")</f>
        <v/>
      </c>
      <c r="AA34" s="887" t="e">
        <f ca="1"/>
        <v>#NAME?</v>
      </c>
      <c r="AB34" s="914"/>
    </row>
    <row r="35" spans="1:28" ht="11.25" customHeight="1" x14ac:dyDescent="0.2">
      <c r="A35" s="874" t="s">
        <v>135</v>
      </c>
      <c r="B35" s="876" t="s">
        <v>172</v>
      </c>
      <c r="C35" s="875">
        <f t="shared" si="10"/>
        <v>2</v>
      </c>
      <c r="D35" s="910"/>
      <c r="E35" s="912" t="str">
        <f t="shared" si="11"/>
        <v>Eonia</v>
      </c>
      <c r="F35" s="1019" t="str">
        <f t="shared" si="12"/>
        <v>EUREON5M_Quote</v>
      </c>
      <c r="G35" s="910"/>
      <c r="H35" s="43" t="e">
        <f ca="1">_xll.qlOISRateHelper(,C35,B35,F35,$E35,,Permanent,Trigger,ObjectOverwrite)</f>
        <v>#NAME?</v>
      </c>
      <c r="J35" s="895" t="str">
        <f t="shared" si="8"/>
        <v>OIS</v>
      </c>
      <c r="K35" s="891" t="e">
        <f t="shared" ca="1" si="9"/>
        <v>#NAME?</v>
      </c>
      <c r="L35" s="894" t="str">
        <f ca="1">IFERROR(_xll.qlRateHelperQuoteName(K35,Trigger),"--")</f>
        <v>--</v>
      </c>
      <c r="M35" s="893" t="str">
        <f ca="1">IFERROR(_xll.qlRateHelperQuoteValue($K35,Trigger),"--")</f>
        <v>--</v>
      </c>
      <c r="N35" s="892" t="b">
        <v>1</v>
      </c>
      <c r="O35" s="891">
        <v>50</v>
      </c>
      <c r="P35" s="891">
        <v>1</v>
      </c>
      <c r="Q35" s="890" t="str">
        <f ca="1">IFERROR(_xll.qlRateHelperEarliestDate(K35,Trigger),"--")</f>
        <v>--</v>
      </c>
      <c r="R35" s="890" t="str">
        <f ca="1">IFERROR(_xll.qlRateHelperPillarDate(K35,Trigger),"--")</f>
        <v>--</v>
      </c>
      <c r="T35" s="4" t="str">
        <f t="shared" ref="T35:T57" ca="1" si="13">IFERROR(INDEX($J$3:$J$57,MATCH(V35,$L$3:$L$57,0),1),"")</f>
        <v/>
      </c>
      <c r="U35" s="4" t="e">
        <f ca="1"/>
        <v>#NAME?</v>
      </c>
      <c r="V35" s="4" t="str">
        <f ca="1">IFERROR(_xll.qlRateHelperQuoteName(U35,Trigger),"")</f>
        <v/>
      </c>
      <c r="W35" s="889" t="str">
        <f ca="1">IFERROR(_xll.qlRateHelperRate(U35,Trigger),"")</f>
        <v/>
      </c>
      <c r="X35" s="888" t="str">
        <f ca="1">IF(ISERROR(_xll.qlSwapRateHelperSpread($U35)),IF(ISERROR(_xll.qlFuturesRateHelperConvexityAdjustment($U35)),"",_xll.qlFuturesRateHelperConvexityAdjustment($U35)),_xll.qlSwapRateHelperSpread($U35))</f>
        <v/>
      </c>
      <c r="Y35" s="5" t="str">
        <f ca="1">IFERROR(_xll.qlRateHelperEarliestDate(U35,Trigger),"")</f>
        <v/>
      </c>
      <c r="Z35" s="5" t="str">
        <f ca="1">IFERROR(_xll.qlRateHelperPillarDate(U35,Trigger),"")</f>
        <v/>
      </c>
      <c r="AA35" s="887" t="e">
        <f ca="1"/>
        <v>#NAME?</v>
      </c>
      <c r="AB35" s="914"/>
    </row>
    <row r="36" spans="1:28" ht="11.25" customHeight="1" x14ac:dyDescent="0.2">
      <c r="A36" s="874" t="s">
        <v>135</v>
      </c>
      <c r="B36" s="876" t="s">
        <v>92</v>
      </c>
      <c r="C36" s="875">
        <f t="shared" si="10"/>
        <v>2</v>
      </c>
      <c r="D36" s="910"/>
      <c r="E36" s="912" t="str">
        <f t="shared" si="11"/>
        <v>Eonia</v>
      </c>
      <c r="F36" s="1019" t="str">
        <f t="shared" si="12"/>
        <v>EUREON6M_Quote</v>
      </c>
      <c r="G36" s="910"/>
      <c r="H36" s="43" t="e">
        <f ca="1">_xll.qlOISRateHelper(,C36,B36,F36,$E36,,Permanent,Trigger,ObjectOverwrite)</f>
        <v>#NAME?</v>
      </c>
      <c r="J36" s="895" t="str">
        <f t="shared" si="8"/>
        <v>OIS</v>
      </c>
      <c r="K36" s="891" t="e">
        <f t="shared" ca="1" si="9"/>
        <v>#NAME?</v>
      </c>
      <c r="L36" s="894" t="str">
        <f ca="1">IFERROR(_xll.qlRateHelperQuoteName(K36,Trigger),"--")</f>
        <v>--</v>
      </c>
      <c r="M36" s="893" t="str">
        <f ca="1">IFERROR(_xll.qlRateHelperQuoteValue($K36,Trigger),"--")</f>
        <v>--</v>
      </c>
      <c r="N36" s="892" t="b">
        <v>1</v>
      </c>
      <c r="O36" s="891">
        <v>50</v>
      </c>
      <c r="P36" s="891">
        <v>1</v>
      </c>
      <c r="Q36" s="890" t="str">
        <f ca="1">IFERROR(_xll.qlRateHelperEarliestDate(K36,Trigger),"--")</f>
        <v>--</v>
      </c>
      <c r="R36" s="890" t="str">
        <f ca="1">IFERROR(_xll.qlRateHelperPillarDate(K36,Trigger),"--")</f>
        <v>--</v>
      </c>
      <c r="T36" s="4" t="str">
        <f t="shared" ca="1" si="13"/>
        <v/>
      </c>
      <c r="U36" s="4" t="e">
        <f ca="1"/>
        <v>#NAME?</v>
      </c>
      <c r="V36" s="4" t="str">
        <f ca="1">IFERROR(_xll.qlRateHelperQuoteName(U36,Trigger),"")</f>
        <v/>
      </c>
      <c r="W36" s="889" t="str">
        <f ca="1">IFERROR(_xll.qlRateHelperRate(U36,Trigger),"")</f>
        <v/>
      </c>
      <c r="X36" s="888" t="str">
        <f ca="1">IF(ISERROR(_xll.qlSwapRateHelperSpread($U36)),IF(ISERROR(_xll.qlFuturesRateHelperConvexityAdjustment($U36)),"",_xll.qlFuturesRateHelperConvexityAdjustment($U36)),_xll.qlSwapRateHelperSpread($U36))</f>
        <v/>
      </c>
      <c r="Y36" s="5" t="str">
        <f ca="1">IFERROR(_xll.qlRateHelperEarliestDate(U36,Trigger),"")</f>
        <v/>
      </c>
      <c r="Z36" s="5" t="str">
        <f ca="1">IFERROR(_xll.qlRateHelperPillarDate(U36,Trigger),"")</f>
        <v/>
      </c>
      <c r="AA36" s="887" t="e">
        <f ca="1"/>
        <v>#NAME?</v>
      </c>
      <c r="AB36" s="914"/>
    </row>
    <row r="37" spans="1:28" ht="11.25" customHeight="1" x14ac:dyDescent="0.2">
      <c r="A37" s="874" t="s">
        <v>135</v>
      </c>
      <c r="B37" s="876" t="s">
        <v>171</v>
      </c>
      <c r="C37" s="875">
        <f t="shared" si="10"/>
        <v>2</v>
      </c>
      <c r="D37" s="910"/>
      <c r="E37" s="912" t="str">
        <f t="shared" si="11"/>
        <v>Eonia</v>
      </c>
      <c r="F37" s="1019" t="str">
        <f t="shared" si="12"/>
        <v>EUREON7M_Quote</v>
      </c>
      <c r="G37" s="910"/>
      <c r="H37" s="43" t="e">
        <f ca="1">_xll.qlOISRateHelper(,C37,B37,F37,$E37,,Permanent,Trigger,ObjectOverwrite)</f>
        <v>#NAME?</v>
      </c>
      <c r="J37" s="895" t="str">
        <f t="shared" si="8"/>
        <v>OIS</v>
      </c>
      <c r="K37" s="891" t="e">
        <f t="shared" ca="1" si="9"/>
        <v>#NAME?</v>
      </c>
      <c r="L37" s="894" t="str">
        <f ca="1">IFERROR(_xll.qlRateHelperQuoteName(K37,Trigger),"--")</f>
        <v>--</v>
      </c>
      <c r="M37" s="893" t="str">
        <f ca="1">IFERROR(_xll.qlRateHelperQuoteValue($K37,Trigger),"--")</f>
        <v>--</v>
      </c>
      <c r="N37" s="892" t="b">
        <v>1</v>
      </c>
      <c r="O37" s="891">
        <v>50</v>
      </c>
      <c r="P37" s="891">
        <v>1</v>
      </c>
      <c r="Q37" s="890" t="str">
        <f ca="1">IFERROR(_xll.qlRateHelperEarliestDate(K37,Trigger),"--")</f>
        <v>--</v>
      </c>
      <c r="R37" s="890" t="str">
        <f ca="1">IFERROR(_xll.qlRateHelperPillarDate(K37,Trigger),"--")</f>
        <v>--</v>
      </c>
      <c r="T37" s="4" t="str">
        <f t="shared" ca="1" si="13"/>
        <v/>
      </c>
      <c r="U37" s="4" t="e">
        <f ca="1"/>
        <v>#NAME?</v>
      </c>
      <c r="V37" s="4" t="str">
        <f ca="1">IFERROR(_xll.qlRateHelperQuoteName(U37,Trigger),"")</f>
        <v/>
      </c>
      <c r="W37" s="889" t="str">
        <f ca="1">IFERROR(_xll.qlRateHelperRate(U37,Trigger),"")</f>
        <v/>
      </c>
      <c r="X37" s="888" t="str">
        <f ca="1">IF(ISERROR(_xll.qlSwapRateHelperSpread($U37)),IF(ISERROR(_xll.qlFuturesRateHelperConvexityAdjustment($U37)),"",_xll.qlFuturesRateHelperConvexityAdjustment($U37)),_xll.qlSwapRateHelperSpread($U37))</f>
        <v/>
      </c>
      <c r="Y37" s="5" t="str">
        <f ca="1">IFERROR(_xll.qlRateHelperEarliestDate(U37,Trigger),"")</f>
        <v/>
      </c>
      <c r="Z37" s="5" t="str">
        <f ca="1">IFERROR(_xll.qlRateHelperPillarDate(U37,Trigger),"")</f>
        <v/>
      </c>
      <c r="AA37" s="887" t="e">
        <f ca="1"/>
        <v>#NAME?</v>
      </c>
      <c r="AB37" s="914"/>
    </row>
    <row r="38" spans="1:28" ht="11.25" customHeight="1" x14ac:dyDescent="0.2">
      <c r="A38" s="874" t="s">
        <v>135</v>
      </c>
      <c r="B38" s="876" t="s">
        <v>170</v>
      </c>
      <c r="C38" s="875">
        <f t="shared" si="10"/>
        <v>2</v>
      </c>
      <c r="D38" s="910"/>
      <c r="E38" s="912" t="str">
        <f t="shared" si="11"/>
        <v>Eonia</v>
      </c>
      <c r="F38" s="1019" t="str">
        <f t="shared" si="12"/>
        <v>EUREON8M_Quote</v>
      </c>
      <c r="G38" s="910"/>
      <c r="H38" s="43" t="e">
        <f ca="1">_xll.qlOISRateHelper(,C38,B38,F38,$E38,,Permanent,Trigger,ObjectOverwrite)</f>
        <v>#NAME?</v>
      </c>
      <c r="J38" s="895" t="str">
        <f t="shared" si="8"/>
        <v>OIS</v>
      </c>
      <c r="K38" s="891" t="e">
        <f t="shared" ca="1" si="9"/>
        <v>#NAME?</v>
      </c>
      <c r="L38" s="894" t="str">
        <f ca="1">IFERROR(_xll.qlRateHelperQuoteName(K38,Trigger),"--")</f>
        <v>--</v>
      </c>
      <c r="M38" s="893" t="str">
        <f ca="1">IFERROR(_xll.qlRateHelperQuoteValue($K38,Trigger),"--")</f>
        <v>--</v>
      </c>
      <c r="N38" s="892" t="b">
        <v>1</v>
      </c>
      <c r="O38" s="891">
        <v>50</v>
      </c>
      <c r="P38" s="891">
        <v>1</v>
      </c>
      <c r="Q38" s="890" t="str">
        <f ca="1">IFERROR(_xll.qlRateHelperEarliestDate(K38,Trigger),"--")</f>
        <v>--</v>
      </c>
      <c r="R38" s="890" t="str">
        <f ca="1">IFERROR(_xll.qlRateHelperPillarDate(K38,Trigger),"--")</f>
        <v>--</v>
      </c>
      <c r="T38" s="4" t="str">
        <f t="shared" ca="1" si="13"/>
        <v/>
      </c>
      <c r="U38" s="4" t="e">
        <f ca="1"/>
        <v>#NAME?</v>
      </c>
      <c r="V38" s="4" t="str">
        <f ca="1">IFERROR(_xll.qlRateHelperQuoteName(U38,Trigger),"")</f>
        <v/>
      </c>
      <c r="W38" s="889" t="str">
        <f ca="1">IFERROR(_xll.qlRateHelperRate(U38,Trigger),"")</f>
        <v/>
      </c>
      <c r="X38" s="888" t="str">
        <f ca="1">IF(ISERROR(_xll.qlSwapRateHelperSpread($U38)),IF(ISERROR(_xll.qlFuturesRateHelperConvexityAdjustment($U38)),"",_xll.qlFuturesRateHelperConvexityAdjustment($U38)),_xll.qlSwapRateHelperSpread($U38))</f>
        <v/>
      </c>
      <c r="Y38" s="5" t="str">
        <f ca="1">IFERROR(_xll.qlRateHelperEarliestDate(U38,Trigger),"")</f>
        <v/>
      </c>
      <c r="Z38" s="5" t="str">
        <f ca="1">IFERROR(_xll.qlRateHelperPillarDate(U38,Trigger),"")</f>
        <v/>
      </c>
      <c r="AA38" s="887" t="e">
        <f ca="1"/>
        <v>#NAME?</v>
      </c>
    </row>
    <row r="39" spans="1:28" ht="11.25" customHeight="1" x14ac:dyDescent="0.2">
      <c r="A39" s="874" t="s">
        <v>135</v>
      </c>
      <c r="B39" s="876" t="s">
        <v>169</v>
      </c>
      <c r="C39" s="875">
        <f t="shared" si="10"/>
        <v>2</v>
      </c>
      <c r="D39" s="910"/>
      <c r="E39" s="912" t="str">
        <f t="shared" si="11"/>
        <v>Eonia</v>
      </c>
      <c r="F39" s="1019" t="str">
        <f t="shared" si="12"/>
        <v>EUREON9M_Quote</v>
      </c>
      <c r="G39" s="910"/>
      <c r="H39" s="43" t="e">
        <f ca="1">_xll.qlOISRateHelper(,C39,B39,F39,$E39,,Permanent,Trigger,ObjectOverwrite)</f>
        <v>#NAME?</v>
      </c>
      <c r="J39" s="895" t="str">
        <f t="shared" si="8"/>
        <v>OIS</v>
      </c>
      <c r="K39" s="891" t="e">
        <f t="shared" ca="1" si="9"/>
        <v>#NAME?</v>
      </c>
      <c r="L39" s="894" t="str">
        <f ca="1">IFERROR(_xll.qlRateHelperQuoteName(K39,Trigger),"--")</f>
        <v>--</v>
      </c>
      <c r="M39" s="893" t="str">
        <f ca="1">IFERROR(_xll.qlRateHelperQuoteValue($K39,Trigger),"--")</f>
        <v>--</v>
      </c>
      <c r="N39" s="892" t="b">
        <v>1</v>
      </c>
      <c r="O39" s="891">
        <v>50</v>
      </c>
      <c r="P39" s="891">
        <v>1</v>
      </c>
      <c r="Q39" s="890" t="str">
        <f ca="1">IFERROR(_xll.qlRateHelperEarliestDate(K39,Trigger),"--")</f>
        <v>--</v>
      </c>
      <c r="R39" s="890" t="str">
        <f ca="1">IFERROR(_xll.qlRateHelperPillarDate(K39,Trigger),"--")</f>
        <v>--</v>
      </c>
      <c r="T39" s="4" t="str">
        <f t="shared" ca="1" si="13"/>
        <v/>
      </c>
      <c r="U39" s="4" t="e">
        <f ca="1"/>
        <v>#NAME?</v>
      </c>
      <c r="V39" s="4" t="str">
        <f ca="1">IFERROR(_xll.qlRateHelperQuoteName(U39,Trigger),"")</f>
        <v/>
      </c>
      <c r="W39" s="889" t="str">
        <f ca="1">IFERROR(_xll.qlRateHelperRate(U39,Trigger),"")</f>
        <v/>
      </c>
      <c r="X39" s="888" t="str">
        <f ca="1">IF(ISERROR(_xll.qlSwapRateHelperSpread($U39)),IF(ISERROR(_xll.qlFuturesRateHelperConvexityAdjustment($U39)),"",_xll.qlFuturesRateHelperConvexityAdjustment($U39)),_xll.qlSwapRateHelperSpread($U39))</f>
        <v/>
      </c>
      <c r="Y39" s="5" t="str">
        <f ca="1">IFERROR(_xll.qlRateHelperEarliestDate(U39,Trigger),"")</f>
        <v/>
      </c>
      <c r="Z39" s="5" t="str">
        <f ca="1">IFERROR(_xll.qlRateHelperPillarDate(U39,Trigger),"")</f>
        <v/>
      </c>
      <c r="AA39" s="887" t="e">
        <f ca="1"/>
        <v>#NAME?</v>
      </c>
    </row>
    <row r="40" spans="1:28" ht="11.25" customHeight="1" x14ac:dyDescent="0.2">
      <c r="A40" s="874" t="s">
        <v>135</v>
      </c>
      <c r="B40" s="876" t="s">
        <v>168</v>
      </c>
      <c r="C40" s="875">
        <f t="shared" si="10"/>
        <v>2</v>
      </c>
      <c r="D40" s="910"/>
      <c r="E40" s="912" t="str">
        <f t="shared" si="11"/>
        <v>Eonia</v>
      </c>
      <c r="F40" s="1019" t="str">
        <f t="shared" si="12"/>
        <v>EUREON10M_Quote</v>
      </c>
      <c r="G40" s="910"/>
      <c r="H40" s="43" t="e">
        <f ca="1">_xll.qlOISRateHelper(,C40,B40,F40,$E40,,Permanent,Trigger,ObjectOverwrite)</f>
        <v>#NAME?</v>
      </c>
      <c r="J40" s="895" t="str">
        <f t="shared" si="8"/>
        <v>OIS</v>
      </c>
      <c r="K40" s="891" t="e">
        <f t="shared" ca="1" si="9"/>
        <v>#NAME?</v>
      </c>
      <c r="L40" s="894" t="str">
        <f ca="1">IFERROR(_xll.qlRateHelperQuoteName(K40,Trigger),"--")</f>
        <v>--</v>
      </c>
      <c r="M40" s="893" t="str">
        <f ca="1">IFERROR(_xll.qlRateHelperQuoteValue($K40,Trigger),"--")</f>
        <v>--</v>
      </c>
      <c r="N40" s="892" t="b">
        <v>1</v>
      </c>
      <c r="O40" s="891">
        <v>50</v>
      </c>
      <c r="P40" s="891">
        <v>1</v>
      </c>
      <c r="Q40" s="890" t="str">
        <f ca="1">IFERROR(_xll.qlRateHelperEarliestDate(K40,Trigger),"--")</f>
        <v>--</v>
      </c>
      <c r="R40" s="890" t="str">
        <f ca="1">IFERROR(_xll.qlRateHelperPillarDate(K40,Trigger),"--")</f>
        <v>--</v>
      </c>
      <c r="T40" s="4" t="str">
        <f t="shared" ca="1" si="13"/>
        <v/>
      </c>
      <c r="U40" s="4" t="e">
        <f ca="1"/>
        <v>#NAME?</v>
      </c>
      <c r="V40" s="4" t="str">
        <f ca="1">IFERROR(_xll.qlRateHelperQuoteName(U40,Trigger),"")</f>
        <v/>
      </c>
      <c r="W40" s="889" t="str">
        <f ca="1">IFERROR(_xll.qlRateHelperRate(U40,Trigger),"")</f>
        <v/>
      </c>
      <c r="X40" s="888" t="str">
        <f ca="1">IF(ISERROR(_xll.qlSwapRateHelperSpread($U40)),IF(ISERROR(_xll.qlFuturesRateHelperConvexityAdjustment($U40)),"",_xll.qlFuturesRateHelperConvexityAdjustment($U40)),_xll.qlSwapRateHelperSpread($U40))</f>
        <v/>
      </c>
      <c r="Y40" s="5" t="str">
        <f ca="1">IFERROR(_xll.qlRateHelperEarliestDate(U40,Trigger),"")</f>
        <v/>
      </c>
      <c r="Z40" s="5" t="str">
        <f ca="1">IFERROR(_xll.qlRateHelperPillarDate(U40,Trigger),"")</f>
        <v/>
      </c>
      <c r="AA40" s="887" t="e">
        <f ca="1"/>
        <v>#NAME?</v>
      </c>
    </row>
    <row r="41" spans="1:28" ht="11.25" customHeight="1" x14ac:dyDescent="0.2">
      <c r="A41" s="874" t="s">
        <v>135</v>
      </c>
      <c r="B41" s="876" t="s">
        <v>167</v>
      </c>
      <c r="C41" s="875">
        <f t="shared" si="10"/>
        <v>2</v>
      </c>
      <c r="D41" s="910"/>
      <c r="E41" s="912" t="str">
        <f t="shared" si="11"/>
        <v>Eonia</v>
      </c>
      <c r="F41" s="1019" t="str">
        <f t="shared" si="12"/>
        <v>EUREON11M_Quote</v>
      </c>
      <c r="G41" s="910"/>
      <c r="H41" s="43" t="e">
        <f ca="1">_xll.qlOISRateHelper(,C41,B41,F41,$E41,,Permanent,Trigger,ObjectOverwrite)</f>
        <v>#NAME?</v>
      </c>
      <c r="J41" s="895" t="str">
        <f t="shared" si="8"/>
        <v>OIS</v>
      </c>
      <c r="K41" s="891" t="e">
        <f t="shared" ca="1" si="9"/>
        <v>#NAME?</v>
      </c>
      <c r="L41" s="894" t="str">
        <f ca="1">IFERROR(_xll.qlRateHelperQuoteName(K41,Trigger),"--")</f>
        <v>--</v>
      </c>
      <c r="M41" s="893" t="str">
        <f ca="1">IFERROR(_xll.qlRateHelperQuoteValue($K41,Trigger),"--")</f>
        <v>--</v>
      </c>
      <c r="N41" s="892" t="b">
        <v>1</v>
      </c>
      <c r="O41" s="891">
        <v>50</v>
      </c>
      <c r="P41" s="891">
        <v>1</v>
      </c>
      <c r="Q41" s="890" t="str">
        <f ca="1">IFERROR(_xll.qlRateHelperEarliestDate(K41,Trigger),"--")</f>
        <v>--</v>
      </c>
      <c r="R41" s="890" t="str">
        <f ca="1">IFERROR(_xll.qlRateHelperPillarDate(K41,Trigger),"--")</f>
        <v>--</v>
      </c>
      <c r="T41" s="4" t="str">
        <f t="shared" ca="1" si="13"/>
        <v/>
      </c>
      <c r="U41" s="4" t="e">
        <f ca="1"/>
        <v>#NAME?</v>
      </c>
      <c r="V41" s="4" t="str">
        <f ca="1">IFERROR(_xll.qlRateHelperQuoteName(U41,Trigger),"")</f>
        <v/>
      </c>
      <c r="W41" s="889" t="str">
        <f ca="1">IFERROR(_xll.qlRateHelperRate(U41,Trigger),"")</f>
        <v/>
      </c>
      <c r="X41" s="888" t="str">
        <f ca="1">IF(ISERROR(_xll.qlSwapRateHelperSpread($U41)),IF(ISERROR(_xll.qlFuturesRateHelperConvexityAdjustment($U41)),"",_xll.qlFuturesRateHelperConvexityAdjustment($U41)),_xll.qlSwapRateHelperSpread($U41))</f>
        <v/>
      </c>
      <c r="Y41" s="5" t="str">
        <f ca="1">IFERROR(_xll.qlRateHelperEarliestDate(U41,Trigger),"")</f>
        <v/>
      </c>
      <c r="Z41" s="5" t="str">
        <f ca="1">IFERROR(_xll.qlRateHelperPillarDate(U41,Trigger),"")</f>
        <v/>
      </c>
      <c r="AA41" s="887" t="e">
        <f ca="1"/>
        <v>#NAME?</v>
      </c>
    </row>
    <row r="42" spans="1:28" ht="11.25" customHeight="1" x14ac:dyDescent="0.2">
      <c r="A42" s="874" t="s">
        <v>135</v>
      </c>
      <c r="B42" s="876" t="s">
        <v>58</v>
      </c>
      <c r="C42" s="875">
        <f t="shared" si="10"/>
        <v>2</v>
      </c>
      <c r="D42" s="910"/>
      <c r="E42" s="912" t="str">
        <f t="shared" si="11"/>
        <v>Eonia</v>
      </c>
      <c r="F42" s="1019" t="str">
        <f t="shared" si="12"/>
        <v>EUREON1Y_Quote</v>
      </c>
      <c r="G42" s="910"/>
      <c r="H42" s="43" t="e">
        <f ca="1">_xll.qlOISRateHelper(,C42,B42,F42,$E42,,Permanent,Trigger,ObjectOverwrite)</f>
        <v>#NAME?</v>
      </c>
      <c r="J42" s="895" t="str">
        <f t="shared" si="8"/>
        <v>OIS</v>
      </c>
      <c r="K42" s="891" t="e">
        <f t="shared" ca="1" si="9"/>
        <v>#NAME?</v>
      </c>
      <c r="L42" s="894" t="str">
        <f ca="1">IFERROR(_xll.qlRateHelperQuoteName(K42,Trigger),"--")</f>
        <v>--</v>
      </c>
      <c r="M42" s="893" t="str">
        <f ca="1">IFERROR(_xll.qlRateHelperQuoteValue($K42,Trigger),"--")</f>
        <v>--</v>
      </c>
      <c r="N42" s="892" t="b">
        <v>1</v>
      </c>
      <c r="O42" s="891">
        <v>50</v>
      </c>
      <c r="P42" s="891">
        <v>1</v>
      </c>
      <c r="Q42" s="890" t="str">
        <f ca="1">IFERROR(_xll.qlRateHelperEarliestDate(K42,Trigger),"--")</f>
        <v>--</v>
      </c>
      <c r="R42" s="890" t="str">
        <f ca="1">IFERROR(_xll.qlRateHelperPillarDate(K42,Trigger),"--")</f>
        <v>--</v>
      </c>
      <c r="T42" s="4" t="str">
        <f t="shared" ca="1" si="13"/>
        <v/>
      </c>
      <c r="U42" s="4" t="e">
        <f ca="1"/>
        <v>#NAME?</v>
      </c>
      <c r="V42" s="4" t="str">
        <f ca="1">IFERROR(_xll.qlRateHelperQuoteName(U42,Trigger),"")</f>
        <v/>
      </c>
      <c r="W42" s="889" t="str">
        <f ca="1">IFERROR(_xll.qlRateHelperRate(U42,Trigger),"")</f>
        <v/>
      </c>
      <c r="X42" s="888" t="str">
        <f ca="1">IF(ISERROR(_xll.qlSwapRateHelperSpread($U42)),IF(ISERROR(_xll.qlFuturesRateHelperConvexityAdjustment($U42)),"",_xll.qlFuturesRateHelperConvexityAdjustment($U42)),_xll.qlSwapRateHelperSpread($U42))</f>
        <v/>
      </c>
      <c r="Y42" s="5" t="str">
        <f ca="1">IFERROR(_xll.qlRateHelperEarliestDate(U42,Trigger),"")</f>
        <v/>
      </c>
      <c r="Z42" s="5" t="str">
        <f ca="1">IFERROR(_xll.qlRateHelperPillarDate(U42,Trigger),"")</f>
        <v/>
      </c>
      <c r="AA42" s="887" t="e">
        <f ca="1"/>
        <v>#NAME?</v>
      </c>
    </row>
    <row r="43" spans="1:28" ht="11.25" customHeight="1" x14ac:dyDescent="0.2">
      <c r="A43" s="874" t="s">
        <v>135</v>
      </c>
      <c r="B43" s="876" t="s">
        <v>57</v>
      </c>
      <c r="C43" s="875">
        <f t="shared" si="10"/>
        <v>2</v>
      </c>
      <c r="D43" s="910"/>
      <c r="E43" s="912" t="str">
        <f t="shared" si="11"/>
        <v>Eonia</v>
      </c>
      <c r="F43" s="1019" t="str">
        <f t="shared" si="12"/>
        <v>EUREON15M_Quote</v>
      </c>
      <c r="G43" s="910"/>
      <c r="H43" s="43" t="e">
        <f ca="1">_xll.qlOISRateHelper(,C43,B43,F43,$E43,,Permanent,Trigger,ObjectOverwrite)</f>
        <v>#NAME?</v>
      </c>
      <c r="J43" s="895" t="str">
        <f t="shared" si="8"/>
        <v>OIS</v>
      </c>
      <c r="K43" s="891" t="e">
        <f t="shared" ca="1" si="9"/>
        <v>#NAME?</v>
      </c>
      <c r="L43" s="894" t="str">
        <f ca="1">IFERROR(_xll.qlRateHelperQuoteName(K43,Trigger),"--")</f>
        <v>--</v>
      </c>
      <c r="M43" s="893" t="str">
        <f ca="1">IFERROR(_xll.qlRateHelperQuoteValue($K43,Trigger),"--")</f>
        <v>--</v>
      </c>
      <c r="N43" s="892" t="b">
        <v>1</v>
      </c>
      <c r="O43" s="891">
        <v>50</v>
      </c>
      <c r="P43" s="891">
        <v>1</v>
      </c>
      <c r="Q43" s="890" t="str">
        <f ca="1">IFERROR(_xll.qlRateHelperEarliestDate(K43,Trigger),"--")</f>
        <v>--</v>
      </c>
      <c r="R43" s="890" t="str">
        <f ca="1">IFERROR(_xll.qlRateHelperPillarDate(K43,Trigger),"--")</f>
        <v>--</v>
      </c>
      <c r="T43" s="4" t="str">
        <f t="shared" ca="1" si="13"/>
        <v/>
      </c>
      <c r="U43" s="4" t="e">
        <f ca="1"/>
        <v>#NAME?</v>
      </c>
      <c r="V43" s="4" t="str">
        <f ca="1">IFERROR(_xll.qlRateHelperQuoteName(U43,Trigger),"")</f>
        <v/>
      </c>
      <c r="W43" s="889" t="str">
        <f ca="1">IFERROR(_xll.qlRateHelperRate(U43,Trigger),"")</f>
        <v/>
      </c>
      <c r="X43" s="888" t="str">
        <f ca="1">IF(ISERROR(_xll.qlSwapRateHelperSpread($U43)),IF(ISERROR(_xll.qlFuturesRateHelperConvexityAdjustment($U43)),"",_xll.qlFuturesRateHelperConvexityAdjustment($U43)),_xll.qlSwapRateHelperSpread($U43))</f>
        <v/>
      </c>
      <c r="Y43" s="5" t="str">
        <f ca="1">IFERROR(_xll.qlRateHelperEarliestDate(U43,Trigger),"")</f>
        <v/>
      </c>
      <c r="Z43" s="5" t="str">
        <f ca="1">IFERROR(_xll.qlRateHelperPillarDate(U43,Trigger),"")</f>
        <v/>
      </c>
      <c r="AA43" s="887" t="e">
        <f ca="1"/>
        <v>#NAME?</v>
      </c>
    </row>
    <row r="44" spans="1:28" ht="11.25" customHeight="1" x14ac:dyDescent="0.2">
      <c r="A44" s="874" t="s">
        <v>135</v>
      </c>
      <c r="B44" s="876" t="s">
        <v>56</v>
      </c>
      <c r="C44" s="875">
        <f t="shared" si="10"/>
        <v>2</v>
      </c>
      <c r="D44" s="910"/>
      <c r="E44" s="912" t="str">
        <f t="shared" si="11"/>
        <v>Eonia</v>
      </c>
      <c r="F44" s="1019" t="str">
        <f t="shared" si="12"/>
        <v>EUREON18M_Quote</v>
      </c>
      <c r="G44" s="910"/>
      <c r="H44" s="43" t="e">
        <f ca="1">_xll.qlOISRateHelper(,C44,B44,F44,$E44,,Permanent,Trigger,ObjectOverwrite)</f>
        <v>#NAME?</v>
      </c>
      <c r="J44" s="895" t="str">
        <f t="shared" si="8"/>
        <v>OIS</v>
      </c>
      <c r="K44" s="891" t="e">
        <f t="shared" ca="1" si="9"/>
        <v>#NAME?</v>
      </c>
      <c r="L44" s="894" t="str">
        <f ca="1">IFERROR(_xll.qlRateHelperQuoteName(K44,Trigger),"--")</f>
        <v>--</v>
      </c>
      <c r="M44" s="893" t="str">
        <f ca="1">IFERROR(_xll.qlRateHelperQuoteValue($K44,Trigger),"--")</f>
        <v>--</v>
      </c>
      <c r="N44" s="892" t="b">
        <v>1</v>
      </c>
      <c r="O44" s="891">
        <v>50</v>
      </c>
      <c r="P44" s="891">
        <v>1</v>
      </c>
      <c r="Q44" s="890" t="str">
        <f ca="1">IFERROR(_xll.qlRateHelperEarliestDate(K44,Trigger),"--")</f>
        <v>--</v>
      </c>
      <c r="R44" s="890" t="str">
        <f ca="1">IFERROR(_xll.qlRateHelperPillarDate(K44,Trigger),"--")</f>
        <v>--</v>
      </c>
      <c r="T44" s="4" t="str">
        <f t="shared" ca="1" si="13"/>
        <v/>
      </c>
      <c r="U44" s="4" t="e">
        <f ca="1"/>
        <v>#NAME?</v>
      </c>
      <c r="V44" s="4" t="str">
        <f ca="1">IFERROR(_xll.qlRateHelperQuoteName(U44,Trigger),"")</f>
        <v/>
      </c>
      <c r="W44" s="889" t="str">
        <f ca="1">IFERROR(_xll.qlRateHelperRate(U44,Trigger),"")</f>
        <v/>
      </c>
      <c r="X44" s="888" t="str">
        <f ca="1">IF(ISERROR(_xll.qlSwapRateHelperSpread($U44)),IF(ISERROR(_xll.qlFuturesRateHelperConvexityAdjustment($U44)),"",_xll.qlFuturesRateHelperConvexityAdjustment($U44)),_xll.qlSwapRateHelperSpread($U44))</f>
        <v/>
      </c>
      <c r="Y44" s="5" t="str">
        <f ca="1">IFERROR(_xll.qlRateHelperEarliestDate(U44,Trigger),"")</f>
        <v/>
      </c>
      <c r="Z44" s="5" t="str">
        <f ca="1">IFERROR(_xll.qlRateHelperPillarDate(U44,Trigger),"")</f>
        <v/>
      </c>
      <c r="AA44" s="887" t="e">
        <f ca="1"/>
        <v>#NAME?</v>
      </c>
    </row>
    <row r="45" spans="1:28" ht="11.25" customHeight="1" x14ac:dyDescent="0.2">
      <c r="A45" s="874" t="s">
        <v>135</v>
      </c>
      <c r="B45" s="876" t="s">
        <v>55</v>
      </c>
      <c r="C45" s="875">
        <f t="shared" si="10"/>
        <v>2</v>
      </c>
      <c r="D45" s="910"/>
      <c r="E45" s="912" t="str">
        <f t="shared" si="11"/>
        <v>Eonia</v>
      </c>
      <c r="F45" s="1019" t="str">
        <f t="shared" si="12"/>
        <v>EUREON21M_Quote</v>
      </c>
      <c r="G45" s="910"/>
      <c r="H45" s="43" t="e">
        <f ca="1">_xll.qlOISRateHelper(,C45,B45,F45,$E45,,Permanent,Trigger,ObjectOverwrite)</f>
        <v>#NAME?</v>
      </c>
      <c r="J45" s="895" t="str">
        <f t="shared" si="8"/>
        <v>OIS</v>
      </c>
      <c r="K45" s="891" t="e">
        <f t="shared" ca="1" si="9"/>
        <v>#NAME?</v>
      </c>
      <c r="L45" s="894" t="str">
        <f ca="1">IFERROR(_xll.qlRateHelperQuoteName(K45,Trigger),"--")</f>
        <v>--</v>
      </c>
      <c r="M45" s="893" t="str">
        <f ca="1">IFERROR(_xll.qlRateHelperQuoteValue($K45,Trigger),"--")</f>
        <v>--</v>
      </c>
      <c r="N45" s="892" t="b">
        <v>1</v>
      </c>
      <c r="O45" s="891">
        <v>50</v>
      </c>
      <c r="P45" s="891">
        <v>1</v>
      </c>
      <c r="Q45" s="890" t="str">
        <f ca="1">IFERROR(_xll.qlRateHelperEarliestDate(K45,Trigger),"--")</f>
        <v>--</v>
      </c>
      <c r="R45" s="890" t="str">
        <f ca="1">IFERROR(_xll.qlRateHelperPillarDate(K45,Trigger),"--")</f>
        <v>--</v>
      </c>
      <c r="T45" s="4" t="str">
        <f t="shared" ca="1" si="13"/>
        <v/>
      </c>
      <c r="U45" s="4" t="e">
        <f ca="1"/>
        <v>#NAME?</v>
      </c>
      <c r="V45" s="4" t="str">
        <f ca="1">IFERROR(_xll.qlRateHelperQuoteName(U45,Trigger),"")</f>
        <v/>
      </c>
      <c r="W45" s="889" t="str">
        <f ca="1">IFERROR(_xll.qlRateHelperRate(U45,Trigger),"")</f>
        <v/>
      </c>
      <c r="X45" s="888" t="str">
        <f ca="1">IF(ISERROR(_xll.qlSwapRateHelperSpread($U45)),IF(ISERROR(_xll.qlFuturesRateHelperConvexityAdjustment($U45)),"",_xll.qlFuturesRateHelperConvexityAdjustment($U45)),_xll.qlSwapRateHelperSpread($U45))</f>
        <v/>
      </c>
      <c r="Y45" s="5" t="str">
        <f ca="1">IFERROR(_xll.qlRateHelperEarliestDate(U45,Trigger),"")</f>
        <v/>
      </c>
      <c r="Z45" s="5" t="str">
        <f ca="1">IFERROR(_xll.qlRateHelperPillarDate(U45,Trigger),"")</f>
        <v/>
      </c>
      <c r="AA45" s="887" t="e">
        <f ca="1"/>
        <v>#NAME?</v>
      </c>
    </row>
    <row r="46" spans="1:28" ht="11.25" customHeight="1" x14ac:dyDescent="0.2">
      <c r="A46" s="874" t="s">
        <v>135</v>
      </c>
      <c r="B46" s="876" t="s">
        <v>54</v>
      </c>
      <c r="C46" s="875">
        <f t="shared" si="10"/>
        <v>2</v>
      </c>
      <c r="D46" s="910"/>
      <c r="E46" s="912" t="str">
        <f t="shared" si="11"/>
        <v>Eonia</v>
      </c>
      <c r="F46" s="1019" t="str">
        <f t="shared" si="12"/>
        <v>EUREON2Y_Quote</v>
      </c>
      <c r="G46" s="910"/>
      <c r="H46" s="43" t="e">
        <f ca="1">_xll.qlOISRateHelper(,C46,B46,F46,$E46,,Permanent,Trigger,ObjectOverwrite)</f>
        <v>#NAME?</v>
      </c>
      <c r="J46" s="895" t="str">
        <f t="shared" si="8"/>
        <v>OIS</v>
      </c>
      <c r="K46" s="891" t="e">
        <f t="shared" ca="1" si="9"/>
        <v>#NAME?</v>
      </c>
      <c r="L46" s="894" t="str">
        <f ca="1">IFERROR(_xll.qlRateHelperQuoteName(K46,Trigger),"--")</f>
        <v>--</v>
      </c>
      <c r="M46" s="893" t="str">
        <f ca="1">IFERROR(_xll.qlRateHelperQuoteValue($K46,Trigger),"--")</f>
        <v>--</v>
      </c>
      <c r="N46" s="892" t="b">
        <v>1</v>
      </c>
      <c r="O46" s="891">
        <v>50</v>
      </c>
      <c r="P46" s="891">
        <v>1</v>
      </c>
      <c r="Q46" s="890" t="str">
        <f ca="1">IFERROR(_xll.qlRateHelperEarliestDate(K46,Trigger),"--")</f>
        <v>--</v>
      </c>
      <c r="R46" s="890" t="str">
        <f ca="1">IFERROR(_xll.qlRateHelperPillarDate(K46,Trigger),"--")</f>
        <v>--</v>
      </c>
      <c r="T46" s="4" t="str">
        <f t="shared" ca="1" si="13"/>
        <v/>
      </c>
      <c r="U46" s="4" t="e">
        <f ca="1"/>
        <v>#NAME?</v>
      </c>
      <c r="V46" s="4" t="str">
        <f ca="1">IFERROR(_xll.qlRateHelperQuoteName(U46,Trigger),"")</f>
        <v/>
      </c>
      <c r="W46" s="889" t="str">
        <f ca="1">IFERROR(_xll.qlRateHelperRate(U46,Trigger),"")</f>
        <v/>
      </c>
      <c r="X46" s="888" t="str">
        <f ca="1">IF(ISERROR(_xll.qlSwapRateHelperSpread($U46)),IF(ISERROR(_xll.qlFuturesRateHelperConvexityAdjustment($U46)),"",_xll.qlFuturesRateHelperConvexityAdjustment($U46)),_xll.qlSwapRateHelperSpread($U46))</f>
        <v/>
      </c>
      <c r="Y46" s="5" t="str">
        <f ca="1">IFERROR(_xll.qlRateHelperEarliestDate(U46,Trigger),"")</f>
        <v/>
      </c>
      <c r="Z46" s="5" t="str">
        <f ca="1">IFERROR(_xll.qlRateHelperPillarDate(U46,Trigger),"")</f>
        <v/>
      </c>
      <c r="AA46" s="887" t="e">
        <f ca="1"/>
        <v>#NAME?</v>
      </c>
    </row>
    <row r="47" spans="1:28" ht="11.25" customHeight="1" x14ac:dyDescent="0.2">
      <c r="A47" s="874" t="s">
        <v>135</v>
      </c>
      <c r="B47" s="876" t="s">
        <v>53</v>
      </c>
      <c r="C47" s="875">
        <f t="shared" si="10"/>
        <v>2</v>
      </c>
      <c r="D47" s="910"/>
      <c r="E47" s="912" t="str">
        <f t="shared" si="11"/>
        <v>Eonia</v>
      </c>
      <c r="F47" s="1019" t="str">
        <f t="shared" si="12"/>
        <v>EUREON3Y_Quote</v>
      </c>
      <c r="G47" s="910"/>
      <c r="H47" s="43" t="e">
        <f ca="1">_xll.qlOISRateHelper(,C47,B47,F47,$E47,,Permanent,Trigger,ObjectOverwrite)</f>
        <v>#NAME?</v>
      </c>
      <c r="J47" s="895" t="str">
        <f t="shared" si="8"/>
        <v>OIS</v>
      </c>
      <c r="K47" s="891" t="e">
        <f t="shared" ca="1" si="9"/>
        <v>#NAME?</v>
      </c>
      <c r="L47" s="894" t="str">
        <f ca="1">IFERROR(_xll.qlRateHelperQuoteName(K47,Trigger),"--")</f>
        <v>--</v>
      </c>
      <c r="M47" s="893" t="str">
        <f ca="1">IFERROR(_xll.qlRateHelperQuoteValue($K47,Trigger),"--")</f>
        <v>--</v>
      </c>
      <c r="N47" s="892" t="b">
        <v>1</v>
      </c>
      <c r="O47" s="891">
        <v>50</v>
      </c>
      <c r="P47" s="891">
        <v>1</v>
      </c>
      <c r="Q47" s="890" t="str">
        <f ca="1">IFERROR(_xll.qlRateHelperEarliestDate(K47,Trigger),"--")</f>
        <v>--</v>
      </c>
      <c r="R47" s="890" t="str">
        <f ca="1">IFERROR(_xll.qlRateHelperPillarDate(K47,Trigger),"--")</f>
        <v>--</v>
      </c>
      <c r="T47" s="4" t="str">
        <f t="shared" ca="1" si="13"/>
        <v/>
      </c>
      <c r="U47" s="4" t="e">
        <f ca="1"/>
        <v>#NAME?</v>
      </c>
      <c r="V47" s="4" t="str">
        <f ca="1">IFERROR(_xll.qlRateHelperQuoteName(U47,Trigger),"")</f>
        <v/>
      </c>
      <c r="W47" s="889" t="str">
        <f ca="1">IFERROR(_xll.qlRateHelperRate(U47,Trigger),"")</f>
        <v/>
      </c>
      <c r="X47" s="888" t="str">
        <f ca="1">IF(ISERROR(_xll.qlSwapRateHelperSpread($U47)),IF(ISERROR(_xll.qlFuturesRateHelperConvexityAdjustment($U47)),"",_xll.qlFuturesRateHelperConvexityAdjustment($U47)),_xll.qlSwapRateHelperSpread($U47))</f>
        <v/>
      </c>
      <c r="Y47" s="5" t="str">
        <f ca="1">IFERROR(_xll.qlRateHelperEarliestDate(U47,Trigger),"")</f>
        <v/>
      </c>
      <c r="Z47" s="5" t="str">
        <f ca="1">IFERROR(_xll.qlRateHelperPillarDate(U47,Trigger),"")</f>
        <v/>
      </c>
      <c r="AA47" s="887" t="e">
        <f ca="1"/>
        <v>#NAME?</v>
      </c>
    </row>
    <row r="48" spans="1:28" ht="11.25" customHeight="1" x14ac:dyDescent="0.2">
      <c r="A48" s="874" t="s">
        <v>135</v>
      </c>
      <c r="B48" s="876" t="s">
        <v>52</v>
      </c>
      <c r="C48" s="875">
        <f t="shared" si="10"/>
        <v>2</v>
      </c>
      <c r="D48" s="910"/>
      <c r="E48" s="912" t="str">
        <f t="shared" si="11"/>
        <v>Eonia</v>
      </c>
      <c r="F48" s="1019" t="str">
        <f t="shared" si="12"/>
        <v>EUREON4Y_Quote</v>
      </c>
      <c r="G48" s="910"/>
      <c r="H48" s="43" t="e">
        <f ca="1">_xll.qlOISRateHelper(,C48,B48,F48,$E48,,Permanent,Trigger,ObjectOverwrite)</f>
        <v>#NAME?</v>
      </c>
      <c r="J48" s="895" t="str">
        <f t="shared" si="8"/>
        <v>OIS</v>
      </c>
      <c r="K48" s="891" t="e">
        <f t="shared" ca="1" si="9"/>
        <v>#NAME?</v>
      </c>
      <c r="L48" s="894" t="str">
        <f ca="1">IFERROR(_xll.qlRateHelperQuoteName(K48,Trigger),"--")</f>
        <v>--</v>
      </c>
      <c r="M48" s="893" t="str">
        <f ca="1">IFERROR(_xll.qlRateHelperQuoteValue($K48,Trigger),"--")</f>
        <v>--</v>
      </c>
      <c r="N48" s="892" t="b">
        <v>1</v>
      </c>
      <c r="O48" s="891">
        <v>50</v>
      </c>
      <c r="P48" s="891">
        <v>1</v>
      </c>
      <c r="Q48" s="890" t="str">
        <f ca="1">IFERROR(_xll.qlRateHelperEarliestDate(K48,Trigger),"--")</f>
        <v>--</v>
      </c>
      <c r="R48" s="890" t="str">
        <f ca="1">IFERROR(_xll.qlRateHelperPillarDate(K48,Trigger),"--")</f>
        <v>--</v>
      </c>
      <c r="T48" s="4" t="str">
        <f t="shared" ca="1" si="13"/>
        <v/>
      </c>
      <c r="U48" s="4" t="e">
        <f ca="1"/>
        <v>#NAME?</v>
      </c>
      <c r="V48" s="4" t="str">
        <f ca="1">IFERROR(_xll.qlRateHelperQuoteName(U48,Trigger),"")</f>
        <v/>
      </c>
      <c r="W48" s="889" t="str">
        <f ca="1">IFERROR(_xll.qlRateHelperRate(U48,Trigger),"")</f>
        <v/>
      </c>
      <c r="X48" s="888" t="str">
        <f ca="1">IF(ISERROR(_xll.qlSwapRateHelperSpread($U48)),IF(ISERROR(_xll.qlFuturesRateHelperConvexityAdjustment($U48)),"",_xll.qlFuturesRateHelperConvexityAdjustment($U48)),_xll.qlSwapRateHelperSpread($U48))</f>
        <v/>
      </c>
      <c r="Y48" s="5" t="str">
        <f ca="1">IFERROR(_xll.qlRateHelperEarliestDate(U48,Trigger),"")</f>
        <v/>
      </c>
      <c r="Z48" s="5" t="str">
        <f ca="1">IFERROR(_xll.qlRateHelperPillarDate(U48,Trigger),"")</f>
        <v/>
      </c>
      <c r="AA48" s="887" t="e">
        <f ca="1"/>
        <v>#NAME?</v>
      </c>
    </row>
    <row r="49" spans="1:27" ht="11.25" customHeight="1" x14ac:dyDescent="0.2">
      <c r="A49" s="874" t="s">
        <v>135</v>
      </c>
      <c r="B49" s="876" t="s">
        <v>51</v>
      </c>
      <c r="C49" s="875">
        <f t="shared" si="10"/>
        <v>2</v>
      </c>
      <c r="D49" s="910"/>
      <c r="E49" s="912" t="str">
        <f t="shared" si="11"/>
        <v>Eonia</v>
      </c>
      <c r="F49" s="1019" t="str">
        <f t="shared" si="12"/>
        <v>EUREON5Y_Quote</v>
      </c>
      <c r="G49" s="910"/>
      <c r="H49" s="43" t="e">
        <f ca="1">_xll.qlOISRateHelper(,C49,B49,F49,$E49,,Permanent,Trigger,ObjectOverwrite)</f>
        <v>#NAME?</v>
      </c>
      <c r="J49" s="895" t="str">
        <f t="shared" si="8"/>
        <v>OIS</v>
      </c>
      <c r="K49" s="891" t="e">
        <f t="shared" ca="1" si="9"/>
        <v>#NAME?</v>
      </c>
      <c r="L49" s="894" t="str">
        <f ca="1">IFERROR(_xll.qlRateHelperQuoteName(K49,Trigger),"--")</f>
        <v>--</v>
      </c>
      <c r="M49" s="893" t="str">
        <f ca="1">IFERROR(_xll.qlRateHelperQuoteValue($K49,Trigger),"--")</f>
        <v>--</v>
      </c>
      <c r="N49" s="892" t="b">
        <v>1</v>
      </c>
      <c r="O49" s="891">
        <v>50</v>
      </c>
      <c r="P49" s="891">
        <v>1</v>
      </c>
      <c r="Q49" s="890" t="str">
        <f ca="1">IFERROR(_xll.qlRateHelperEarliestDate(K49,Trigger),"--")</f>
        <v>--</v>
      </c>
      <c r="R49" s="890" t="str">
        <f ca="1">IFERROR(_xll.qlRateHelperPillarDate(K49,Trigger),"--")</f>
        <v>--</v>
      </c>
      <c r="T49" s="4" t="str">
        <f t="shared" ca="1" si="13"/>
        <v/>
      </c>
      <c r="U49" s="4" t="e">
        <f ca="1"/>
        <v>#NAME?</v>
      </c>
      <c r="V49" s="4" t="str">
        <f ca="1">IFERROR(_xll.qlRateHelperQuoteName(U49,Trigger),"")</f>
        <v/>
      </c>
      <c r="W49" s="889" t="str">
        <f ca="1">IFERROR(_xll.qlRateHelperRate(U49,Trigger),"")</f>
        <v/>
      </c>
      <c r="X49" s="888" t="str">
        <f ca="1">IF(ISERROR(_xll.qlSwapRateHelperSpread($U49)),IF(ISERROR(_xll.qlFuturesRateHelperConvexityAdjustment($U49)),"",_xll.qlFuturesRateHelperConvexityAdjustment($U49)),_xll.qlSwapRateHelperSpread($U49))</f>
        <v/>
      </c>
      <c r="Y49" s="5" t="str">
        <f ca="1">IFERROR(_xll.qlRateHelperEarliestDate(U49,Trigger),"")</f>
        <v/>
      </c>
      <c r="Z49" s="5" t="str">
        <f ca="1">IFERROR(_xll.qlRateHelperPillarDate(U49,Trigger),"")</f>
        <v/>
      </c>
      <c r="AA49" s="887" t="e">
        <f ca="1"/>
        <v>#NAME?</v>
      </c>
    </row>
    <row r="50" spans="1:27" ht="11.25" customHeight="1" x14ac:dyDescent="0.2">
      <c r="A50" s="874" t="s">
        <v>135</v>
      </c>
      <c r="B50" s="876" t="s">
        <v>50</v>
      </c>
      <c r="C50" s="875">
        <f t="shared" si="10"/>
        <v>2</v>
      </c>
      <c r="D50" s="910"/>
      <c r="E50" s="912" t="str">
        <f t="shared" si="11"/>
        <v>Eonia</v>
      </c>
      <c r="F50" s="1019" t="str">
        <f t="shared" si="12"/>
        <v>EUREON6Y_Quote</v>
      </c>
      <c r="G50" s="910"/>
      <c r="H50" s="43" t="e">
        <f ca="1">_xll.qlOISRateHelper(,C50,B50,F50,$E50,,Permanent,Trigger,ObjectOverwrite)</f>
        <v>#NAME?</v>
      </c>
      <c r="J50" s="895" t="str">
        <f t="shared" si="8"/>
        <v>OIS</v>
      </c>
      <c r="K50" s="891" t="e">
        <f t="shared" ca="1" si="9"/>
        <v>#NAME?</v>
      </c>
      <c r="L50" s="894" t="str">
        <f ca="1">IFERROR(_xll.qlRateHelperQuoteName(K50,Trigger),"--")</f>
        <v>--</v>
      </c>
      <c r="M50" s="893" t="str">
        <f ca="1">IFERROR(_xll.qlRateHelperQuoteValue($K50,Trigger),"--")</f>
        <v>--</v>
      </c>
      <c r="N50" s="892" t="b">
        <v>1</v>
      </c>
      <c r="O50" s="891">
        <v>50</v>
      </c>
      <c r="P50" s="891">
        <v>1</v>
      </c>
      <c r="Q50" s="890" t="str">
        <f ca="1">IFERROR(_xll.qlRateHelperEarliestDate(K50,Trigger),"--")</f>
        <v>--</v>
      </c>
      <c r="R50" s="890" t="str">
        <f ca="1">IFERROR(_xll.qlRateHelperPillarDate(K50,Trigger),"--")</f>
        <v>--</v>
      </c>
      <c r="T50" s="4" t="str">
        <f t="shared" ca="1" si="13"/>
        <v/>
      </c>
      <c r="U50" s="4" t="e">
        <f ca="1"/>
        <v>#NAME?</v>
      </c>
      <c r="V50" s="4" t="str">
        <f ca="1">IFERROR(_xll.qlRateHelperQuoteName(U50,Trigger),"")</f>
        <v/>
      </c>
      <c r="W50" s="889" t="str">
        <f ca="1">IFERROR(_xll.qlRateHelperRate(U50,Trigger),"")</f>
        <v/>
      </c>
      <c r="X50" s="888" t="str">
        <f ca="1">IF(ISERROR(_xll.qlSwapRateHelperSpread($U50)),IF(ISERROR(_xll.qlFuturesRateHelperConvexityAdjustment($U50)),"",_xll.qlFuturesRateHelperConvexityAdjustment($U50)),_xll.qlSwapRateHelperSpread($U50))</f>
        <v/>
      </c>
      <c r="Y50" s="5" t="str">
        <f ca="1">IFERROR(_xll.qlRateHelperEarliestDate(U50,Trigger),"")</f>
        <v/>
      </c>
      <c r="Z50" s="5" t="str">
        <f ca="1">IFERROR(_xll.qlRateHelperPillarDate(U50,Trigger),"")</f>
        <v/>
      </c>
      <c r="AA50" s="887" t="e">
        <f ca="1"/>
        <v>#NAME?</v>
      </c>
    </row>
    <row r="51" spans="1:27" ht="11.25" customHeight="1" x14ac:dyDescent="0.2">
      <c r="A51" s="874" t="s">
        <v>135</v>
      </c>
      <c r="B51" s="876" t="s">
        <v>49</v>
      </c>
      <c r="C51" s="875">
        <f t="shared" si="10"/>
        <v>2</v>
      </c>
      <c r="D51" s="910"/>
      <c r="E51" s="912" t="str">
        <f t="shared" si="11"/>
        <v>Eonia</v>
      </c>
      <c r="F51" s="1019" t="str">
        <f t="shared" si="12"/>
        <v>EUREON7Y_Quote</v>
      </c>
      <c r="G51" s="910"/>
      <c r="H51" s="43" t="e">
        <f ca="1">_xll.qlOISRateHelper(,C51,B51,F51,$E51,,Permanent,Trigger,ObjectOverwrite)</f>
        <v>#NAME?</v>
      </c>
      <c r="J51" s="895" t="str">
        <f t="shared" si="8"/>
        <v>OIS</v>
      </c>
      <c r="K51" s="891" t="e">
        <f t="shared" ca="1" si="9"/>
        <v>#NAME?</v>
      </c>
      <c r="L51" s="894" t="str">
        <f ca="1">IFERROR(_xll.qlRateHelperQuoteName(K51,Trigger),"--")</f>
        <v>--</v>
      </c>
      <c r="M51" s="893" t="str">
        <f ca="1">IFERROR(_xll.qlRateHelperQuoteValue($K51,Trigger),"--")</f>
        <v>--</v>
      </c>
      <c r="N51" s="892" t="b">
        <v>1</v>
      </c>
      <c r="O51" s="891">
        <v>50</v>
      </c>
      <c r="P51" s="891">
        <v>1</v>
      </c>
      <c r="Q51" s="890" t="str">
        <f ca="1">IFERROR(_xll.qlRateHelperEarliestDate(K51,Trigger),"--")</f>
        <v>--</v>
      </c>
      <c r="R51" s="890" t="str">
        <f ca="1">IFERROR(_xll.qlRateHelperPillarDate(K51,Trigger),"--")</f>
        <v>--</v>
      </c>
      <c r="T51" s="4" t="str">
        <f t="shared" ca="1" si="13"/>
        <v/>
      </c>
      <c r="U51" s="4" t="e">
        <f ca="1"/>
        <v>#NAME?</v>
      </c>
      <c r="V51" s="4" t="str">
        <f ca="1">IFERROR(_xll.qlRateHelperQuoteName(U51,Trigger),"")</f>
        <v/>
      </c>
      <c r="W51" s="889" t="str">
        <f ca="1">IFERROR(_xll.qlRateHelperRate(U51,Trigger),"")</f>
        <v/>
      </c>
      <c r="X51" s="888" t="str">
        <f ca="1">IF(ISERROR(_xll.qlSwapRateHelperSpread($U51)),IF(ISERROR(_xll.qlFuturesRateHelperConvexityAdjustment($U51)),"",_xll.qlFuturesRateHelperConvexityAdjustment($U51)),_xll.qlSwapRateHelperSpread($U51))</f>
        <v/>
      </c>
      <c r="Y51" s="5" t="str">
        <f ca="1">IFERROR(_xll.qlRateHelperEarliestDate(U51,Trigger),"")</f>
        <v/>
      </c>
      <c r="Z51" s="5" t="str">
        <f ca="1">IFERROR(_xll.qlRateHelperPillarDate(U51,Trigger),"")</f>
        <v/>
      </c>
      <c r="AA51" s="5" t="e">
        <f ca="1"/>
        <v>#NAME?</v>
      </c>
    </row>
    <row r="52" spans="1:27" ht="11.25" customHeight="1" x14ac:dyDescent="0.2">
      <c r="A52" s="874" t="s">
        <v>135</v>
      </c>
      <c r="B52" s="876" t="s">
        <v>48</v>
      </c>
      <c r="C52" s="875">
        <f t="shared" si="10"/>
        <v>2</v>
      </c>
      <c r="D52" s="910"/>
      <c r="E52" s="912" t="str">
        <f t="shared" si="11"/>
        <v>Eonia</v>
      </c>
      <c r="F52" s="1019" t="str">
        <f t="shared" si="12"/>
        <v>EUREON8Y_Quote</v>
      </c>
      <c r="G52" s="910"/>
      <c r="H52" s="43" t="e">
        <f ca="1">_xll.qlOISRateHelper(,C52,B52,F52,$E52,,Permanent,Trigger,ObjectOverwrite)</f>
        <v>#NAME?</v>
      </c>
      <c r="J52" s="895" t="str">
        <f t="shared" si="8"/>
        <v>OIS</v>
      </c>
      <c r="K52" s="891" t="e">
        <f t="shared" ca="1" si="9"/>
        <v>#NAME?</v>
      </c>
      <c r="L52" s="894" t="str">
        <f ca="1">IFERROR(_xll.qlRateHelperQuoteName(K52,Trigger),"--")</f>
        <v>--</v>
      </c>
      <c r="M52" s="893" t="str">
        <f ca="1">IFERROR(_xll.qlRateHelperQuoteValue($K52,Trigger),"--")</f>
        <v>--</v>
      </c>
      <c r="N52" s="892" t="b">
        <v>1</v>
      </c>
      <c r="O52" s="891">
        <v>50</v>
      </c>
      <c r="P52" s="891">
        <v>1</v>
      </c>
      <c r="Q52" s="890" t="str">
        <f ca="1">IFERROR(_xll.qlRateHelperEarliestDate(K52,Trigger),"--")</f>
        <v>--</v>
      </c>
      <c r="R52" s="890" t="str">
        <f ca="1">IFERROR(_xll.qlRateHelperPillarDate(K52,Trigger),"--")</f>
        <v>--</v>
      </c>
      <c r="T52" s="4" t="str">
        <f t="shared" ca="1" si="13"/>
        <v/>
      </c>
      <c r="U52" s="4" t="e">
        <f ca="1"/>
        <v>#NAME?</v>
      </c>
      <c r="V52" s="4" t="str">
        <f ca="1">IFERROR(_xll.qlRateHelperQuoteName(U52,Trigger),"")</f>
        <v/>
      </c>
      <c r="W52" s="889" t="str">
        <f ca="1">IFERROR(_xll.qlRateHelperRate(U52,Trigger),"")</f>
        <v/>
      </c>
      <c r="X52" s="888" t="str">
        <f ca="1">IF(ISERROR(_xll.qlSwapRateHelperSpread($U52)),IF(ISERROR(_xll.qlFuturesRateHelperConvexityAdjustment($U52)),"",_xll.qlFuturesRateHelperConvexityAdjustment($U52)),_xll.qlSwapRateHelperSpread($U52))</f>
        <v/>
      </c>
      <c r="Y52" s="5" t="str">
        <f ca="1">IFERROR(_xll.qlRateHelperEarliestDate(U52,Trigger),"")</f>
        <v/>
      </c>
      <c r="Z52" s="5" t="str">
        <f ca="1">IFERROR(_xll.qlRateHelperPillarDate(U52,Trigger),"")</f>
        <v/>
      </c>
      <c r="AA52" s="5" t="e">
        <f ca="1"/>
        <v>#NAME?</v>
      </c>
    </row>
    <row r="53" spans="1:27" ht="11.25" customHeight="1" x14ac:dyDescent="0.2">
      <c r="A53" s="874" t="s">
        <v>135</v>
      </c>
      <c r="B53" s="876" t="s">
        <v>47</v>
      </c>
      <c r="C53" s="875">
        <f t="shared" si="10"/>
        <v>2</v>
      </c>
      <c r="D53" s="910"/>
      <c r="E53" s="912" t="str">
        <f t="shared" si="11"/>
        <v>Eonia</v>
      </c>
      <c r="F53" s="1019" t="str">
        <f t="shared" si="12"/>
        <v>EUREON9Y_Quote</v>
      </c>
      <c r="G53" s="910"/>
      <c r="H53" s="43" t="e">
        <f ca="1">_xll.qlOISRateHelper(,C53,B53,F53,$E53,,Permanent,Trigger,ObjectOverwrite)</f>
        <v>#NAME?</v>
      </c>
      <c r="J53" s="895" t="str">
        <f t="shared" si="8"/>
        <v>OIS</v>
      </c>
      <c r="K53" s="891" t="e">
        <f t="shared" ca="1" si="9"/>
        <v>#NAME?</v>
      </c>
      <c r="L53" s="894" t="str">
        <f ca="1">IFERROR(_xll.qlRateHelperQuoteName(K53,Trigger),"--")</f>
        <v>--</v>
      </c>
      <c r="M53" s="893" t="str">
        <f ca="1">IFERROR(_xll.qlRateHelperQuoteValue($K53,Trigger),"--")</f>
        <v>--</v>
      </c>
      <c r="N53" s="892" t="b">
        <v>1</v>
      </c>
      <c r="O53" s="891">
        <v>50</v>
      </c>
      <c r="P53" s="891">
        <v>1</v>
      </c>
      <c r="Q53" s="890" t="str">
        <f ca="1">IFERROR(_xll.qlRateHelperEarliestDate(K53,Trigger),"--")</f>
        <v>--</v>
      </c>
      <c r="R53" s="890" t="str">
        <f ca="1">IFERROR(_xll.qlRateHelperPillarDate(K53,Trigger),"--")</f>
        <v>--</v>
      </c>
      <c r="T53" s="4" t="str">
        <f t="shared" ca="1" si="13"/>
        <v/>
      </c>
      <c r="U53" s="4" t="e">
        <f ca="1"/>
        <v>#NAME?</v>
      </c>
      <c r="V53" s="4" t="str">
        <f ca="1">IFERROR(_xll.qlRateHelperQuoteName(U53,Trigger),"")</f>
        <v/>
      </c>
      <c r="W53" s="889" t="str">
        <f ca="1">IFERROR(_xll.qlRateHelperRate(U53,Trigger),"")</f>
        <v/>
      </c>
      <c r="X53" s="888" t="str">
        <f ca="1">IF(ISERROR(_xll.qlSwapRateHelperSpread($U53)),IF(ISERROR(_xll.qlFuturesRateHelperConvexityAdjustment($U53)),"",_xll.qlFuturesRateHelperConvexityAdjustment($U53)),_xll.qlSwapRateHelperSpread($U53))</f>
        <v/>
      </c>
      <c r="Y53" s="5" t="str">
        <f ca="1">IFERROR(_xll.qlRateHelperEarliestDate(U53,Trigger),"")</f>
        <v/>
      </c>
      <c r="Z53" s="5" t="str">
        <f ca="1">IFERROR(_xll.qlRateHelperPillarDate(U53,Trigger),"")</f>
        <v/>
      </c>
      <c r="AA53" s="5" t="e">
        <f ca="1"/>
        <v>#NAME?</v>
      </c>
    </row>
    <row r="54" spans="1:27" ht="11.25" customHeight="1" x14ac:dyDescent="0.2">
      <c r="A54" s="874" t="s">
        <v>135</v>
      </c>
      <c r="B54" s="876" t="s">
        <v>46</v>
      </c>
      <c r="C54" s="875">
        <f t="shared" si="10"/>
        <v>2</v>
      </c>
      <c r="D54" s="910"/>
      <c r="E54" s="912" t="str">
        <f t="shared" si="11"/>
        <v>Eonia</v>
      </c>
      <c r="F54" s="1019" t="str">
        <f t="shared" si="12"/>
        <v>EUREON10Y_Quote</v>
      </c>
      <c r="G54" s="910"/>
      <c r="H54" s="43" t="e">
        <f ca="1">_xll.qlOISRateHelper(,C54,B54,F54,$E54,,Permanent,Trigger,ObjectOverwrite)</f>
        <v>#NAME?</v>
      </c>
      <c r="J54" s="895" t="str">
        <f t="shared" si="8"/>
        <v>OIS</v>
      </c>
      <c r="K54" s="891" t="e">
        <f t="shared" ca="1" si="9"/>
        <v>#NAME?</v>
      </c>
      <c r="L54" s="894" t="str">
        <f ca="1">IFERROR(_xll.qlRateHelperQuoteName(K54,Trigger),"--")</f>
        <v>--</v>
      </c>
      <c r="M54" s="893" t="str">
        <f ca="1">IFERROR(_xll.qlRateHelperQuoteValue($K54,Trigger),"--")</f>
        <v>--</v>
      </c>
      <c r="N54" s="892" t="b">
        <v>1</v>
      </c>
      <c r="O54" s="891">
        <v>50</v>
      </c>
      <c r="P54" s="891">
        <v>1</v>
      </c>
      <c r="Q54" s="890" t="str">
        <f ca="1">IFERROR(_xll.qlRateHelperEarliestDate(K54,Trigger),"--")</f>
        <v>--</v>
      </c>
      <c r="R54" s="890" t="str">
        <f ca="1">IFERROR(_xll.qlRateHelperPillarDate(K54,Trigger),"--")</f>
        <v>--</v>
      </c>
      <c r="T54" s="4" t="str">
        <f t="shared" ca="1" si="13"/>
        <v/>
      </c>
      <c r="U54" s="4" t="e">
        <f ca="1"/>
        <v>#NAME?</v>
      </c>
      <c r="V54" s="4" t="str">
        <f ca="1">IFERROR(_xll.qlRateHelperQuoteName(U54,Trigger),"")</f>
        <v/>
      </c>
      <c r="W54" s="889" t="str">
        <f ca="1">IFERROR(_xll.qlRateHelperRate(U54,Trigger),"")</f>
        <v/>
      </c>
      <c r="X54" s="888" t="str">
        <f ca="1">IF(ISERROR(_xll.qlSwapRateHelperSpread($U54)),IF(ISERROR(_xll.qlFuturesRateHelperConvexityAdjustment($U54)),"",_xll.qlFuturesRateHelperConvexityAdjustment($U54)),_xll.qlSwapRateHelperSpread($U54))</f>
        <v/>
      </c>
      <c r="Y54" s="5" t="str">
        <f ca="1">IFERROR(_xll.qlRateHelperEarliestDate(U54,Trigger),"")</f>
        <v/>
      </c>
      <c r="Z54" s="5" t="str">
        <f ca="1">IFERROR(_xll.qlRateHelperPillarDate(U54,Trigger),"")</f>
        <v/>
      </c>
      <c r="AA54" s="5" t="e">
        <f ca="1"/>
        <v>#NAME?</v>
      </c>
    </row>
    <row r="55" spans="1:27" ht="11.25" customHeight="1" x14ac:dyDescent="0.2">
      <c r="A55" s="874" t="s">
        <v>135</v>
      </c>
      <c r="B55" s="876" t="s">
        <v>45</v>
      </c>
      <c r="C55" s="875">
        <f t="shared" si="10"/>
        <v>2</v>
      </c>
      <c r="D55" s="910"/>
      <c r="E55" s="912" t="str">
        <f t="shared" si="11"/>
        <v>Eonia</v>
      </c>
      <c r="F55" s="1019" t="str">
        <f t="shared" si="12"/>
        <v>EUREON11Y_Quote</v>
      </c>
      <c r="G55" s="910"/>
      <c r="H55" s="43" t="e">
        <f ca="1">_xll.qlOISRateHelper(,C55,B55,F55,$E55,,Permanent,Trigger,ObjectOverwrite)</f>
        <v>#NAME?</v>
      </c>
      <c r="J55" s="895" t="str">
        <f t="shared" si="8"/>
        <v>OIS</v>
      </c>
      <c r="K55" s="891" t="e">
        <f t="shared" ca="1" si="9"/>
        <v>#NAME?</v>
      </c>
      <c r="L55" s="894" t="str">
        <f ca="1">IFERROR(_xll.qlRateHelperQuoteName(K55,Trigger),"--")</f>
        <v>--</v>
      </c>
      <c r="M55" s="893" t="str">
        <f ca="1">IFERROR(_xll.qlRateHelperQuoteValue($K55,Trigger),"--")</f>
        <v>--</v>
      </c>
      <c r="N55" s="892" t="b">
        <v>1</v>
      </c>
      <c r="O55" s="891">
        <v>50</v>
      </c>
      <c r="P55" s="891">
        <v>1</v>
      </c>
      <c r="Q55" s="890" t="str">
        <f ca="1">IFERROR(_xll.qlRateHelperEarliestDate(K55,Trigger),"--")</f>
        <v>--</v>
      </c>
      <c r="R55" s="890" t="str">
        <f ca="1">IFERROR(_xll.qlRateHelperPillarDate(K55,Trigger),"--")</f>
        <v>--</v>
      </c>
      <c r="T55" s="4" t="str">
        <f t="shared" ca="1" si="13"/>
        <v/>
      </c>
      <c r="U55" s="4" t="e">
        <f ca="1"/>
        <v>#NAME?</v>
      </c>
      <c r="V55" s="4" t="str">
        <f ca="1">IFERROR(_xll.qlRateHelperQuoteName(U55,Trigger),"")</f>
        <v/>
      </c>
      <c r="W55" s="889" t="str">
        <f ca="1">IFERROR(_xll.qlRateHelperRate(U55,Trigger),"")</f>
        <v/>
      </c>
      <c r="X55" s="888" t="str">
        <f ca="1">IF(ISERROR(_xll.qlSwapRateHelperSpread($U55)),IF(ISERROR(_xll.qlFuturesRateHelperConvexityAdjustment($U55)),"",_xll.qlFuturesRateHelperConvexityAdjustment($U55)),_xll.qlSwapRateHelperSpread($U55))</f>
        <v/>
      </c>
      <c r="Y55" s="5" t="str">
        <f ca="1">IFERROR(_xll.qlRateHelperEarliestDate(U55,Trigger),"")</f>
        <v/>
      </c>
      <c r="Z55" s="5" t="str">
        <f ca="1">IFERROR(_xll.qlRateHelperPillarDate(U55,Trigger),"")</f>
        <v/>
      </c>
      <c r="AA55" s="5" t="e">
        <f ca="1"/>
        <v>#NAME?</v>
      </c>
    </row>
    <row r="56" spans="1:27" ht="11.25" customHeight="1" x14ac:dyDescent="0.2">
      <c r="A56" s="874" t="s">
        <v>135</v>
      </c>
      <c r="B56" s="876" t="s">
        <v>44</v>
      </c>
      <c r="C56" s="875">
        <f t="shared" si="10"/>
        <v>2</v>
      </c>
      <c r="D56" s="910"/>
      <c r="E56" s="912" t="str">
        <f t="shared" si="11"/>
        <v>Eonia</v>
      </c>
      <c r="F56" s="1019" t="str">
        <f t="shared" si="12"/>
        <v>EUREON12Y_Quote</v>
      </c>
      <c r="G56" s="910"/>
      <c r="H56" s="43" t="e">
        <f ca="1">_xll.qlOISRateHelper(,C56,B56,F56,$E56,,Permanent,Trigger,ObjectOverwrite)</f>
        <v>#NAME?</v>
      </c>
      <c r="J56" s="895" t="str">
        <f t="shared" si="8"/>
        <v>OIS</v>
      </c>
      <c r="K56" s="891" t="e">
        <f t="shared" ca="1" si="9"/>
        <v>#NAME?</v>
      </c>
      <c r="L56" s="894" t="str">
        <f ca="1">IFERROR(_xll.qlRateHelperQuoteName(K56,Trigger),"--")</f>
        <v>--</v>
      </c>
      <c r="M56" s="893" t="str">
        <f ca="1">IFERROR(_xll.qlRateHelperQuoteValue($K56,Trigger),"--")</f>
        <v>--</v>
      </c>
      <c r="N56" s="892" t="b">
        <v>1</v>
      </c>
      <c r="O56" s="891">
        <v>50</v>
      </c>
      <c r="P56" s="891">
        <v>1</v>
      </c>
      <c r="Q56" s="890" t="str">
        <f ca="1">IFERROR(_xll.qlRateHelperEarliestDate(K56,Trigger),"--")</f>
        <v>--</v>
      </c>
      <c r="R56" s="890" t="str">
        <f ca="1">IFERROR(_xll.qlRateHelperPillarDate(K56,Trigger),"--")</f>
        <v>--</v>
      </c>
      <c r="T56" s="4" t="str">
        <f t="shared" ca="1" si="13"/>
        <v/>
      </c>
      <c r="U56" s="4" t="e">
        <f ca="1"/>
        <v>#NAME?</v>
      </c>
      <c r="V56" s="4" t="str">
        <f ca="1">IFERROR(_xll.qlRateHelperQuoteName(U56,Trigger),"")</f>
        <v/>
      </c>
      <c r="W56" s="889" t="str">
        <f ca="1">IFERROR(_xll.qlRateHelperRate(U56,Trigger),"")</f>
        <v/>
      </c>
      <c r="X56" s="888" t="str">
        <f ca="1">IF(ISERROR(_xll.qlSwapRateHelperSpread($U56)),IF(ISERROR(_xll.qlFuturesRateHelperConvexityAdjustment($U56)),"",_xll.qlFuturesRateHelperConvexityAdjustment($U56)),_xll.qlSwapRateHelperSpread($U56))</f>
        <v/>
      </c>
      <c r="Y56" s="5" t="str">
        <f ca="1">IFERROR(_xll.qlRateHelperEarliestDate(U56,Trigger),"")</f>
        <v/>
      </c>
      <c r="Z56" s="5" t="str">
        <f ca="1">IFERROR(_xll.qlRateHelperPillarDate(U56,Trigger),"")</f>
        <v/>
      </c>
      <c r="AA56" s="5" t="e">
        <f ca="1"/>
        <v>#NAME?</v>
      </c>
    </row>
    <row r="57" spans="1:27" ht="11.25" customHeight="1" x14ac:dyDescent="0.2">
      <c r="A57" s="874" t="s">
        <v>135</v>
      </c>
      <c r="B57" s="876" t="s">
        <v>41</v>
      </c>
      <c r="C57" s="875">
        <f t="shared" si="10"/>
        <v>2</v>
      </c>
      <c r="D57" s="910"/>
      <c r="E57" s="912" t="str">
        <f t="shared" si="11"/>
        <v>Eonia</v>
      </c>
      <c r="F57" s="1019" t="str">
        <f t="shared" si="12"/>
        <v>EUREON15Y_Quote</v>
      </c>
      <c r="G57" s="910"/>
      <c r="H57" s="43" t="e">
        <f ca="1">_xll.qlOISRateHelper(,C57,B57,F57,$E57,,Permanent,Trigger,ObjectOverwrite)</f>
        <v>#NAME?</v>
      </c>
      <c r="J57" s="886" t="str">
        <f t="shared" si="8"/>
        <v>OIS</v>
      </c>
      <c r="K57" s="882" t="e">
        <f t="shared" ca="1" si="9"/>
        <v>#NAME?</v>
      </c>
      <c r="L57" s="885" t="str">
        <f ca="1">IFERROR(_xll.qlRateHelperQuoteName(K57,Trigger),"--")</f>
        <v>--</v>
      </c>
      <c r="M57" s="884" t="str">
        <f ca="1">IFERROR(_xll.qlRateHelperQuoteValue($K57,Trigger),"--")</f>
        <v>--</v>
      </c>
      <c r="N57" s="883" t="b">
        <v>1</v>
      </c>
      <c r="O57" s="882">
        <v>50</v>
      </c>
      <c r="P57" s="882">
        <v>1</v>
      </c>
      <c r="Q57" s="881" t="str">
        <f ca="1">IFERROR(_xll.qlRateHelperEarliestDate(K57,Trigger),"--")</f>
        <v>--</v>
      </c>
      <c r="R57" s="881" t="str">
        <f ca="1">IFERROR(_xll.qlRateHelperPillarDate(K57,Trigger),"--")</f>
        <v>--</v>
      </c>
      <c r="T57" s="2" t="str">
        <f t="shared" ca="1" si="13"/>
        <v/>
      </c>
      <c r="U57" s="2" t="e">
        <f ca="1"/>
        <v>#NAME?</v>
      </c>
      <c r="V57" s="2" t="str">
        <f ca="1">IFERROR(_xll.qlRateHelperQuoteName(U57,Trigger),"")</f>
        <v/>
      </c>
      <c r="W57" s="880" t="str">
        <f ca="1">IFERROR(_xll.qlRateHelperRate(U57,Trigger),"")</f>
        <v/>
      </c>
      <c r="X57" s="879" t="str">
        <f ca="1">IF(ISERROR(_xll.qlSwapRateHelperSpread($U57)),IF(ISERROR(_xll.qlFuturesRateHelperConvexityAdjustment($U57)),"",_xll.qlFuturesRateHelperConvexityAdjustment($U57)),_xll.qlSwapRateHelperSpread($U57))</f>
        <v/>
      </c>
      <c r="Y57" s="3" t="str">
        <f ca="1">IFERROR(_xll.qlRateHelperEarliestDate(U57,Trigger),"")</f>
        <v/>
      </c>
      <c r="Z57" s="3" t="str">
        <f ca="1">IFERROR(_xll.qlRateHelperPillarDate(U57,Trigger),"")</f>
        <v/>
      </c>
      <c r="AA57" s="3" t="e">
        <f ca="1"/>
        <v>#NAME?</v>
      </c>
    </row>
    <row r="58" spans="1:27" ht="11.25" customHeight="1" x14ac:dyDescent="0.2">
      <c r="A58" s="874" t="s">
        <v>135</v>
      </c>
      <c r="B58" s="876" t="s">
        <v>36</v>
      </c>
      <c r="C58" s="875">
        <f t="shared" si="10"/>
        <v>2</v>
      </c>
      <c r="D58" s="910"/>
      <c r="E58" s="912" t="str">
        <f t="shared" si="11"/>
        <v>Eonia</v>
      </c>
      <c r="F58" s="1019" t="str">
        <f t="shared" si="12"/>
        <v>EUREON20Y_Quote</v>
      </c>
      <c r="G58" s="910"/>
      <c r="H58" s="43" t="e">
        <f ca="1">_xll.qlOISRateHelper(,C58,B58,F58,$E58,,Permanent,Trigger,ObjectOverwrite)</f>
        <v>#NAME?</v>
      </c>
    </row>
    <row r="59" spans="1:27" ht="11.25" customHeight="1" x14ac:dyDescent="0.2">
      <c r="A59" s="874" t="s">
        <v>135</v>
      </c>
      <c r="B59" s="876" t="s">
        <v>31</v>
      </c>
      <c r="C59" s="875">
        <f t="shared" si="10"/>
        <v>2</v>
      </c>
      <c r="D59" s="910"/>
      <c r="E59" s="912" t="str">
        <f t="shared" si="11"/>
        <v>Eonia</v>
      </c>
      <c r="F59" s="1019" t="str">
        <f t="shared" si="12"/>
        <v>EUREON25Y_Quote</v>
      </c>
      <c r="G59" s="910"/>
      <c r="H59" s="43" t="e">
        <f ca="1">_xll.qlOISRateHelper(,C59,B59,F59,$E59,,Permanent,Trigger,ObjectOverwrite)</f>
        <v>#NAME?</v>
      </c>
    </row>
    <row r="60" spans="1:27" ht="11.25" customHeight="1" x14ac:dyDescent="0.2">
      <c r="A60" s="874" t="s">
        <v>135</v>
      </c>
      <c r="B60" s="876" t="s">
        <v>26</v>
      </c>
      <c r="C60" s="875">
        <f t="shared" si="10"/>
        <v>2</v>
      </c>
      <c r="D60" s="910"/>
      <c r="E60" s="912" t="str">
        <f t="shared" si="11"/>
        <v>Eonia</v>
      </c>
      <c r="F60" s="1019" t="str">
        <f t="shared" si="12"/>
        <v>EUREON30Y_Quote</v>
      </c>
      <c r="G60" s="910"/>
      <c r="H60" s="43" t="e">
        <f ca="1">_xll.qlOISRateHelper(,C60,B60,F60,$E60,,Permanent,Trigger,ObjectOverwrite)</f>
        <v>#NAME?</v>
      </c>
    </row>
    <row r="61" spans="1:27" ht="11.25" customHeight="1" x14ac:dyDescent="0.2">
      <c r="A61" s="874" t="s">
        <v>135</v>
      </c>
      <c r="B61" s="876" t="s">
        <v>24</v>
      </c>
      <c r="C61" s="875">
        <f t="shared" si="10"/>
        <v>2</v>
      </c>
      <c r="D61" s="910"/>
      <c r="E61" s="912" t="str">
        <f t="shared" si="11"/>
        <v>Eonia</v>
      </c>
      <c r="F61" s="1019" t="str">
        <f t="shared" si="12"/>
        <v>EUREON40Y_Quote</v>
      </c>
      <c r="G61" s="910"/>
      <c r="H61" s="43" t="e">
        <f ca="1">_xll.qlOISRateHelper(,C61,B61,F61,$E61,,Permanent,Trigger,ObjectOverwrite)</f>
        <v>#NAME?</v>
      </c>
    </row>
    <row r="62" spans="1:27" ht="11.25" customHeight="1" x14ac:dyDescent="0.2">
      <c r="A62" s="874" t="s">
        <v>135</v>
      </c>
      <c r="B62" s="876" t="s">
        <v>23</v>
      </c>
      <c r="C62" s="875">
        <f t="shared" si="10"/>
        <v>2</v>
      </c>
      <c r="D62" s="910"/>
      <c r="E62" s="912" t="str">
        <f t="shared" si="11"/>
        <v>Eonia</v>
      </c>
      <c r="F62" s="1019" t="str">
        <f t="shared" si="12"/>
        <v>EUREON50Y_Quote</v>
      </c>
      <c r="G62" s="910"/>
      <c r="H62" s="43" t="e">
        <f ca="1">_xll.qlOISRateHelper(,C62,B62,F62,$E62,,Permanent,Trigger,ObjectOverwrite)</f>
        <v>#NAME?</v>
      </c>
    </row>
    <row r="63" spans="1:27" ht="11.25" customHeight="1" x14ac:dyDescent="0.2">
      <c r="A63" s="870" t="s">
        <v>135</v>
      </c>
      <c r="B63" s="872" t="s">
        <v>22</v>
      </c>
      <c r="C63" s="871">
        <f t="shared" si="10"/>
        <v>2</v>
      </c>
      <c r="D63" s="900"/>
      <c r="E63" s="902" t="str">
        <f t="shared" si="11"/>
        <v>Eonia</v>
      </c>
      <c r="F63" s="1018" t="str">
        <f t="shared" si="12"/>
        <v>EUREON60Y_Quote</v>
      </c>
      <c r="G63" s="900"/>
      <c r="H63" s="38" t="e">
        <f ca="1">_xll.qlOISRateHelper(,C63,B63,F63,$E63,,Permanent,Trigger,ObjectOverwrite)</f>
        <v>#NAME?</v>
      </c>
    </row>
    <row r="64" spans="1:27" ht="11.25" customHeight="1" x14ac:dyDescent="0.2"/>
    <row r="65" ht="11.25" customHeight="1" x14ac:dyDescent="0.2"/>
    <row r="66" ht="11.25" customHeight="1" x14ac:dyDescent="0.2"/>
    <row r="67" ht="11.25" customHeight="1" x14ac:dyDescent="0.2"/>
    <row r="68" ht="11.25" customHeight="1" x14ac:dyDescent="0.2"/>
    <row r="69" ht="11.25" customHeight="1" x14ac:dyDescent="0.2"/>
    <row r="70" ht="11.25" customHeight="1" x14ac:dyDescent="0.2"/>
    <row r="71" ht="11.25" customHeight="1" x14ac:dyDescent="0.2"/>
    <row r="72" ht="11.25" customHeight="1" x14ac:dyDescent="0.2"/>
    <row r="73" ht="11.25" customHeight="1" x14ac:dyDescent="0.2"/>
    <row r="74" ht="11.25" customHeight="1" x14ac:dyDescent="0.2"/>
    <row r="75" ht="11.25" customHeight="1" x14ac:dyDescent="0.2"/>
    <row r="76" ht="11.25" customHeight="1" x14ac:dyDescent="0.2"/>
    <row r="77" ht="11.25" customHeight="1" x14ac:dyDescent="0.2"/>
    <row r="78" ht="11.25" customHeight="1" x14ac:dyDescent="0.2"/>
    <row r="79" ht="11.25" customHeight="1" x14ac:dyDescent="0.2"/>
    <row r="80" ht="11.25" customHeight="1" x14ac:dyDescent="0.2"/>
  </sheetData>
  <dataValidations count="1">
    <dataValidation type="list" allowBlank="1" showInputMessage="1" showErrorMessage="1" sqref="AH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9"/>
  <dimension ref="A1:AN134"/>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9"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1.42578125" style="867" customWidth="1" outlineLevel="1"/>
    <col min="9" max="9" width="24.42578125"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1.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4.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127</v>
      </c>
      <c r="H1" s="239" t="str">
        <f>"_SYNTH"&amp;$G$1</f>
        <v>_SYNTH3M</v>
      </c>
      <c r="L1" s="965" t="s">
        <v>383</v>
      </c>
      <c r="M1" s="964"/>
      <c r="N1" s="964"/>
      <c r="O1" s="964"/>
      <c r="P1" s="964"/>
      <c r="Q1" s="964"/>
      <c r="R1" s="964"/>
      <c r="S1" s="964"/>
      <c r="T1" s="963"/>
      <c r="U1" s="958"/>
      <c r="V1" s="962" t="str">
        <f>Currency&amp;$G$1</f>
        <v>EUR3M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124" ca="1">_xll.qlPiecewiseYieldCurveData(YieldCurve_3M,Trigger)</f>
        <v>#NAME?</v>
      </c>
      <c r="AF2" s="954" t="s">
        <v>397</v>
      </c>
      <c r="AG2" s="994"/>
      <c r="AH2" s="994"/>
      <c r="AI2" s="994"/>
      <c r="AJ2" s="953"/>
    </row>
    <row r="3" spans="1:40" ht="11.25" customHeight="1" x14ac:dyDescent="0.25">
      <c r="A3" s="952" t="s">
        <v>391</v>
      </c>
      <c r="B3" s="951" t="s">
        <v>183</v>
      </c>
      <c r="C3" s="950" t="s">
        <v>242</v>
      </c>
      <c r="D3" s="950" t="b">
        <v>0</v>
      </c>
      <c r="E3" s="949" t="s">
        <v>417</v>
      </c>
      <c r="F3" s="950" t="s">
        <v>295</v>
      </c>
      <c r="G3" s="949" t="e">
        <f ca="1">_xll.qlIborIndex(,FamilyName,C3,2,Currency,Calendar,E3,D3,F3,,Permanent,Trigger,ObjectOverwrite)</f>
        <v>#NAME?</v>
      </c>
      <c r="H3" s="948" t="str">
        <f t="shared" ref="H3:H9" si="0">Currency&amp;$B3&amp;"D"&amp;$H$1&amp;QuoteSuffix</f>
        <v>EURSND_SYNTH3M_Quote</v>
      </c>
      <c r="I3" s="947"/>
      <c r="J3" s="946"/>
      <c r="K3" s="154"/>
      <c r="L3" s="909" t="str">
        <f t="shared" ref="L3:L9" si="1">A3</f>
        <v>Dp</v>
      </c>
      <c r="M3" s="905" t="str">
        <f t="shared" ref="M3:M9"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IFERROR(INDEX($L$3:$L$124,MATCH(X3,$N$3:$N$124,0),1),"")</f>
        <v/>
      </c>
      <c r="W3" s="4" t="e">
        <f t="array" aca="1" ref="W3:W124"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J3" s="944">
        <v>8</v>
      </c>
      <c r="AM3" s="1361" t="s">
        <v>529</v>
      </c>
      <c r="AN3" s="1364" t="e">
        <f ca="1">_xll.ohTrigger(GeneralSettings!Trigger)</f>
        <v>#NAME?</v>
      </c>
    </row>
    <row r="4" spans="1:40" ht="11.25" customHeight="1" thickBot="1" x14ac:dyDescent="0.3">
      <c r="A4" s="874" t="s">
        <v>391</v>
      </c>
      <c r="B4" s="876" t="s">
        <v>178</v>
      </c>
      <c r="C4" s="912" t="s">
        <v>353</v>
      </c>
      <c r="D4" s="910"/>
      <c r="E4" s="910"/>
      <c r="F4" s="910"/>
      <c r="G4" s="875" t="str">
        <f>PROPER(Currency)&amp;FamilyName&amp;B4</f>
        <v>EuriborSW</v>
      </c>
      <c r="H4" s="934" t="str">
        <f t="shared" si="0"/>
        <v>EURSWD_SYNTH3M_Quote</v>
      </c>
      <c r="I4" s="910"/>
      <c r="J4" s="43"/>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 t="shared" si="0"/>
        <v>EUR2WD_SYNTH3M_Quote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4</v>
      </c>
    </row>
    <row r="6" spans="1:40" ht="11.25" customHeight="1" x14ac:dyDescent="0.2">
      <c r="A6" s="943" t="s">
        <v>391</v>
      </c>
      <c r="B6" s="942" t="s">
        <v>176</v>
      </c>
      <c r="C6" s="941" t="str">
        <f>B6</f>
        <v>3W</v>
      </c>
      <c r="D6" s="938"/>
      <c r="E6" s="938"/>
      <c r="F6" s="938"/>
      <c r="G6" s="940" t="e">
        <f ca="1">_xll.qlEuribor(,C6,,Permanent,Trigger,ObjectOverwrite)</f>
        <v>#NAME?</v>
      </c>
      <c r="H6" s="939" t="str">
        <f t="shared" si="0"/>
        <v>EUR3WD_SYNTH3M_Quote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B7</f>
        <v>1M</v>
      </c>
      <c r="D7" s="910"/>
      <c r="E7" s="910"/>
      <c r="F7" s="910"/>
      <c r="G7" s="875" t="str">
        <f>PROPER(Currency)&amp;FamilyName&amp;B7</f>
        <v>Euribor1M</v>
      </c>
      <c r="H7" s="934" t="str">
        <f t="shared" si="0"/>
        <v>EUR1MD_SYNTH3M_Quote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892"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B8</f>
        <v>2M</v>
      </c>
      <c r="D8" s="910"/>
      <c r="E8" s="910"/>
      <c r="F8" s="910"/>
      <c r="G8" s="875" t="str">
        <f>PROPER(Currency)&amp;FamilyName&amp;B8</f>
        <v>Euribor2M</v>
      </c>
      <c r="H8" s="934" t="str">
        <f t="shared" si="0"/>
        <v>EUR2MD_SYNTH3M_Quote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892"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0" t="s">
        <v>391</v>
      </c>
      <c r="B9" s="872" t="s">
        <v>127</v>
      </c>
      <c r="C9" s="902" t="str">
        <f>B9</f>
        <v>3M</v>
      </c>
      <c r="D9" s="900"/>
      <c r="E9" s="900"/>
      <c r="F9" s="900"/>
      <c r="G9" s="871" t="str">
        <f>PROPER(Currency)&amp;FamilyName&amp;B9</f>
        <v>Euribor3M</v>
      </c>
      <c r="H9" s="919" t="str">
        <f t="shared" si="0"/>
        <v>EUR3MD_SYNTH3M_Quote</v>
      </c>
      <c r="I9" s="900"/>
      <c r="J9" s="38" t="e">
        <f ca="1">_xll.qlDepositRateHelper(,H9,G9,Permanent,Trigger,ObjectOverwrite)</f>
        <v>#NAME?</v>
      </c>
      <c r="K9" s="23"/>
      <c r="L9" s="886" t="str">
        <f t="shared" si="1"/>
        <v>Dp</v>
      </c>
      <c r="M9" s="882" t="e">
        <f t="shared" ca="1" si="2"/>
        <v>#NAME?</v>
      </c>
      <c r="N9" s="885" t="str">
        <f ca="1">IFERROR(_xll.qlRateHelperQuoteName(M9,Trigger),"--")</f>
        <v>--</v>
      </c>
      <c r="O9" s="884" t="str">
        <f ca="1">IFERROR(_xll.qlRateHelperQuoteValue($M9,Trigger),"--")</f>
        <v>--</v>
      </c>
      <c r="P9" s="883" t="b">
        <v>1</v>
      </c>
      <c r="Q9" s="882">
        <v>10</v>
      </c>
      <c r="R9" s="882">
        <v>1</v>
      </c>
      <c r="S9" s="881" t="str">
        <f ca="1">IFERROR(_xll.qlRateHelperEarliestDate(M9,Trigger),"--")</f>
        <v>--</v>
      </c>
      <c r="T9" s="881"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B10" s="1"/>
      <c r="C10" s="1"/>
      <c r="D10" s="1"/>
      <c r="E10" s="1"/>
      <c r="F10" s="1"/>
      <c r="G10" s="1"/>
      <c r="H10" s="1"/>
      <c r="K10" s="23"/>
      <c r="L10" s="909" t="str">
        <f t="shared" ref="L10:L21" si="4">A12</f>
        <v>FRA</v>
      </c>
      <c r="M10" s="905" t="str">
        <f t="shared" ref="M10:M21" si="5">IF(ISBLANK(J12),"--",J12)</f>
        <v>qlFraRateHelper(,H12,B12&amp;"M",G12,PillarDate,,Permanent,Trigger,ObjectOverwrite)</v>
      </c>
      <c r="N10" s="908" t="str">
        <f ca="1">IFERROR(_xll.qlRateHelperQuoteName(M10,Trigger),"--")</f>
        <v>--</v>
      </c>
      <c r="O10" s="907" t="str">
        <f ca="1">IFERROR(_xll.qlRateHelperQuoteValue($M10,Trigger),"--")</f>
        <v>--</v>
      </c>
      <c r="P10" s="906" t="b">
        <v>0</v>
      </c>
      <c r="Q10" s="905">
        <v>20</v>
      </c>
      <c r="R10" s="905">
        <v>1</v>
      </c>
      <c r="S10" s="904" t="str">
        <f ca="1">IFERROR(_xll.qlRateHelperEarliestDate(M10,Trigger),"--")</f>
        <v>--</v>
      </c>
      <c r="T10" s="904"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146" t="s">
        <v>388</v>
      </c>
      <c r="B11" s="146" t="s">
        <v>390</v>
      </c>
      <c r="C11" s="146" t="s">
        <v>389</v>
      </c>
      <c r="D11" s="146"/>
      <c r="E11" s="146"/>
      <c r="F11" s="146"/>
      <c r="G11" s="146" t="s">
        <v>14</v>
      </c>
      <c r="H11" s="146" t="s">
        <v>384</v>
      </c>
      <c r="I11" s="146"/>
      <c r="J11" s="146" t="s">
        <v>383</v>
      </c>
      <c r="K11" s="23"/>
      <c r="L11" s="895" t="str">
        <f t="shared" si="4"/>
        <v>FRA</v>
      </c>
      <c r="M11" s="891" t="str">
        <f t="shared" si="5"/>
        <v>--</v>
      </c>
      <c r="N11" s="894" t="str">
        <f ca="1">IFERROR(_xll.qlRateHelperQuoteName(M11,Trigger),"--")</f>
        <v>--</v>
      </c>
      <c r="O11" s="893" t="str">
        <f ca="1">IFERROR(_xll.qlRateHelperQuoteValue($M11,Trigger),"--")</f>
        <v>--</v>
      </c>
      <c r="P11" s="892" t="b">
        <v>0</v>
      </c>
      <c r="Q11" s="891">
        <v>20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6">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7">-LN(AI11)/AH11</f>
        <v>#NAME?</v>
      </c>
      <c r="AK11" s="997"/>
      <c r="AL11" s="986" t="str">
        <f t="shared" ref="AL11:AL23" si="8">IF(ISBLANK(AK11),AG11,EXP(-AK11*AH11))</f>
        <v>EURJump1_SYNTHON_Quote</v>
      </c>
    </row>
    <row r="12" spans="1:40" ht="11.25" customHeight="1" x14ac:dyDescent="0.2">
      <c r="A12" s="897" t="s">
        <v>181</v>
      </c>
      <c r="B12" s="918">
        <v>1</v>
      </c>
      <c r="C12" s="917" t="str">
        <f t="shared" ref="C12:C23" si="9">"x"&amp;B12+SUBSTITUTE($G$1,"M","")&amp;"F"</f>
        <v>x4F</v>
      </c>
      <c r="D12" s="910"/>
      <c r="E12" s="910"/>
      <c r="F12" s="910"/>
      <c r="G12" s="898" t="str">
        <f t="shared" ref="G12:G23" si="10">PROPER(Currency)&amp;FamilyName&amp;Tenor</f>
        <v>Euribor3M</v>
      </c>
      <c r="H12" s="916" t="str">
        <f t="shared" ref="H12:H23" si="11">Currency&amp;B12&amp;C12&amp;QuoteSuffix</f>
        <v>EUR1x4F_Quote</v>
      </c>
      <c r="I12" s="910"/>
      <c r="J12" s="47" t="s">
        <v>416</v>
      </c>
      <c r="K12" s="23" t="s">
        <v>148</v>
      </c>
      <c r="L12" s="895" t="str">
        <f t="shared" si="4"/>
        <v>FRA</v>
      </c>
      <c r="M12" s="891" t="str">
        <f t="shared" si="5"/>
        <v>--</v>
      </c>
      <c r="N12" s="894" t="str">
        <f ca="1">IFERROR(_xll.qlRateHelperQuoteName(M12,Trigger),"--")</f>
        <v>--</v>
      </c>
      <c r="O12" s="893" t="str">
        <f ca="1">IFERROR(_xll.qlRateHelperQuoteValue($M12,Trigger),"--")</f>
        <v>--</v>
      </c>
      <c r="P12" s="892" t="b">
        <v>0</v>
      </c>
      <c r="Q12" s="891">
        <v>20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6"/>
        <v>EURJump2_SYNTHON_Quote</v>
      </c>
      <c r="AH12" s="982" t="e">
        <f ca="1">_xll.qlDayCounterYearFraction("actual/360",AF12,_xll.qlCalendarAdvance(Calendar,AF12,"1D",,,Trigger))</f>
        <v>#NAME?</v>
      </c>
      <c r="AI12" s="979" t="e">
        <f ca="1">IF(_xll.qlQuoteIsValid(AG12,Trigger),_xll.qlQuoteValue(AG12,Trigger),1)</f>
        <v>#NAME?</v>
      </c>
      <c r="AJ12" s="981" t="e">
        <f t="shared" ca="1" si="7"/>
        <v>#NAME?</v>
      </c>
      <c r="AK12" s="996"/>
      <c r="AL12" s="979" t="str">
        <f t="shared" si="8"/>
        <v>EURJump2_SYNTHON_Quote</v>
      </c>
    </row>
    <row r="13" spans="1:40" ht="11.25" customHeight="1" x14ac:dyDescent="0.2">
      <c r="A13" s="874" t="s">
        <v>181</v>
      </c>
      <c r="B13" s="913">
        <v>2</v>
      </c>
      <c r="C13" s="912" t="str">
        <f t="shared" si="9"/>
        <v>x5F</v>
      </c>
      <c r="D13" s="910"/>
      <c r="E13" s="910"/>
      <c r="F13" s="910"/>
      <c r="G13" s="875" t="str">
        <f t="shared" si="10"/>
        <v>Euribor3M</v>
      </c>
      <c r="H13" s="911" t="str">
        <f t="shared" si="11"/>
        <v>EUR2x5F_Quote</v>
      </c>
      <c r="I13" s="910"/>
      <c r="J13" s="43"/>
      <c r="K13" s="23"/>
      <c r="L13" s="895" t="str">
        <f t="shared" si="4"/>
        <v>FRA</v>
      </c>
      <c r="M13" s="891" t="str">
        <f t="shared" si="5"/>
        <v>--</v>
      </c>
      <c r="N13" s="894" t="str">
        <f ca="1">IFERROR(_xll.qlRateHelperQuoteName(M13,Trigger),"--")</f>
        <v>--</v>
      </c>
      <c r="O13" s="893" t="str">
        <f ca="1">IFERROR(_xll.qlRateHelperQuoteValue($M13,Trigger),"--")</f>
        <v>--</v>
      </c>
      <c r="P13" s="892" t="b">
        <v>0</v>
      </c>
      <c r="Q13" s="891">
        <v>20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6"/>
        <v>EURJump3_SYNTHON_Quote</v>
      </c>
      <c r="AH13" s="982" t="e">
        <f ca="1">_xll.qlDayCounterYearFraction("actual/360",AF13,_xll.qlCalendarAdvance(Calendar,AF13,"1D",,,Trigger))</f>
        <v>#NAME?</v>
      </c>
      <c r="AI13" s="979" t="e">
        <f ca="1">IF(_xll.qlQuoteIsValid(AG13,Trigger),_xll.qlQuoteValue(AG13,Trigger),1)</f>
        <v>#NAME?</v>
      </c>
      <c r="AJ13" s="981" t="e">
        <f t="shared" ca="1" si="7"/>
        <v>#NAME?</v>
      </c>
      <c r="AK13" s="996"/>
      <c r="AL13" s="979" t="str">
        <f t="shared" si="8"/>
        <v>EURJump3_SYNTHON_Quote</v>
      </c>
    </row>
    <row r="14" spans="1:40" ht="11.25" customHeight="1" x14ac:dyDescent="0.2">
      <c r="A14" s="874" t="s">
        <v>181</v>
      </c>
      <c r="B14" s="913">
        <v>3</v>
      </c>
      <c r="C14" s="912" t="str">
        <f t="shared" si="9"/>
        <v>x6F</v>
      </c>
      <c r="D14" s="910"/>
      <c r="E14" s="910"/>
      <c r="F14" s="910"/>
      <c r="G14" s="875" t="str">
        <f t="shared" si="10"/>
        <v>Euribor3M</v>
      </c>
      <c r="H14" s="911" t="str">
        <f t="shared" si="11"/>
        <v>EUR3x6F_Quote</v>
      </c>
      <c r="I14" s="910"/>
      <c r="J14" s="43"/>
      <c r="K14" s="23"/>
      <c r="L14" s="895" t="str">
        <f t="shared" si="4"/>
        <v>FRA</v>
      </c>
      <c r="M14" s="891" t="str">
        <f t="shared" si="5"/>
        <v>--</v>
      </c>
      <c r="N14" s="894" t="str">
        <f ca="1">IFERROR(_xll.qlRateHelperQuoteName(M14,Trigger),"--")</f>
        <v>--</v>
      </c>
      <c r="O14" s="893" t="str">
        <f ca="1">IFERROR(_xll.qlRateHelperQuoteValue($M14,Trigger),"--")</f>
        <v>--</v>
      </c>
      <c r="P14" s="892" t="b">
        <v>0</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6"/>
        <v>EURJump4_SYNTHON_Quote</v>
      </c>
      <c r="AH14" s="982" t="e">
        <f ca="1">_xll.qlDayCounterYearFraction("actual/360",AF14,_xll.qlCalendarAdvance(Calendar,AF14,"1D",,,Trigger))</f>
        <v>#NAME?</v>
      </c>
      <c r="AI14" s="979" t="e">
        <f ca="1">IF(_xll.qlQuoteIsValid(AG14,Trigger),_xll.qlQuoteValue(AG14,Trigger),1)</f>
        <v>#NAME?</v>
      </c>
      <c r="AJ14" s="981" t="e">
        <f t="shared" ca="1" si="7"/>
        <v>#NAME?</v>
      </c>
      <c r="AK14" s="996"/>
      <c r="AL14" s="979" t="str">
        <f t="shared" si="8"/>
        <v>EURJump4_SYNTHON_Quote</v>
      </c>
    </row>
    <row r="15" spans="1:40" ht="11.25" customHeight="1" x14ac:dyDescent="0.2">
      <c r="A15" s="874" t="s">
        <v>181</v>
      </c>
      <c r="B15" s="913">
        <v>4</v>
      </c>
      <c r="C15" s="912" t="str">
        <f t="shared" si="9"/>
        <v>x7F</v>
      </c>
      <c r="D15" s="910"/>
      <c r="E15" s="910"/>
      <c r="F15" s="910"/>
      <c r="G15" s="875" t="str">
        <f t="shared" si="10"/>
        <v>Euribor3M</v>
      </c>
      <c r="H15" s="911" t="str">
        <f t="shared" si="11"/>
        <v>EUR4x7F_Quote</v>
      </c>
      <c r="I15" s="910"/>
      <c r="J15" s="43"/>
      <c r="K15" s="23"/>
      <c r="L15" s="895" t="str">
        <f t="shared" si="4"/>
        <v>FRA</v>
      </c>
      <c r="M15" s="891" t="str">
        <f t="shared" si="5"/>
        <v>--</v>
      </c>
      <c r="N15" s="894" t="str">
        <f ca="1">IFERROR(_xll.qlRateHelperQuoteName(M15,Trigger),"--")</f>
        <v>--</v>
      </c>
      <c r="O15" s="893" t="str">
        <f ca="1">IFERROR(_xll.qlRateHelperQuoteValue($M15,Trigger),"--")</f>
        <v>--</v>
      </c>
      <c r="P15" s="892" t="b">
        <v>0</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6"/>
        <v>EURJump5_SYNTHON_Quote</v>
      </c>
      <c r="AH15" s="982" t="e">
        <f ca="1">_xll.qlDayCounterYearFraction("actual/360",AF15,_xll.qlCalendarAdvance(Calendar,AF15,"1D",,,Trigger))</f>
        <v>#NAME?</v>
      </c>
      <c r="AI15" s="979" t="e">
        <f ca="1">IF(_xll.qlQuoteIsValid(AG15,Trigger),_xll.qlQuoteValue(AG15,Trigger),1)</f>
        <v>#NAME?</v>
      </c>
      <c r="AJ15" s="981" t="e">
        <f t="shared" ca="1" si="7"/>
        <v>#NAME?</v>
      </c>
      <c r="AK15" s="996"/>
      <c r="AL15" s="979" t="str">
        <f t="shared" si="8"/>
        <v>EURJump5_SYNTHON_Quote</v>
      </c>
    </row>
    <row r="16" spans="1:40" ht="11.25" customHeight="1" x14ac:dyDescent="0.2">
      <c r="A16" s="874" t="s">
        <v>181</v>
      </c>
      <c r="B16" s="913">
        <v>5</v>
      </c>
      <c r="C16" s="912" t="str">
        <f t="shared" si="9"/>
        <v>x8F</v>
      </c>
      <c r="D16" s="910"/>
      <c r="E16" s="910"/>
      <c r="F16" s="910"/>
      <c r="G16" s="875" t="str">
        <f t="shared" si="10"/>
        <v>Euribor3M</v>
      </c>
      <c r="H16" s="911" t="str">
        <f t="shared" si="11"/>
        <v>EUR5x8F_Quote</v>
      </c>
      <c r="I16" s="910"/>
      <c r="J16" s="43"/>
      <c r="K16" s="23"/>
      <c r="L16" s="895" t="str">
        <f t="shared" si="4"/>
        <v>FRA</v>
      </c>
      <c r="M16" s="891" t="str">
        <f t="shared" si="5"/>
        <v>--</v>
      </c>
      <c r="N16" s="894" t="str">
        <f ca="1">IFERROR(_xll.qlRateHelperQuoteName(M16,Trigger),"--")</f>
        <v>--</v>
      </c>
      <c r="O16" s="893" t="str">
        <f ca="1">IFERROR(_xll.qlRateHelperQuoteValue($M16,Trigger),"--")</f>
        <v>--</v>
      </c>
      <c r="P16" s="892" t="b">
        <v>0</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6"/>
        <v>EURJump6_SYNTHON_Quote</v>
      </c>
      <c r="AH16" s="982" t="e">
        <f ca="1">_xll.qlDayCounterYearFraction("actual/360",AF16,_xll.qlCalendarAdvance(Calendar,AF16,"1D",,,Trigger))</f>
        <v>#NAME?</v>
      </c>
      <c r="AI16" s="979" t="e">
        <f ca="1">IF(_xll.qlQuoteIsValid(AG16,Trigger),_xll.qlQuoteValue(AG16,Trigger),1)</f>
        <v>#NAME?</v>
      </c>
      <c r="AJ16" s="981" t="e">
        <f t="shared" ca="1" si="7"/>
        <v>#NAME?</v>
      </c>
      <c r="AK16" s="996"/>
      <c r="AL16" s="979" t="str">
        <f t="shared" si="8"/>
        <v>EURJump6_SYNTHON_Quote</v>
      </c>
    </row>
    <row r="17" spans="1:38" ht="11.25" customHeight="1" x14ac:dyDescent="0.2">
      <c r="A17" s="874" t="s">
        <v>181</v>
      </c>
      <c r="B17" s="913">
        <v>6</v>
      </c>
      <c r="C17" s="912" t="str">
        <f t="shared" si="9"/>
        <v>x9F</v>
      </c>
      <c r="D17" s="910"/>
      <c r="E17" s="910"/>
      <c r="F17" s="910"/>
      <c r="G17" s="875" t="str">
        <f t="shared" si="10"/>
        <v>Euribor3M</v>
      </c>
      <c r="H17" s="911" t="str">
        <f t="shared" si="11"/>
        <v>EUR6x9F_Quote</v>
      </c>
      <c r="I17" s="910"/>
      <c r="J17" s="43"/>
      <c r="K17" s="23"/>
      <c r="L17" s="895" t="str">
        <f t="shared" si="4"/>
        <v>FRA</v>
      </c>
      <c r="M17" s="891" t="str">
        <f t="shared" si="5"/>
        <v>--</v>
      </c>
      <c r="N17" s="894" t="str">
        <f ca="1">IFERROR(_xll.qlRateHelperQuoteName(M17,Trigger),"--")</f>
        <v>--</v>
      </c>
      <c r="O17" s="893" t="str">
        <f ca="1">IFERROR(_xll.qlRateHelperQuoteValue($M17,Trigger),"--")</f>
        <v>--</v>
      </c>
      <c r="P17" s="892" t="b">
        <v>0</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6"/>
        <v>EURJump7_SYNTHON_Quote</v>
      </c>
      <c r="AH17" s="982" t="e">
        <f ca="1">_xll.qlDayCounterYearFraction("actual/360",AF17,_xll.qlCalendarAdvance(Calendar,AF17,"1D",,,Trigger))</f>
        <v>#NAME?</v>
      </c>
      <c r="AI17" s="979" t="e">
        <f ca="1">IF(_xll.qlQuoteIsValid(AG17,Trigger),_xll.qlQuoteValue(AG17,Trigger),1)</f>
        <v>#NAME?</v>
      </c>
      <c r="AJ17" s="981" t="e">
        <f t="shared" ca="1" si="7"/>
        <v>#NAME?</v>
      </c>
      <c r="AK17" s="996"/>
      <c r="AL17" s="979" t="str">
        <f t="shared" si="8"/>
        <v>EURJump7_SYNTHON_Quote</v>
      </c>
    </row>
    <row r="18" spans="1:38" ht="11.25" customHeight="1" x14ac:dyDescent="0.2">
      <c r="A18" s="874" t="s">
        <v>181</v>
      </c>
      <c r="B18" s="913">
        <v>7</v>
      </c>
      <c r="C18" s="912" t="str">
        <f t="shared" si="9"/>
        <v>x10F</v>
      </c>
      <c r="D18" s="910"/>
      <c r="E18" s="910"/>
      <c r="F18" s="910"/>
      <c r="G18" s="875" t="str">
        <f t="shared" si="10"/>
        <v>Euribor3M</v>
      </c>
      <c r="H18" s="911" t="str">
        <f t="shared" si="11"/>
        <v>EUR7x10F_Quote</v>
      </c>
      <c r="I18" s="910"/>
      <c r="J18" s="43"/>
      <c r="K18" s="23"/>
      <c r="L18" s="895" t="str">
        <f t="shared" si="4"/>
        <v>FRA</v>
      </c>
      <c r="M18" s="891" t="str">
        <f t="shared" si="5"/>
        <v>--</v>
      </c>
      <c r="N18" s="894" t="str">
        <f ca="1">IFERROR(_xll.qlRateHelperQuoteName(M18,Trigger),"--")</f>
        <v>--</v>
      </c>
      <c r="O18" s="893" t="str">
        <f ca="1">IFERROR(_xll.qlRateHelperQuoteValue($M18,Trigger),"--")</f>
        <v>--</v>
      </c>
      <c r="P18" s="892" t="b">
        <v>0</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6"/>
        <v>EURJump8_SYNTHON_Quote</v>
      </c>
      <c r="AH18" s="982" t="e">
        <f ca="1">_xll.qlDayCounterYearFraction("actual/360",AF18,_xll.qlCalendarAdvance(Calendar,AF18,"1D",,,Trigger))</f>
        <v>#NAME?</v>
      </c>
      <c r="AI18" s="979" t="e">
        <f ca="1">IF(_xll.qlQuoteIsValid(AG18,Trigger),_xll.qlQuoteValue(AG18,Trigger),1)</f>
        <v>#NAME?</v>
      </c>
      <c r="AJ18" s="981" t="e">
        <f t="shared" ca="1" si="7"/>
        <v>#NAME?</v>
      </c>
      <c r="AK18" s="996"/>
      <c r="AL18" s="979" t="str">
        <f t="shared" si="8"/>
        <v>EURJump8_SYNTHON_Quote</v>
      </c>
    </row>
    <row r="19" spans="1:38" ht="11.25" customHeight="1" x14ac:dyDescent="0.2">
      <c r="A19" s="874" t="s">
        <v>181</v>
      </c>
      <c r="B19" s="913">
        <v>8</v>
      </c>
      <c r="C19" s="912" t="str">
        <f t="shared" si="9"/>
        <v>x11F</v>
      </c>
      <c r="D19" s="910"/>
      <c r="E19" s="910"/>
      <c r="F19" s="910"/>
      <c r="G19" s="875" t="str">
        <f t="shared" si="10"/>
        <v>Euribor3M</v>
      </c>
      <c r="H19" s="911" t="str">
        <f t="shared" si="11"/>
        <v>EUR8x11F_Quote</v>
      </c>
      <c r="I19" s="910"/>
      <c r="J19" s="43"/>
      <c r="K19" s="23"/>
      <c r="L19" s="895" t="str">
        <f t="shared" si="4"/>
        <v>FRA</v>
      </c>
      <c r="M19" s="891" t="str">
        <f t="shared" si="5"/>
        <v>--</v>
      </c>
      <c r="N19" s="894" t="str">
        <f ca="1">IFERROR(_xll.qlRateHelperQuoteName(M19,Trigger),"--")</f>
        <v>--</v>
      </c>
      <c r="O19" s="893" t="str">
        <f ca="1">IFERROR(_xll.qlRateHelperQuoteValue($M19,Trigger),"--")</f>
        <v>--</v>
      </c>
      <c r="P19" s="892" t="b">
        <v>0</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6"/>
        <v>EURJump9_SYNTHON_Quote</v>
      </c>
      <c r="AH19" s="982" t="e">
        <f ca="1">_xll.qlDayCounterYearFraction("actual/360",AF19,_xll.qlCalendarAdvance(Calendar,AF19,"1D",,,Trigger))</f>
        <v>#NAME?</v>
      </c>
      <c r="AI19" s="979" t="e">
        <f ca="1">IF(_xll.qlQuoteIsValid(AG19,Trigger),_xll.qlQuoteValue(AG19,Trigger),1)</f>
        <v>#NAME?</v>
      </c>
      <c r="AJ19" s="981" t="e">
        <f t="shared" ca="1" si="7"/>
        <v>#NAME?</v>
      </c>
      <c r="AK19" s="996"/>
      <c r="AL19" s="979" t="str">
        <f t="shared" si="8"/>
        <v>EURJump9_SYNTHON_Quote</v>
      </c>
    </row>
    <row r="20" spans="1:38" ht="11.25" customHeight="1" x14ac:dyDescent="0.2">
      <c r="A20" s="874" t="s">
        <v>181</v>
      </c>
      <c r="B20" s="913">
        <v>9</v>
      </c>
      <c r="C20" s="912" t="str">
        <f t="shared" si="9"/>
        <v>x12F</v>
      </c>
      <c r="D20" s="910"/>
      <c r="E20" s="910"/>
      <c r="F20" s="910"/>
      <c r="G20" s="875" t="str">
        <f t="shared" si="10"/>
        <v>Euribor3M</v>
      </c>
      <c r="H20" s="911" t="str">
        <f t="shared" si="11"/>
        <v>EUR9x12F_Quote</v>
      </c>
      <c r="I20" s="910"/>
      <c r="J20" s="43"/>
      <c r="K20" s="23"/>
      <c r="L20" s="895" t="str">
        <f t="shared" si="4"/>
        <v>FRA</v>
      </c>
      <c r="M20" s="891" t="str">
        <f t="shared" si="5"/>
        <v>--</v>
      </c>
      <c r="N20" s="894" t="str">
        <f ca="1">IFERROR(_xll.qlRateHelperQuoteName(M20,Trigger),"--")</f>
        <v>--</v>
      </c>
      <c r="O20" s="893" t="str">
        <f ca="1">IFERROR(_xll.qlRateHelperQuoteValue($M20,Trigger),"--")</f>
        <v>--</v>
      </c>
      <c r="P20" s="892" t="b">
        <v>0</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6"/>
        <v>EURJump10_SYNTHON_Quote</v>
      </c>
      <c r="AH20" s="982" t="e">
        <f ca="1">_xll.qlDayCounterYearFraction("actual/360",AF20,_xll.qlCalendarAdvance(Calendar,AF20,"1D",,,Trigger))</f>
        <v>#NAME?</v>
      </c>
      <c r="AI20" s="979" t="e">
        <f ca="1">IF(_xll.qlQuoteIsValid(AG20,Trigger),_xll.qlQuoteValue(AG20,Trigger),1)</f>
        <v>#NAME?</v>
      </c>
      <c r="AJ20" s="981" t="e">
        <f t="shared" ca="1" si="7"/>
        <v>#NAME?</v>
      </c>
      <c r="AK20" s="996"/>
      <c r="AL20" s="979" t="str">
        <f t="shared" si="8"/>
        <v>EURJump10_SYNTHON_Quote</v>
      </c>
    </row>
    <row r="21" spans="1:38" ht="11.25" customHeight="1" x14ac:dyDescent="0.2">
      <c r="A21" s="874" t="s">
        <v>181</v>
      </c>
      <c r="B21" s="913">
        <v>10</v>
      </c>
      <c r="C21" s="912" t="str">
        <f t="shared" si="9"/>
        <v>x13F</v>
      </c>
      <c r="D21" s="910"/>
      <c r="E21" s="910"/>
      <c r="F21" s="910"/>
      <c r="G21" s="875" t="str">
        <f t="shared" si="10"/>
        <v>Euribor3M</v>
      </c>
      <c r="H21" s="911" t="str">
        <f t="shared" si="11"/>
        <v>EUR10x13F_Quote</v>
      </c>
      <c r="I21" s="910"/>
      <c r="J21" s="43"/>
      <c r="K21" s="23"/>
      <c r="L21" s="886" t="str">
        <f t="shared" si="4"/>
        <v>FRA</v>
      </c>
      <c r="M21" s="882" t="str">
        <f t="shared" si="5"/>
        <v>--</v>
      </c>
      <c r="N21" s="885" t="str">
        <f ca="1">IFERROR(_xll.qlRateHelperQuoteName(M21,Trigger),"--")</f>
        <v>--</v>
      </c>
      <c r="O21" s="884" t="str">
        <f ca="1">IFERROR(_xll.qlRateHelperQuoteValue($M21,Trigger),"--")</f>
        <v>--</v>
      </c>
      <c r="P21" s="883" t="b">
        <v>0</v>
      </c>
      <c r="Q21" s="882">
        <v>20</v>
      </c>
      <c r="R21" s="882">
        <v>1</v>
      </c>
      <c r="S21" s="881" t="str">
        <f ca="1">IFERROR(_xll.qlRateHelperEarliestDate(M21,Trigger),"--")</f>
        <v>--</v>
      </c>
      <c r="T21" s="881"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6"/>
        <v>EURJump11_SYNTHON_Quote</v>
      </c>
      <c r="AH21" s="982" t="e">
        <f ca="1">_xll.qlDayCounterYearFraction("actual/360",AF21,_xll.qlCalendarAdvance(Calendar,AF21,"1D",,,Trigger))</f>
        <v>#NAME?</v>
      </c>
      <c r="AI21" s="979" t="e">
        <f ca="1">IF(_xll.qlQuoteIsValid(AG21,Trigger),_xll.qlQuoteValue(AG21,Trigger),1)</f>
        <v>#NAME?</v>
      </c>
      <c r="AJ21" s="981" t="e">
        <f t="shared" ca="1" si="7"/>
        <v>#NAME?</v>
      </c>
      <c r="AK21" s="996"/>
      <c r="AL21" s="979" t="str">
        <f t="shared" si="8"/>
        <v>EURJump11_SYNTHON_Quote</v>
      </c>
    </row>
    <row r="22" spans="1:38" ht="11.25" customHeight="1" x14ac:dyDescent="0.2">
      <c r="A22" s="874" t="s">
        <v>181</v>
      </c>
      <c r="B22" s="913">
        <v>11</v>
      </c>
      <c r="C22" s="912" t="str">
        <f t="shared" si="9"/>
        <v>x14F</v>
      </c>
      <c r="D22" s="910"/>
      <c r="E22" s="910"/>
      <c r="F22" s="910"/>
      <c r="G22" s="875" t="str">
        <f t="shared" si="10"/>
        <v>Euribor3M</v>
      </c>
      <c r="H22" s="911" t="str">
        <f t="shared" si="11"/>
        <v>EUR11x14F_Quote</v>
      </c>
      <c r="I22" s="910"/>
      <c r="J22" s="43"/>
      <c r="K22" s="23"/>
      <c r="L22" s="909" t="str">
        <f t="shared" ref="L22:L43" si="12">A26</f>
        <v>FUT</v>
      </c>
      <c r="M22" s="905" t="e">
        <f t="shared" ref="M22:M43" ca="1" si="13">IF(ISBLANK(J26),"--",J26)</f>
        <v>#NAME?</v>
      </c>
      <c r="N22" s="908" t="str">
        <f ca="1">IFERROR(_xll.qlRateHelperQuoteName(M22,Trigger),"--")</f>
        <v>--</v>
      </c>
      <c r="O22" s="1017" t="str">
        <f ca="1">IFERROR(_xll.qlRateHelperQuoteValue($M22,Trigger),"--")</f>
        <v>--</v>
      </c>
      <c r="P22" s="906" t="b">
        <v>1</v>
      </c>
      <c r="Q22" s="905">
        <v>60</v>
      </c>
      <c r="R22" s="905">
        <v>3</v>
      </c>
      <c r="S22" s="904" t="str">
        <f ca="1">IFERROR(_xll.qlRateHelperEarliestDate(M22,Trigger),"--")</f>
        <v>--</v>
      </c>
      <c r="T22" s="904"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6"/>
        <v>EURJump12_SYNTHON_Quote</v>
      </c>
      <c r="AH22" s="982" t="e">
        <f ca="1">_xll.qlDayCounterYearFraction("actual/360",AF22,_xll.qlCalendarAdvance(Calendar,AF22,"1D",,,Trigger))</f>
        <v>#NAME?</v>
      </c>
      <c r="AI22" s="979" t="e">
        <f ca="1">IF(_xll.qlQuoteIsValid(AG22,Trigger),_xll.qlQuoteValue(AG22,Trigger),1)</f>
        <v>#NAME?</v>
      </c>
      <c r="AJ22" s="981" t="e">
        <f t="shared" ca="1" si="7"/>
        <v>#NAME?</v>
      </c>
      <c r="AK22" s="996"/>
      <c r="AL22" s="979" t="str">
        <f t="shared" si="8"/>
        <v>EURJump12_SYNTHON_Quote</v>
      </c>
    </row>
    <row r="23" spans="1:38" ht="11.25" customHeight="1" x14ac:dyDescent="0.2">
      <c r="A23" s="870" t="s">
        <v>181</v>
      </c>
      <c r="B23" s="903">
        <v>12</v>
      </c>
      <c r="C23" s="902" t="str">
        <f t="shared" si="9"/>
        <v>x15F</v>
      </c>
      <c r="D23" s="900"/>
      <c r="E23" s="900"/>
      <c r="F23" s="900"/>
      <c r="G23" s="871" t="str">
        <f t="shared" si="10"/>
        <v>Euribor3M</v>
      </c>
      <c r="H23" s="901" t="str">
        <f t="shared" si="11"/>
        <v>EUR12x15F_Quote</v>
      </c>
      <c r="I23" s="900"/>
      <c r="J23" s="38"/>
      <c r="K23" s="23"/>
      <c r="L23" s="895" t="str">
        <f t="shared" si="12"/>
        <v>FUT</v>
      </c>
      <c r="M23" s="891" t="e">
        <f t="shared" ca="1" si="13"/>
        <v>#NAME?</v>
      </c>
      <c r="N23" s="894" t="str">
        <f ca="1">IFERROR(_xll.qlRateHelperQuoteName(M23,Trigger),"--")</f>
        <v>--</v>
      </c>
      <c r="O23" s="1016" t="str">
        <f ca="1">IFERROR(_xll.qlRateHelperQuoteValue($M23,Trigger),"--")</f>
        <v>--</v>
      </c>
      <c r="P23" s="892" t="b">
        <v>1</v>
      </c>
      <c r="Q23" s="891">
        <v>60</v>
      </c>
      <c r="R23" s="891">
        <v>3</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6"/>
        <v>EURJump13_SYNTHON_Quote</v>
      </c>
      <c r="AH23" s="976" t="e">
        <f ca="1">_xll.qlDayCounterYearFraction("actual/360",AF23,_xll.qlCalendarAdvance(Calendar,AF23,"1D",,,Trigger))</f>
        <v>#NAME?</v>
      </c>
      <c r="AI23" s="973" t="e">
        <f ca="1">IF(_xll.qlQuoteIsValid(AG23,Trigger),_xll.qlQuoteValue(AG23,Trigger),1)</f>
        <v>#NAME?</v>
      </c>
      <c r="AJ23" s="975" t="e">
        <f t="shared" ca="1" si="7"/>
        <v>#NAME?</v>
      </c>
      <c r="AK23" s="995"/>
      <c r="AL23" s="973" t="str">
        <f t="shared" si="8"/>
        <v>EURJump13_SYNTHON_Quote</v>
      </c>
    </row>
    <row r="24" spans="1:38" ht="11.25" customHeight="1" x14ac:dyDescent="0.2">
      <c r="B24" s="1"/>
      <c r="C24" s="1"/>
      <c r="D24" s="1"/>
      <c r="E24" s="1"/>
      <c r="F24" s="1"/>
      <c r="G24" s="1"/>
      <c r="H24" s="1" t="s">
        <v>415</v>
      </c>
      <c r="K24" s="23"/>
      <c r="L24" s="895" t="str">
        <f t="shared" si="12"/>
        <v>FUT</v>
      </c>
      <c r="M24" s="891" t="e">
        <f t="shared" ca="1" si="13"/>
        <v>#NAME?</v>
      </c>
      <c r="N24" s="894" t="str">
        <f ca="1">IFERROR(_xll.qlRateHelperQuoteName(M24,Trigger),"--")</f>
        <v>--</v>
      </c>
      <c r="O24" s="1016" t="str">
        <f ca="1">IFERROR(_xll.qlRateHelperQuoteValue($M24,Trigger),"--")</f>
        <v>--</v>
      </c>
      <c r="P24" s="892" t="b">
        <v>1</v>
      </c>
      <c r="Q24" s="891">
        <v>60</v>
      </c>
      <c r="R24" s="891">
        <v>3</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146" t="s">
        <v>388</v>
      </c>
      <c r="B25" s="146" t="s">
        <v>414</v>
      </c>
      <c r="C25" s="146" t="s">
        <v>144</v>
      </c>
      <c r="D25" s="146"/>
      <c r="E25" s="146"/>
      <c r="F25" s="146"/>
      <c r="G25" s="146" t="s">
        <v>14</v>
      </c>
      <c r="H25" s="146" t="s">
        <v>384</v>
      </c>
      <c r="I25" s="146" t="s">
        <v>413</v>
      </c>
      <c r="J25" s="146" t="s">
        <v>383</v>
      </c>
      <c r="K25" s="23"/>
      <c r="L25" s="895" t="str">
        <f t="shared" si="12"/>
        <v>FUT</v>
      </c>
      <c r="M25" s="891" t="e">
        <f t="shared" ca="1" si="13"/>
        <v>#NAME?</v>
      </c>
      <c r="N25" s="894" t="str">
        <f ca="1">IFERROR(_xll.qlRateHelperQuoteName(M25,Trigger),"--")</f>
        <v>--</v>
      </c>
      <c r="O25" s="1016" t="str">
        <f ca="1">IFERROR(_xll.qlRateHelperQuoteValue($M25,Trigger),"--")</f>
        <v>--</v>
      </c>
      <c r="P25" s="892" t="b">
        <v>1</v>
      </c>
      <c r="Q25" s="891">
        <v>60</v>
      </c>
      <c r="R25" s="891">
        <v>21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97" t="s">
        <v>128</v>
      </c>
      <c r="B26" s="918" t="b">
        <v>0</v>
      </c>
      <c r="C26" s="917" t="e">
        <f ca="1">_xll.qlIMMNextCode(Evaluationdate-1,B26,Trigger)</f>
        <v>#NAME?</v>
      </c>
      <c r="D26" s="915"/>
      <c r="E26" s="915"/>
      <c r="F26" s="915"/>
      <c r="G26" s="898" t="str">
        <f t="shared" ref="G26:G47" si="14">PROPER(Currency)&amp;FamilyName&amp;Tenor</f>
        <v>Euribor3M</v>
      </c>
      <c r="H26" s="916" t="e">
        <f t="shared" ref="H26:H47" ca="1" si="15">Currency&amp;"FUT"&amp;$G$1&amp;$C26&amp;QuoteSuffix</f>
        <v>#NAME?</v>
      </c>
      <c r="I26" s="916" t="e">
        <f t="shared" ref="I26:I47" ca="1" si="16">Currency&amp;"FUT"&amp;$G$1&amp;$C26&amp;"ConvAdj"&amp;QuoteSuffix</f>
        <v>#NAME?</v>
      </c>
      <c r="J26" s="47" t="e">
        <f ca="1">_xll.qlFuturesRateHelper(,H26,$H$24,C26,G26,I26,Permanent,Trigger,ObjectOverwrite)</f>
        <v>#NAME?</v>
      </c>
      <c r="K26" s="23"/>
      <c r="L26" s="895" t="str">
        <f t="shared" si="12"/>
        <v>FUT</v>
      </c>
      <c r="M26" s="891" t="e">
        <f t="shared" ca="1" si="13"/>
        <v>#NAME?</v>
      </c>
      <c r="N26" s="894" t="str">
        <f ca="1">IFERROR(_xll.qlRateHelperQuoteName(M26,Trigger),"--")</f>
        <v>--</v>
      </c>
      <c r="O26" s="1016" t="str">
        <f ca="1">IFERROR(_xll.qlRateHelperQuoteValue($M26,Trigger),"--")</f>
        <v>--</v>
      </c>
      <c r="P26" s="892" t="b">
        <v>1</v>
      </c>
      <c r="Q26" s="891">
        <v>60</v>
      </c>
      <c r="R26" s="891">
        <v>21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128</v>
      </c>
      <c r="B27" s="913" t="b">
        <v>0</v>
      </c>
      <c r="C27" s="912" t="e">
        <f ca="1">_xll.qlIMMNextCode(C26,B27,Trigger)</f>
        <v>#NAME?</v>
      </c>
      <c r="D27" s="910"/>
      <c r="E27" s="910"/>
      <c r="F27" s="910"/>
      <c r="G27" s="875" t="str">
        <f t="shared" si="14"/>
        <v>Euribor3M</v>
      </c>
      <c r="H27" s="911" t="e">
        <f t="shared" ca="1" si="15"/>
        <v>#NAME?</v>
      </c>
      <c r="I27" s="911" t="e">
        <f t="shared" ca="1" si="16"/>
        <v>#NAME?</v>
      </c>
      <c r="J27" s="43" t="e">
        <f ca="1">_xll.qlFuturesRateHelper(,H27,$H$24,C27,G27,I27,Permanent,Trigger,ObjectOverwrite)</f>
        <v>#NAME?</v>
      </c>
      <c r="K27" s="23"/>
      <c r="L27" s="895" t="str">
        <f t="shared" si="12"/>
        <v>FUT</v>
      </c>
      <c r="M27" s="891" t="e">
        <f t="shared" ca="1" si="13"/>
        <v>#NAME?</v>
      </c>
      <c r="N27" s="894" t="str">
        <f ca="1">IFERROR(_xll.qlRateHelperQuoteName(M27,Trigger),"--")</f>
        <v>--</v>
      </c>
      <c r="O27" s="1016" t="str">
        <f ca="1">IFERROR(_xll.qlRateHelperQuoteValue($M27,Trigger),"--")</f>
        <v>--</v>
      </c>
      <c r="P27" s="892" t="b">
        <v>1</v>
      </c>
      <c r="Q27" s="891">
        <v>60</v>
      </c>
      <c r="R27" s="891">
        <v>21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128</v>
      </c>
      <c r="B28" s="913" t="b">
        <v>0</v>
      </c>
      <c r="C28" s="912" t="e">
        <f ca="1">_xll.qlIMMNextCode(C27,B28,Trigger)</f>
        <v>#NAME?</v>
      </c>
      <c r="D28" s="910"/>
      <c r="E28" s="910"/>
      <c r="F28" s="910"/>
      <c r="G28" s="875" t="str">
        <f t="shared" si="14"/>
        <v>Euribor3M</v>
      </c>
      <c r="H28" s="911" t="e">
        <f t="shared" ca="1" si="15"/>
        <v>#NAME?</v>
      </c>
      <c r="I28" s="911" t="e">
        <f t="shared" ca="1" si="16"/>
        <v>#NAME?</v>
      </c>
      <c r="J28" s="43" t="e">
        <f ca="1">_xll.qlFuturesRateHelper(,H28,$H$24,C28,G28,I28,Permanent,Trigger,ObjectOverwrite)</f>
        <v>#NAME?</v>
      </c>
      <c r="K28" s="23"/>
      <c r="L28" s="895" t="str">
        <f t="shared" si="12"/>
        <v>FUT</v>
      </c>
      <c r="M28" s="891" t="e">
        <f t="shared" ca="1" si="13"/>
        <v>#NAME?</v>
      </c>
      <c r="N28" s="894" t="str">
        <f ca="1">IFERROR(_xll.qlRateHelperQuoteName(M28,Trigger),"--")</f>
        <v>--</v>
      </c>
      <c r="O28" s="1016" t="str">
        <f ca="1">IFERROR(_xll.qlRateHelperQuoteValue($M28,Trigger),"--")</f>
        <v>--</v>
      </c>
      <c r="P28" s="892" t="b">
        <v>1</v>
      </c>
      <c r="Q28" s="891">
        <v>60</v>
      </c>
      <c r="R28" s="891">
        <v>21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128</v>
      </c>
      <c r="B29" s="913" t="b">
        <v>0</v>
      </c>
      <c r="C29" s="912" t="e">
        <f ca="1">_xll.qlIMMNextCode(C28,B29,Trigger)</f>
        <v>#NAME?</v>
      </c>
      <c r="D29" s="910"/>
      <c r="E29" s="910"/>
      <c r="F29" s="910"/>
      <c r="G29" s="875" t="str">
        <f t="shared" si="14"/>
        <v>Euribor3M</v>
      </c>
      <c r="H29" s="911" t="e">
        <f t="shared" ca="1" si="15"/>
        <v>#NAME?</v>
      </c>
      <c r="I29" s="911" t="e">
        <f t="shared" ca="1" si="16"/>
        <v>#NAME?</v>
      </c>
      <c r="J29" s="43" t="e">
        <f ca="1">_xll.qlFuturesRateHelper(,H29,$H$24,C29,G29,I29,Permanent,Trigger,ObjectOverwrite)</f>
        <v>#NAME?</v>
      </c>
      <c r="K29" s="23"/>
      <c r="L29" s="895" t="str">
        <f t="shared" si="12"/>
        <v>FUT</v>
      </c>
      <c r="M29" s="891" t="e">
        <f t="shared" ca="1" si="13"/>
        <v>#NAME?</v>
      </c>
      <c r="N29" s="894" t="str">
        <f ca="1">IFERROR(_xll.qlRateHelperQuoteName(M29,Trigger),"--")</f>
        <v>--</v>
      </c>
      <c r="O29" s="1016" t="str">
        <f ca="1">IFERROR(_xll.qlRateHelperQuoteValue($M29,Trigger),"--")</f>
        <v>--</v>
      </c>
      <c r="P29" s="892" t="b">
        <v>1</v>
      </c>
      <c r="Q29" s="891">
        <v>60</v>
      </c>
      <c r="R29" s="891">
        <v>21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0" t="s">
        <v>128</v>
      </c>
      <c r="B30" s="903" t="b">
        <v>0</v>
      </c>
      <c r="C30" s="902" t="e">
        <f ca="1">_xll.qlIMMNextCode(C29,B30,Trigger)</f>
        <v>#NAME?</v>
      </c>
      <c r="D30" s="900"/>
      <c r="E30" s="900"/>
      <c r="F30" s="900"/>
      <c r="G30" s="871" t="str">
        <f t="shared" si="14"/>
        <v>Euribor3M</v>
      </c>
      <c r="H30" s="901" t="e">
        <f t="shared" ca="1" si="15"/>
        <v>#NAME?</v>
      </c>
      <c r="I30" s="901" t="e">
        <f t="shared" ca="1" si="16"/>
        <v>#NAME?</v>
      </c>
      <c r="J30" s="38" t="e">
        <f ca="1">_xll.qlFuturesRateHelper(,H30,$H$24,C30,G30,I30,Permanent,Trigger,ObjectOverwrite)</f>
        <v>#NAME?</v>
      </c>
      <c r="K30" s="23"/>
      <c r="L30" s="895" t="str">
        <f t="shared" si="12"/>
        <v>FUT</v>
      </c>
      <c r="M30" s="891" t="e">
        <f t="shared" ca="1" si="13"/>
        <v>#NAME?</v>
      </c>
      <c r="N30" s="894" t="str">
        <f ca="1">IFERROR(_xll.qlRateHelperQuoteName(M30,Trigger),"--")</f>
        <v>--</v>
      </c>
      <c r="O30" s="1016" t="str">
        <f ca="1">IFERROR(_xll.qlRateHelperQuoteValue($M30,Trigger),"--")</f>
        <v>--</v>
      </c>
      <c r="P30" s="892" t="b">
        <v>1</v>
      </c>
      <c r="Q30" s="891">
        <v>60</v>
      </c>
      <c r="R30" s="891">
        <v>21</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row>
    <row r="31" spans="1:38" ht="11.25" customHeight="1" x14ac:dyDescent="0.2">
      <c r="A31" s="874" t="s">
        <v>128</v>
      </c>
      <c r="B31" s="913" t="b">
        <v>1</v>
      </c>
      <c r="C31" s="912" t="e">
        <f ca="1">_xll.qlIMMNextCode(C30,B31,Trigger)</f>
        <v>#NAME?</v>
      </c>
      <c r="D31" s="910"/>
      <c r="E31" s="910"/>
      <c r="F31" s="910"/>
      <c r="G31" s="875" t="str">
        <f t="shared" si="14"/>
        <v>Euribor3M</v>
      </c>
      <c r="H31" s="911" t="e">
        <f t="shared" ca="1" si="15"/>
        <v>#NAME?</v>
      </c>
      <c r="I31" s="911" t="e">
        <f t="shared" ca="1" si="16"/>
        <v>#NAME?</v>
      </c>
      <c r="J31" s="43" t="e">
        <f ca="1">_xll.qlFuturesRateHelper(,H31,$H$24,C31,G31,I31,Permanent,Trigger,ObjectOverwrite)</f>
        <v>#NAME?</v>
      </c>
      <c r="K31" s="23"/>
      <c r="L31" s="895" t="str">
        <f t="shared" si="12"/>
        <v>FUT</v>
      </c>
      <c r="M31" s="891" t="e">
        <f t="shared" ca="1" si="13"/>
        <v>#NAME?</v>
      </c>
      <c r="N31" s="894" t="str">
        <f ca="1">IFERROR(_xll.qlRateHelperQuoteName(M31,Trigger),"--")</f>
        <v>--</v>
      </c>
      <c r="O31" s="1016" t="str">
        <f ca="1">IFERROR(_xll.qlRateHelperQuoteValue($M31,Trigger),"--")</f>
        <v>--</v>
      </c>
      <c r="P31" s="892" t="b">
        <v>1</v>
      </c>
      <c r="Q31" s="891">
        <v>60</v>
      </c>
      <c r="R31" s="891">
        <v>21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row>
    <row r="32" spans="1:38" ht="11.25" customHeight="1" x14ac:dyDescent="0.2">
      <c r="A32" s="874" t="s">
        <v>128</v>
      </c>
      <c r="B32" s="913" t="b">
        <v>1</v>
      </c>
      <c r="C32" s="912" t="e">
        <f ca="1">_xll.qlIMMNextCode(C31,B32,Trigger)</f>
        <v>#NAME?</v>
      </c>
      <c r="D32" s="910"/>
      <c r="E32" s="910"/>
      <c r="F32" s="910"/>
      <c r="G32" s="875" t="str">
        <f t="shared" si="14"/>
        <v>Euribor3M</v>
      </c>
      <c r="H32" s="911" t="e">
        <f t="shared" ca="1" si="15"/>
        <v>#NAME?</v>
      </c>
      <c r="I32" s="911" t="e">
        <f t="shared" ca="1" si="16"/>
        <v>#NAME?</v>
      </c>
      <c r="J32" s="43" t="e">
        <f ca="1">_xll.qlFuturesRateHelper(,H32,$H$24,C32,G32,I32,Permanent,Trigger,ObjectOverwrite)</f>
        <v>#NAME?</v>
      </c>
      <c r="K32" s="23"/>
      <c r="L32" s="895" t="str">
        <f t="shared" si="12"/>
        <v>FUT</v>
      </c>
      <c r="M32" s="891" t="e">
        <f t="shared" ca="1" si="13"/>
        <v>#NAME?</v>
      </c>
      <c r="N32" s="894" t="str">
        <f ca="1">IFERROR(_xll.qlRateHelperQuoteName(M32,Trigger),"--")</f>
        <v>--</v>
      </c>
      <c r="O32" s="1016" t="str">
        <f ca="1">IFERROR(_xll.qlRateHelperQuoteValue($M32,Trigger),"--")</f>
        <v>--</v>
      </c>
      <c r="P32" s="892" t="b">
        <v>1</v>
      </c>
      <c r="Q32" s="891">
        <v>60</v>
      </c>
      <c r="R32" s="891">
        <v>21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row>
    <row r="33" spans="1:29" ht="11.25" customHeight="1" x14ac:dyDescent="0.2">
      <c r="A33" s="874" t="s">
        <v>128</v>
      </c>
      <c r="B33" s="913" t="b">
        <v>1</v>
      </c>
      <c r="C33" s="912" t="e">
        <f ca="1">_xll.qlIMMNextCode(C32,B33,Trigger)</f>
        <v>#NAME?</v>
      </c>
      <c r="D33" s="910"/>
      <c r="E33" s="910"/>
      <c r="F33" s="910"/>
      <c r="G33" s="875" t="str">
        <f t="shared" si="14"/>
        <v>Euribor3M</v>
      </c>
      <c r="H33" s="911" t="e">
        <f t="shared" ca="1" si="15"/>
        <v>#NAME?</v>
      </c>
      <c r="I33" s="911" t="e">
        <f t="shared" ca="1" si="16"/>
        <v>#NAME?</v>
      </c>
      <c r="J33" s="43" t="e">
        <f ca="1">_xll.qlFuturesRateHelper(,H33,$H$24,C33,G33,I33,Permanent,Trigger,ObjectOverwrite)</f>
        <v>#NAME?</v>
      </c>
      <c r="K33" s="23"/>
      <c r="L33" s="895" t="str">
        <f t="shared" si="12"/>
        <v>FUT</v>
      </c>
      <c r="M33" s="891" t="e">
        <f t="shared" ca="1" si="13"/>
        <v>#NAME?</v>
      </c>
      <c r="N33" s="894" t="str">
        <f ca="1">IFERROR(_xll.qlRateHelperQuoteName(M33,Trigger),"--")</f>
        <v>--</v>
      </c>
      <c r="O33" s="1016" t="str">
        <f ca="1">IFERROR(_xll.qlRateHelperQuoteValue($M33,Trigger),"--")</f>
        <v>--</v>
      </c>
      <c r="P33" s="892" t="b">
        <v>1</v>
      </c>
      <c r="Q33" s="891">
        <v>60</v>
      </c>
      <c r="R33" s="891">
        <v>21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row>
    <row r="34" spans="1:29" ht="11.25" customHeight="1" x14ac:dyDescent="0.2">
      <c r="A34" s="874" t="s">
        <v>128</v>
      </c>
      <c r="B34" s="913" t="b">
        <v>1</v>
      </c>
      <c r="C34" s="912" t="e">
        <f ca="1">_xll.qlIMMNextCode(C33,B34,Trigger)</f>
        <v>#NAME?</v>
      </c>
      <c r="D34" s="910"/>
      <c r="E34" s="910"/>
      <c r="F34" s="910"/>
      <c r="G34" s="875" t="str">
        <f t="shared" si="14"/>
        <v>Euribor3M</v>
      </c>
      <c r="H34" s="911" t="e">
        <f t="shared" ca="1" si="15"/>
        <v>#NAME?</v>
      </c>
      <c r="I34" s="911" t="e">
        <f t="shared" ca="1" si="16"/>
        <v>#NAME?</v>
      </c>
      <c r="J34" s="43" t="e">
        <f ca="1">_xll.qlFuturesRateHelper(,H34,$H$24,C34,G34,I34,Permanent,Trigger,ObjectOverwrite)</f>
        <v>#NAME?</v>
      </c>
      <c r="K34" s="23"/>
      <c r="L34" s="895" t="str">
        <f t="shared" si="12"/>
        <v>FUT</v>
      </c>
      <c r="M34" s="891" t="e">
        <f t="shared" ca="1" si="13"/>
        <v>#NAME?</v>
      </c>
      <c r="N34" s="894" t="str">
        <f ca="1">IFERROR(_xll.qlRateHelperQuoteName(M34,Trigger),"--")</f>
        <v>--</v>
      </c>
      <c r="O34" s="1016" t="str">
        <f ca="1">IFERROR(_xll.qlRateHelperQuoteValue($M34,Trigger),"--")</f>
        <v>--</v>
      </c>
      <c r="P34" s="892" t="b">
        <v>1</v>
      </c>
      <c r="Q34" s="891">
        <v>60</v>
      </c>
      <c r="R34" s="891">
        <v>21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row>
    <row r="35" spans="1:29" ht="11.25" customHeight="1" x14ac:dyDescent="0.2">
      <c r="A35" s="874" t="s">
        <v>128</v>
      </c>
      <c r="B35" s="913" t="b">
        <v>1</v>
      </c>
      <c r="C35" s="912" t="e">
        <f ca="1">_xll.qlIMMNextCode(C34,B35,Trigger)</f>
        <v>#NAME?</v>
      </c>
      <c r="D35" s="910"/>
      <c r="E35" s="910"/>
      <c r="F35" s="910"/>
      <c r="G35" s="875" t="str">
        <f t="shared" si="14"/>
        <v>Euribor3M</v>
      </c>
      <c r="H35" s="911" t="e">
        <f t="shared" ca="1" si="15"/>
        <v>#NAME?</v>
      </c>
      <c r="I35" s="911" t="e">
        <f t="shared" ca="1" si="16"/>
        <v>#NAME?</v>
      </c>
      <c r="J35" s="43" t="e">
        <f ca="1">_xll.qlFuturesRateHelper(,H35,$H$24,C35,G35,I35,Permanent,Trigger,ObjectOverwrite)</f>
        <v>#NAME?</v>
      </c>
      <c r="K35" s="23"/>
      <c r="L35" s="895" t="str">
        <f t="shared" si="12"/>
        <v>FUT</v>
      </c>
      <c r="M35" s="891" t="e">
        <f t="shared" ca="1" si="13"/>
        <v>#NAME?</v>
      </c>
      <c r="N35" s="894" t="str">
        <f ca="1">IFERROR(_xll.qlRateHelperQuoteName(M35,Trigger),"--")</f>
        <v>--</v>
      </c>
      <c r="O35" s="1016" t="str">
        <f ca="1">IFERROR(_xll.qlRateHelperQuoteValue($M35,Trigger),"--")</f>
        <v>--</v>
      </c>
      <c r="P35" s="892" t="b">
        <v>1</v>
      </c>
      <c r="Q35" s="891">
        <v>30</v>
      </c>
      <c r="R35" s="891">
        <v>21</v>
      </c>
      <c r="S35" s="890" t="str">
        <f ca="1">IFERROR(_xll.qlRateHelperEarliestDate(M35,Trigger),"--")</f>
        <v>--</v>
      </c>
      <c r="T35" s="890" t="str">
        <f ca="1">IFERROR(_xll.qlRateHelperPillarDate(M35,Trigger),"--")</f>
        <v>--</v>
      </c>
      <c r="V35" s="4" t="str">
        <f t="shared" ref="V35:V66" ca="1" si="17">IFERROR(INDEX($L$3:$L$124,MATCH(X35,$N$3:$N$124,0),1),"")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29" ht="11.25" customHeight="1" x14ac:dyDescent="0.2">
      <c r="A36" s="874" t="s">
        <v>128</v>
      </c>
      <c r="B36" s="913" t="b">
        <v>1</v>
      </c>
      <c r="C36" s="912" t="e">
        <f ca="1">_xll.qlIMMNextCode(C35,B36,Trigger)</f>
        <v>#NAME?</v>
      </c>
      <c r="D36" s="910"/>
      <c r="E36" s="910"/>
      <c r="F36" s="910"/>
      <c r="G36" s="875" t="str">
        <f t="shared" si="14"/>
        <v>Euribor3M</v>
      </c>
      <c r="H36" s="911" t="e">
        <f t="shared" ca="1" si="15"/>
        <v>#NAME?</v>
      </c>
      <c r="I36" s="911" t="e">
        <f t="shared" ca="1" si="16"/>
        <v>#NAME?</v>
      </c>
      <c r="J36" s="43" t="e">
        <f ca="1">_xll.qlFuturesRateHelper(,H36,$H$24,C36,G36,I36,Permanent,Trigger,ObjectOverwrite)</f>
        <v>#NAME?</v>
      </c>
      <c r="K36" s="23"/>
      <c r="L36" s="895" t="str">
        <f t="shared" si="12"/>
        <v>FUT</v>
      </c>
      <c r="M36" s="891" t="e">
        <f t="shared" ca="1" si="13"/>
        <v>#NAME?</v>
      </c>
      <c r="N36" s="894" t="str">
        <f ca="1">IFERROR(_xll.qlRateHelperQuoteName(M36,Trigger),"--")</f>
        <v>--</v>
      </c>
      <c r="O36" s="1016" t="str">
        <f ca="1">IFERROR(_xll.qlRateHelperQuoteValue($M36,Trigger),"--")</f>
        <v>--</v>
      </c>
      <c r="P36" s="892" t="b">
        <v>1</v>
      </c>
      <c r="Q36" s="891">
        <v>30</v>
      </c>
      <c r="R36" s="891">
        <v>21</v>
      </c>
      <c r="S36" s="890" t="str">
        <f ca="1">IFERROR(_xll.qlRateHelperEarliestDate(M36,Trigger),"--")</f>
        <v>--</v>
      </c>
      <c r="T36" s="890" t="str">
        <f ca="1">IFERROR(_xll.qlRateHelperPillarDate(M36,Trigger),"--")</f>
        <v>--</v>
      </c>
      <c r="V36" s="4" t="str">
        <f t="shared" ca="1" si="17"/>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29" ht="11.25" customHeight="1" x14ac:dyDescent="0.2">
      <c r="A37" s="874" t="s">
        <v>128</v>
      </c>
      <c r="B37" s="913" t="b">
        <v>1</v>
      </c>
      <c r="C37" s="912" t="e">
        <f ca="1">_xll.qlIMMNextCode(C36,B37,Trigger)</f>
        <v>#NAME?</v>
      </c>
      <c r="D37" s="910"/>
      <c r="E37" s="910"/>
      <c r="F37" s="910"/>
      <c r="G37" s="875" t="str">
        <f t="shared" si="14"/>
        <v>Euribor3M</v>
      </c>
      <c r="H37" s="911" t="e">
        <f t="shared" ca="1" si="15"/>
        <v>#NAME?</v>
      </c>
      <c r="I37" s="911" t="e">
        <f t="shared" ca="1" si="16"/>
        <v>#NAME?</v>
      </c>
      <c r="J37" s="43" t="e">
        <f ca="1">_xll.qlFuturesRateHelper(,H37,$H$24,C37,G37,I37,Permanent,Trigger,ObjectOverwrite)</f>
        <v>#NAME?</v>
      </c>
      <c r="K37" s="23"/>
      <c r="L37" s="895" t="str">
        <f t="shared" si="12"/>
        <v>FUT</v>
      </c>
      <c r="M37" s="891" t="e">
        <f t="shared" ca="1" si="13"/>
        <v>#NAME?</v>
      </c>
      <c r="N37" s="894" t="str">
        <f ca="1">IFERROR(_xll.qlRateHelperQuoteName(M37,Trigger),"--")</f>
        <v>--</v>
      </c>
      <c r="O37" s="1016" t="str">
        <f ca="1">IFERROR(_xll.qlRateHelperQuoteValue($M37,Trigger),"--")</f>
        <v>--</v>
      </c>
      <c r="P37" s="892" t="b">
        <v>1</v>
      </c>
      <c r="Q37" s="891">
        <v>30</v>
      </c>
      <c r="R37" s="891">
        <v>21</v>
      </c>
      <c r="S37" s="890" t="str">
        <f ca="1">IFERROR(_xll.qlRateHelperEarliestDate(M37,Trigger),"--")</f>
        <v>--</v>
      </c>
      <c r="T37" s="890" t="str">
        <f ca="1">IFERROR(_xll.qlRateHelperPillarDate(M37,Trigger),"--")</f>
        <v>--</v>
      </c>
      <c r="V37" s="4" t="str">
        <f t="shared" ca="1" si="17"/>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29" ht="11.25" customHeight="1" x14ac:dyDescent="0.2">
      <c r="A38" s="874" t="s">
        <v>128</v>
      </c>
      <c r="B38" s="913" t="b">
        <v>1</v>
      </c>
      <c r="C38" s="912" t="e">
        <f ca="1">_xll.qlIMMNextCode(C37,B38,Trigger)</f>
        <v>#NAME?</v>
      </c>
      <c r="D38" s="910"/>
      <c r="E38" s="910"/>
      <c r="F38" s="910"/>
      <c r="G38" s="875" t="str">
        <f t="shared" si="14"/>
        <v>Euribor3M</v>
      </c>
      <c r="H38" s="911" t="e">
        <f t="shared" ca="1" si="15"/>
        <v>#NAME?</v>
      </c>
      <c r="I38" s="911" t="e">
        <f t="shared" ca="1" si="16"/>
        <v>#NAME?</v>
      </c>
      <c r="J38" s="43" t="e">
        <f ca="1">_xll.qlFuturesRateHelper(,H38,$H$24,C38,G38,I38,Permanent,Trigger,ObjectOverwrite)</f>
        <v>#NAME?</v>
      </c>
      <c r="K38" s="23"/>
      <c r="L38" s="895" t="str">
        <f t="shared" si="12"/>
        <v>FUT</v>
      </c>
      <c r="M38" s="891" t="e">
        <f t="shared" ca="1" si="13"/>
        <v>#NAME?</v>
      </c>
      <c r="N38" s="894" t="str">
        <f ca="1">IFERROR(_xll.qlRateHelperQuoteName(M38,Trigger),"--")</f>
        <v>--</v>
      </c>
      <c r="O38" s="1016" t="str">
        <f ca="1">IFERROR(_xll.qlRateHelperQuoteValue($M38,Trigger),"--")</f>
        <v>--</v>
      </c>
      <c r="P38" s="892" t="b">
        <v>1</v>
      </c>
      <c r="Q38" s="891">
        <v>30</v>
      </c>
      <c r="R38" s="891">
        <v>21</v>
      </c>
      <c r="S38" s="890" t="str">
        <f ca="1">IFERROR(_xll.qlRateHelperEarliestDate(M38,Trigger),"--")</f>
        <v>--</v>
      </c>
      <c r="T38" s="890" t="str">
        <f ca="1">IFERROR(_xll.qlRateHelperPillarDate(M38,Trigger),"--")</f>
        <v>--</v>
      </c>
      <c r="V38" s="4" t="str">
        <f t="shared" ca="1" si="17"/>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29" ht="11.25" customHeight="1" x14ac:dyDescent="0.2">
      <c r="A39" s="874" t="s">
        <v>128</v>
      </c>
      <c r="B39" s="913" t="b">
        <v>1</v>
      </c>
      <c r="C39" s="912" t="e">
        <f ca="1">_xll.qlIMMNextCode(C38,B39,Trigger)</f>
        <v>#NAME?</v>
      </c>
      <c r="D39" s="910"/>
      <c r="E39" s="910"/>
      <c r="F39" s="910"/>
      <c r="G39" s="875" t="str">
        <f t="shared" si="14"/>
        <v>Euribor3M</v>
      </c>
      <c r="H39" s="911" t="e">
        <f t="shared" ca="1" si="15"/>
        <v>#NAME?</v>
      </c>
      <c r="I39" s="911" t="e">
        <f t="shared" ca="1" si="16"/>
        <v>#NAME?</v>
      </c>
      <c r="J39" s="43" t="e">
        <f ca="1">_xll.qlFuturesRateHelper(,H39,$H$24,C39,G39,I39,Permanent,Trigger,ObjectOverwrite)</f>
        <v>#NAME?</v>
      </c>
      <c r="K39" s="23"/>
      <c r="L39" s="895" t="str">
        <f t="shared" si="12"/>
        <v>FUT</v>
      </c>
      <c r="M39" s="891" t="e">
        <f t="shared" ca="1" si="13"/>
        <v>#NAME?</v>
      </c>
      <c r="N39" s="894" t="str">
        <f ca="1">IFERROR(_xll.qlRateHelperQuoteName(M39,Trigger),"--")</f>
        <v>--</v>
      </c>
      <c r="O39" s="1016" t="str">
        <f ca="1">IFERROR(_xll.qlRateHelperQuoteValue($M39,Trigger),"--")</f>
        <v>--</v>
      </c>
      <c r="P39" s="892" t="b">
        <v>1</v>
      </c>
      <c r="Q39" s="891">
        <v>30</v>
      </c>
      <c r="R39" s="891">
        <v>21</v>
      </c>
      <c r="S39" s="890" t="str">
        <f ca="1">IFERROR(_xll.qlRateHelperEarliestDate(M39,Trigger),"--")</f>
        <v>--</v>
      </c>
      <c r="T39" s="890" t="str">
        <f ca="1">IFERROR(_xll.qlRateHelperPillarDate(M39,Trigger),"--")</f>
        <v>--</v>
      </c>
      <c r="V39" s="4" t="str">
        <f t="shared" ca="1" si="17"/>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29" ht="11.25" customHeight="1" x14ac:dyDescent="0.2">
      <c r="A40" s="874" t="s">
        <v>128</v>
      </c>
      <c r="B40" s="913" t="b">
        <v>1</v>
      </c>
      <c r="C40" s="912" t="e">
        <f ca="1">_xll.qlIMMNextCode(C39,B40,Trigger)</f>
        <v>#NAME?</v>
      </c>
      <c r="D40" s="910"/>
      <c r="E40" s="910"/>
      <c r="F40" s="910"/>
      <c r="G40" s="875" t="str">
        <f t="shared" si="14"/>
        <v>Euribor3M</v>
      </c>
      <c r="H40" s="911" t="e">
        <f t="shared" ca="1" si="15"/>
        <v>#NAME?</v>
      </c>
      <c r="I40" s="911" t="e">
        <f t="shared" ca="1" si="16"/>
        <v>#NAME?</v>
      </c>
      <c r="J40" s="43" t="e">
        <f ca="1">_xll.qlFuturesRateHelper(,H40,$H$24,C40,G40,I40,Permanent,Trigger,ObjectOverwrite)</f>
        <v>#NAME?</v>
      </c>
      <c r="K40" s="23"/>
      <c r="L40" s="895" t="str">
        <f t="shared" si="12"/>
        <v>FUT</v>
      </c>
      <c r="M40" s="891" t="e">
        <f t="shared" ca="1" si="13"/>
        <v>#NAME?</v>
      </c>
      <c r="N40" s="894" t="str">
        <f ca="1">IFERROR(_xll.qlRateHelperQuoteName(M40,Trigger),"--")</f>
        <v>--</v>
      </c>
      <c r="O40" s="1016" t="str">
        <f ca="1">IFERROR(_xll.qlRateHelperQuoteValue($M40,Trigger),"--")</f>
        <v>--</v>
      </c>
      <c r="P40" s="892" t="b">
        <v>1</v>
      </c>
      <c r="Q40" s="891">
        <v>30</v>
      </c>
      <c r="R40" s="891">
        <v>21</v>
      </c>
      <c r="S40" s="890" t="str">
        <f ca="1">IFERROR(_xll.qlRateHelperEarliestDate(M40,Trigger),"--")</f>
        <v>--</v>
      </c>
      <c r="T40" s="890" t="str">
        <f ca="1">IFERROR(_xll.qlRateHelperPillarDate(M40,Trigger),"--")</f>
        <v>--</v>
      </c>
      <c r="V40" s="4" t="str">
        <f t="shared" ca="1" si="17"/>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29" ht="11.25" customHeight="1" x14ac:dyDescent="0.2">
      <c r="A41" s="874" t="s">
        <v>128</v>
      </c>
      <c r="B41" s="913" t="b">
        <v>1</v>
      </c>
      <c r="C41" s="912" t="e">
        <f ca="1">_xll.qlIMMNextCode(C40,B41,Trigger)</f>
        <v>#NAME?</v>
      </c>
      <c r="D41" s="910"/>
      <c r="E41" s="910"/>
      <c r="F41" s="910"/>
      <c r="G41" s="875" t="str">
        <f t="shared" si="14"/>
        <v>Euribor3M</v>
      </c>
      <c r="H41" s="911" t="e">
        <f t="shared" ca="1" si="15"/>
        <v>#NAME?</v>
      </c>
      <c r="I41" s="911" t="e">
        <f t="shared" ca="1" si="16"/>
        <v>#NAME?</v>
      </c>
      <c r="J41" s="43" t="e">
        <f ca="1">_xll.qlFuturesRateHelper(,H41,$H$24,C41,G41,I41,Permanent,Trigger,ObjectOverwrite)</f>
        <v>#NAME?</v>
      </c>
      <c r="L41" s="895" t="str">
        <f t="shared" si="12"/>
        <v>FUT</v>
      </c>
      <c r="M41" s="891" t="e">
        <f t="shared" ca="1" si="13"/>
        <v>#NAME?</v>
      </c>
      <c r="N41" s="894" t="str">
        <f ca="1">IFERROR(_xll.qlRateHelperQuoteName(M41,Trigger),"--")</f>
        <v>--</v>
      </c>
      <c r="O41" s="1016" t="str">
        <f ca="1">IFERROR(_xll.qlRateHelperQuoteValue($M41,Trigger),"--")</f>
        <v>--</v>
      </c>
      <c r="P41" s="892" t="b">
        <v>1</v>
      </c>
      <c r="Q41" s="891">
        <v>30</v>
      </c>
      <c r="R41" s="891">
        <v>21</v>
      </c>
      <c r="S41" s="890" t="str">
        <f ca="1">IFERROR(_xll.qlRateHelperEarliestDate(M41,Trigger),"--")</f>
        <v>--</v>
      </c>
      <c r="T41" s="890" t="str">
        <f ca="1">IFERROR(_xll.qlRateHelperPillarDate(M41,Trigger),"--")</f>
        <v>--</v>
      </c>
      <c r="V41" s="4" t="str">
        <f t="shared" ca="1" si="17"/>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29" ht="11.25" customHeight="1" x14ac:dyDescent="0.2">
      <c r="A42" s="874" t="s">
        <v>128</v>
      </c>
      <c r="B42" s="913" t="b">
        <v>1</v>
      </c>
      <c r="C42" s="912" t="e">
        <f ca="1">_xll.qlIMMNextCode(C41,B42,Trigger)</f>
        <v>#NAME?</v>
      </c>
      <c r="D42" s="910"/>
      <c r="E42" s="910"/>
      <c r="F42" s="910"/>
      <c r="G42" s="875" t="str">
        <f t="shared" si="14"/>
        <v>Euribor3M</v>
      </c>
      <c r="H42" s="911" t="e">
        <f t="shared" ca="1" si="15"/>
        <v>#NAME?</v>
      </c>
      <c r="I42" s="911" t="e">
        <f t="shared" ca="1" si="16"/>
        <v>#NAME?</v>
      </c>
      <c r="J42" s="43" t="e">
        <f ca="1">_xll.qlFuturesRateHelper(,H42,$H$24,C42,G42,I42,Permanent,Trigger,ObjectOverwrite)</f>
        <v>#NAME?</v>
      </c>
      <c r="L42" s="895" t="str">
        <f t="shared" si="12"/>
        <v>FUT</v>
      </c>
      <c r="M42" s="891" t="e">
        <f t="shared" ca="1" si="13"/>
        <v>#NAME?</v>
      </c>
      <c r="N42" s="894" t="str">
        <f ca="1">IFERROR(_xll.qlRateHelperQuoteName(M42,Trigger),"--")</f>
        <v>--</v>
      </c>
      <c r="O42" s="1016" t="str">
        <f ca="1">IFERROR(_xll.qlRateHelperQuoteValue($M42,Trigger),"--")</f>
        <v>--</v>
      </c>
      <c r="P42" s="892" t="b">
        <v>1</v>
      </c>
      <c r="Q42" s="891">
        <v>30</v>
      </c>
      <c r="R42" s="891">
        <v>21</v>
      </c>
      <c r="S42" s="890" t="str">
        <f ca="1">IFERROR(_xll.qlRateHelperEarliestDate(M42,Trigger),"--")</f>
        <v>--</v>
      </c>
      <c r="T42" s="890" t="str">
        <f ca="1">IFERROR(_xll.qlRateHelperPillarDate(M42,Trigger),"--")</f>
        <v>--</v>
      </c>
      <c r="V42" s="4" t="str">
        <f t="shared" ca="1" si="17"/>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29" ht="11.25" customHeight="1" x14ac:dyDescent="0.2">
      <c r="A43" s="874" t="s">
        <v>128</v>
      </c>
      <c r="B43" s="913" t="b">
        <v>1</v>
      </c>
      <c r="C43" s="912" t="e">
        <f ca="1">_xll.qlIMMNextCode(C42,B43,Trigger)</f>
        <v>#NAME?</v>
      </c>
      <c r="D43" s="910"/>
      <c r="E43" s="910"/>
      <c r="F43" s="910"/>
      <c r="G43" s="875" t="str">
        <f t="shared" si="14"/>
        <v>Euribor3M</v>
      </c>
      <c r="H43" s="911" t="e">
        <f t="shared" ca="1" si="15"/>
        <v>#NAME?</v>
      </c>
      <c r="I43" s="911" t="e">
        <f t="shared" ca="1" si="16"/>
        <v>#NAME?</v>
      </c>
      <c r="J43" s="43" t="e">
        <f ca="1">_xll.qlFuturesRateHelper(,H43,$H$24,C43,G43,I43,Permanent,Trigger,ObjectOverwrite)</f>
        <v>#NAME?</v>
      </c>
      <c r="L43" s="886" t="str">
        <f t="shared" si="12"/>
        <v>FUT</v>
      </c>
      <c r="M43" s="882" t="e">
        <f t="shared" ca="1" si="13"/>
        <v>#NAME?</v>
      </c>
      <c r="N43" s="885" t="str">
        <f ca="1">IFERROR(_xll.qlRateHelperQuoteName(M43,Trigger),"--")</f>
        <v>--</v>
      </c>
      <c r="O43" s="1015" t="str">
        <f ca="1">IFERROR(_xll.qlRateHelperQuoteValue($M43,Trigger),"--")</f>
        <v>--</v>
      </c>
      <c r="P43" s="883" t="b">
        <v>1</v>
      </c>
      <c r="Q43" s="882">
        <v>30</v>
      </c>
      <c r="R43" s="882">
        <v>21</v>
      </c>
      <c r="S43" s="881" t="str">
        <f ca="1">IFERROR(_xll.qlRateHelperEarliestDate(M43,Trigger),"--")</f>
        <v>--</v>
      </c>
      <c r="T43" s="881" t="str">
        <f ca="1">IFERROR(_xll.qlRateHelperPillarDate(M43,Trigger),"--")</f>
        <v>--</v>
      </c>
      <c r="V43" s="4" t="str">
        <f t="shared" ca="1" si="17"/>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29" ht="11.25" customHeight="1" x14ac:dyDescent="0.2">
      <c r="A44" s="874" t="s">
        <v>128</v>
      </c>
      <c r="B44" s="913" t="b">
        <v>1</v>
      </c>
      <c r="C44" s="912" t="e">
        <f ca="1">_xll.qlIMMNextCode(C43,B44,Trigger)</f>
        <v>#NAME?</v>
      </c>
      <c r="D44" s="910"/>
      <c r="E44" s="910"/>
      <c r="F44" s="910"/>
      <c r="G44" s="875" t="str">
        <f t="shared" si="14"/>
        <v>Euribor3M</v>
      </c>
      <c r="H44" s="911" t="e">
        <f t="shared" ca="1" si="15"/>
        <v>#NAME?</v>
      </c>
      <c r="I44" s="911" t="e">
        <f t="shared" ca="1" si="16"/>
        <v>#NAME?</v>
      </c>
      <c r="J44" s="43" t="e">
        <f ca="1">_xll.qlFuturesRateHelper(,H44,$H$24,C44,G44,I44,Permanent,Trigger,ObjectOverwrite)</f>
        <v>#NAME?</v>
      </c>
      <c r="L44" s="1005" t="str">
        <f t="shared" ref="L44:L80" si="18">A50</f>
        <v>Sw</v>
      </c>
      <c r="M44" s="1014" t="str">
        <f t="shared" ref="M44:M80" si="19">IF(ISBLANK(J50),"--",J50)</f>
        <v>--</v>
      </c>
      <c r="N44" s="1004" t="str">
        <f ca="1">IFERROR(_xll.qlRateHelperQuoteName(M44,Trigger),"--")</f>
        <v>--</v>
      </c>
      <c r="O44" s="1003" t="str">
        <f ca="1">IFERROR(_xll.qlRateHelperQuoteValue($M44,Trigger),"--")</f>
        <v>--</v>
      </c>
      <c r="P44" s="970" t="b">
        <v>0</v>
      </c>
      <c r="Q44" s="1014">
        <v>50</v>
      </c>
      <c r="R44" s="1014">
        <v>1</v>
      </c>
      <c r="S44" s="1002" t="str">
        <f ca="1">IFERROR(_xll.qlRateHelperEarliestDate(M44,Trigger),"--")</f>
        <v>--</v>
      </c>
      <c r="T44" s="1002" t="str">
        <f ca="1">IFERROR(_xll.qlRateHelperPillarDate(M44,Trigger),"--")</f>
        <v>--</v>
      </c>
      <c r="V44" s="4" t="str">
        <f t="shared" ca="1" si="17"/>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29" ht="11.25" customHeight="1" x14ac:dyDescent="0.2">
      <c r="A45" s="874" t="s">
        <v>128</v>
      </c>
      <c r="B45" s="913" t="b">
        <v>1</v>
      </c>
      <c r="C45" s="912" t="e">
        <f ca="1">_xll.qlIMMNextCode(C44,B45,Trigger)</f>
        <v>#NAME?</v>
      </c>
      <c r="D45" s="910"/>
      <c r="E45" s="910"/>
      <c r="F45" s="910"/>
      <c r="G45" s="875" t="str">
        <f t="shared" si="14"/>
        <v>Euribor3M</v>
      </c>
      <c r="H45" s="911" t="e">
        <f t="shared" ca="1" si="15"/>
        <v>#NAME?</v>
      </c>
      <c r="I45" s="911" t="e">
        <f t="shared" ca="1" si="16"/>
        <v>#NAME?</v>
      </c>
      <c r="J45" s="43" t="e">
        <f ca="1">_xll.qlFuturesRateHelper(,H45,$H$24,C45,G45,I45,Permanent,Trigger,ObjectOverwrite)</f>
        <v>#NAME?</v>
      </c>
      <c r="L45" s="1005" t="str">
        <f t="shared" si="18"/>
        <v>Sw</v>
      </c>
      <c r="M45" s="1014" t="str">
        <f t="shared" si="19"/>
        <v>--</v>
      </c>
      <c r="N45" s="1004" t="str">
        <f ca="1">IFERROR(_xll.qlRateHelperQuoteName(M45,Trigger),"--")</f>
        <v>--</v>
      </c>
      <c r="O45" s="1003" t="str">
        <f ca="1">IFERROR(_xll.qlRateHelperQuoteValue($M45,Trigger),"--")</f>
        <v>--</v>
      </c>
      <c r="P45" s="970" t="b">
        <v>0</v>
      </c>
      <c r="Q45" s="1014">
        <v>50</v>
      </c>
      <c r="R45" s="1014">
        <v>1</v>
      </c>
      <c r="S45" s="1002" t="str">
        <f ca="1">IFERROR(_xll.qlRateHelperEarliestDate(M45,Trigger),"--")</f>
        <v>--</v>
      </c>
      <c r="T45" s="1002" t="str">
        <f ca="1">IFERROR(_xll.qlRateHelperPillarDate(M45,Trigger),"--")</f>
        <v>--</v>
      </c>
      <c r="V45" s="4" t="str">
        <f t="shared" ca="1" si="17"/>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29" ht="11.25" customHeight="1" x14ac:dyDescent="0.2">
      <c r="A46" s="874" t="s">
        <v>128</v>
      </c>
      <c r="B46" s="913" t="b">
        <v>1</v>
      </c>
      <c r="C46" s="912" t="e">
        <f ca="1">_xll.qlIMMNextCode(C45,B46,Trigger)</f>
        <v>#NAME?</v>
      </c>
      <c r="D46" s="910"/>
      <c r="E46" s="910"/>
      <c r="F46" s="910"/>
      <c r="G46" s="875" t="str">
        <f t="shared" si="14"/>
        <v>Euribor3M</v>
      </c>
      <c r="H46" s="911" t="e">
        <f t="shared" ca="1" si="15"/>
        <v>#NAME?</v>
      </c>
      <c r="I46" s="911" t="e">
        <f t="shared" ca="1" si="16"/>
        <v>#NAME?</v>
      </c>
      <c r="J46" s="43" t="e">
        <f ca="1">_xll.qlFuturesRateHelper(,H46,$H$24,C46,G46,I46,Permanent,Trigger,ObjectOverwrite)</f>
        <v>#NAME?</v>
      </c>
      <c r="L46" s="1005" t="str">
        <f t="shared" si="18"/>
        <v>Sw</v>
      </c>
      <c r="M46" s="1014" t="str">
        <f t="shared" si="19"/>
        <v>--</v>
      </c>
      <c r="N46" s="1004" t="str">
        <f ca="1">IFERROR(_xll.qlRateHelperQuoteName(M46,Trigger),"--")</f>
        <v>--</v>
      </c>
      <c r="O46" s="1003" t="str">
        <f ca="1">IFERROR(_xll.qlRateHelperQuoteValue($M46,Trigger),"--")</f>
        <v>--</v>
      </c>
      <c r="P46" s="970" t="b">
        <v>0</v>
      </c>
      <c r="Q46" s="1014">
        <v>50</v>
      </c>
      <c r="R46" s="1014">
        <v>1</v>
      </c>
      <c r="S46" s="1002" t="str">
        <f ca="1">IFERROR(_xll.qlRateHelperEarliestDate(M46,Trigger),"--")</f>
        <v>--</v>
      </c>
      <c r="T46" s="1002" t="str">
        <f ca="1">IFERROR(_xll.qlRateHelperPillarDate(M46,Trigger),"--")</f>
        <v>--</v>
      </c>
      <c r="V46" s="4" t="str">
        <f t="shared" ca="1" si="17"/>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29" ht="11.25" customHeight="1" x14ac:dyDescent="0.2">
      <c r="A47" s="870" t="s">
        <v>128</v>
      </c>
      <c r="B47" s="903" t="b">
        <v>1</v>
      </c>
      <c r="C47" s="902" t="e">
        <f ca="1">_xll.qlIMMNextCode(C46,B47,Trigger)</f>
        <v>#NAME?</v>
      </c>
      <c r="D47" s="900"/>
      <c r="E47" s="900"/>
      <c r="F47" s="900"/>
      <c r="G47" s="871" t="str">
        <f t="shared" si="14"/>
        <v>Euribor3M</v>
      </c>
      <c r="H47" s="901" t="e">
        <f t="shared" ca="1" si="15"/>
        <v>#NAME?</v>
      </c>
      <c r="I47" s="901" t="e">
        <f t="shared" ca="1" si="16"/>
        <v>#NAME?</v>
      </c>
      <c r="J47" s="38" t="e">
        <f ca="1">_xll.qlFuturesRateHelper(,H47,$H$24,C47,G47,I47,Permanent,Trigger,ObjectOverwrite)</f>
        <v>#NAME?</v>
      </c>
      <c r="L47" s="1005" t="str">
        <f t="shared" si="18"/>
        <v>Sw</v>
      </c>
      <c r="M47" s="1014" t="str">
        <f t="shared" si="19"/>
        <v>--</v>
      </c>
      <c r="N47" s="1004" t="str">
        <f ca="1">IFERROR(_xll.qlRateHelperQuoteName(M47,Trigger),"--")</f>
        <v>--</v>
      </c>
      <c r="O47" s="1003" t="str">
        <f ca="1">IFERROR(_xll.qlRateHelperQuoteValue($M47,Trigger),"--")</f>
        <v>--</v>
      </c>
      <c r="P47" s="970" t="b">
        <v>0</v>
      </c>
      <c r="Q47" s="1014">
        <v>50</v>
      </c>
      <c r="R47" s="1014">
        <v>1</v>
      </c>
      <c r="S47" s="1002" t="str">
        <f ca="1">IFERROR(_xll.qlRateHelperEarliestDate(M47,Trigger),"--")</f>
        <v>--</v>
      </c>
      <c r="T47" s="1002" t="str">
        <f ca="1">IFERROR(_xll.qlRateHelperPillarDate(M47,Trigger),"--")</f>
        <v>--</v>
      </c>
      <c r="V47" s="4" t="str">
        <f t="shared" ca="1" si="17"/>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29" ht="11.25" customHeight="1" x14ac:dyDescent="0.2">
      <c r="G48" s="239" t="s">
        <v>21</v>
      </c>
      <c r="H48" s="239" t="s">
        <v>69</v>
      </c>
      <c r="L48" s="1005" t="str">
        <f t="shared" si="18"/>
        <v>Sw</v>
      </c>
      <c r="M48" s="1014" t="str">
        <f t="shared" si="19"/>
        <v>--</v>
      </c>
      <c r="N48" s="1004" t="str">
        <f ca="1">IFERROR(_xll.qlRateHelperQuoteName(M48,Trigger),"--")</f>
        <v>--</v>
      </c>
      <c r="O48" s="1003" t="str">
        <f ca="1">IFERROR(_xll.qlRateHelperQuoteValue($M48,Trigger),"--")</f>
        <v>--</v>
      </c>
      <c r="P48" s="970" t="b">
        <v>0</v>
      </c>
      <c r="Q48" s="1014">
        <v>50</v>
      </c>
      <c r="R48" s="1014">
        <v>1</v>
      </c>
      <c r="S48" s="1002" t="str">
        <f ca="1">IFERROR(_xll.qlRateHelperEarliestDate(M48,Trigger),"--")</f>
        <v>--</v>
      </c>
      <c r="T48" s="1002" t="str">
        <f ca="1">IFERROR(_xll.qlRateHelperPillarDate(M48,Trigger),"--")</f>
        <v>--</v>
      </c>
      <c r="V48" s="4" t="str">
        <f t="shared" ca="1" si="17"/>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146" t="s">
        <v>388</v>
      </c>
      <c r="B49" s="146" t="s">
        <v>107</v>
      </c>
      <c r="C49" s="146" t="s">
        <v>387</v>
      </c>
      <c r="D49" s="146" t="s">
        <v>330</v>
      </c>
      <c r="E49" s="146" t="s">
        <v>386</v>
      </c>
      <c r="F49" s="146" t="s">
        <v>385</v>
      </c>
      <c r="G49" s="146" t="s">
        <v>14</v>
      </c>
      <c r="H49" s="146" t="s">
        <v>384</v>
      </c>
      <c r="I49" s="146" t="s">
        <v>62</v>
      </c>
      <c r="J49" s="146" t="s">
        <v>383</v>
      </c>
      <c r="L49" s="1005" t="str">
        <f t="shared" si="18"/>
        <v>Sw</v>
      </c>
      <c r="M49" s="1014" t="e">
        <f t="shared" ca="1" si="19"/>
        <v>#NAME?</v>
      </c>
      <c r="N49" s="1004" t="str">
        <f ca="1">IFERROR(_xll.qlRateHelperQuoteName(M49,Trigger),"--")</f>
        <v>--</v>
      </c>
      <c r="O49" s="1003" t="str">
        <f ca="1">IFERROR(_xll.qlRateHelperQuoteValue($M49,Trigger),"--")</f>
        <v>--</v>
      </c>
      <c r="P49" s="970" t="b">
        <v>1</v>
      </c>
      <c r="Q49" s="1014">
        <v>50</v>
      </c>
      <c r="R49" s="1014">
        <v>1</v>
      </c>
      <c r="S49" s="1002" t="str">
        <f ca="1">IFERROR(_xll.qlRateHelperEarliestDate(M49,Trigger),"--")</f>
        <v>--</v>
      </c>
      <c r="T49" s="1002" t="str">
        <f ca="1">IFERROR(_xll.qlRateHelperPillarDate(M49,Trigger),"--")</f>
        <v>--</v>
      </c>
      <c r="V49" s="4" t="str">
        <f t="shared" ca="1" si="17"/>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58</v>
      </c>
      <c r="C50" s="875" t="s">
        <v>324</v>
      </c>
      <c r="D50" s="875" t="s">
        <v>323</v>
      </c>
      <c r="E50" s="875" t="s">
        <v>322</v>
      </c>
      <c r="F50" s="875" t="s">
        <v>221</v>
      </c>
      <c r="G50" s="875" t="str">
        <f t="shared" ref="G50:G86" si="20">PROPER(Currency)&amp;FamilyName&amp;Tenor</f>
        <v>Euribor3M</v>
      </c>
      <c r="H50" s="874" t="str">
        <f t="shared" ref="H50:H86" si="21">Currency&amp;$G$48&amp;$H$48&amp;$B50&amp;QuoteSuffix</f>
        <v>EURAB3E1Y_Quote</v>
      </c>
      <c r="I50" s="877">
        <v>0</v>
      </c>
      <c r="J50" s="43"/>
      <c r="L50" s="1005" t="str">
        <f t="shared" si="18"/>
        <v>Sw</v>
      </c>
      <c r="M50" s="1014" t="e">
        <f t="shared" ca="1" si="19"/>
        <v>#NAME?</v>
      </c>
      <c r="N50" s="1004" t="str">
        <f ca="1">IFERROR(_xll.qlRateHelperQuoteName(M50,Trigger),"--")</f>
        <v>--</v>
      </c>
      <c r="O50" s="1003" t="str">
        <f ca="1">IFERROR(_xll.qlRateHelperQuoteValue($M50,Trigger),"--")</f>
        <v>--</v>
      </c>
      <c r="P50" s="970" t="b">
        <v>1</v>
      </c>
      <c r="Q50" s="1014">
        <v>50</v>
      </c>
      <c r="R50" s="1014">
        <v>1</v>
      </c>
      <c r="S50" s="1002" t="str">
        <f ca="1">IFERROR(_xll.qlRateHelperEarliestDate(M50,Trigger),"--")</f>
        <v>--</v>
      </c>
      <c r="T50" s="1002" t="str">
        <f ca="1">IFERROR(_xll.qlRateHelperPillarDate(M50,Trigger),"--")</f>
        <v>--</v>
      </c>
      <c r="V50" s="4" t="str">
        <f t="shared" ca="1" si="17"/>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57</v>
      </c>
      <c r="C51" s="875" t="s">
        <v>324</v>
      </c>
      <c r="D51" s="875" t="s">
        <v>323</v>
      </c>
      <c r="E51" s="875" t="s">
        <v>322</v>
      </c>
      <c r="F51" s="875" t="s">
        <v>221</v>
      </c>
      <c r="G51" s="875" t="str">
        <f t="shared" si="20"/>
        <v>Euribor3M</v>
      </c>
      <c r="H51" s="874" t="str">
        <f t="shared" si="21"/>
        <v>EURAB3E15M_Quote</v>
      </c>
      <c r="I51" s="877">
        <v>0</v>
      </c>
      <c r="J51" s="43"/>
      <c r="L51" s="1005" t="str">
        <f t="shared" si="18"/>
        <v>Sw</v>
      </c>
      <c r="M51" s="1014" t="e">
        <f t="shared" ca="1" si="19"/>
        <v>#NAME?</v>
      </c>
      <c r="N51" s="1004" t="str">
        <f ca="1">IFERROR(_xll.qlRateHelperQuoteName(M51,Trigger),"--")</f>
        <v>--</v>
      </c>
      <c r="O51" s="1003" t="str">
        <f ca="1">IFERROR(_xll.qlRateHelperQuoteValue($M51,Trigger),"--")</f>
        <v>--</v>
      </c>
      <c r="P51" s="970" t="b">
        <v>1</v>
      </c>
      <c r="Q51" s="1014">
        <v>50</v>
      </c>
      <c r="R51" s="1014">
        <v>1</v>
      </c>
      <c r="S51" s="1002" t="str">
        <f ca="1">IFERROR(_xll.qlRateHelperEarliestDate(M51,Trigger),"--")</f>
        <v>--</v>
      </c>
      <c r="T51" s="1002" t="str">
        <f ca="1">IFERROR(_xll.qlRateHelperPillarDate(M51,Trigger),"--")</f>
        <v>--</v>
      </c>
      <c r="V51" s="4" t="str">
        <f t="shared" ca="1" si="17"/>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56</v>
      </c>
      <c r="C52" s="875" t="s">
        <v>324</v>
      </c>
      <c r="D52" s="875" t="s">
        <v>323</v>
      </c>
      <c r="E52" s="875" t="s">
        <v>322</v>
      </c>
      <c r="F52" s="875" t="s">
        <v>221</v>
      </c>
      <c r="G52" s="875" t="str">
        <f t="shared" si="20"/>
        <v>Euribor3M</v>
      </c>
      <c r="H52" s="874" t="str">
        <f t="shared" si="21"/>
        <v>EURAB3E18M_Quote</v>
      </c>
      <c r="I52" s="877">
        <v>0</v>
      </c>
      <c r="J52" s="43"/>
      <c r="L52" s="1005" t="str">
        <f t="shared" si="18"/>
        <v>Sw</v>
      </c>
      <c r="M52" s="1014" t="e">
        <f t="shared" ca="1" si="19"/>
        <v>#NAME?</v>
      </c>
      <c r="N52" s="1004" t="str">
        <f ca="1">IFERROR(_xll.qlRateHelperQuoteName(M52,Trigger),"--")</f>
        <v>--</v>
      </c>
      <c r="O52" s="1003" t="str">
        <f ca="1">IFERROR(_xll.qlRateHelperQuoteValue($M52,Trigger),"--")</f>
        <v>--</v>
      </c>
      <c r="P52" s="970" t="b">
        <v>1</v>
      </c>
      <c r="Q52" s="1014">
        <v>50</v>
      </c>
      <c r="R52" s="1014">
        <v>1</v>
      </c>
      <c r="S52" s="1002" t="str">
        <f ca="1">IFERROR(_xll.qlRateHelperEarliestDate(M52,Trigger),"--")</f>
        <v>--</v>
      </c>
      <c r="T52" s="1002" t="str">
        <f ca="1">IFERROR(_xll.qlRateHelperPillarDate(M52,Trigger),"--")</f>
        <v>--</v>
      </c>
      <c r="V52" s="4" t="str">
        <f t="shared" ca="1" si="17"/>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55</v>
      </c>
      <c r="C53" s="875" t="s">
        <v>324</v>
      </c>
      <c r="D53" s="875" t="s">
        <v>323</v>
      </c>
      <c r="E53" s="875" t="s">
        <v>322</v>
      </c>
      <c r="F53" s="875" t="s">
        <v>221</v>
      </c>
      <c r="G53" s="875" t="str">
        <f t="shared" si="20"/>
        <v>Euribor3M</v>
      </c>
      <c r="H53" s="874" t="str">
        <f t="shared" si="21"/>
        <v>EURAB3E21M_Quote</v>
      </c>
      <c r="I53" s="877">
        <v>0</v>
      </c>
      <c r="J53" s="43"/>
      <c r="L53" s="1005" t="str">
        <f t="shared" si="18"/>
        <v>Sw</v>
      </c>
      <c r="M53" s="1014" t="e">
        <f t="shared" ca="1" si="19"/>
        <v>#NAME?</v>
      </c>
      <c r="N53" s="1004" t="str">
        <f ca="1">IFERROR(_xll.qlRateHelperQuoteName(M53,Trigger),"--")</f>
        <v>--</v>
      </c>
      <c r="O53" s="1003" t="str">
        <f ca="1">IFERROR(_xll.qlRateHelperQuoteValue($M53,Trigger),"--")</f>
        <v>--</v>
      </c>
      <c r="P53" s="970" t="b">
        <v>1</v>
      </c>
      <c r="Q53" s="1014">
        <v>50</v>
      </c>
      <c r="R53" s="1014">
        <v>1</v>
      </c>
      <c r="S53" s="1002" t="str">
        <f ca="1">IFERROR(_xll.qlRateHelperEarliestDate(M53,Trigger),"--")</f>
        <v>--</v>
      </c>
      <c r="T53" s="1002" t="str">
        <f ca="1">IFERROR(_xll.qlRateHelperPillarDate(M53,Trigger),"--")</f>
        <v>--</v>
      </c>
      <c r="V53" s="4" t="str">
        <f t="shared" ca="1" si="17"/>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54</v>
      </c>
      <c r="C54" s="875" t="s">
        <v>324</v>
      </c>
      <c r="D54" s="875" t="s">
        <v>323</v>
      </c>
      <c r="E54" s="875" t="s">
        <v>322</v>
      </c>
      <c r="F54" s="875" t="s">
        <v>221</v>
      </c>
      <c r="G54" s="875" t="str">
        <f t="shared" si="20"/>
        <v>Euribor3M</v>
      </c>
      <c r="H54" s="874" t="str">
        <f t="shared" si="21"/>
        <v>EURAB3E2Y_Quote</v>
      </c>
      <c r="I54" s="877">
        <v>0</v>
      </c>
      <c r="J54" s="43"/>
      <c r="L54" s="1005" t="str">
        <f t="shared" si="18"/>
        <v>Sw</v>
      </c>
      <c r="M54" s="1014" t="e">
        <f t="shared" ca="1" si="19"/>
        <v>#NAME?</v>
      </c>
      <c r="N54" s="1004" t="str">
        <f ca="1">IFERROR(_xll.qlRateHelperQuoteName(M54,Trigger),"--")</f>
        <v>--</v>
      </c>
      <c r="O54" s="1003" t="str">
        <f ca="1">IFERROR(_xll.qlRateHelperQuoteValue($M54,Trigger),"--")</f>
        <v>--</v>
      </c>
      <c r="P54" s="970" t="b">
        <v>1</v>
      </c>
      <c r="Q54" s="1014">
        <v>50</v>
      </c>
      <c r="R54" s="1014">
        <v>1</v>
      </c>
      <c r="S54" s="1002" t="str">
        <f ca="1">IFERROR(_xll.qlRateHelperEarliestDate(M54,Trigger),"--")</f>
        <v>--</v>
      </c>
      <c r="T54" s="1002" t="str">
        <f ca="1">IFERROR(_xll.qlRateHelperPillarDate(M54,Trigger),"--")</f>
        <v>--</v>
      </c>
      <c r="V54" s="4" t="str">
        <f t="shared" ca="1" si="17"/>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53</v>
      </c>
      <c r="C55" s="875" t="s">
        <v>324</v>
      </c>
      <c r="D55" s="875" t="s">
        <v>323</v>
      </c>
      <c r="E55" s="875" t="s">
        <v>322</v>
      </c>
      <c r="F55" s="875" t="s">
        <v>221</v>
      </c>
      <c r="G55" s="875" t="str">
        <f t="shared" si="20"/>
        <v>Euribor3M</v>
      </c>
      <c r="H55" s="874" t="str">
        <f t="shared" si="21"/>
        <v>EURAB3E3Y_Quote</v>
      </c>
      <c r="I55" s="877">
        <v>0</v>
      </c>
      <c r="J55" s="43" t="e">
        <f ca="1">_xll.qlSwapRateHelper2(,H55,2,B55,Calendar,D55,E55,F55,G55,I55,C55,Discounting,PillarDate,,Permanent,Trigger,ObjectOverwrite)</f>
        <v>#NAME?</v>
      </c>
      <c r="L55" s="1005" t="str">
        <f t="shared" si="18"/>
        <v>Sw</v>
      </c>
      <c r="M55" s="1014" t="e">
        <f t="shared" ca="1" si="19"/>
        <v>#NAME?</v>
      </c>
      <c r="N55" s="1004" t="str">
        <f ca="1">IFERROR(_xll.qlRateHelperQuoteName(M55,Trigger),"--")</f>
        <v>--</v>
      </c>
      <c r="O55" s="1003" t="str">
        <f ca="1">IFERROR(_xll.qlRateHelperQuoteValue($M55,Trigger),"--")</f>
        <v>--</v>
      </c>
      <c r="P55" s="970" t="b">
        <v>1</v>
      </c>
      <c r="Q55" s="1014">
        <v>50</v>
      </c>
      <c r="R55" s="1014">
        <v>1</v>
      </c>
      <c r="S55" s="1002" t="str">
        <f ca="1">IFERROR(_xll.qlRateHelperEarliestDate(M55,Trigger),"--")</f>
        <v>--</v>
      </c>
      <c r="T55" s="1002" t="str">
        <f ca="1">IFERROR(_xll.qlRateHelperPillarDate(M55,Trigger),"--")</f>
        <v>--</v>
      </c>
      <c r="V55" s="4" t="str">
        <f t="shared" ca="1" si="17"/>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52</v>
      </c>
      <c r="C56" s="875" t="s">
        <v>324</v>
      </c>
      <c r="D56" s="875" t="s">
        <v>323</v>
      </c>
      <c r="E56" s="875" t="s">
        <v>322</v>
      </c>
      <c r="F56" s="875" t="s">
        <v>221</v>
      </c>
      <c r="G56" s="875" t="str">
        <f t="shared" si="20"/>
        <v>Euribor3M</v>
      </c>
      <c r="H56" s="874" t="str">
        <f t="shared" si="21"/>
        <v>EURAB3E4Y_Quote</v>
      </c>
      <c r="I56" s="877">
        <v>0</v>
      </c>
      <c r="J56" s="43" t="e">
        <f ca="1">_xll.qlSwapRateHelper2(,H56,2,B56,Calendar,D56,E56,F56,G56,I56,C56,Discounting,PillarDate,,Permanent,Trigger,ObjectOverwrite)</f>
        <v>#NAME?</v>
      </c>
      <c r="L56" s="1005" t="str">
        <f t="shared" si="18"/>
        <v>Sw</v>
      </c>
      <c r="M56" s="970" t="e">
        <f t="shared" ca="1" si="19"/>
        <v>#NAME?</v>
      </c>
      <c r="N56" s="1004" t="str">
        <f ca="1">IFERROR(_xll.qlRateHelperQuoteName(M56,Trigger),"--")</f>
        <v>--</v>
      </c>
      <c r="O56" s="1003" t="str">
        <f ca="1">IFERROR(_xll.qlRateHelperQuoteValue($M56,Trigger),"--")</f>
        <v>--</v>
      </c>
      <c r="P56" s="970" t="b">
        <v>1</v>
      </c>
      <c r="Q56" s="970">
        <v>50</v>
      </c>
      <c r="R56" s="970">
        <v>1</v>
      </c>
      <c r="S56" s="1002" t="str">
        <f ca="1">IFERROR(_xll.qlRateHelperEarliestDate(M56,Trigger),"--")</f>
        <v>--</v>
      </c>
      <c r="T56" s="1002" t="str">
        <f ca="1">IFERROR(_xll.qlRateHelperPillarDate(M56,Trigger),"--")</f>
        <v>--</v>
      </c>
      <c r="V56" s="4" t="str">
        <f t="shared" ca="1" si="17"/>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51</v>
      </c>
      <c r="C57" s="875" t="s">
        <v>324</v>
      </c>
      <c r="D57" s="875" t="s">
        <v>323</v>
      </c>
      <c r="E57" s="875" t="s">
        <v>322</v>
      </c>
      <c r="F57" s="875" t="s">
        <v>221</v>
      </c>
      <c r="G57" s="875" t="str">
        <f t="shared" si="20"/>
        <v>Euribor3M</v>
      </c>
      <c r="H57" s="874" t="str">
        <f t="shared" si="21"/>
        <v>EURAB3E5Y_Quote</v>
      </c>
      <c r="I57" s="877">
        <v>0</v>
      </c>
      <c r="J57" s="43" t="e">
        <f ca="1">_xll.qlSwapRateHelper2(,H57,2,B57,Calendar,D57,E57,F57,G57,I57,C57,Discounting,PillarDate,,Permanent,Trigger,ObjectOverwrite)</f>
        <v>#NAME?</v>
      </c>
      <c r="L57" s="1005" t="str">
        <f t="shared" si="18"/>
        <v>Sw</v>
      </c>
      <c r="M57" s="970" t="str">
        <f t="shared" si="19"/>
        <v>--</v>
      </c>
      <c r="N57" s="1004" t="str">
        <f ca="1">IFERROR(_xll.qlRateHelperQuoteName(M57,Trigger),"--")</f>
        <v>--</v>
      </c>
      <c r="O57" s="1003" t="str">
        <f ca="1">IFERROR(_xll.qlRateHelperQuoteValue($M57,Trigger),"--")</f>
        <v>--</v>
      </c>
      <c r="P57" s="970" t="b">
        <v>0</v>
      </c>
      <c r="Q57" s="970">
        <v>50</v>
      </c>
      <c r="R57" s="970">
        <v>1</v>
      </c>
      <c r="S57" s="1002" t="str">
        <f ca="1">IFERROR(_xll.qlRateHelperEarliestDate(M57,Trigger),"--")</f>
        <v>--</v>
      </c>
      <c r="T57" s="1002" t="str">
        <f ca="1">IFERROR(_xll.qlRateHelperPillarDate(M57,Trigger),"--")</f>
        <v>--</v>
      </c>
      <c r="V57" s="4" t="str">
        <f t="shared" ca="1" si="17"/>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50</v>
      </c>
      <c r="C58" s="875" t="s">
        <v>324</v>
      </c>
      <c r="D58" s="875" t="s">
        <v>323</v>
      </c>
      <c r="E58" s="875" t="s">
        <v>322</v>
      </c>
      <c r="F58" s="875" t="s">
        <v>221</v>
      </c>
      <c r="G58" s="875" t="str">
        <f t="shared" si="20"/>
        <v>Euribor3M</v>
      </c>
      <c r="H58" s="874" t="str">
        <f t="shared" si="21"/>
        <v>EURAB3E6Y_Quote</v>
      </c>
      <c r="I58" s="877">
        <v>0</v>
      </c>
      <c r="J58" s="43" t="e">
        <f ca="1">_xll.qlSwapRateHelper2(,H58,2,B58,Calendar,D58,E58,F58,G58,I58,C58,Discounting,PillarDate,,Permanent,Trigger,ObjectOverwrite)</f>
        <v>#NAME?</v>
      </c>
      <c r="L58" s="1005" t="str">
        <f t="shared" si="18"/>
        <v>Sw</v>
      </c>
      <c r="M58" s="970" t="e">
        <f t="shared" ca="1" si="19"/>
        <v>#NAME?</v>
      </c>
      <c r="N58" s="1004" t="str">
        <f ca="1">IFERROR(_xll.qlRateHelperQuoteName(M58,Trigger),"--")</f>
        <v>--</v>
      </c>
      <c r="O58" s="1003" t="str">
        <f ca="1">IFERROR(_xll.qlRateHelperQuoteValue($M58,Trigger),"--")</f>
        <v>--</v>
      </c>
      <c r="P58" s="970" t="b">
        <v>1</v>
      </c>
      <c r="Q58" s="970">
        <v>50</v>
      </c>
      <c r="R58" s="970">
        <v>1</v>
      </c>
      <c r="S58" s="1002" t="str">
        <f ca="1">IFERROR(_xll.qlRateHelperEarliestDate(M58,Trigger),"--")</f>
        <v>--</v>
      </c>
      <c r="T58" s="1002" t="str">
        <f ca="1">IFERROR(_xll.qlRateHelperPillarDate(M58,Trigger),"--")</f>
        <v>--</v>
      </c>
      <c r="V58" s="4" t="str">
        <f t="shared" ca="1" si="17"/>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49</v>
      </c>
      <c r="C59" s="875" t="s">
        <v>324</v>
      </c>
      <c r="D59" s="875" t="s">
        <v>323</v>
      </c>
      <c r="E59" s="875" t="s">
        <v>322</v>
      </c>
      <c r="F59" s="875" t="s">
        <v>221</v>
      </c>
      <c r="G59" s="875" t="str">
        <f t="shared" si="20"/>
        <v>Euribor3M</v>
      </c>
      <c r="H59" s="874" t="str">
        <f t="shared" si="21"/>
        <v>EURAB3E7Y_Quote</v>
      </c>
      <c r="I59" s="877">
        <v>0</v>
      </c>
      <c r="J59" s="43" t="e">
        <f ca="1">_xll.qlSwapRateHelper2(,H59,2,B59,Calendar,D59,E59,F59,G59,I59,C59,Discounting,PillarDate,,Permanent,Trigger,ObjectOverwrite)</f>
        <v>#NAME?</v>
      </c>
      <c r="L59" s="1005" t="str">
        <f t="shared" si="18"/>
        <v>Sw</v>
      </c>
      <c r="M59" s="970" t="str">
        <f t="shared" si="19"/>
        <v>--</v>
      </c>
      <c r="N59" s="1004" t="str">
        <f ca="1">IFERROR(_xll.qlRateHelperQuoteName(M59,Trigger),"--")</f>
        <v>--</v>
      </c>
      <c r="O59" s="1003" t="str">
        <f ca="1">IFERROR(_xll.qlRateHelperQuoteValue($M59,Trigger),"--")</f>
        <v>--</v>
      </c>
      <c r="P59" s="970" t="b">
        <v>0</v>
      </c>
      <c r="Q59" s="970">
        <v>50</v>
      </c>
      <c r="R59" s="970">
        <v>1</v>
      </c>
      <c r="S59" s="1002" t="str">
        <f ca="1">IFERROR(_xll.qlRateHelperEarliestDate(M59,Trigger),"--")</f>
        <v>--</v>
      </c>
      <c r="T59" s="1002" t="str">
        <f ca="1">IFERROR(_xll.qlRateHelperPillarDate(M59,Trigger),"--")</f>
        <v>--</v>
      </c>
      <c r="V59" s="4" t="str">
        <f t="shared" ca="1" si="17"/>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48</v>
      </c>
      <c r="C60" s="875" t="s">
        <v>324</v>
      </c>
      <c r="D60" s="875" t="s">
        <v>323</v>
      </c>
      <c r="E60" s="875" t="s">
        <v>322</v>
      </c>
      <c r="F60" s="875" t="s">
        <v>221</v>
      </c>
      <c r="G60" s="875" t="str">
        <f t="shared" si="20"/>
        <v>Euribor3M</v>
      </c>
      <c r="H60" s="874" t="str">
        <f t="shared" si="21"/>
        <v>EURAB3E8Y_Quote</v>
      </c>
      <c r="I60" s="877">
        <v>0</v>
      </c>
      <c r="J60" s="43" t="e">
        <f ca="1">_xll.qlSwapRateHelper2(,H60,2,B60,Calendar,D60,E60,F60,G60,I60,C60,Discounting,PillarDate,,Permanent,Trigger,ObjectOverwrite)</f>
        <v>#NAME?</v>
      </c>
      <c r="L60" s="1005" t="str">
        <f t="shared" si="18"/>
        <v>Sw</v>
      </c>
      <c r="M60" s="970" t="str">
        <f t="shared" si="19"/>
        <v>--</v>
      </c>
      <c r="N60" s="1004" t="str">
        <f ca="1">IFERROR(_xll.qlRateHelperQuoteName(M60,Trigger),"--")</f>
        <v>--</v>
      </c>
      <c r="O60" s="1003" t="str">
        <f ca="1">IFERROR(_xll.qlRateHelperQuoteValue($M60,Trigger),"--")</f>
        <v>--</v>
      </c>
      <c r="P60" s="970" t="b">
        <v>0</v>
      </c>
      <c r="Q60" s="970">
        <v>50</v>
      </c>
      <c r="R60" s="970">
        <v>1</v>
      </c>
      <c r="S60" s="1002" t="str">
        <f ca="1">IFERROR(_xll.qlRateHelperEarliestDate(M60,Trigger),"--")</f>
        <v>--</v>
      </c>
      <c r="T60" s="1002" t="str">
        <f ca="1">IFERROR(_xll.qlRateHelperPillarDate(M60,Trigger),"--")</f>
        <v>--</v>
      </c>
      <c r="V60" s="4" t="str">
        <f t="shared" ca="1" si="17"/>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47</v>
      </c>
      <c r="C61" s="875" t="s">
        <v>324</v>
      </c>
      <c r="D61" s="875" t="s">
        <v>323</v>
      </c>
      <c r="E61" s="875" t="s">
        <v>322</v>
      </c>
      <c r="F61" s="875" t="s">
        <v>221</v>
      </c>
      <c r="G61" s="875" t="str">
        <f t="shared" si="20"/>
        <v>Euribor3M</v>
      </c>
      <c r="H61" s="874" t="str">
        <f t="shared" si="21"/>
        <v>EURAB3E9Y_Quote</v>
      </c>
      <c r="I61" s="877">
        <v>0</v>
      </c>
      <c r="J61" s="43" t="e">
        <f ca="1">_xll.qlSwapRateHelper2(,H61,2,B61,Calendar,D61,E61,F61,G61,I61,C61,Discounting,PillarDate,,Permanent,Trigger,ObjectOverwrite)</f>
        <v>#NAME?</v>
      </c>
      <c r="L61" s="1005" t="str">
        <f t="shared" si="18"/>
        <v>Sw</v>
      </c>
      <c r="M61" s="970" t="e">
        <f t="shared" ca="1" si="19"/>
        <v>#NAME?</v>
      </c>
      <c r="N61" s="1004" t="str">
        <f ca="1">IFERROR(_xll.qlRateHelperQuoteName(M61,Trigger),"--")</f>
        <v>--</v>
      </c>
      <c r="O61" s="1003" t="str">
        <f ca="1">IFERROR(_xll.qlRateHelperQuoteValue($M61,Trigger),"--")</f>
        <v>--</v>
      </c>
      <c r="P61" s="970" t="b">
        <v>1</v>
      </c>
      <c r="Q61" s="970">
        <v>50</v>
      </c>
      <c r="R61" s="970">
        <v>1</v>
      </c>
      <c r="S61" s="1002" t="str">
        <f ca="1">IFERROR(_xll.qlRateHelperEarliestDate(M61,Trigger),"--")</f>
        <v>--</v>
      </c>
      <c r="T61" s="1002" t="str">
        <f ca="1">IFERROR(_xll.qlRateHelperPillarDate(M61,Trigger),"--")</f>
        <v>--</v>
      </c>
      <c r="V61" s="4" t="str">
        <f t="shared" ca="1" si="17"/>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46</v>
      </c>
      <c r="C62" s="875" t="s">
        <v>324</v>
      </c>
      <c r="D62" s="875" t="s">
        <v>323</v>
      </c>
      <c r="E62" s="875" t="s">
        <v>322</v>
      </c>
      <c r="F62" s="875" t="s">
        <v>221</v>
      </c>
      <c r="G62" s="875" t="str">
        <f t="shared" si="20"/>
        <v>Euribor3M</v>
      </c>
      <c r="H62" s="874" t="str">
        <f t="shared" si="21"/>
        <v>EURAB3E10Y_Quote</v>
      </c>
      <c r="I62" s="877">
        <v>0</v>
      </c>
      <c r="J62" s="43" t="e">
        <f ca="1">_xll.qlSwapRateHelper2(,H62,2,B62,Calendar,D62,E62,F62,G62,I62,C62,Discounting,PillarDate,,Permanent,Trigger,ObjectOverwrite)</f>
        <v>#NAME?</v>
      </c>
      <c r="L62" s="1005" t="str">
        <f t="shared" si="18"/>
        <v>Sw</v>
      </c>
      <c r="M62" s="970" t="str">
        <f t="shared" si="19"/>
        <v>--</v>
      </c>
      <c r="N62" s="1004" t="str">
        <f ca="1">IFERROR(_xll.qlRateHelperQuoteName(M62,Trigger),"--")</f>
        <v>--</v>
      </c>
      <c r="O62" s="1003" t="str">
        <f ca="1">IFERROR(_xll.qlRateHelperQuoteValue($M62,Trigger),"--")</f>
        <v>--</v>
      </c>
      <c r="P62" s="970" t="b">
        <v>0</v>
      </c>
      <c r="Q62" s="970">
        <v>50</v>
      </c>
      <c r="R62" s="970">
        <v>1</v>
      </c>
      <c r="S62" s="1002" t="str">
        <f ca="1">IFERROR(_xll.qlRateHelperEarliestDate(M62,Trigger),"--")</f>
        <v>--</v>
      </c>
      <c r="T62" s="1002" t="str">
        <f ca="1">IFERROR(_xll.qlRateHelperPillarDate(M62,Trigger),"--")</f>
        <v>--</v>
      </c>
      <c r="V62" s="4" t="str">
        <f t="shared" ca="1" si="17"/>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45</v>
      </c>
      <c r="C63" s="875" t="s">
        <v>324</v>
      </c>
      <c r="D63" s="875" t="s">
        <v>323</v>
      </c>
      <c r="E63" s="875" t="s">
        <v>322</v>
      </c>
      <c r="F63" s="875" t="s">
        <v>221</v>
      </c>
      <c r="G63" s="875" t="str">
        <f t="shared" si="20"/>
        <v>Euribor3M</v>
      </c>
      <c r="H63" s="874" t="str">
        <f t="shared" si="21"/>
        <v>EURAB3E11Y_Quote</v>
      </c>
      <c r="I63" s="877">
        <v>0</v>
      </c>
      <c r="J63" s="43"/>
      <c r="L63" s="1005" t="str">
        <f t="shared" si="18"/>
        <v>Sw</v>
      </c>
      <c r="M63" s="970" t="str">
        <f t="shared" si="19"/>
        <v>--</v>
      </c>
      <c r="N63" s="1004" t="str">
        <f ca="1">IFERROR(_xll.qlRateHelperQuoteName(M63,Trigger),"--")</f>
        <v>--</v>
      </c>
      <c r="O63" s="1003" t="str">
        <f ca="1">IFERROR(_xll.qlRateHelperQuoteValue($M63,Trigger),"--")</f>
        <v>--</v>
      </c>
      <c r="P63" s="970" t="b">
        <v>0</v>
      </c>
      <c r="Q63" s="970">
        <v>50</v>
      </c>
      <c r="R63" s="970">
        <v>1</v>
      </c>
      <c r="S63" s="1002" t="str">
        <f ca="1">IFERROR(_xll.qlRateHelperEarliestDate(M63,Trigger),"--")</f>
        <v>--</v>
      </c>
      <c r="T63" s="1002" t="str">
        <f ca="1">IFERROR(_xll.qlRateHelperPillarDate(M63,Trigger),"--")</f>
        <v>--</v>
      </c>
      <c r="V63" s="4" t="str">
        <f t="shared" ca="1" si="17"/>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44</v>
      </c>
      <c r="C64" s="875" t="s">
        <v>324</v>
      </c>
      <c r="D64" s="875" t="s">
        <v>323</v>
      </c>
      <c r="E64" s="875" t="s">
        <v>322</v>
      </c>
      <c r="F64" s="875" t="s">
        <v>221</v>
      </c>
      <c r="G64" s="875" t="str">
        <f t="shared" si="20"/>
        <v>Euribor3M</v>
      </c>
      <c r="H64" s="874" t="str">
        <f t="shared" si="21"/>
        <v>EURAB3E12Y_Quote</v>
      </c>
      <c r="I64" s="877">
        <v>0</v>
      </c>
      <c r="J64" s="43" t="e">
        <f ca="1">_xll.qlSwapRateHelper2(,H64,2,B64,Calendar,D64,E64,F64,G64,I64,C64,Discounting,PillarDate,,Permanent,Trigger,ObjectOverwrite)</f>
        <v>#NAME?</v>
      </c>
      <c r="L64" s="1005" t="str">
        <f t="shared" si="18"/>
        <v>Sw</v>
      </c>
      <c r="M64" s="970" t="str">
        <f t="shared" si="19"/>
        <v>--</v>
      </c>
      <c r="N64" s="1004" t="str">
        <f ca="1">IFERROR(_xll.qlRateHelperQuoteName(M64,Trigger),"--")</f>
        <v>--</v>
      </c>
      <c r="O64" s="1003" t="str">
        <f ca="1">IFERROR(_xll.qlRateHelperQuoteValue($M64,Trigger),"--")</f>
        <v>--</v>
      </c>
      <c r="P64" s="970" t="b">
        <v>0</v>
      </c>
      <c r="Q64" s="970">
        <v>50</v>
      </c>
      <c r="R64" s="970">
        <v>1</v>
      </c>
      <c r="S64" s="1002" t="str">
        <f ca="1">IFERROR(_xll.qlRateHelperEarliestDate(M64,Trigger),"--")</f>
        <v>--</v>
      </c>
      <c r="T64" s="1002" t="str">
        <f ca="1">IFERROR(_xll.qlRateHelperPillarDate(M64,Trigger),"--")</f>
        <v>--</v>
      </c>
      <c r="V64" s="4" t="str">
        <f t="shared" ca="1" si="17"/>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43</v>
      </c>
      <c r="C65" s="875" t="s">
        <v>324</v>
      </c>
      <c r="D65" s="875" t="s">
        <v>323</v>
      </c>
      <c r="E65" s="875" t="s">
        <v>322</v>
      </c>
      <c r="F65" s="875" t="s">
        <v>221</v>
      </c>
      <c r="G65" s="875" t="str">
        <f t="shared" si="20"/>
        <v>Euribor3M</v>
      </c>
      <c r="H65" s="874" t="str">
        <f t="shared" si="21"/>
        <v>EURAB3E13Y_Quote</v>
      </c>
      <c r="I65" s="877">
        <v>0</v>
      </c>
      <c r="J65" s="43"/>
      <c r="L65" s="1005" t="str">
        <f t="shared" si="18"/>
        <v>Sw</v>
      </c>
      <c r="M65" s="970" t="str">
        <f t="shared" si="19"/>
        <v>--</v>
      </c>
      <c r="N65" s="1004" t="str">
        <f ca="1">IFERROR(_xll.qlRateHelperQuoteName(M65,Trigger),"--")</f>
        <v>--</v>
      </c>
      <c r="O65" s="1003" t="str">
        <f ca="1">IFERROR(_xll.qlRateHelperQuoteValue($M65,Trigger),"--")</f>
        <v>--</v>
      </c>
      <c r="P65" s="970" t="b">
        <v>0</v>
      </c>
      <c r="Q65" s="970">
        <v>50</v>
      </c>
      <c r="R65" s="970">
        <v>1</v>
      </c>
      <c r="S65" s="1002" t="str">
        <f ca="1">IFERROR(_xll.qlRateHelperEarliestDate(M65,Trigger),"--")</f>
        <v>--</v>
      </c>
      <c r="T65" s="1002" t="str">
        <f ca="1">IFERROR(_xll.qlRateHelperPillarDate(M65,Trigger),"--")</f>
        <v>--</v>
      </c>
      <c r="V65" s="4" t="str">
        <f t="shared" ca="1" si="17"/>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42</v>
      </c>
      <c r="C66" s="875" t="s">
        <v>324</v>
      </c>
      <c r="D66" s="875" t="s">
        <v>323</v>
      </c>
      <c r="E66" s="875" t="s">
        <v>322</v>
      </c>
      <c r="F66" s="875" t="s">
        <v>221</v>
      </c>
      <c r="G66" s="875" t="str">
        <f t="shared" si="20"/>
        <v>Euribor3M</v>
      </c>
      <c r="H66" s="874" t="str">
        <f t="shared" si="21"/>
        <v>EURAB3E14Y_Quote</v>
      </c>
      <c r="I66" s="877">
        <v>0</v>
      </c>
      <c r="J66" s="43"/>
      <c r="L66" s="1005" t="str">
        <f t="shared" si="18"/>
        <v>Sw</v>
      </c>
      <c r="M66" s="970" t="e">
        <f t="shared" ca="1" si="19"/>
        <v>#NAME?</v>
      </c>
      <c r="N66" s="1004" t="str">
        <f ca="1">IFERROR(_xll.qlRateHelperQuoteName(M66,Trigger),"--")</f>
        <v>--</v>
      </c>
      <c r="O66" s="1003" t="str">
        <f ca="1">IFERROR(_xll.qlRateHelperQuoteValue($M66,Trigger),"--")</f>
        <v>--</v>
      </c>
      <c r="P66" s="970" t="b">
        <v>1</v>
      </c>
      <c r="Q66" s="970">
        <v>50</v>
      </c>
      <c r="R66" s="970">
        <v>1</v>
      </c>
      <c r="S66" s="1002" t="str">
        <f ca="1">IFERROR(_xll.qlRateHelperEarliestDate(M66,Trigger),"--")</f>
        <v>--</v>
      </c>
      <c r="T66" s="1002" t="str">
        <f ca="1">IFERROR(_xll.qlRateHelperPillarDate(M66,Trigger),"--")</f>
        <v>--</v>
      </c>
      <c r="V66" s="4" t="str">
        <f t="shared" ca="1" si="17"/>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41</v>
      </c>
      <c r="C67" s="875" t="s">
        <v>324</v>
      </c>
      <c r="D67" s="875" t="s">
        <v>323</v>
      </c>
      <c r="E67" s="875" t="s">
        <v>322</v>
      </c>
      <c r="F67" s="875" t="s">
        <v>221</v>
      </c>
      <c r="G67" s="875" t="str">
        <f t="shared" si="20"/>
        <v>Euribor3M</v>
      </c>
      <c r="H67" s="874" t="str">
        <f t="shared" si="21"/>
        <v>EURAB3E15Y_Quote</v>
      </c>
      <c r="I67" s="877">
        <v>0</v>
      </c>
      <c r="J67" s="43" t="e">
        <f ca="1">_xll.qlSwapRateHelper2(,H67,2,B67,Calendar,D67,E67,F67,G67,I67,C67,Discounting,PillarDate,,Permanent,Trigger,ObjectOverwrite)</f>
        <v>#NAME?</v>
      </c>
      <c r="L67" s="1005" t="str">
        <f t="shared" si="18"/>
        <v>Sw</v>
      </c>
      <c r="M67" s="970" t="str">
        <f t="shared" si="19"/>
        <v>--</v>
      </c>
      <c r="N67" s="1004" t="str">
        <f ca="1">IFERROR(_xll.qlRateHelperQuoteName(M67,Trigger),"--")</f>
        <v>--</v>
      </c>
      <c r="O67" s="1003" t="str">
        <f ca="1">IFERROR(_xll.qlRateHelperQuoteValue($M67,Trigger),"--")</f>
        <v>--</v>
      </c>
      <c r="P67" s="970" t="b">
        <v>0</v>
      </c>
      <c r="Q67" s="970">
        <v>50</v>
      </c>
      <c r="R67" s="970">
        <v>1</v>
      </c>
      <c r="S67" s="1002" t="str">
        <f ca="1">IFERROR(_xll.qlRateHelperEarliestDate(M67,Trigger),"--")</f>
        <v>--</v>
      </c>
      <c r="T67" s="1002" t="str">
        <f ca="1">IFERROR(_xll.qlRateHelperPillarDate(M67,Trigger),"--")</f>
        <v>--</v>
      </c>
      <c r="V67" s="4" t="str">
        <f t="shared" ref="V67:V98" ca="1" si="22">IFERROR(INDEX($L$3:$L$124,MATCH(X67,$N$3:$N$124,0),1),"")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40</v>
      </c>
      <c r="C68" s="875" t="s">
        <v>324</v>
      </c>
      <c r="D68" s="875" t="s">
        <v>323</v>
      </c>
      <c r="E68" s="875" t="s">
        <v>322</v>
      </c>
      <c r="F68" s="875" t="s">
        <v>221</v>
      </c>
      <c r="G68" s="875" t="str">
        <f t="shared" si="20"/>
        <v>Euribor3M</v>
      </c>
      <c r="H68" s="874" t="str">
        <f t="shared" si="21"/>
        <v>EURAB3E16Y_Quote</v>
      </c>
      <c r="I68" s="877">
        <v>0</v>
      </c>
      <c r="J68" s="43"/>
      <c r="L68" s="1005" t="str">
        <f t="shared" si="18"/>
        <v>Sw</v>
      </c>
      <c r="M68" s="970" t="str">
        <f t="shared" si="19"/>
        <v>--</v>
      </c>
      <c r="N68" s="1004" t="str">
        <f ca="1">IFERROR(_xll.qlRateHelperQuoteName(M68,Trigger),"--")</f>
        <v>--</v>
      </c>
      <c r="O68" s="1003" t="str">
        <f ca="1">IFERROR(_xll.qlRateHelperQuoteValue($M68,Trigger),"--")</f>
        <v>--</v>
      </c>
      <c r="P68" s="970" t="b">
        <v>0</v>
      </c>
      <c r="Q68" s="970">
        <v>50</v>
      </c>
      <c r="R68" s="970">
        <v>1</v>
      </c>
      <c r="S68" s="1002" t="str">
        <f ca="1">IFERROR(_xll.qlRateHelperEarliestDate(M68,Trigger),"--")</f>
        <v>--</v>
      </c>
      <c r="T68" s="1002" t="str">
        <f ca="1">IFERROR(_xll.qlRateHelperPillarDate(M68,Trigger),"--")</f>
        <v>--</v>
      </c>
      <c r="V68" s="4" t="str">
        <f t="shared" ca="1" si="22"/>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39</v>
      </c>
      <c r="C69" s="875" t="s">
        <v>324</v>
      </c>
      <c r="D69" s="875" t="s">
        <v>323</v>
      </c>
      <c r="E69" s="875" t="s">
        <v>322</v>
      </c>
      <c r="F69" s="875" t="s">
        <v>221</v>
      </c>
      <c r="G69" s="875" t="str">
        <f t="shared" si="20"/>
        <v>Euribor3M</v>
      </c>
      <c r="H69" s="874" t="str">
        <f t="shared" si="21"/>
        <v>EURAB3E17Y_Quote</v>
      </c>
      <c r="I69" s="877">
        <v>0</v>
      </c>
      <c r="J69" s="43"/>
      <c r="L69" s="1005" t="str">
        <f t="shared" si="18"/>
        <v>Sw</v>
      </c>
      <c r="M69" s="970" t="str">
        <f t="shared" si="19"/>
        <v>--</v>
      </c>
      <c r="N69" s="1004" t="str">
        <f ca="1">IFERROR(_xll.qlRateHelperQuoteName(M69,Trigger),"--")</f>
        <v>--</v>
      </c>
      <c r="O69" s="1003" t="str">
        <f ca="1">IFERROR(_xll.qlRateHelperQuoteValue($M69,Trigger),"--")</f>
        <v>--</v>
      </c>
      <c r="P69" s="970" t="b">
        <v>0</v>
      </c>
      <c r="Q69" s="970">
        <v>50</v>
      </c>
      <c r="R69" s="970">
        <v>1</v>
      </c>
      <c r="S69" s="1002" t="str">
        <f ca="1">IFERROR(_xll.qlRateHelperEarliestDate(M69,Trigger),"--")</f>
        <v>--</v>
      </c>
      <c r="T69" s="1002" t="str">
        <f ca="1">IFERROR(_xll.qlRateHelperPillarDate(M69,Trigger),"--")</f>
        <v>--</v>
      </c>
      <c r="V69" s="4" t="str">
        <f t="shared" ca="1" si="22"/>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38</v>
      </c>
      <c r="C70" s="875" t="s">
        <v>324</v>
      </c>
      <c r="D70" s="875" t="s">
        <v>323</v>
      </c>
      <c r="E70" s="875" t="s">
        <v>322</v>
      </c>
      <c r="F70" s="875" t="s">
        <v>221</v>
      </c>
      <c r="G70" s="875" t="str">
        <f t="shared" si="20"/>
        <v>Euribor3M</v>
      </c>
      <c r="H70" s="874" t="str">
        <f t="shared" si="21"/>
        <v>EURAB3E18Y_Quote</v>
      </c>
      <c r="I70" s="877">
        <v>0</v>
      </c>
      <c r="J70" s="43"/>
      <c r="L70" s="1005" t="str">
        <f t="shared" si="18"/>
        <v>Sw</v>
      </c>
      <c r="M70" s="970" t="str">
        <f t="shared" si="19"/>
        <v>--</v>
      </c>
      <c r="N70" s="1004" t="str">
        <f ca="1">IFERROR(_xll.qlRateHelperQuoteName(M70,Trigger),"--")</f>
        <v>--</v>
      </c>
      <c r="O70" s="1003" t="str">
        <f ca="1">IFERROR(_xll.qlRateHelperQuoteValue($M70,Trigger),"--")</f>
        <v>--</v>
      </c>
      <c r="P70" s="970" t="b">
        <v>0</v>
      </c>
      <c r="Q70" s="970">
        <v>50</v>
      </c>
      <c r="R70" s="970">
        <v>1</v>
      </c>
      <c r="S70" s="1002" t="str">
        <f ca="1">IFERROR(_xll.qlRateHelperEarliestDate(M70,Trigger),"--")</f>
        <v>--</v>
      </c>
      <c r="T70" s="1002" t="str">
        <f ca="1">IFERROR(_xll.qlRateHelperPillarDate(M70,Trigger),"--")</f>
        <v>--</v>
      </c>
      <c r="V70" s="4" t="str">
        <f t="shared" ca="1" si="22"/>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404</v>
      </c>
      <c r="B71" s="876" t="s">
        <v>37</v>
      </c>
      <c r="C71" s="875" t="s">
        <v>324</v>
      </c>
      <c r="D71" s="875" t="s">
        <v>323</v>
      </c>
      <c r="E71" s="875" t="s">
        <v>322</v>
      </c>
      <c r="F71" s="875" t="s">
        <v>221</v>
      </c>
      <c r="G71" s="875" t="str">
        <f t="shared" si="20"/>
        <v>Euribor3M</v>
      </c>
      <c r="H71" s="874" t="str">
        <f t="shared" si="21"/>
        <v>EURAB3E19Y_Quote</v>
      </c>
      <c r="I71" s="877">
        <v>0</v>
      </c>
      <c r="J71" s="43"/>
      <c r="L71" s="1005" t="str">
        <f t="shared" si="18"/>
        <v>Sw</v>
      </c>
      <c r="M71" s="970" t="e">
        <f t="shared" ca="1" si="19"/>
        <v>#NAME?</v>
      </c>
      <c r="N71" s="1004" t="str">
        <f ca="1">IFERROR(_xll.qlRateHelperQuoteName(M71,Trigger),"--")</f>
        <v>--</v>
      </c>
      <c r="O71" s="1003" t="str">
        <f ca="1">IFERROR(_xll.qlRateHelperQuoteValue($M71,Trigger),"--")</f>
        <v>--</v>
      </c>
      <c r="P71" s="970" t="b">
        <v>1</v>
      </c>
      <c r="Q71" s="970">
        <v>50</v>
      </c>
      <c r="R71" s="970">
        <v>1</v>
      </c>
      <c r="S71" s="1002" t="str">
        <f ca="1">IFERROR(_xll.qlRateHelperEarliestDate(M71,Trigger),"--")</f>
        <v>--</v>
      </c>
      <c r="T71" s="1002" t="str">
        <f ca="1">IFERROR(_xll.qlRateHelperPillarDate(M71,Trigger),"--")</f>
        <v>--</v>
      </c>
      <c r="V71" s="4" t="str">
        <f t="shared" ca="1" si="22"/>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404</v>
      </c>
      <c r="B72" s="876" t="s">
        <v>36</v>
      </c>
      <c r="C72" s="875" t="s">
        <v>324</v>
      </c>
      <c r="D72" s="875" t="s">
        <v>323</v>
      </c>
      <c r="E72" s="875" t="s">
        <v>322</v>
      </c>
      <c r="F72" s="875" t="s">
        <v>221</v>
      </c>
      <c r="G72" s="875" t="str">
        <f t="shared" si="20"/>
        <v>Euribor3M</v>
      </c>
      <c r="H72" s="874" t="str">
        <f t="shared" si="21"/>
        <v>EURAB3E20Y_Quote</v>
      </c>
      <c r="I72" s="877">
        <v>0</v>
      </c>
      <c r="J72" s="43" t="e">
        <f ca="1">_xll.qlSwapRateHelper2(,H72,2,B72,Calendar,D72,E72,F72,G72,I72,C72,Discounting,PillarDate,,Permanent,Trigger,ObjectOverwrite)</f>
        <v>#NAME?</v>
      </c>
      <c r="L72" s="1005" t="str">
        <f t="shared" si="18"/>
        <v>Sw</v>
      </c>
      <c r="M72" s="970" t="str">
        <f t="shared" si="19"/>
        <v>--</v>
      </c>
      <c r="N72" s="1004" t="str">
        <f ca="1">IFERROR(_xll.qlRateHelperQuoteName(M72,Trigger),"--")</f>
        <v>--</v>
      </c>
      <c r="O72" s="1003" t="str">
        <f ca="1">IFERROR(_xll.qlRateHelperQuoteValue($M72,Trigger),"--")</f>
        <v>--</v>
      </c>
      <c r="P72" s="970" t="b">
        <v>0</v>
      </c>
      <c r="Q72" s="970">
        <v>50</v>
      </c>
      <c r="R72" s="970">
        <v>1</v>
      </c>
      <c r="S72" s="1002" t="str">
        <f ca="1">IFERROR(_xll.qlRateHelperEarliestDate(M72,Trigger),"--")</f>
        <v>--</v>
      </c>
      <c r="T72" s="1002" t="str">
        <f ca="1">IFERROR(_xll.qlRateHelperPillarDate(M72,Trigger),"--")</f>
        <v>--</v>
      </c>
      <c r="V72" s="4" t="str">
        <f t="shared" ca="1" si="22"/>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404</v>
      </c>
      <c r="B73" s="876" t="s">
        <v>35</v>
      </c>
      <c r="C73" s="875" t="s">
        <v>324</v>
      </c>
      <c r="D73" s="875" t="s">
        <v>323</v>
      </c>
      <c r="E73" s="875" t="s">
        <v>322</v>
      </c>
      <c r="F73" s="875" t="s">
        <v>221</v>
      </c>
      <c r="G73" s="875" t="str">
        <f t="shared" si="20"/>
        <v>Euribor3M</v>
      </c>
      <c r="H73" s="874" t="str">
        <f t="shared" si="21"/>
        <v>EURAB3E21Y_Quote</v>
      </c>
      <c r="I73" s="877">
        <v>0</v>
      </c>
      <c r="J73" s="43"/>
      <c r="L73" s="1005" t="str">
        <f t="shared" si="18"/>
        <v>Sw</v>
      </c>
      <c r="M73" s="970" t="str">
        <f t="shared" si="19"/>
        <v>--</v>
      </c>
      <c r="N73" s="1004" t="str">
        <f ca="1">IFERROR(_xll.qlRateHelperQuoteName(M73,Trigger),"--")</f>
        <v>--</v>
      </c>
      <c r="O73" s="1003" t="str">
        <f ca="1">IFERROR(_xll.qlRateHelperQuoteValue($M73,Trigger),"--")</f>
        <v>--</v>
      </c>
      <c r="P73" s="970" t="b">
        <v>0</v>
      </c>
      <c r="Q73" s="970">
        <v>50</v>
      </c>
      <c r="R73" s="970">
        <v>1</v>
      </c>
      <c r="S73" s="1002" t="str">
        <f ca="1">IFERROR(_xll.qlRateHelperEarliestDate(M73,Trigger),"--")</f>
        <v>--</v>
      </c>
      <c r="T73" s="1002" t="str">
        <f ca="1">IFERROR(_xll.qlRateHelperPillarDate(M73,Trigger),"--")</f>
        <v>--</v>
      </c>
      <c r="V73" s="4" t="str">
        <f t="shared" ca="1" si="22"/>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404</v>
      </c>
      <c r="B74" s="876" t="s">
        <v>34</v>
      </c>
      <c r="C74" s="875" t="s">
        <v>324</v>
      </c>
      <c r="D74" s="875" t="s">
        <v>323</v>
      </c>
      <c r="E74" s="875" t="s">
        <v>322</v>
      </c>
      <c r="F74" s="875" t="s">
        <v>221</v>
      </c>
      <c r="G74" s="875" t="str">
        <f t="shared" si="20"/>
        <v>Euribor3M</v>
      </c>
      <c r="H74" s="874" t="str">
        <f t="shared" si="21"/>
        <v>EURAB3E22Y_Quote</v>
      </c>
      <c r="I74" s="877">
        <v>0</v>
      </c>
      <c r="J74" s="43"/>
      <c r="L74" s="1005" t="str">
        <f t="shared" si="18"/>
        <v>Sw</v>
      </c>
      <c r="M74" s="970" t="str">
        <f t="shared" si="19"/>
        <v>--</v>
      </c>
      <c r="N74" s="1004" t="str">
        <f ca="1">IFERROR(_xll.qlRateHelperQuoteName(M74,Trigger),"--")</f>
        <v>--</v>
      </c>
      <c r="O74" s="1003" t="str">
        <f ca="1">IFERROR(_xll.qlRateHelperQuoteValue($M74,Trigger),"--")</f>
        <v>--</v>
      </c>
      <c r="P74" s="970" t="b">
        <v>0</v>
      </c>
      <c r="Q74" s="970">
        <v>50</v>
      </c>
      <c r="R74" s="970">
        <v>1</v>
      </c>
      <c r="S74" s="1002" t="str">
        <f ca="1">IFERROR(_xll.qlRateHelperEarliestDate(M74,Trigger),"--")</f>
        <v>--</v>
      </c>
      <c r="T74" s="1002" t="str">
        <f ca="1">IFERROR(_xll.qlRateHelperPillarDate(M74,Trigger),"--")</f>
        <v>--</v>
      </c>
      <c r="V74" s="4" t="str">
        <f t="shared" ca="1" si="22"/>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404</v>
      </c>
      <c r="B75" s="876" t="s">
        <v>33</v>
      </c>
      <c r="C75" s="875" t="s">
        <v>324</v>
      </c>
      <c r="D75" s="875" t="s">
        <v>323</v>
      </c>
      <c r="E75" s="875" t="s">
        <v>322</v>
      </c>
      <c r="F75" s="875" t="s">
        <v>221</v>
      </c>
      <c r="G75" s="875" t="str">
        <f t="shared" si="20"/>
        <v>Euribor3M</v>
      </c>
      <c r="H75" s="874" t="str">
        <f t="shared" si="21"/>
        <v>EURAB3E23Y_Quote</v>
      </c>
      <c r="I75" s="877">
        <v>0</v>
      </c>
      <c r="J75" s="43"/>
      <c r="L75" s="1005" t="str">
        <f t="shared" si="18"/>
        <v>Sw</v>
      </c>
      <c r="M75" s="970" t="str">
        <f t="shared" si="19"/>
        <v>--</v>
      </c>
      <c r="N75" s="1004" t="str">
        <f ca="1">IFERROR(_xll.qlRateHelperQuoteName(M75,Trigger),"--")</f>
        <v>--</v>
      </c>
      <c r="O75" s="1003" t="str">
        <f ca="1">IFERROR(_xll.qlRateHelperQuoteValue($M75,Trigger),"--")</f>
        <v>--</v>
      </c>
      <c r="P75" s="970" t="b">
        <v>0</v>
      </c>
      <c r="Q75" s="970">
        <v>50</v>
      </c>
      <c r="R75" s="970">
        <v>1</v>
      </c>
      <c r="S75" s="1002" t="str">
        <f ca="1">IFERROR(_xll.qlRateHelperEarliestDate(M75,Trigger),"--")</f>
        <v>--</v>
      </c>
      <c r="T75" s="1002" t="str">
        <f ca="1">IFERROR(_xll.qlRateHelperPillarDate(M75,Trigger),"--")</f>
        <v>--</v>
      </c>
      <c r="V75" s="4" t="str">
        <f t="shared" ca="1" si="22"/>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404</v>
      </c>
      <c r="B76" s="876" t="s">
        <v>32</v>
      </c>
      <c r="C76" s="875" t="s">
        <v>324</v>
      </c>
      <c r="D76" s="875" t="s">
        <v>323</v>
      </c>
      <c r="E76" s="875" t="s">
        <v>322</v>
      </c>
      <c r="F76" s="875" t="s">
        <v>221</v>
      </c>
      <c r="G76" s="875" t="str">
        <f t="shared" si="20"/>
        <v>Euribor3M</v>
      </c>
      <c r="H76" s="874" t="str">
        <f t="shared" si="21"/>
        <v>EURAB3E24Y_Quote</v>
      </c>
      <c r="I76" s="877">
        <v>0</v>
      </c>
      <c r="J76" s="43"/>
      <c r="L76" s="1005" t="str">
        <f t="shared" si="18"/>
        <v>Sw</v>
      </c>
      <c r="M76" s="970" t="e">
        <f t="shared" ca="1" si="19"/>
        <v>#NAME?</v>
      </c>
      <c r="N76" s="1004" t="str">
        <f ca="1">IFERROR(_xll.qlRateHelperQuoteName(M76,Trigger),"--")</f>
        <v>--</v>
      </c>
      <c r="O76" s="1003" t="str">
        <f ca="1">IFERROR(_xll.qlRateHelperQuoteValue($M76,Trigger),"--")</f>
        <v>--</v>
      </c>
      <c r="P76" s="970" t="b">
        <v>1</v>
      </c>
      <c r="Q76" s="970">
        <v>50</v>
      </c>
      <c r="R76" s="970">
        <v>1</v>
      </c>
      <c r="S76" s="1002" t="str">
        <f ca="1">IFERROR(_xll.qlRateHelperEarliestDate(M76,Trigger),"--")</f>
        <v>--</v>
      </c>
      <c r="T76" s="1002" t="str">
        <f ca="1">IFERROR(_xll.qlRateHelperPillarDate(M76,Trigger),"--")</f>
        <v>--</v>
      </c>
      <c r="V76" s="4" t="str">
        <f t="shared" ca="1" si="22"/>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404</v>
      </c>
      <c r="B77" s="876" t="s">
        <v>31</v>
      </c>
      <c r="C77" s="875" t="s">
        <v>324</v>
      </c>
      <c r="D77" s="875" t="s">
        <v>323</v>
      </c>
      <c r="E77" s="875" t="s">
        <v>322</v>
      </c>
      <c r="F77" s="875" t="s">
        <v>221</v>
      </c>
      <c r="G77" s="875" t="str">
        <f t="shared" si="20"/>
        <v>Euribor3M</v>
      </c>
      <c r="H77" s="874" t="str">
        <f t="shared" si="21"/>
        <v>EURAB3E25Y_Quote</v>
      </c>
      <c r="I77" s="877">
        <v>0</v>
      </c>
      <c r="J77" s="43" t="e">
        <f ca="1">_xll.qlSwapRateHelper2(,H77,2,B77,Calendar,D77,E77,F77,G77,I77,C77,Discounting,PillarDate,,Permanent,Trigger,ObjectOverwrite)</f>
        <v>#NAME?</v>
      </c>
      <c r="L77" s="1005" t="str">
        <f t="shared" si="18"/>
        <v>Sw</v>
      </c>
      <c r="M77" s="970" t="str">
        <f t="shared" si="19"/>
        <v>--</v>
      </c>
      <c r="N77" s="1004" t="str">
        <f ca="1">IFERROR(_xll.qlRateHelperQuoteName(M77,Trigger),"--")</f>
        <v>--</v>
      </c>
      <c r="O77" s="1003" t="str">
        <f ca="1">IFERROR(_xll.qlRateHelperQuoteValue($M77,Trigger),"--")</f>
        <v>--</v>
      </c>
      <c r="P77" s="970" t="b">
        <v>0</v>
      </c>
      <c r="Q77" s="970">
        <v>50</v>
      </c>
      <c r="R77" s="970">
        <v>1</v>
      </c>
      <c r="S77" s="1002" t="str">
        <f ca="1">IFERROR(_xll.qlRateHelperEarliestDate(M77,Trigger),"--")</f>
        <v>--</v>
      </c>
      <c r="T77" s="1002" t="str">
        <f ca="1">IFERROR(_xll.qlRateHelperPillarDate(M77,Trigger),"--")</f>
        <v>--</v>
      </c>
      <c r="V77" s="4" t="str">
        <f t="shared" ca="1" si="22"/>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404</v>
      </c>
      <c r="B78" s="876" t="s">
        <v>30</v>
      </c>
      <c r="C78" s="875" t="s">
        <v>324</v>
      </c>
      <c r="D78" s="875" t="s">
        <v>323</v>
      </c>
      <c r="E78" s="875" t="s">
        <v>322</v>
      </c>
      <c r="F78" s="875" t="s">
        <v>221</v>
      </c>
      <c r="G78" s="875" t="str">
        <f t="shared" si="20"/>
        <v>Euribor3M</v>
      </c>
      <c r="H78" s="874" t="str">
        <f t="shared" si="21"/>
        <v>EURAB3E26Y_Quote</v>
      </c>
      <c r="I78" s="877">
        <v>0</v>
      </c>
      <c r="J78" s="43"/>
      <c r="L78" s="1005" t="str">
        <f t="shared" si="18"/>
        <v>Sw</v>
      </c>
      <c r="M78" s="970" t="e">
        <f t="shared" ca="1" si="19"/>
        <v>#NAME?</v>
      </c>
      <c r="N78" s="1004" t="str">
        <f ca="1">IFERROR(_xll.qlRateHelperQuoteName(M78,Trigger),"--")</f>
        <v>--</v>
      </c>
      <c r="O78" s="1003" t="str">
        <f ca="1">IFERROR(_xll.qlRateHelperQuoteValue($M78,Trigger),"--")</f>
        <v>--</v>
      </c>
      <c r="P78" s="970" t="b">
        <v>1</v>
      </c>
      <c r="Q78" s="970">
        <v>50</v>
      </c>
      <c r="R78" s="970">
        <v>1</v>
      </c>
      <c r="S78" s="1002" t="str">
        <f ca="1">IFERROR(_xll.qlRateHelperEarliestDate(M78,Trigger),"--")</f>
        <v>--</v>
      </c>
      <c r="T78" s="1002" t="str">
        <f ca="1">IFERROR(_xll.qlRateHelperPillarDate(M78,Trigger),"--")</f>
        <v>--</v>
      </c>
      <c r="V78" s="4" t="str">
        <f t="shared" ca="1" si="22"/>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404</v>
      </c>
      <c r="B79" s="876" t="s">
        <v>29</v>
      </c>
      <c r="C79" s="875" t="s">
        <v>324</v>
      </c>
      <c r="D79" s="875" t="s">
        <v>323</v>
      </c>
      <c r="E79" s="875" t="s">
        <v>322</v>
      </c>
      <c r="F79" s="875" t="s">
        <v>221</v>
      </c>
      <c r="G79" s="875" t="str">
        <f t="shared" si="20"/>
        <v>Euribor3M</v>
      </c>
      <c r="H79" s="874" t="str">
        <f t="shared" si="21"/>
        <v>EURAB3E27Y_Quote</v>
      </c>
      <c r="I79" s="877">
        <v>0</v>
      </c>
      <c r="J79" s="43"/>
      <c r="L79" s="1005" t="str">
        <f t="shared" si="18"/>
        <v>Sw</v>
      </c>
      <c r="M79" s="970" t="e">
        <f t="shared" ca="1" si="19"/>
        <v>#NAME?</v>
      </c>
      <c r="N79" s="1004" t="str">
        <f ca="1">IFERROR(_xll.qlRateHelperQuoteName(M79,Trigger),"--")</f>
        <v>--</v>
      </c>
      <c r="O79" s="1003" t="str">
        <f ca="1">IFERROR(_xll.qlRateHelperQuoteValue($M79,Trigger),"--")</f>
        <v>--</v>
      </c>
      <c r="P79" s="970" t="b">
        <v>1</v>
      </c>
      <c r="Q79" s="970">
        <v>50</v>
      </c>
      <c r="R79" s="970">
        <v>1</v>
      </c>
      <c r="S79" s="1002" t="str">
        <f ca="1">IFERROR(_xll.qlRateHelperEarliestDate(M79,Trigger),"--")</f>
        <v>--</v>
      </c>
      <c r="T79" s="1002" t="str">
        <f ca="1">IFERROR(_xll.qlRateHelperPillarDate(M79,Trigger),"--")</f>
        <v>--</v>
      </c>
      <c r="V79" s="4" t="str">
        <f t="shared" ca="1" si="22"/>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404</v>
      </c>
      <c r="B80" s="876" t="s">
        <v>28</v>
      </c>
      <c r="C80" s="875" t="s">
        <v>324</v>
      </c>
      <c r="D80" s="875" t="s">
        <v>323</v>
      </c>
      <c r="E80" s="875" t="s">
        <v>322</v>
      </c>
      <c r="F80" s="875" t="s">
        <v>221</v>
      </c>
      <c r="G80" s="875" t="str">
        <f t="shared" si="20"/>
        <v>Euribor3M</v>
      </c>
      <c r="H80" s="874" t="str">
        <f t="shared" si="21"/>
        <v>EURAB3E28Y_Quote</v>
      </c>
      <c r="I80" s="877">
        <v>0</v>
      </c>
      <c r="J80" s="43"/>
      <c r="L80" s="1001" t="str">
        <f t="shared" si="18"/>
        <v>Sw</v>
      </c>
      <c r="M80" s="969" t="e">
        <f t="shared" ca="1" si="19"/>
        <v>#NAME?</v>
      </c>
      <c r="N80" s="1004" t="str">
        <f ca="1">IFERROR(_xll.qlRateHelperQuoteName(M80,Trigger),"--")</f>
        <v>--</v>
      </c>
      <c r="O80" s="999" t="str">
        <f ca="1">IFERROR(_xll.qlRateHelperQuoteValue($M80,Trigger),"--")</f>
        <v>--</v>
      </c>
      <c r="P80" s="969" t="b">
        <v>1</v>
      </c>
      <c r="Q80" s="969">
        <v>50</v>
      </c>
      <c r="R80" s="969">
        <v>1</v>
      </c>
      <c r="S80" s="1002" t="str">
        <f ca="1">IFERROR(_xll.qlRateHelperEarliestDate(M80,Trigger),"--")</f>
        <v>--</v>
      </c>
      <c r="T80" s="1002" t="str">
        <f ca="1">IFERROR(_xll.qlRateHelperPillarDate(M80,Trigger),"--")</f>
        <v>--</v>
      </c>
      <c r="V80" s="4" t="str">
        <f t="shared" ca="1" si="22"/>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404</v>
      </c>
      <c r="B81" s="876" t="s">
        <v>27</v>
      </c>
      <c r="C81" s="875" t="s">
        <v>324</v>
      </c>
      <c r="D81" s="875" t="s">
        <v>323</v>
      </c>
      <c r="E81" s="875" t="s">
        <v>322</v>
      </c>
      <c r="F81" s="875" t="s">
        <v>221</v>
      </c>
      <c r="G81" s="875" t="str">
        <f t="shared" si="20"/>
        <v>Euribor3M</v>
      </c>
      <c r="H81" s="874" t="str">
        <f t="shared" si="21"/>
        <v>EURAB3E29Y_Quote</v>
      </c>
      <c r="I81" s="877">
        <v>0</v>
      </c>
      <c r="J81" s="43"/>
      <c r="L81" s="1013" t="str">
        <f t="shared" ref="L81:L87" si="23">A89</f>
        <v>Sw</v>
      </c>
      <c r="M81" s="971" t="str">
        <f t="shared" ref="M81:M87" si="24">IF(ISBLANK(J89),"--",J89)</f>
        <v>qlSwapRateHelper2(,H90,,B90&amp;"M",Calendar,D90,E90,F90,G90,I90,C90,Discounting,PillarDate,,Permanent,Trigger,ObjectOverwrite)</v>
      </c>
      <c r="N81" s="1012" t="str">
        <f ca="1">IFERROR(_xll.qlRateHelperQuoteName(M81,Trigger),"--")</f>
        <v>--</v>
      </c>
      <c r="O81" s="1011" t="str">
        <f ca="1">IFERROR(_xll.qlRateHelperQuoteValue($M81,Trigger),"--")</f>
        <v>--</v>
      </c>
      <c r="P81" s="971" t="b">
        <v>0</v>
      </c>
      <c r="Q81" s="971">
        <v>40</v>
      </c>
      <c r="R81" s="971">
        <v>1</v>
      </c>
      <c r="S81" s="1010" t="str">
        <f ca="1">IFERROR(_xll.qlRateHelperEarliestDate(M81,Trigger),"--")</f>
        <v>--</v>
      </c>
      <c r="T81" s="1010" t="str">
        <f ca="1">IFERROR(_xll.qlRateHelperPillarDate(M81,Trigger),"--")</f>
        <v>--</v>
      </c>
      <c r="V81" s="4" t="str">
        <f t="shared" ca="1" si="22"/>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404</v>
      </c>
      <c r="B82" s="876" t="s">
        <v>26</v>
      </c>
      <c r="C82" s="875" t="s">
        <v>324</v>
      </c>
      <c r="D82" s="875" t="s">
        <v>323</v>
      </c>
      <c r="E82" s="875" t="s">
        <v>322</v>
      </c>
      <c r="F82" s="875" t="s">
        <v>221</v>
      </c>
      <c r="G82" s="875" t="str">
        <f t="shared" si="20"/>
        <v>Euribor3M</v>
      </c>
      <c r="H82" s="874" t="str">
        <f t="shared" si="21"/>
        <v>EURAB3E30Y_Quote</v>
      </c>
      <c r="I82" s="877">
        <v>0</v>
      </c>
      <c r="J82" s="43" t="e">
        <f ca="1">_xll.qlSwapRateHelper2(,H82,2,B82,Calendar,D82,E82,F82,G82,I82,C82,Discounting,PillarDate,,Permanent,Trigger,ObjectOverwrite)</f>
        <v>#NAME?</v>
      </c>
      <c r="L82" s="1005" t="str">
        <f t="shared" si="23"/>
        <v>Sw</v>
      </c>
      <c r="M82" s="970" t="str">
        <f t="shared" si="24"/>
        <v>--</v>
      </c>
      <c r="N82" s="1004" t="str">
        <f ca="1">IFERROR(_xll.qlRateHelperQuoteName(M82,Trigger),"--")</f>
        <v>--</v>
      </c>
      <c r="O82" s="1003" t="str">
        <f ca="1">IFERROR(_xll.qlRateHelperQuoteValue($M82,Trigger),"--")</f>
        <v>--</v>
      </c>
      <c r="P82" s="970" t="b">
        <v>0</v>
      </c>
      <c r="Q82" s="970">
        <v>40</v>
      </c>
      <c r="R82" s="970">
        <v>1</v>
      </c>
      <c r="S82" s="1002" t="str">
        <f ca="1">IFERROR(_xll.qlRateHelperEarliestDate(M82,Trigger),"--")</f>
        <v>--</v>
      </c>
      <c r="T82" s="1002" t="str">
        <f ca="1">IFERROR(_xll.qlRateHelperPillarDate(M82,Trigger),"--")</f>
        <v>--</v>
      </c>
      <c r="V82" s="4" t="str">
        <f t="shared" ca="1" si="22"/>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404</v>
      </c>
      <c r="B83" s="876" t="s">
        <v>25</v>
      </c>
      <c r="C83" s="875" t="s">
        <v>324</v>
      </c>
      <c r="D83" s="875" t="s">
        <v>323</v>
      </c>
      <c r="E83" s="875" t="s">
        <v>322</v>
      </c>
      <c r="F83" s="875" t="s">
        <v>221</v>
      </c>
      <c r="G83" s="875" t="str">
        <f t="shared" si="20"/>
        <v>Euribor3M</v>
      </c>
      <c r="H83" s="874" t="str">
        <f t="shared" si="21"/>
        <v>EURAB3E35Y_Quote</v>
      </c>
      <c r="I83" s="873">
        <v>0</v>
      </c>
      <c r="J83" s="43"/>
      <c r="L83" s="1005" t="str">
        <f t="shared" si="23"/>
        <v>Sw</v>
      </c>
      <c r="M83" s="970" t="str">
        <f t="shared" si="24"/>
        <v>--</v>
      </c>
      <c r="N83" s="1004" t="str">
        <f ca="1">IFERROR(_xll.qlRateHelperQuoteName(M83,Trigger),"--")</f>
        <v>--</v>
      </c>
      <c r="O83" s="1003" t="str">
        <f ca="1">IFERROR(_xll.qlRateHelperQuoteValue($M83,Trigger),"--")</f>
        <v>--</v>
      </c>
      <c r="P83" s="970" t="b">
        <v>0</v>
      </c>
      <c r="Q83" s="970">
        <v>40</v>
      </c>
      <c r="R83" s="970">
        <v>1</v>
      </c>
      <c r="S83" s="1002" t="str">
        <f ca="1">IFERROR(_xll.qlRateHelperEarliestDate(M83,Trigger),"--")</f>
        <v>--</v>
      </c>
      <c r="T83" s="1002" t="str">
        <f ca="1">IFERROR(_xll.qlRateHelperPillarDate(M83,Trigger),"--")</f>
        <v>--</v>
      </c>
      <c r="V83" s="4" t="str">
        <f t="shared" ca="1" si="22"/>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404</v>
      </c>
      <c r="B84" s="876" t="s">
        <v>24</v>
      </c>
      <c r="C84" s="875" t="s">
        <v>324</v>
      </c>
      <c r="D84" s="875" t="s">
        <v>323</v>
      </c>
      <c r="E84" s="875" t="s">
        <v>322</v>
      </c>
      <c r="F84" s="875" t="s">
        <v>221</v>
      </c>
      <c r="G84" s="875" t="str">
        <f t="shared" si="20"/>
        <v>Euribor3M</v>
      </c>
      <c r="H84" s="874" t="str">
        <f t="shared" si="21"/>
        <v>EURAB3E40Y_Quote</v>
      </c>
      <c r="I84" s="873">
        <v>0</v>
      </c>
      <c r="J84" s="43" t="e">
        <f ca="1">_xll.qlSwapRateHelper2(,H84,2,B84,Calendar,D84,E84,F84,G84,I84,C84,Discounting,PillarDate,,Permanent,Trigger,ObjectOverwrite)</f>
        <v>#NAME?</v>
      </c>
      <c r="L84" s="1005" t="str">
        <f t="shared" si="23"/>
        <v>Sw</v>
      </c>
      <c r="M84" s="970" t="str">
        <f t="shared" si="24"/>
        <v>--</v>
      </c>
      <c r="N84" s="1004" t="str">
        <f ca="1">IFERROR(_xll.qlRateHelperQuoteName(M84,Trigger),"--")</f>
        <v>--</v>
      </c>
      <c r="O84" s="1003" t="str">
        <f ca="1">IFERROR(_xll.qlRateHelperQuoteValue($M84,Trigger),"--")</f>
        <v>--</v>
      </c>
      <c r="P84" s="970" t="b">
        <v>0</v>
      </c>
      <c r="Q84" s="970">
        <v>40</v>
      </c>
      <c r="R84" s="970">
        <v>1</v>
      </c>
      <c r="S84" s="1002" t="str">
        <f ca="1">IFERROR(_xll.qlRateHelperEarliestDate(M84,Trigger),"--")</f>
        <v>--</v>
      </c>
      <c r="T84" s="1002" t="str">
        <f ca="1">IFERROR(_xll.qlRateHelperPillarDate(M84,Trigger),"--")</f>
        <v>--</v>
      </c>
      <c r="V84" s="4" t="str">
        <f t="shared" ca="1" si="22"/>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404</v>
      </c>
      <c r="B85" s="876" t="s">
        <v>23</v>
      </c>
      <c r="C85" s="875" t="s">
        <v>324</v>
      </c>
      <c r="D85" s="875" t="s">
        <v>323</v>
      </c>
      <c r="E85" s="875" t="s">
        <v>322</v>
      </c>
      <c r="F85" s="875" t="s">
        <v>221</v>
      </c>
      <c r="G85" s="875" t="str">
        <f t="shared" si="20"/>
        <v>Euribor3M</v>
      </c>
      <c r="H85" s="874" t="str">
        <f t="shared" si="21"/>
        <v>EURAB3E50Y_Quote</v>
      </c>
      <c r="I85" s="873">
        <v>0</v>
      </c>
      <c r="J85" s="43" t="e">
        <f ca="1">_xll.qlSwapRateHelper2(,H85,2,B85,Calendar,D85,E85,F85,G85,I85,C85,Discounting,PillarDate,,Permanent,Trigger,ObjectOverwrite)</f>
        <v>#NAME?</v>
      </c>
      <c r="L85" s="1005" t="str">
        <f t="shared" si="23"/>
        <v>Sw</v>
      </c>
      <c r="M85" s="970" t="str">
        <f t="shared" si="24"/>
        <v>--</v>
      </c>
      <c r="N85" s="1004" t="str">
        <f ca="1">IFERROR(_xll.qlRateHelperQuoteName(M85,Trigger),"--")</f>
        <v>--</v>
      </c>
      <c r="O85" s="1003" t="str">
        <f ca="1">IFERROR(_xll.qlRateHelperQuoteValue($M85,Trigger),"--")</f>
        <v>--</v>
      </c>
      <c r="P85" s="970" t="b">
        <v>0</v>
      </c>
      <c r="Q85" s="970">
        <v>40</v>
      </c>
      <c r="R85" s="970">
        <v>1</v>
      </c>
      <c r="S85" s="1002" t="str">
        <f ca="1">IFERROR(_xll.qlRateHelperEarliestDate(M85,Trigger),"--")</f>
        <v>--</v>
      </c>
      <c r="T85" s="1002" t="str">
        <f ca="1">IFERROR(_xll.qlRateHelperPillarDate(M85,Trigger),"--")</f>
        <v>--</v>
      </c>
      <c r="V85" s="4" t="str">
        <f t="shared" ca="1" si="22"/>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0" t="s">
        <v>404</v>
      </c>
      <c r="B86" s="872" t="s">
        <v>22</v>
      </c>
      <c r="C86" s="871" t="s">
        <v>324</v>
      </c>
      <c r="D86" s="871" t="s">
        <v>323</v>
      </c>
      <c r="E86" s="871" t="s">
        <v>322</v>
      </c>
      <c r="F86" s="871" t="s">
        <v>221</v>
      </c>
      <c r="G86" s="871" t="str">
        <f t="shared" si="20"/>
        <v>Euribor3M</v>
      </c>
      <c r="H86" s="870" t="str">
        <f t="shared" si="21"/>
        <v>EURAB3E60Y_Quote</v>
      </c>
      <c r="I86" s="869">
        <v>0</v>
      </c>
      <c r="J86" s="38" t="e">
        <f ca="1">_xll.qlSwapRateHelper2(,H86,2,B86,Calendar,D86,E86,F86,G86,I86,C86,Discounting,PillarDate,,Permanent,Trigger,ObjectOverwrite)</f>
        <v>#NAME?</v>
      </c>
      <c r="L86" s="1005" t="str">
        <f t="shared" si="23"/>
        <v>Sw</v>
      </c>
      <c r="M86" s="970" t="str">
        <f t="shared" si="24"/>
        <v>--</v>
      </c>
      <c r="N86" s="1004" t="str">
        <f ca="1">IFERROR(_xll.qlRateHelperQuoteName(M86,Trigger),"--")</f>
        <v>--</v>
      </c>
      <c r="O86" s="1003" t="str">
        <f ca="1">IFERROR(_xll.qlRateHelperQuoteValue($M86,Trigger),"--")</f>
        <v>--</v>
      </c>
      <c r="P86" s="970" t="b">
        <v>0</v>
      </c>
      <c r="Q86" s="970">
        <v>40</v>
      </c>
      <c r="R86" s="970">
        <v>1</v>
      </c>
      <c r="S86" s="1002" t="str">
        <f ca="1">IFERROR(_xll.qlRateHelperEarliestDate(M86,Trigger),"--")</f>
        <v>--</v>
      </c>
      <c r="T86" s="1002" t="str">
        <f ca="1">IFERROR(_xll.qlRateHelperPillarDate(M86,Trigger),"--")</f>
        <v>--</v>
      </c>
      <c r="V86" s="4" t="str">
        <f t="shared" ca="1" si="22"/>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L87" s="1001" t="str">
        <f t="shared" si="23"/>
        <v>Sw</v>
      </c>
      <c r="M87" s="969" t="str">
        <f t="shared" si="24"/>
        <v>--</v>
      </c>
      <c r="N87" s="1000" t="str">
        <f ca="1">IFERROR(_xll.qlRateHelperQuoteName(M87,Trigger),"--")</f>
        <v>--</v>
      </c>
      <c r="O87" s="999" t="str">
        <f ca="1">IFERROR(_xll.qlRateHelperQuoteValue($M87,Trigger),"--")</f>
        <v>--</v>
      </c>
      <c r="P87" s="969" t="b">
        <v>0</v>
      </c>
      <c r="Q87" s="969">
        <v>40</v>
      </c>
      <c r="R87" s="969">
        <v>1</v>
      </c>
      <c r="S87" s="998" t="str">
        <f ca="1">IFERROR(_xll.qlRateHelperEarliestDate(M87,Trigger),"--")</f>
        <v>--</v>
      </c>
      <c r="T87" s="998" t="str">
        <f ca="1">IFERROR(_xll.qlRateHelperPillarDate(M87,Trigger),"--")</f>
        <v>--</v>
      </c>
      <c r="V87" s="4" t="str">
        <f t="shared" ca="1" si="22"/>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146" t="s">
        <v>388</v>
      </c>
      <c r="B88" s="146" t="s">
        <v>107</v>
      </c>
      <c r="C88" s="146" t="s">
        <v>387</v>
      </c>
      <c r="D88" s="146" t="s">
        <v>330</v>
      </c>
      <c r="E88" s="146" t="s">
        <v>386</v>
      </c>
      <c r="F88" s="146" t="s">
        <v>385</v>
      </c>
      <c r="G88" s="146" t="s">
        <v>14</v>
      </c>
      <c r="H88" s="146" t="s">
        <v>384</v>
      </c>
      <c r="I88" s="146" t="s">
        <v>62</v>
      </c>
      <c r="J88" s="146" t="s">
        <v>383</v>
      </c>
      <c r="L88" s="1005" t="str">
        <f t="shared" ref="L88:L124" si="25">A98</f>
        <v>BasSw</v>
      </c>
      <c r="M88" s="970" t="str">
        <f t="shared" ref="M88:M124" si="26">IF(ISBLANK(J98),"--",J98)</f>
        <v>qlSwapRateHelper2(,H99,2,B99,Calendar,D99,E99,F99,G99,I99,C99,Discounting,PillarDate,,Permanent,Trigger,ObjectOverwrite)</v>
      </c>
      <c r="N88" s="1004" t="str">
        <f ca="1">IFERROR(_xll.qlRateHelperQuoteName(M88,Trigger),"--")</f>
        <v>--</v>
      </c>
      <c r="O88" s="1003" t="str">
        <f ca="1">IFERROR(_xll.qlRateHelperQuoteValue($M88,Trigger),"--")</f>
        <v>--</v>
      </c>
      <c r="P88" s="970" t="b">
        <v>0</v>
      </c>
      <c r="Q88" s="970">
        <v>40</v>
      </c>
      <c r="R88" s="970">
        <v>1</v>
      </c>
      <c r="S88" s="1002" t="str">
        <f ca="1">IFERROR(_xll.qlRateHelperEarliestDate(M88,Trigger),"--")</f>
        <v>--</v>
      </c>
      <c r="T88" s="1002" t="str">
        <f ca="1">IFERROR(_xll.qlRateHelperPillarDate(M88,Trigger),"--")</f>
        <v>--</v>
      </c>
      <c r="V88" s="4" t="str">
        <f t="shared" ca="1" si="22"/>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97" t="s">
        <v>404</v>
      </c>
      <c r="B89" s="918">
        <v>12</v>
      </c>
      <c r="C89" s="898" t="s">
        <v>324</v>
      </c>
      <c r="D89" s="898" t="s">
        <v>323</v>
      </c>
      <c r="E89" s="898" t="s">
        <v>322</v>
      </c>
      <c r="F89" s="898" t="s">
        <v>295</v>
      </c>
      <c r="G89" s="898" t="str">
        <f t="shared" ref="G89:G95" si="27">PROPER(Currency)&amp;FamilyName&amp;Tenor</f>
        <v>Euribor3M</v>
      </c>
      <c r="H89" s="897" t="str">
        <f>Currency&amp;"1S"&amp;$B89&amp;QuoteSuffix</f>
        <v>EUR1S12_Quote</v>
      </c>
      <c r="I89" s="896">
        <v>0</v>
      </c>
      <c r="J89" s="47" t="s">
        <v>412</v>
      </c>
      <c r="L89" s="1005" t="str">
        <f t="shared" si="25"/>
        <v>BasSw</v>
      </c>
      <c r="M89" s="970" t="str">
        <f t="shared" si="26"/>
        <v>--</v>
      </c>
      <c r="N89" s="1004" t="str">
        <f ca="1">IFERROR(_xll.qlRateHelperQuoteName(M89,Trigger),"--")</f>
        <v>--</v>
      </c>
      <c r="O89" s="1003" t="str">
        <f ca="1">IFERROR(_xll.qlRateHelperQuoteValue($M89,Trigger),"--")</f>
        <v>--</v>
      </c>
      <c r="P89" s="970" t="b">
        <v>0</v>
      </c>
      <c r="Q89" s="970">
        <v>40</v>
      </c>
      <c r="R89" s="970">
        <v>1</v>
      </c>
      <c r="S89" s="1002" t="str">
        <f ca="1">IFERROR(_xll.qlRateHelperEarliestDate(M89,Trigger),"--")</f>
        <v>--</v>
      </c>
      <c r="T89" s="1002" t="str">
        <f ca="1">IFERROR(_xll.qlRateHelperPillarDate(M89,Trigger),"--")</f>
        <v>--</v>
      </c>
      <c r="V89" s="4" t="str">
        <f t="shared" ca="1" si="22"/>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404</v>
      </c>
      <c r="B90" s="913">
        <v>12</v>
      </c>
      <c r="C90" s="875" t="s">
        <v>324</v>
      </c>
      <c r="D90" s="875" t="s">
        <v>323</v>
      </c>
      <c r="E90" s="875" t="s">
        <v>322</v>
      </c>
      <c r="F90" s="875" t="s">
        <v>295</v>
      </c>
      <c r="G90" s="875" t="str">
        <f t="shared" si="27"/>
        <v>Euribor3M</v>
      </c>
      <c r="H90" s="874" t="str">
        <f>Currency&amp;"2S"&amp;$B90&amp;QuoteSuffix</f>
        <v>EUR2S12_Quote</v>
      </c>
      <c r="I90" s="877">
        <v>0</v>
      </c>
      <c r="J90" s="43"/>
      <c r="K90" s="1" t="s">
        <v>148</v>
      </c>
      <c r="L90" s="1005" t="str">
        <f t="shared" si="25"/>
        <v>BasSw</v>
      </c>
      <c r="M90" s="970" t="str">
        <f t="shared" si="26"/>
        <v>--</v>
      </c>
      <c r="N90" s="1004" t="str">
        <f ca="1">IFERROR(_xll.qlRateHelperQuoteName(M90,Trigger),"--")</f>
        <v>--</v>
      </c>
      <c r="O90" s="1003" t="str">
        <f ca="1">IFERROR(_xll.qlRateHelperQuoteValue($M90,Trigger),"--")</f>
        <v>--</v>
      </c>
      <c r="P90" s="970" t="b">
        <v>0</v>
      </c>
      <c r="Q90" s="970">
        <v>40</v>
      </c>
      <c r="R90" s="970">
        <v>1</v>
      </c>
      <c r="S90" s="1002" t="str">
        <f ca="1">IFERROR(_xll.qlRateHelperEarliestDate(M90,Trigger),"--")</f>
        <v>--</v>
      </c>
      <c r="T90" s="1002" t="str">
        <f ca="1">IFERROR(_xll.qlRateHelperPillarDate(M90,Trigger),"--")</f>
        <v>--</v>
      </c>
      <c r="V90" s="4" t="str">
        <f t="shared" ca="1" si="22"/>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404</v>
      </c>
      <c r="B91" s="913">
        <v>12</v>
      </c>
      <c r="C91" s="875" t="s">
        <v>324</v>
      </c>
      <c r="D91" s="875" t="s">
        <v>323</v>
      </c>
      <c r="E91" s="875" t="s">
        <v>322</v>
      </c>
      <c r="F91" s="875" t="s">
        <v>295</v>
      </c>
      <c r="G91" s="875" t="str">
        <f t="shared" si="27"/>
        <v>Euribor3M</v>
      </c>
      <c r="H91" s="874" t="str">
        <f>Currency&amp;"3S"&amp;$B91&amp;QuoteSuffix</f>
        <v>EUR3S12_Quote</v>
      </c>
      <c r="I91" s="877">
        <v>0</v>
      </c>
      <c r="J91" s="43"/>
      <c r="L91" s="1005" t="str">
        <f t="shared" si="25"/>
        <v>BasSw</v>
      </c>
      <c r="M91" s="970" t="str">
        <f t="shared" si="26"/>
        <v>--</v>
      </c>
      <c r="N91" s="1004" t="str">
        <f ca="1">IFERROR(_xll.qlRateHelperQuoteName(M91,Trigger),"--")</f>
        <v>--</v>
      </c>
      <c r="O91" s="1003" t="str">
        <f ca="1">IFERROR(_xll.qlRateHelperQuoteValue($M91,Trigger),"--")</f>
        <v>--</v>
      </c>
      <c r="P91" s="970" t="b">
        <v>0</v>
      </c>
      <c r="Q91" s="970">
        <v>40</v>
      </c>
      <c r="R91" s="970">
        <v>1</v>
      </c>
      <c r="S91" s="1002" t="str">
        <f ca="1">IFERROR(_xll.qlRateHelperEarliestDate(M91,Trigger),"--")</f>
        <v>--</v>
      </c>
      <c r="T91" s="1002" t="str">
        <f ca="1">IFERROR(_xll.qlRateHelperPillarDate(M91,Trigger),"--")</f>
        <v>--</v>
      </c>
      <c r="V91" s="4" t="str">
        <f t="shared" ca="1" si="22"/>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926" t="s">
        <v>404</v>
      </c>
      <c r="B92" s="1007">
        <v>12</v>
      </c>
      <c r="C92" s="923" t="s">
        <v>324</v>
      </c>
      <c r="D92" s="923" t="s">
        <v>323</v>
      </c>
      <c r="E92" s="923" t="s">
        <v>322</v>
      </c>
      <c r="F92" s="923" t="s">
        <v>295</v>
      </c>
      <c r="G92" s="923" t="str">
        <f t="shared" si="27"/>
        <v>Euribor3M</v>
      </c>
      <c r="H92" s="926" t="str">
        <f>Currency&amp;"4S"&amp;$B92&amp;QuoteSuffix</f>
        <v>EUR4S12_Quote</v>
      </c>
      <c r="I92" s="1006">
        <v>0</v>
      </c>
      <c r="J92" s="920"/>
      <c r="L92" s="1005" t="str">
        <f t="shared" si="25"/>
        <v>BasSw</v>
      </c>
      <c r="M92" s="970" t="str">
        <f t="shared" si="26"/>
        <v>--</v>
      </c>
      <c r="N92" s="1004" t="str">
        <f ca="1">IFERROR(_xll.qlRateHelperQuoteName(M92,Trigger),"--")</f>
        <v>--</v>
      </c>
      <c r="O92" s="1003" t="str">
        <f ca="1">IFERROR(_xll.qlRateHelperQuoteValue($M92,Trigger),"--")</f>
        <v>--</v>
      </c>
      <c r="P92" s="970" t="b">
        <v>0</v>
      </c>
      <c r="Q92" s="970">
        <v>40</v>
      </c>
      <c r="R92" s="970">
        <v>1</v>
      </c>
      <c r="S92" s="1002" t="str">
        <f ca="1">IFERROR(_xll.qlRateHelperEarliestDate(M92,Trigger),"--")</f>
        <v>--</v>
      </c>
      <c r="T92" s="1002" t="str">
        <f ca="1">IFERROR(_xll.qlRateHelperPillarDate(M92,Trigger),"--")</f>
        <v>--</v>
      </c>
      <c r="V92" s="4" t="str">
        <f t="shared" ca="1" si="22"/>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933" t="s">
        <v>404</v>
      </c>
      <c r="B93" s="1009">
        <v>24</v>
      </c>
      <c r="C93" s="930" t="s">
        <v>324</v>
      </c>
      <c r="D93" s="930" t="s">
        <v>323</v>
      </c>
      <c r="E93" s="930" t="s">
        <v>322</v>
      </c>
      <c r="F93" s="930" t="s">
        <v>295</v>
      </c>
      <c r="G93" s="930" t="str">
        <f t="shared" si="27"/>
        <v>Euribor3M</v>
      </c>
      <c r="H93" s="933" t="str">
        <f>Currency&amp;"1S"&amp;$B93&amp;QuoteSuffix</f>
        <v>EUR1S24_Quote</v>
      </c>
      <c r="I93" s="1008">
        <v>0</v>
      </c>
      <c r="J93" s="927"/>
      <c r="L93" s="1005" t="str">
        <f t="shared" si="25"/>
        <v>BasSw</v>
      </c>
      <c r="M93" s="970" t="str">
        <f t="shared" si="26"/>
        <v>--</v>
      </c>
      <c r="N93" s="1004" t="str">
        <f ca="1">IFERROR(_xll.qlRateHelperQuoteName(M93,Trigger),"--")</f>
        <v>--</v>
      </c>
      <c r="O93" s="1003" t="str">
        <f ca="1">IFERROR(_xll.qlRateHelperQuoteValue($M93,Trigger),"--")</f>
        <v>--</v>
      </c>
      <c r="P93" s="970" t="b">
        <v>0</v>
      </c>
      <c r="Q93" s="970">
        <v>40</v>
      </c>
      <c r="R93" s="970">
        <v>1</v>
      </c>
      <c r="S93" s="1002" t="str">
        <f ca="1">IFERROR(_xll.qlRateHelperEarliestDate(M93,Trigger),"--")</f>
        <v>--</v>
      </c>
      <c r="T93" s="1002" t="str">
        <f ca="1">IFERROR(_xll.qlRateHelperPillarDate(M93,Trigger),"--")</f>
        <v>--</v>
      </c>
      <c r="V93" s="4" t="str">
        <f t="shared" ca="1" si="22"/>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926" t="s">
        <v>404</v>
      </c>
      <c r="B94" s="1007">
        <v>24</v>
      </c>
      <c r="C94" s="923" t="s">
        <v>324</v>
      </c>
      <c r="D94" s="923" t="s">
        <v>323</v>
      </c>
      <c r="E94" s="923" t="s">
        <v>322</v>
      </c>
      <c r="F94" s="923" t="s">
        <v>295</v>
      </c>
      <c r="G94" s="923" t="str">
        <f t="shared" si="27"/>
        <v>Euribor3M</v>
      </c>
      <c r="H94" s="926" t="str">
        <f>Currency&amp;"2S"&amp;$B94&amp;QuoteSuffix</f>
        <v>EUR2S24_Quote</v>
      </c>
      <c r="I94" s="1006">
        <v>0</v>
      </c>
      <c r="J94" s="920"/>
      <c r="L94" s="1005" t="str">
        <f t="shared" si="25"/>
        <v>BasSw</v>
      </c>
      <c r="M94" s="970" t="str">
        <f t="shared" si="26"/>
        <v>--</v>
      </c>
      <c r="N94" s="1004" t="str">
        <f ca="1">IFERROR(_xll.qlRateHelperQuoteName(M94,Trigger),"--")</f>
        <v>--</v>
      </c>
      <c r="O94" s="1003" t="str">
        <f ca="1">IFERROR(_xll.qlRateHelperQuoteValue($M94,Trigger),"--")</f>
        <v>--</v>
      </c>
      <c r="P94" s="970" t="b">
        <v>0</v>
      </c>
      <c r="Q94" s="970">
        <v>40</v>
      </c>
      <c r="R94" s="970">
        <v>1</v>
      </c>
      <c r="S94" s="1002" t="str">
        <f ca="1">IFERROR(_xll.qlRateHelperEarliestDate(M94,Trigger),"--")</f>
        <v>--</v>
      </c>
      <c r="T94" s="1002" t="str">
        <f ca="1">IFERROR(_xll.qlRateHelperPillarDate(M94,Trigger),"--")</f>
        <v>--</v>
      </c>
      <c r="V94" s="4" t="str">
        <f t="shared" ca="1" si="22"/>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0" t="s">
        <v>404</v>
      </c>
      <c r="B95" s="903">
        <v>36</v>
      </c>
      <c r="C95" s="871" t="s">
        <v>324</v>
      </c>
      <c r="D95" s="871" t="s">
        <v>323</v>
      </c>
      <c r="E95" s="871" t="s">
        <v>322</v>
      </c>
      <c r="F95" s="871" t="s">
        <v>295</v>
      </c>
      <c r="G95" s="871" t="str">
        <f t="shared" si="27"/>
        <v>Euribor3M</v>
      </c>
      <c r="H95" s="870" t="str">
        <f>Currency&amp;"1S"&amp;$B95&amp;QuoteSuffix</f>
        <v>EUR1S36_Quote</v>
      </c>
      <c r="I95" s="985">
        <v>0</v>
      </c>
      <c r="J95" s="38"/>
      <c r="L95" s="1005" t="str">
        <f t="shared" si="25"/>
        <v>BasSw</v>
      </c>
      <c r="M95" s="970" t="str">
        <f t="shared" si="26"/>
        <v>--</v>
      </c>
      <c r="N95" s="1004" t="str">
        <f ca="1">IFERROR(_xll.qlRateHelperQuoteName(M95,Trigger),"--")</f>
        <v>--</v>
      </c>
      <c r="O95" s="1003" t="str">
        <f ca="1">IFERROR(_xll.qlRateHelperQuoteValue($M95,Trigger),"--")</f>
        <v>--</v>
      </c>
      <c r="P95" s="970" t="b">
        <v>0</v>
      </c>
      <c r="Q95" s="970">
        <v>40</v>
      </c>
      <c r="R95" s="970">
        <v>1</v>
      </c>
      <c r="S95" s="1002" t="str">
        <f ca="1">IFERROR(_xll.qlRateHelperEarliestDate(M95,Trigger),"--")</f>
        <v>--</v>
      </c>
      <c r="T95" s="1002" t="str">
        <f ca="1">IFERROR(_xll.qlRateHelperPillarDate(M95,Trigger),"--")</f>
        <v>--</v>
      </c>
      <c r="V95" s="4" t="str">
        <f t="shared" ca="1" si="22"/>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L96" s="1005" t="str">
        <f t="shared" si="25"/>
        <v>BasSw</v>
      </c>
      <c r="M96" s="970" t="str">
        <f t="shared" si="26"/>
        <v>--</v>
      </c>
      <c r="N96" s="1004" t="str">
        <f ca="1">IFERROR(_xll.qlRateHelperQuoteName(M96,Trigger),"--")</f>
        <v>--</v>
      </c>
      <c r="O96" s="1003" t="str">
        <f ca="1">IFERROR(_xll.qlRateHelperQuoteValue($M96,Trigger),"--")</f>
        <v>--</v>
      </c>
      <c r="P96" s="970" t="b">
        <v>0</v>
      </c>
      <c r="Q96" s="970">
        <v>40</v>
      </c>
      <c r="R96" s="970">
        <v>1</v>
      </c>
      <c r="S96" s="1002" t="str">
        <f ca="1">IFERROR(_xll.qlRateHelperEarliestDate(M96,Trigger),"--")</f>
        <v>--</v>
      </c>
      <c r="T96" s="1002" t="str">
        <f ca="1">IFERROR(_xll.qlRateHelperPillarDate(M96,Trigger),"--")</f>
        <v>--</v>
      </c>
      <c r="V96" s="4" t="str">
        <f t="shared" ca="1" si="22"/>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146" t="s">
        <v>388</v>
      </c>
      <c r="B97" s="146" t="s">
        <v>107</v>
      </c>
      <c r="C97" s="146" t="s">
        <v>387</v>
      </c>
      <c r="D97" s="146" t="s">
        <v>330</v>
      </c>
      <c r="E97" s="146" t="s">
        <v>386</v>
      </c>
      <c r="F97" s="146" t="s">
        <v>385</v>
      </c>
      <c r="G97" s="146" t="s">
        <v>14</v>
      </c>
      <c r="H97" s="146" t="s">
        <v>384</v>
      </c>
      <c r="I97" s="146" t="s">
        <v>62</v>
      </c>
      <c r="J97" s="146" t="s">
        <v>383</v>
      </c>
      <c r="L97" s="1005" t="str">
        <f t="shared" si="25"/>
        <v>BasSw</v>
      </c>
      <c r="M97" s="970" t="str">
        <f t="shared" si="26"/>
        <v>--</v>
      </c>
      <c r="N97" s="1004" t="str">
        <f ca="1">IFERROR(_xll.qlRateHelperQuoteName(M97,Trigger),"--")</f>
        <v>--</v>
      </c>
      <c r="O97" s="1003" t="str">
        <f ca="1">IFERROR(_xll.qlRateHelperQuoteValue($M97,Trigger),"--")</f>
        <v>--</v>
      </c>
      <c r="P97" s="970" t="b">
        <v>0</v>
      </c>
      <c r="Q97" s="970">
        <v>40</v>
      </c>
      <c r="R97" s="970">
        <v>1</v>
      </c>
      <c r="S97" s="1002" t="str">
        <f ca="1">IFERROR(_xll.qlRateHelperEarliestDate(M97,Trigger),"--")</f>
        <v>--</v>
      </c>
      <c r="T97" s="1002" t="str">
        <f ca="1">IFERROR(_xll.qlRateHelperPillarDate(M97,Trigger),"--")</f>
        <v>--</v>
      </c>
      <c r="V97" s="4" t="str">
        <f t="shared" ca="1" si="22"/>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97" t="s">
        <v>382</v>
      </c>
      <c r="B98" s="918" t="s">
        <v>58</v>
      </c>
      <c r="C98" s="898" t="s">
        <v>324</v>
      </c>
      <c r="D98" s="875" t="s">
        <v>323</v>
      </c>
      <c r="E98" s="875" t="s">
        <v>322</v>
      </c>
      <c r="F98" s="875" t="s">
        <v>221</v>
      </c>
      <c r="G98" s="875" t="str">
        <f t="shared" ref="G98:G134" si="28">PROPER(Currency)&amp;FamilyName&amp;Tenor</f>
        <v>Euribor3M</v>
      </c>
      <c r="H98" s="874" t="str">
        <f t="shared" ref="H98:H134" si="29">Currency&amp;$G$48&amp;$H$48&amp;"BASIS"&amp;$B98&amp;QuoteSuffix</f>
        <v>EURAB3EBASIS1Y_Quote</v>
      </c>
      <c r="I98" s="896">
        <v>0</v>
      </c>
      <c r="J98" s="47" t="s">
        <v>411</v>
      </c>
      <c r="L98" s="1005" t="str">
        <f t="shared" si="25"/>
        <v>BasSw</v>
      </c>
      <c r="M98" s="970" t="str">
        <f t="shared" si="26"/>
        <v>--</v>
      </c>
      <c r="N98" s="1004" t="str">
        <f ca="1">IFERROR(_xll.qlRateHelperQuoteName(M98,Trigger),"--")</f>
        <v>--</v>
      </c>
      <c r="O98" s="1003" t="str">
        <f ca="1">IFERROR(_xll.qlRateHelperQuoteValue($M98,Trigger),"--")</f>
        <v>--</v>
      </c>
      <c r="P98" s="970" t="b">
        <v>0</v>
      </c>
      <c r="Q98" s="970">
        <v>40</v>
      </c>
      <c r="R98" s="970">
        <v>1</v>
      </c>
      <c r="S98" s="1002" t="str">
        <f ca="1">IFERROR(_xll.qlRateHelperEarliestDate(M98,Trigger),"--")</f>
        <v>--</v>
      </c>
      <c r="T98" s="1002" t="str">
        <f ca="1">IFERROR(_xll.qlRateHelperPillarDate(M98,Trigger),"--")</f>
        <v>--</v>
      </c>
      <c r="V98" s="4" t="str">
        <f t="shared" ca="1" si="22"/>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382</v>
      </c>
      <c r="B99" s="913" t="s">
        <v>57</v>
      </c>
      <c r="C99" s="875" t="s">
        <v>324</v>
      </c>
      <c r="D99" s="875" t="s">
        <v>323</v>
      </c>
      <c r="E99" s="875" t="s">
        <v>322</v>
      </c>
      <c r="F99" s="875" t="s">
        <v>221</v>
      </c>
      <c r="G99" s="875" t="str">
        <f t="shared" si="28"/>
        <v>Euribor3M</v>
      </c>
      <c r="H99" s="874" t="str">
        <f t="shared" si="29"/>
        <v>EURAB3EBASIS15M_Quote</v>
      </c>
      <c r="I99" s="877">
        <v>0</v>
      </c>
      <c r="J99" s="43"/>
      <c r="L99" s="1005" t="str">
        <f t="shared" si="25"/>
        <v>BasSw</v>
      </c>
      <c r="M99" s="970" t="str">
        <f t="shared" si="26"/>
        <v>--</v>
      </c>
      <c r="N99" s="1004" t="str">
        <f ca="1">IFERROR(_xll.qlRateHelperQuoteName(M99,Trigger),"--")</f>
        <v>--</v>
      </c>
      <c r="O99" s="1003" t="str">
        <f ca="1">IFERROR(_xll.qlRateHelperQuoteValue($M99,Trigger),"--")</f>
        <v>--</v>
      </c>
      <c r="P99" s="970" t="b">
        <v>0</v>
      </c>
      <c r="Q99" s="970">
        <v>40</v>
      </c>
      <c r="R99" s="970">
        <v>1</v>
      </c>
      <c r="S99" s="1002" t="str">
        <f ca="1">IFERROR(_xll.qlRateHelperEarliestDate(M99,Trigger),"--")</f>
        <v>--</v>
      </c>
      <c r="T99" s="1002" t="str">
        <f ca="1">IFERROR(_xll.qlRateHelperPillarDate(M99,Trigger),"--")</f>
        <v>--</v>
      </c>
      <c r="V99" s="4" t="str">
        <f t="shared" ref="V99:V124" ca="1" si="30">IFERROR(INDEX($L$3:$L$124,MATCH(X99,$N$3:$N$124,0),1),"")</f>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382</v>
      </c>
      <c r="B100" s="913" t="s">
        <v>56</v>
      </c>
      <c r="C100" s="875" t="s">
        <v>324</v>
      </c>
      <c r="D100" s="875" t="s">
        <v>323</v>
      </c>
      <c r="E100" s="875" t="s">
        <v>322</v>
      </c>
      <c r="F100" s="875" t="s">
        <v>221</v>
      </c>
      <c r="G100" s="875" t="str">
        <f t="shared" si="28"/>
        <v>Euribor3M</v>
      </c>
      <c r="H100" s="874" t="str">
        <f t="shared" si="29"/>
        <v>EURAB3EBASIS18M_Quote</v>
      </c>
      <c r="I100" s="877">
        <v>0</v>
      </c>
      <c r="J100" s="43"/>
      <c r="L100" s="1005" t="str">
        <f t="shared" si="25"/>
        <v>BasSw</v>
      </c>
      <c r="M100" s="970" t="str">
        <f t="shared" si="26"/>
        <v>--</v>
      </c>
      <c r="N100" s="1004" t="str">
        <f ca="1">IFERROR(_xll.qlRateHelperQuoteName(M100,Trigger),"--")</f>
        <v>--</v>
      </c>
      <c r="O100" s="1003" t="str">
        <f ca="1">IFERROR(_xll.qlRateHelperQuoteValue($M100,Trigger),"--")</f>
        <v>--</v>
      </c>
      <c r="P100" s="970" t="b">
        <v>0</v>
      </c>
      <c r="Q100" s="970">
        <v>40</v>
      </c>
      <c r="R100" s="970">
        <v>1</v>
      </c>
      <c r="S100" s="1002" t="str">
        <f ca="1">IFERROR(_xll.qlRateHelperEarliestDate(M100,Trigger),"--")</f>
        <v>--</v>
      </c>
      <c r="T100" s="1002" t="str">
        <f ca="1">IFERROR(_xll.qlRateHelperPillarDate(M100,Trigger),"--")</f>
        <v>--</v>
      </c>
      <c r="V100" s="4" t="str">
        <f t="shared" ca="1" si="30"/>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382</v>
      </c>
      <c r="B101" s="913" t="s">
        <v>55</v>
      </c>
      <c r="C101" s="875" t="s">
        <v>324</v>
      </c>
      <c r="D101" s="875" t="s">
        <v>323</v>
      </c>
      <c r="E101" s="875" t="s">
        <v>322</v>
      </c>
      <c r="F101" s="875" t="s">
        <v>221</v>
      </c>
      <c r="G101" s="875" t="str">
        <f t="shared" si="28"/>
        <v>Euribor3M</v>
      </c>
      <c r="H101" s="874" t="str">
        <f t="shared" si="29"/>
        <v>EURAB3EBASIS21M_Quote</v>
      </c>
      <c r="I101" s="877">
        <v>0</v>
      </c>
      <c r="J101" s="43"/>
      <c r="L101" s="1005" t="str">
        <f t="shared" si="25"/>
        <v>BasSw</v>
      </c>
      <c r="M101" s="970" t="str">
        <f t="shared" si="26"/>
        <v>--</v>
      </c>
      <c r="N101" s="1004" t="str">
        <f ca="1">IFERROR(_xll.qlRateHelperQuoteName(M101,Trigger),"--")</f>
        <v>--</v>
      </c>
      <c r="O101" s="1003" t="str">
        <f ca="1">IFERROR(_xll.qlRateHelperQuoteValue($M101,Trigger),"--")</f>
        <v>--</v>
      </c>
      <c r="P101" s="970" t="b">
        <v>0</v>
      </c>
      <c r="Q101" s="970">
        <v>40</v>
      </c>
      <c r="R101" s="970">
        <v>1</v>
      </c>
      <c r="S101" s="1002" t="str">
        <f ca="1">IFERROR(_xll.qlRateHelperEarliestDate(M101,Trigger),"--")</f>
        <v>--</v>
      </c>
      <c r="T101" s="1002" t="str">
        <f ca="1">IFERROR(_xll.qlRateHelperPillarDate(M101,Trigger),"--")</f>
        <v>--</v>
      </c>
      <c r="V101" s="4" t="str">
        <f t="shared" ca="1" si="30"/>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382</v>
      </c>
      <c r="B102" s="913" t="s">
        <v>54</v>
      </c>
      <c r="C102" s="875" t="s">
        <v>324</v>
      </c>
      <c r="D102" s="875" t="s">
        <v>323</v>
      </c>
      <c r="E102" s="875" t="s">
        <v>322</v>
      </c>
      <c r="F102" s="875" t="s">
        <v>221</v>
      </c>
      <c r="G102" s="875" t="str">
        <f t="shared" si="28"/>
        <v>Euribor3M</v>
      </c>
      <c r="H102" s="874" t="str">
        <f t="shared" si="29"/>
        <v>EURAB3EBASIS2Y_Quote</v>
      </c>
      <c r="I102" s="877">
        <v>0</v>
      </c>
      <c r="J102" s="43"/>
      <c r="L102" s="1005" t="str">
        <f t="shared" si="25"/>
        <v>BasSw</v>
      </c>
      <c r="M102" s="970" t="str">
        <f t="shared" si="26"/>
        <v>--</v>
      </c>
      <c r="N102" s="1004" t="str">
        <f ca="1">IFERROR(_xll.qlRateHelperQuoteName(M102,Trigger),"--")</f>
        <v>--</v>
      </c>
      <c r="O102" s="1003" t="str">
        <f ca="1">IFERROR(_xll.qlRateHelperQuoteValue($M102,Trigger),"--")</f>
        <v>--</v>
      </c>
      <c r="P102" s="970" t="b">
        <v>0</v>
      </c>
      <c r="Q102" s="970">
        <v>40</v>
      </c>
      <c r="R102" s="970">
        <v>1</v>
      </c>
      <c r="S102" s="1002" t="str">
        <f ca="1">IFERROR(_xll.qlRateHelperEarliestDate(M102,Trigger),"--")</f>
        <v>--</v>
      </c>
      <c r="T102" s="1002" t="str">
        <f ca="1">IFERROR(_xll.qlRateHelperPillarDate(M102,Trigger),"--")</f>
        <v>--</v>
      </c>
      <c r="V102" s="4" t="str">
        <f t="shared" ca="1" si="30"/>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382</v>
      </c>
      <c r="B103" s="913" t="s">
        <v>53</v>
      </c>
      <c r="C103" s="875" t="s">
        <v>324</v>
      </c>
      <c r="D103" s="875" t="s">
        <v>323</v>
      </c>
      <c r="E103" s="875" t="s">
        <v>322</v>
      </c>
      <c r="F103" s="875" t="s">
        <v>221</v>
      </c>
      <c r="G103" s="875" t="str">
        <f t="shared" si="28"/>
        <v>Euribor3M</v>
      </c>
      <c r="H103" s="874" t="str">
        <f t="shared" si="29"/>
        <v>EURAB3EBASIS3Y_Quote</v>
      </c>
      <c r="I103" s="877">
        <v>0</v>
      </c>
      <c r="J103" s="43"/>
      <c r="L103" s="1005" t="str">
        <f t="shared" si="25"/>
        <v>BasSw</v>
      </c>
      <c r="M103" s="970" t="str">
        <f t="shared" si="26"/>
        <v>--</v>
      </c>
      <c r="N103" s="1004" t="str">
        <f ca="1">IFERROR(_xll.qlRateHelperQuoteName(M103,Trigger),"--")</f>
        <v>--</v>
      </c>
      <c r="O103" s="1003" t="str">
        <f ca="1">IFERROR(_xll.qlRateHelperQuoteValue($M103,Trigger),"--")</f>
        <v>--</v>
      </c>
      <c r="P103" s="970" t="b">
        <v>0</v>
      </c>
      <c r="Q103" s="970">
        <v>40</v>
      </c>
      <c r="R103" s="970">
        <v>1</v>
      </c>
      <c r="S103" s="1002" t="str">
        <f ca="1">IFERROR(_xll.qlRateHelperEarliestDate(M103,Trigger),"--")</f>
        <v>--</v>
      </c>
      <c r="T103" s="1002" t="str">
        <f ca="1">IFERROR(_xll.qlRateHelperPillarDate(M103,Trigger),"--")</f>
        <v>--</v>
      </c>
      <c r="V103" s="4" t="str">
        <f t="shared" ca="1" si="30"/>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382</v>
      </c>
      <c r="B104" s="913" t="s">
        <v>52</v>
      </c>
      <c r="C104" s="875" t="s">
        <v>324</v>
      </c>
      <c r="D104" s="875" t="s">
        <v>323</v>
      </c>
      <c r="E104" s="875" t="s">
        <v>322</v>
      </c>
      <c r="F104" s="875" t="s">
        <v>221</v>
      </c>
      <c r="G104" s="875" t="str">
        <f t="shared" si="28"/>
        <v>Euribor3M</v>
      </c>
      <c r="H104" s="874" t="str">
        <f t="shared" si="29"/>
        <v>EURAB3EBASIS4Y_Quote</v>
      </c>
      <c r="I104" s="877">
        <v>0</v>
      </c>
      <c r="J104" s="43"/>
      <c r="L104" s="1005" t="str">
        <f t="shared" si="25"/>
        <v>BasSw</v>
      </c>
      <c r="M104" s="970" t="str">
        <f t="shared" si="26"/>
        <v>--</v>
      </c>
      <c r="N104" s="1004" t="str">
        <f ca="1">IFERROR(_xll.qlRateHelperQuoteName(M104,Trigger),"--")</f>
        <v>--</v>
      </c>
      <c r="O104" s="1003" t="str">
        <f ca="1">IFERROR(_xll.qlRateHelperQuoteValue($M104,Trigger),"--")</f>
        <v>--</v>
      </c>
      <c r="P104" s="970" t="b">
        <v>0</v>
      </c>
      <c r="Q104" s="970">
        <v>40</v>
      </c>
      <c r="R104" s="970">
        <v>1</v>
      </c>
      <c r="S104" s="1002" t="str">
        <f ca="1">IFERROR(_xll.qlRateHelperEarliestDate(M104,Trigger),"--")</f>
        <v>--</v>
      </c>
      <c r="T104" s="1002" t="str">
        <f ca="1">IFERROR(_xll.qlRateHelperPillarDate(M104,Trigger),"--")</f>
        <v>--</v>
      </c>
      <c r="V104" s="4" t="str">
        <f t="shared" ca="1" si="30"/>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382</v>
      </c>
      <c r="B105" s="913" t="s">
        <v>51</v>
      </c>
      <c r="C105" s="875" t="s">
        <v>324</v>
      </c>
      <c r="D105" s="875" t="s">
        <v>323</v>
      </c>
      <c r="E105" s="875" t="s">
        <v>322</v>
      </c>
      <c r="F105" s="875" t="s">
        <v>221</v>
      </c>
      <c r="G105" s="875" t="str">
        <f t="shared" si="28"/>
        <v>Euribor3M</v>
      </c>
      <c r="H105" s="874" t="str">
        <f t="shared" si="29"/>
        <v>EURAB3EBASIS5Y_Quote</v>
      </c>
      <c r="I105" s="877">
        <v>0</v>
      </c>
      <c r="J105" s="43"/>
      <c r="L105" s="1005" t="str">
        <f t="shared" si="25"/>
        <v>BasSw</v>
      </c>
      <c r="M105" s="970" t="str">
        <f t="shared" si="26"/>
        <v>--</v>
      </c>
      <c r="N105" s="1004" t="str">
        <f ca="1">IFERROR(_xll.qlRateHelperQuoteName(M105,Trigger),"--")</f>
        <v>--</v>
      </c>
      <c r="O105" s="1003" t="str">
        <f ca="1">IFERROR(_xll.qlRateHelperQuoteValue($M105,Trigger),"--")</f>
        <v>--</v>
      </c>
      <c r="P105" s="970" t="b">
        <v>0</v>
      </c>
      <c r="Q105" s="970">
        <v>40</v>
      </c>
      <c r="R105" s="970">
        <v>1</v>
      </c>
      <c r="S105" s="1002" t="str">
        <f ca="1">IFERROR(_xll.qlRateHelperEarliestDate(M105,Trigger),"--")</f>
        <v>--</v>
      </c>
      <c r="T105" s="1002" t="str">
        <f ca="1">IFERROR(_xll.qlRateHelperPillarDate(M105,Trigger),"--")</f>
        <v>--</v>
      </c>
      <c r="V105" s="4" t="str">
        <f t="shared" ca="1" si="30"/>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382</v>
      </c>
      <c r="B106" s="913" t="s">
        <v>50</v>
      </c>
      <c r="C106" s="875" t="s">
        <v>324</v>
      </c>
      <c r="D106" s="875" t="s">
        <v>323</v>
      </c>
      <c r="E106" s="875" t="s">
        <v>322</v>
      </c>
      <c r="F106" s="875" t="s">
        <v>221</v>
      </c>
      <c r="G106" s="875" t="str">
        <f t="shared" si="28"/>
        <v>Euribor3M</v>
      </c>
      <c r="H106" s="874" t="str">
        <f t="shared" si="29"/>
        <v>EURAB3EBASIS6Y_Quote</v>
      </c>
      <c r="I106" s="877">
        <v>0</v>
      </c>
      <c r="J106" s="43"/>
      <c r="L106" s="1005" t="str">
        <f t="shared" si="25"/>
        <v>BasSw</v>
      </c>
      <c r="M106" s="970" t="str">
        <f t="shared" si="26"/>
        <v>--</v>
      </c>
      <c r="N106" s="1004" t="str">
        <f ca="1">IFERROR(_xll.qlRateHelperQuoteName(M106,Trigger),"--")</f>
        <v>--</v>
      </c>
      <c r="O106" s="1003" t="str">
        <f ca="1">IFERROR(_xll.qlRateHelperQuoteValue($M106,Trigger),"--")</f>
        <v>--</v>
      </c>
      <c r="P106" s="970" t="b">
        <v>0</v>
      </c>
      <c r="Q106" s="970">
        <v>40</v>
      </c>
      <c r="R106" s="970">
        <v>1</v>
      </c>
      <c r="S106" s="1002" t="str">
        <f ca="1">IFERROR(_xll.qlRateHelperEarliestDate(M106,Trigger),"--")</f>
        <v>--</v>
      </c>
      <c r="T106" s="1002" t="str">
        <f ca="1">IFERROR(_xll.qlRateHelperPillarDate(M106,Trigger),"--")</f>
        <v>--</v>
      </c>
      <c r="V106" s="4" t="str">
        <f t="shared" ca="1" si="30"/>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382</v>
      </c>
      <c r="B107" s="913" t="s">
        <v>49</v>
      </c>
      <c r="C107" s="875" t="s">
        <v>324</v>
      </c>
      <c r="D107" s="875" t="s">
        <v>323</v>
      </c>
      <c r="E107" s="875" t="s">
        <v>322</v>
      </c>
      <c r="F107" s="875" t="s">
        <v>221</v>
      </c>
      <c r="G107" s="875" t="str">
        <f t="shared" si="28"/>
        <v>Euribor3M</v>
      </c>
      <c r="H107" s="874" t="str">
        <f t="shared" si="29"/>
        <v>EURAB3EBASIS7Y_Quote</v>
      </c>
      <c r="I107" s="877">
        <v>0</v>
      </c>
      <c r="J107" s="43"/>
      <c r="L107" s="1005" t="str">
        <f t="shared" si="25"/>
        <v>BasSw</v>
      </c>
      <c r="M107" s="970" t="str">
        <f t="shared" si="26"/>
        <v>--</v>
      </c>
      <c r="N107" s="1004" t="str">
        <f ca="1">IFERROR(_xll.qlRateHelperQuoteName(M107,Trigger),"--")</f>
        <v>--</v>
      </c>
      <c r="O107" s="1003" t="str">
        <f ca="1">IFERROR(_xll.qlRateHelperQuoteValue($M107,Trigger),"--")</f>
        <v>--</v>
      </c>
      <c r="P107" s="970" t="b">
        <v>0</v>
      </c>
      <c r="Q107" s="970">
        <v>40</v>
      </c>
      <c r="R107" s="970">
        <v>1</v>
      </c>
      <c r="S107" s="1002" t="str">
        <f ca="1">IFERROR(_xll.qlRateHelperEarliestDate(M107,Trigger),"--")</f>
        <v>--</v>
      </c>
      <c r="T107" s="1002" t="str">
        <f ca="1">IFERROR(_xll.qlRateHelperPillarDate(M107,Trigger),"--")</f>
        <v>--</v>
      </c>
      <c r="V107" s="4" t="str">
        <f t="shared" ca="1" si="30"/>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382</v>
      </c>
      <c r="B108" s="913" t="s">
        <v>48</v>
      </c>
      <c r="C108" s="875" t="s">
        <v>324</v>
      </c>
      <c r="D108" s="875" t="s">
        <v>323</v>
      </c>
      <c r="E108" s="875" t="s">
        <v>322</v>
      </c>
      <c r="F108" s="875" t="s">
        <v>221</v>
      </c>
      <c r="G108" s="875" t="str">
        <f t="shared" si="28"/>
        <v>Euribor3M</v>
      </c>
      <c r="H108" s="874" t="str">
        <f t="shared" si="29"/>
        <v>EURAB3EBASIS8Y_Quote</v>
      </c>
      <c r="I108" s="877">
        <v>0</v>
      </c>
      <c r="J108" s="43"/>
      <c r="L108" s="1005" t="str">
        <f t="shared" si="25"/>
        <v>BasSw</v>
      </c>
      <c r="M108" s="970" t="str">
        <f t="shared" si="26"/>
        <v>--</v>
      </c>
      <c r="N108" s="1004" t="str">
        <f ca="1">IFERROR(_xll.qlRateHelperQuoteName(M108,Trigger),"--")</f>
        <v>--</v>
      </c>
      <c r="O108" s="1003" t="str">
        <f ca="1">IFERROR(_xll.qlRateHelperQuoteValue($M108,Trigger),"--")</f>
        <v>--</v>
      </c>
      <c r="P108" s="970" t="b">
        <v>0</v>
      </c>
      <c r="Q108" s="970">
        <v>40</v>
      </c>
      <c r="R108" s="970">
        <v>1</v>
      </c>
      <c r="S108" s="1002" t="str">
        <f ca="1">IFERROR(_xll.qlRateHelperEarliestDate(M108,Trigger),"--")</f>
        <v>--</v>
      </c>
      <c r="T108" s="1002" t="str">
        <f ca="1">IFERROR(_xll.qlRateHelperPillarDate(M108,Trigger),"--")</f>
        <v>--</v>
      </c>
      <c r="V108" s="4" t="str">
        <f t="shared" ca="1" si="30"/>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4" t="s">
        <v>382</v>
      </c>
      <c r="B109" s="913" t="s">
        <v>47</v>
      </c>
      <c r="C109" s="875" t="s">
        <v>324</v>
      </c>
      <c r="D109" s="875" t="s">
        <v>323</v>
      </c>
      <c r="E109" s="875" t="s">
        <v>322</v>
      </c>
      <c r="F109" s="875" t="s">
        <v>221</v>
      </c>
      <c r="G109" s="875" t="str">
        <f t="shared" si="28"/>
        <v>Euribor3M</v>
      </c>
      <c r="H109" s="874" t="str">
        <f t="shared" si="29"/>
        <v>EURAB3EBASIS9Y_Quote</v>
      </c>
      <c r="I109" s="877">
        <v>0</v>
      </c>
      <c r="J109" s="43"/>
      <c r="L109" s="1005" t="str">
        <f t="shared" si="25"/>
        <v>BasSw</v>
      </c>
      <c r="M109" s="970" t="str">
        <f t="shared" si="26"/>
        <v>--</v>
      </c>
      <c r="N109" s="1004" t="str">
        <f ca="1">IFERROR(_xll.qlRateHelperQuoteName(M109,Trigger),"--")</f>
        <v>--</v>
      </c>
      <c r="O109" s="1003" t="str">
        <f ca="1">IFERROR(_xll.qlRateHelperQuoteValue($M109,Trigger),"--")</f>
        <v>--</v>
      </c>
      <c r="P109" s="970" t="b">
        <v>0</v>
      </c>
      <c r="Q109" s="970">
        <v>40</v>
      </c>
      <c r="R109" s="970">
        <v>1</v>
      </c>
      <c r="S109" s="1002" t="str">
        <f ca="1">IFERROR(_xll.qlRateHelperEarliestDate(M109,Trigger),"--")</f>
        <v>--</v>
      </c>
      <c r="T109" s="1002" t="str">
        <f ca="1">IFERROR(_xll.qlRateHelperPillarDate(M109,Trigger),"--")</f>
        <v>--</v>
      </c>
      <c r="V109" s="4" t="str">
        <f t="shared" ca="1" si="30"/>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382</v>
      </c>
      <c r="B110" s="913" t="s">
        <v>46</v>
      </c>
      <c r="C110" s="875" t="s">
        <v>324</v>
      </c>
      <c r="D110" s="875" t="s">
        <v>323</v>
      </c>
      <c r="E110" s="875" t="s">
        <v>322</v>
      </c>
      <c r="F110" s="875" t="s">
        <v>221</v>
      </c>
      <c r="G110" s="875" t="str">
        <f t="shared" si="28"/>
        <v>Euribor3M</v>
      </c>
      <c r="H110" s="874" t="str">
        <f t="shared" si="29"/>
        <v>EURAB3EBASIS10Y_Quote</v>
      </c>
      <c r="I110" s="877">
        <v>0</v>
      </c>
      <c r="J110" s="43"/>
      <c r="L110" s="1005" t="str">
        <f t="shared" si="25"/>
        <v>BasSw</v>
      </c>
      <c r="M110" s="970" t="str">
        <f t="shared" si="26"/>
        <v>--</v>
      </c>
      <c r="N110" s="1004" t="str">
        <f ca="1">IFERROR(_xll.qlRateHelperQuoteName(M110,Trigger),"--")</f>
        <v>--</v>
      </c>
      <c r="O110" s="1003" t="str">
        <f ca="1">IFERROR(_xll.qlRateHelperQuoteValue($M110,Trigger),"--")</f>
        <v>--</v>
      </c>
      <c r="P110" s="970" t="b">
        <v>0</v>
      </c>
      <c r="Q110" s="970">
        <v>40</v>
      </c>
      <c r="R110" s="970">
        <v>1</v>
      </c>
      <c r="S110" s="1002" t="str">
        <f ca="1">IFERROR(_xll.qlRateHelperEarliestDate(M110,Trigger),"--")</f>
        <v>--</v>
      </c>
      <c r="T110" s="1002" t="str">
        <f ca="1">IFERROR(_xll.qlRateHelperPillarDate(M110,Trigger),"--")</f>
        <v>--</v>
      </c>
      <c r="V110" s="4" t="str">
        <f t="shared" ca="1" si="30"/>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382</v>
      </c>
      <c r="B111" s="913" t="s">
        <v>45</v>
      </c>
      <c r="C111" s="875" t="s">
        <v>324</v>
      </c>
      <c r="D111" s="875" t="s">
        <v>323</v>
      </c>
      <c r="E111" s="875" t="s">
        <v>322</v>
      </c>
      <c r="F111" s="875" t="s">
        <v>221</v>
      </c>
      <c r="G111" s="875" t="str">
        <f t="shared" si="28"/>
        <v>Euribor3M</v>
      </c>
      <c r="H111" s="874" t="str">
        <f t="shared" si="29"/>
        <v>EURAB3EBASIS11Y_Quote</v>
      </c>
      <c r="I111" s="877">
        <v>0</v>
      </c>
      <c r="J111" s="43"/>
      <c r="L111" s="1005" t="str">
        <f t="shared" si="25"/>
        <v>BasSw</v>
      </c>
      <c r="M111" s="970" t="str">
        <f t="shared" si="26"/>
        <v>--</v>
      </c>
      <c r="N111" s="1004" t="str">
        <f ca="1">IFERROR(_xll.qlRateHelperQuoteName(M111,Trigger),"--")</f>
        <v>--</v>
      </c>
      <c r="O111" s="1003" t="str">
        <f ca="1">IFERROR(_xll.qlRateHelperQuoteValue($M111,Trigger),"--")</f>
        <v>--</v>
      </c>
      <c r="P111" s="970" t="b">
        <v>0</v>
      </c>
      <c r="Q111" s="970">
        <v>40</v>
      </c>
      <c r="R111" s="970">
        <v>1</v>
      </c>
      <c r="S111" s="1002" t="str">
        <f ca="1">IFERROR(_xll.qlRateHelperEarliestDate(M111,Trigger),"--")</f>
        <v>--</v>
      </c>
      <c r="T111" s="1002" t="str">
        <f ca="1">IFERROR(_xll.qlRateHelperPillarDate(M111,Trigger),"--")</f>
        <v>--</v>
      </c>
      <c r="V111" s="4" t="str">
        <f t="shared" ca="1" si="30"/>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382</v>
      </c>
      <c r="B112" s="913" t="s">
        <v>44</v>
      </c>
      <c r="C112" s="875" t="s">
        <v>324</v>
      </c>
      <c r="D112" s="875" t="s">
        <v>323</v>
      </c>
      <c r="E112" s="875" t="s">
        <v>322</v>
      </c>
      <c r="F112" s="875" t="s">
        <v>221</v>
      </c>
      <c r="G112" s="875" t="str">
        <f t="shared" si="28"/>
        <v>Euribor3M</v>
      </c>
      <c r="H112" s="874" t="str">
        <f t="shared" si="29"/>
        <v>EURAB3EBASIS12Y_Quote</v>
      </c>
      <c r="I112" s="877">
        <v>0</v>
      </c>
      <c r="J112" s="43"/>
      <c r="L112" s="1005" t="str">
        <f t="shared" si="25"/>
        <v>BasSw</v>
      </c>
      <c r="M112" s="970" t="str">
        <f t="shared" si="26"/>
        <v>--</v>
      </c>
      <c r="N112" s="1004" t="str">
        <f ca="1">IFERROR(_xll.qlRateHelperQuoteName(M112,Trigger),"--")</f>
        <v>--</v>
      </c>
      <c r="O112" s="1003" t="str">
        <f ca="1">IFERROR(_xll.qlRateHelperQuoteValue($M112,Trigger),"--")</f>
        <v>--</v>
      </c>
      <c r="P112" s="970" t="b">
        <v>0</v>
      </c>
      <c r="Q112" s="970">
        <v>40</v>
      </c>
      <c r="R112" s="970">
        <v>1</v>
      </c>
      <c r="S112" s="1002" t="str">
        <f ca="1">IFERROR(_xll.qlRateHelperEarliestDate(M112,Trigger),"--")</f>
        <v>--</v>
      </c>
      <c r="T112" s="1002" t="str">
        <f ca="1">IFERROR(_xll.qlRateHelperPillarDate(M112,Trigger),"--")</f>
        <v>--</v>
      </c>
      <c r="V112" s="4" t="str">
        <f t="shared" ca="1" si="30"/>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382</v>
      </c>
      <c r="B113" s="913" t="s">
        <v>43</v>
      </c>
      <c r="C113" s="875" t="s">
        <v>324</v>
      </c>
      <c r="D113" s="875" t="s">
        <v>323</v>
      </c>
      <c r="E113" s="875" t="s">
        <v>322</v>
      </c>
      <c r="F113" s="875" t="s">
        <v>221</v>
      </c>
      <c r="G113" s="875" t="str">
        <f t="shared" si="28"/>
        <v>Euribor3M</v>
      </c>
      <c r="H113" s="874" t="str">
        <f t="shared" si="29"/>
        <v>EURAB3EBASIS13Y_Quote</v>
      </c>
      <c r="I113" s="877">
        <v>0</v>
      </c>
      <c r="J113" s="43"/>
      <c r="L113" s="1005" t="str">
        <f t="shared" si="25"/>
        <v>BasSw</v>
      </c>
      <c r="M113" s="970" t="str">
        <f t="shared" si="26"/>
        <v>--</v>
      </c>
      <c r="N113" s="1004" t="str">
        <f ca="1">IFERROR(_xll.qlRateHelperQuoteName(M113,Trigger),"--")</f>
        <v>--</v>
      </c>
      <c r="O113" s="1003" t="str">
        <f ca="1">IFERROR(_xll.qlRateHelperQuoteValue($M113,Trigger),"--")</f>
        <v>--</v>
      </c>
      <c r="P113" s="970" t="b">
        <v>0</v>
      </c>
      <c r="Q113" s="970">
        <v>40</v>
      </c>
      <c r="R113" s="970">
        <v>1</v>
      </c>
      <c r="S113" s="1002" t="str">
        <f ca="1">IFERROR(_xll.qlRateHelperEarliestDate(M113,Trigger),"--")</f>
        <v>--</v>
      </c>
      <c r="T113" s="1002" t="str">
        <f ca="1">IFERROR(_xll.qlRateHelperPillarDate(M113,Trigger),"--")</f>
        <v>--</v>
      </c>
      <c r="V113" s="4" t="str">
        <f t="shared" ca="1" si="30"/>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382</v>
      </c>
      <c r="B114" s="913" t="s">
        <v>42</v>
      </c>
      <c r="C114" s="875" t="s">
        <v>324</v>
      </c>
      <c r="D114" s="875" t="s">
        <v>323</v>
      </c>
      <c r="E114" s="875" t="s">
        <v>322</v>
      </c>
      <c r="F114" s="875" t="s">
        <v>221</v>
      </c>
      <c r="G114" s="875" t="str">
        <f t="shared" si="28"/>
        <v>Euribor3M</v>
      </c>
      <c r="H114" s="874" t="str">
        <f t="shared" si="29"/>
        <v>EURAB3EBASIS14Y_Quote</v>
      </c>
      <c r="I114" s="877">
        <v>0</v>
      </c>
      <c r="J114" s="43"/>
      <c r="L114" s="1005" t="str">
        <f t="shared" si="25"/>
        <v>BasSw</v>
      </c>
      <c r="M114" s="970" t="str">
        <f t="shared" si="26"/>
        <v>--</v>
      </c>
      <c r="N114" s="1004" t="str">
        <f ca="1">IFERROR(_xll.qlRateHelperQuoteName(M114,Trigger),"--")</f>
        <v>--</v>
      </c>
      <c r="O114" s="1003" t="str">
        <f ca="1">IFERROR(_xll.qlRateHelperQuoteValue($M114,Trigger),"--")</f>
        <v>--</v>
      </c>
      <c r="P114" s="970" t="b">
        <v>0</v>
      </c>
      <c r="Q114" s="970">
        <v>40</v>
      </c>
      <c r="R114" s="970">
        <v>1</v>
      </c>
      <c r="S114" s="1002" t="str">
        <f ca="1">IFERROR(_xll.qlRateHelperEarliestDate(M114,Trigger),"--")</f>
        <v>--</v>
      </c>
      <c r="T114" s="1002" t="str">
        <f ca="1">IFERROR(_xll.qlRateHelperPillarDate(M114,Trigger),"--")</f>
        <v>--</v>
      </c>
      <c r="V114" s="4" t="str">
        <f t="shared" ca="1" si="30"/>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382</v>
      </c>
      <c r="B115" s="913" t="s">
        <v>41</v>
      </c>
      <c r="C115" s="875" t="s">
        <v>324</v>
      </c>
      <c r="D115" s="875" t="s">
        <v>323</v>
      </c>
      <c r="E115" s="875" t="s">
        <v>322</v>
      </c>
      <c r="F115" s="875" t="s">
        <v>221</v>
      </c>
      <c r="G115" s="875" t="str">
        <f t="shared" si="28"/>
        <v>Euribor3M</v>
      </c>
      <c r="H115" s="874" t="str">
        <f t="shared" si="29"/>
        <v>EURAB3EBASIS15Y_Quote</v>
      </c>
      <c r="I115" s="877">
        <v>0</v>
      </c>
      <c r="J115" s="43"/>
      <c r="L115" s="1005" t="str">
        <f t="shared" si="25"/>
        <v>BasSw</v>
      </c>
      <c r="M115" s="970" t="str">
        <f t="shared" si="26"/>
        <v>--</v>
      </c>
      <c r="N115" s="1004" t="str">
        <f ca="1">IFERROR(_xll.qlRateHelperQuoteName(M115,Trigger),"--")</f>
        <v>--</v>
      </c>
      <c r="O115" s="1003" t="str">
        <f ca="1">IFERROR(_xll.qlRateHelperQuoteValue($M115,Trigger),"--")</f>
        <v>--</v>
      </c>
      <c r="P115" s="970" t="b">
        <v>0</v>
      </c>
      <c r="Q115" s="970">
        <v>40</v>
      </c>
      <c r="R115" s="970">
        <v>1</v>
      </c>
      <c r="S115" s="1002" t="str">
        <f ca="1">IFERROR(_xll.qlRateHelperEarliestDate(M115,Trigger),"--")</f>
        <v>--</v>
      </c>
      <c r="T115" s="1002" t="str">
        <f ca="1">IFERROR(_xll.qlRateHelperPillarDate(M115,Trigger),"--")</f>
        <v>--</v>
      </c>
      <c r="V115" s="4" t="str">
        <f t="shared" ca="1" si="30"/>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382</v>
      </c>
      <c r="B116" s="913" t="s">
        <v>40</v>
      </c>
      <c r="C116" s="875" t="s">
        <v>324</v>
      </c>
      <c r="D116" s="875" t="s">
        <v>323</v>
      </c>
      <c r="E116" s="875" t="s">
        <v>322</v>
      </c>
      <c r="F116" s="875" t="s">
        <v>221</v>
      </c>
      <c r="G116" s="875" t="str">
        <f t="shared" si="28"/>
        <v>Euribor3M</v>
      </c>
      <c r="H116" s="874" t="str">
        <f t="shared" si="29"/>
        <v>EURAB3EBASIS16Y_Quote</v>
      </c>
      <c r="I116" s="877">
        <v>0</v>
      </c>
      <c r="J116" s="43"/>
      <c r="L116" s="1005" t="str">
        <f t="shared" si="25"/>
        <v>BasSw</v>
      </c>
      <c r="M116" s="970" t="str">
        <f t="shared" si="26"/>
        <v>--</v>
      </c>
      <c r="N116" s="1004" t="str">
        <f ca="1">IFERROR(_xll.qlRateHelperQuoteName(M116,Trigger),"--")</f>
        <v>--</v>
      </c>
      <c r="O116" s="1003" t="str">
        <f ca="1">IFERROR(_xll.qlRateHelperQuoteValue($M116,Trigger),"--")</f>
        <v>--</v>
      </c>
      <c r="P116" s="970" t="b">
        <v>0</v>
      </c>
      <c r="Q116" s="970">
        <v>40</v>
      </c>
      <c r="R116" s="970">
        <v>1</v>
      </c>
      <c r="S116" s="1002" t="str">
        <f ca="1">IFERROR(_xll.qlRateHelperEarliestDate(M116,Trigger),"--")</f>
        <v>--</v>
      </c>
      <c r="T116" s="1002" t="str">
        <f ca="1">IFERROR(_xll.qlRateHelperPillarDate(M116,Trigger),"--")</f>
        <v>--</v>
      </c>
      <c r="V116" s="4" t="str">
        <f t="shared" ca="1" si="30"/>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382</v>
      </c>
      <c r="B117" s="913" t="s">
        <v>39</v>
      </c>
      <c r="C117" s="875" t="s">
        <v>324</v>
      </c>
      <c r="D117" s="875" t="s">
        <v>323</v>
      </c>
      <c r="E117" s="875" t="s">
        <v>322</v>
      </c>
      <c r="F117" s="875" t="s">
        <v>221</v>
      </c>
      <c r="G117" s="875" t="str">
        <f t="shared" si="28"/>
        <v>Euribor3M</v>
      </c>
      <c r="H117" s="874" t="str">
        <f t="shared" si="29"/>
        <v>EURAB3EBASIS17Y_Quote</v>
      </c>
      <c r="I117" s="877">
        <v>0</v>
      </c>
      <c r="J117" s="43"/>
      <c r="L117" s="1005" t="str">
        <f t="shared" si="25"/>
        <v>BasSw</v>
      </c>
      <c r="M117" s="970" t="str">
        <f t="shared" si="26"/>
        <v>--</v>
      </c>
      <c r="N117" s="1004" t="str">
        <f ca="1">IFERROR(_xll.qlRateHelperQuoteName(M117,Trigger),"--")</f>
        <v>--</v>
      </c>
      <c r="O117" s="1003" t="str">
        <f ca="1">IFERROR(_xll.qlRateHelperQuoteValue($M117,Trigger),"--")</f>
        <v>--</v>
      </c>
      <c r="P117" s="970" t="b">
        <v>0</v>
      </c>
      <c r="Q117" s="970">
        <v>40</v>
      </c>
      <c r="R117" s="970">
        <v>1</v>
      </c>
      <c r="S117" s="1002" t="str">
        <f ca="1">IFERROR(_xll.qlRateHelperEarliestDate(M117,Trigger),"--")</f>
        <v>--</v>
      </c>
      <c r="T117" s="1002" t="str">
        <f ca="1">IFERROR(_xll.qlRateHelperPillarDate(M117,Trigger),"--")</f>
        <v>--</v>
      </c>
      <c r="V117" s="4" t="str">
        <f t="shared" ca="1" si="30"/>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382</v>
      </c>
      <c r="B118" s="913" t="s">
        <v>38</v>
      </c>
      <c r="C118" s="875" t="s">
        <v>324</v>
      </c>
      <c r="D118" s="875" t="s">
        <v>323</v>
      </c>
      <c r="E118" s="875" t="s">
        <v>322</v>
      </c>
      <c r="F118" s="875" t="s">
        <v>221</v>
      </c>
      <c r="G118" s="875" t="str">
        <f t="shared" si="28"/>
        <v>Euribor3M</v>
      </c>
      <c r="H118" s="874" t="str">
        <f t="shared" si="29"/>
        <v>EURAB3EBASIS18Y_Quote</v>
      </c>
      <c r="I118" s="877">
        <v>0</v>
      </c>
      <c r="J118" s="43"/>
      <c r="L118" s="1005" t="str">
        <f t="shared" si="25"/>
        <v>BasSw</v>
      </c>
      <c r="M118" s="970" t="str">
        <f t="shared" si="26"/>
        <v>--</v>
      </c>
      <c r="N118" s="1004" t="str">
        <f ca="1">IFERROR(_xll.qlRateHelperQuoteName(M118,Trigger),"--")</f>
        <v>--</v>
      </c>
      <c r="O118" s="1003" t="str">
        <f ca="1">IFERROR(_xll.qlRateHelperQuoteValue($M118,Trigger),"--")</f>
        <v>--</v>
      </c>
      <c r="P118" s="970" t="b">
        <v>0</v>
      </c>
      <c r="Q118" s="970">
        <v>40</v>
      </c>
      <c r="R118" s="970">
        <v>1</v>
      </c>
      <c r="S118" s="1002" t="str">
        <f ca="1">IFERROR(_xll.qlRateHelperEarliestDate(M118,Trigger),"--")</f>
        <v>--</v>
      </c>
      <c r="T118" s="1002" t="str">
        <f ca="1">IFERROR(_xll.qlRateHelperPillarDate(M118,Trigger),"--")</f>
        <v>--</v>
      </c>
      <c r="V118" s="4" t="str">
        <f t="shared" ca="1" si="30"/>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382</v>
      </c>
      <c r="B119" s="913" t="s">
        <v>37</v>
      </c>
      <c r="C119" s="875" t="s">
        <v>324</v>
      </c>
      <c r="D119" s="875" t="s">
        <v>323</v>
      </c>
      <c r="E119" s="875" t="s">
        <v>322</v>
      </c>
      <c r="F119" s="875" t="s">
        <v>221</v>
      </c>
      <c r="G119" s="875" t="str">
        <f t="shared" si="28"/>
        <v>Euribor3M</v>
      </c>
      <c r="H119" s="874" t="str">
        <f t="shared" si="29"/>
        <v>EURAB3EBASIS19Y_Quote</v>
      </c>
      <c r="I119" s="877">
        <v>0</v>
      </c>
      <c r="J119" s="43"/>
      <c r="L119" s="1005" t="str">
        <f t="shared" si="25"/>
        <v>BasSw</v>
      </c>
      <c r="M119" s="970" t="str">
        <f t="shared" si="26"/>
        <v>--</v>
      </c>
      <c r="N119" s="1004" t="str">
        <f ca="1">IFERROR(_xll.qlRateHelperQuoteName(M119,Trigger),"--")</f>
        <v>--</v>
      </c>
      <c r="O119" s="1003" t="str">
        <f ca="1">IFERROR(_xll.qlRateHelperQuoteValue($M119,Trigger),"--")</f>
        <v>--</v>
      </c>
      <c r="P119" s="970" t="b">
        <v>0</v>
      </c>
      <c r="Q119" s="970">
        <v>40</v>
      </c>
      <c r="R119" s="970">
        <v>1</v>
      </c>
      <c r="S119" s="1002" t="str">
        <f ca="1">IFERROR(_xll.qlRateHelperEarliestDate(M119,Trigger),"--")</f>
        <v>--</v>
      </c>
      <c r="T119" s="1002" t="str">
        <f ca="1">IFERROR(_xll.qlRateHelperPillarDate(M119,Trigger),"--")</f>
        <v>--</v>
      </c>
      <c r="V119" s="4" t="str">
        <f t="shared" ca="1" si="30"/>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382</v>
      </c>
      <c r="B120" s="913" t="s">
        <v>36</v>
      </c>
      <c r="C120" s="875" t="s">
        <v>324</v>
      </c>
      <c r="D120" s="875" t="s">
        <v>323</v>
      </c>
      <c r="E120" s="875" t="s">
        <v>322</v>
      </c>
      <c r="F120" s="875" t="s">
        <v>221</v>
      </c>
      <c r="G120" s="875" t="str">
        <f t="shared" si="28"/>
        <v>Euribor3M</v>
      </c>
      <c r="H120" s="874" t="str">
        <f t="shared" si="29"/>
        <v>EURAB3EBASIS20Y_Quote</v>
      </c>
      <c r="I120" s="877">
        <v>0</v>
      </c>
      <c r="J120" s="43"/>
      <c r="L120" s="1005" t="str">
        <f t="shared" si="25"/>
        <v>BasSw</v>
      </c>
      <c r="M120" s="970" t="str">
        <f t="shared" si="26"/>
        <v>--</v>
      </c>
      <c r="N120" s="1004" t="str">
        <f ca="1">IFERROR(_xll.qlRateHelperQuoteName(M120,Trigger),"--")</f>
        <v>--</v>
      </c>
      <c r="O120" s="1003" t="str">
        <f ca="1">IFERROR(_xll.qlRateHelperQuoteValue($M120,Trigger),"--")</f>
        <v>--</v>
      </c>
      <c r="P120" s="970" t="b">
        <v>0</v>
      </c>
      <c r="Q120" s="970">
        <v>40</v>
      </c>
      <c r="R120" s="970">
        <v>1</v>
      </c>
      <c r="S120" s="1002" t="str">
        <f ca="1">IFERROR(_xll.qlRateHelperEarliestDate(M120,Trigger),"--")</f>
        <v>--</v>
      </c>
      <c r="T120" s="1002" t="str">
        <f ca="1">IFERROR(_xll.qlRateHelperPillarDate(M120,Trigger),"--")</f>
        <v>--</v>
      </c>
      <c r="V120" s="4" t="str">
        <f t="shared" ca="1" si="30"/>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382</v>
      </c>
      <c r="B121" s="913" t="s">
        <v>35</v>
      </c>
      <c r="C121" s="875" t="s">
        <v>324</v>
      </c>
      <c r="D121" s="875" t="s">
        <v>323</v>
      </c>
      <c r="E121" s="875" t="s">
        <v>322</v>
      </c>
      <c r="F121" s="875" t="s">
        <v>221</v>
      </c>
      <c r="G121" s="875" t="str">
        <f t="shared" si="28"/>
        <v>Euribor3M</v>
      </c>
      <c r="H121" s="874" t="str">
        <f t="shared" si="29"/>
        <v>EURAB3EBASIS21Y_Quote</v>
      </c>
      <c r="I121" s="877">
        <v>0</v>
      </c>
      <c r="J121" s="43"/>
      <c r="L121" s="1005" t="str">
        <f t="shared" si="25"/>
        <v>BasSw</v>
      </c>
      <c r="M121" s="970" t="str">
        <f t="shared" si="26"/>
        <v>--</v>
      </c>
      <c r="N121" s="1004" t="str">
        <f ca="1">IFERROR(_xll.qlRateHelperQuoteName(M121,Trigger),"--")</f>
        <v>--</v>
      </c>
      <c r="O121" s="1003" t="str">
        <f ca="1">IFERROR(_xll.qlRateHelperQuoteValue($M121,Trigger),"--")</f>
        <v>--</v>
      </c>
      <c r="P121" s="970" t="b">
        <v>0</v>
      </c>
      <c r="Q121" s="970">
        <v>40</v>
      </c>
      <c r="R121" s="970">
        <v>1</v>
      </c>
      <c r="S121" s="1002" t="str">
        <f ca="1">IFERROR(_xll.qlRateHelperEarliestDate(M121,Trigger),"--")</f>
        <v>--</v>
      </c>
      <c r="T121" s="1002" t="str">
        <f ca="1">IFERROR(_xll.qlRateHelperPillarDate(M121,Trigger),"--")</f>
        <v>--</v>
      </c>
      <c r="V121" s="4" t="str">
        <f t="shared" ca="1" si="30"/>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382</v>
      </c>
      <c r="B122" s="913" t="s">
        <v>34</v>
      </c>
      <c r="C122" s="875" t="s">
        <v>324</v>
      </c>
      <c r="D122" s="875" t="s">
        <v>323</v>
      </c>
      <c r="E122" s="875" t="s">
        <v>322</v>
      </c>
      <c r="F122" s="875" t="s">
        <v>221</v>
      </c>
      <c r="G122" s="875" t="str">
        <f t="shared" si="28"/>
        <v>Euribor3M</v>
      </c>
      <c r="H122" s="874" t="str">
        <f t="shared" si="29"/>
        <v>EURAB3EBASIS22Y_Quote</v>
      </c>
      <c r="I122" s="877">
        <v>0</v>
      </c>
      <c r="J122" s="43"/>
      <c r="L122" s="1005" t="str">
        <f t="shared" si="25"/>
        <v>BasSw</v>
      </c>
      <c r="M122" s="970" t="str">
        <f t="shared" si="26"/>
        <v>--</v>
      </c>
      <c r="N122" s="1004" t="str">
        <f ca="1">IFERROR(_xll.qlRateHelperQuoteName(M122,Trigger),"--")</f>
        <v>--</v>
      </c>
      <c r="O122" s="1003" t="str">
        <f ca="1">IFERROR(_xll.qlRateHelperQuoteValue($M122,Trigger),"--")</f>
        <v>--</v>
      </c>
      <c r="P122" s="970" t="b">
        <v>0</v>
      </c>
      <c r="Q122" s="970">
        <v>40</v>
      </c>
      <c r="R122" s="970">
        <v>1</v>
      </c>
      <c r="S122" s="1002" t="str">
        <f ca="1">IFERROR(_xll.qlRateHelperEarliestDate(M122,Trigger),"--")</f>
        <v>--</v>
      </c>
      <c r="T122" s="1002" t="str">
        <f ca="1">IFERROR(_xll.qlRateHelperPillarDate(M122,Trigger),"--")</f>
        <v>--</v>
      </c>
      <c r="V122" s="4" t="str">
        <f t="shared" ca="1" si="30"/>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382</v>
      </c>
      <c r="B123" s="913" t="s">
        <v>33</v>
      </c>
      <c r="C123" s="875" t="s">
        <v>324</v>
      </c>
      <c r="D123" s="875" t="s">
        <v>323</v>
      </c>
      <c r="E123" s="875" t="s">
        <v>322</v>
      </c>
      <c r="F123" s="875" t="s">
        <v>221</v>
      </c>
      <c r="G123" s="875" t="str">
        <f t="shared" si="28"/>
        <v>Euribor3M</v>
      </c>
      <c r="H123" s="874" t="str">
        <f t="shared" si="29"/>
        <v>EURAB3EBASIS23Y_Quote</v>
      </c>
      <c r="I123" s="877">
        <v>0</v>
      </c>
      <c r="J123" s="43"/>
      <c r="L123" s="1005" t="str">
        <f t="shared" si="25"/>
        <v>BasSw</v>
      </c>
      <c r="M123" s="970" t="str">
        <f t="shared" si="26"/>
        <v>--</v>
      </c>
      <c r="N123" s="1004" t="str">
        <f ca="1">IFERROR(_xll.qlRateHelperQuoteName(M123,Trigger),"--")</f>
        <v>--</v>
      </c>
      <c r="O123" s="1003" t="str">
        <f ca="1">IFERROR(_xll.qlRateHelperQuoteValue($M123,Trigger),"--")</f>
        <v>--</v>
      </c>
      <c r="P123" s="970" t="b">
        <v>0</v>
      </c>
      <c r="Q123" s="970">
        <v>40</v>
      </c>
      <c r="R123" s="970">
        <v>1</v>
      </c>
      <c r="S123" s="1002" t="str">
        <f ca="1">IFERROR(_xll.qlRateHelperEarliestDate(M123,Trigger),"--")</f>
        <v>--</v>
      </c>
      <c r="T123" s="1002" t="str">
        <f ca="1">IFERROR(_xll.qlRateHelperPillarDate(M123,Trigger),"--")</f>
        <v>--</v>
      </c>
      <c r="V123" s="4" t="str">
        <f t="shared" ca="1" si="30"/>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382</v>
      </c>
      <c r="B124" s="913" t="s">
        <v>32</v>
      </c>
      <c r="C124" s="875" t="s">
        <v>324</v>
      </c>
      <c r="D124" s="875" t="s">
        <v>323</v>
      </c>
      <c r="E124" s="875" t="s">
        <v>322</v>
      </c>
      <c r="F124" s="875" t="s">
        <v>221</v>
      </c>
      <c r="G124" s="875" t="str">
        <f t="shared" si="28"/>
        <v>Euribor3M</v>
      </c>
      <c r="H124" s="874" t="str">
        <f t="shared" si="29"/>
        <v>EURAB3EBASIS24Y_Quote</v>
      </c>
      <c r="I124" s="877">
        <v>0</v>
      </c>
      <c r="J124" s="43"/>
      <c r="L124" s="1001" t="str">
        <f t="shared" si="25"/>
        <v>BasSw</v>
      </c>
      <c r="M124" s="969" t="str">
        <f t="shared" si="26"/>
        <v>--</v>
      </c>
      <c r="N124" s="1000" t="str">
        <f ca="1">IFERROR(_xll.qlRateHelperQuoteName(M124,Trigger),"--")</f>
        <v>--</v>
      </c>
      <c r="O124" s="999" t="str">
        <f ca="1">IFERROR(_xll.qlRateHelperQuoteValue($M124,Trigger),"--")</f>
        <v>--</v>
      </c>
      <c r="P124" s="969" t="b">
        <v>0</v>
      </c>
      <c r="Q124" s="969">
        <v>40</v>
      </c>
      <c r="R124" s="969">
        <v>1</v>
      </c>
      <c r="S124" s="998" t="str">
        <f ca="1">IFERROR(_xll.qlRateHelperEarliestDate(M124,Trigger),"--")</f>
        <v>--</v>
      </c>
      <c r="T124" s="998" t="str">
        <f ca="1">IFERROR(_xll.qlRateHelperPillarDate(M124,Trigger),"--")</f>
        <v>--</v>
      </c>
      <c r="V124" s="2" t="str">
        <f t="shared" ca="1" si="30"/>
        <v/>
      </c>
      <c r="W124" s="2" t="e">
        <f ca="1"/>
        <v>#NAME?</v>
      </c>
      <c r="X124" s="2" t="str">
        <f ca="1">IFERROR(_xll.qlRateHelperQuoteName(W124,Trigger),"")</f>
        <v/>
      </c>
      <c r="Y124" s="880" t="str">
        <f ca="1">IFERROR(_xll.qlRateHelperRate(W124,Trigger),"")</f>
        <v/>
      </c>
      <c r="Z124" s="879" t="str">
        <f ca="1">IF(ISERROR(_xll.qlSwapRateHelperSpread($W124)),IF(ISERROR(_xll.qlFuturesRateHelperConvexityAdjustment($W124)),"",_xll.qlFuturesRateHelperConvexityAdjustment($W124)),_xll.qlSwapRateHelperSpread($W124))</f>
        <v/>
      </c>
      <c r="AA124" s="3" t="str">
        <f ca="1">IFERROR(_xll.qlRateHelperEarliestDate(W124,Trigger),"")</f>
        <v/>
      </c>
      <c r="AB124" s="3" t="str">
        <f ca="1">IFERROR(_xll.qlRateHelperPillarDate(W124,Trigger),"")</f>
        <v/>
      </c>
      <c r="AC124" s="878" t="e">
        <f ca="1"/>
        <v>#NAME?</v>
      </c>
    </row>
    <row r="125" spans="1:29" x14ac:dyDescent="0.2">
      <c r="A125" s="874" t="s">
        <v>382</v>
      </c>
      <c r="B125" s="913" t="s">
        <v>31</v>
      </c>
      <c r="C125" s="875" t="s">
        <v>324</v>
      </c>
      <c r="D125" s="875" t="s">
        <v>323</v>
      </c>
      <c r="E125" s="875" t="s">
        <v>322</v>
      </c>
      <c r="F125" s="875" t="s">
        <v>221</v>
      </c>
      <c r="G125" s="875" t="str">
        <f t="shared" si="28"/>
        <v>Euribor3M</v>
      </c>
      <c r="H125" s="874" t="str">
        <f t="shared" si="29"/>
        <v>EURAB3EBASIS25Y_Quote</v>
      </c>
      <c r="I125" s="877">
        <v>0</v>
      </c>
      <c r="J125" s="43"/>
      <c r="L125" s="968"/>
    </row>
    <row r="126" spans="1:29" x14ac:dyDescent="0.2">
      <c r="A126" s="874" t="s">
        <v>382</v>
      </c>
      <c r="B126" s="913" t="s">
        <v>30</v>
      </c>
      <c r="C126" s="875" t="s">
        <v>324</v>
      </c>
      <c r="D126" s="875" t="s">
        <v>323</v>
      </c>
      <c r="E126" s="875" t="s">
        <v>322</v>
      </c>
      <c r="F126" s="875" t="s">
        <v>221</v>
      </c>
      <c r="G126" s="875" t="str">
        <f t="shared" si="28"/>
        <v>Euribor3M</v>
      </c>
      <c r="H126" s="874" t="str">
        <f t="shared" si="29"/>
        <v>EURAB3EBASIS26Y_Quote</v>
      </c>
      <c r="I126" s="877">
        <v>0</v>
      </c>
      <c r="J126" s="43"/>
      <c r="L126" s="968"/>
    </row>
    <row r="127" spans="1:29" x14ac:dyDescent="0.2">
      <c r="A127" s="874" t="s">
        <v>382</v>
      </c>
      <c r="B127" s="913" t="s">
        <v>29</v>
      </c>
      <c r="C127" s="875" t="s">
        <v>324</v>
      </c>
      <c r="D127" s="875" t="s">
        <v>323</v>
      </c>
      <c r="E127" s="875" t="s">
        <v>322</v>
      </c>
      <c r="F127" s="875" t="s">
        <v>221</v>
      </c>
      <c r="G127" s="875" t="str">
        <f t="shared" si="28"/>
        <v>Euribor3M</v>
      </c>
      <c r="H127" s="874" t="str">
        <f t="shared" si="29"/>
        <v>EURAB3EBASIS27Y_Quote</v>
      </c>
      <c r="I127" s="877">
        <v>0</v>
      </c>
      <c r="J127" s="43"/>
      <c r="L127" s="968"/>
    </row>
    <row r="128" spans="1:29" x14ac:dyDescent="0.2">
      <c r="A128" s="874" t="s">
        <v>382</v>
      </c>
      <c r="B128" s="913" t="s">
        <v>28</v>
      </c>
      <c r="C128" s="875" t="s">
        <v>324</v>
      </c>
      <c r="D128" s="875" t="s">
        <v>323</v>
      </c>
      <c r="E128" s="875" t="s">
        <v>322</v>
      </c>
      <c r="F128" s="875" t="s">
        <v>221</v>
      </c>
      <c r="G128" s="875" t="str">
        <f t="shared" si="28"/>
        <v>Euribor3M</v>
      </c>
      <c r="H128" s="874" t="str">
        <f t="shared" si="29"/>
        <v>EURAB3EBASIS28Y_Quote</v>
      </c>
      <c r="I128" s="877">
        <v>0</v>
      </c>
      <c r="J128" s="43"/>
      <c r="L128" s="968"/>
    </row>
    <row r="129" spans="1:10" x14ac:dyDescent="0.2">
      <c r="A129" s="874" t="s">
        <v>382</v>
      </c>
      <c r="B129" s="913" t="s">
        <v>27</v>
      </c>
      <c r="C129" s="875" t="s">
        <v>324</v>
      </c>
      <c r="D129" s="875" t="s">
        <v>323</v>
      </c>
      <c r="E129" s="875" t="s">
        <v>322</v>
      </c>
      <c r="F129" s="875" t="s">
        <v>221</v>
      </c>
      <c r="G129" s="875" t="str">
        <f t="shared" si="28"/>
        <v>Euribor3M</v>
      </c>
      <c r="H129" s="874" t="str">
        <f t="shared" si="29"/>
        <v>EURAB3EBASIS29Y_Quote</v>
      </c>
      <c r="I129" s="877">
        <v>0</v>
      </c>
      <c r="J129" s="43"/>
    </row>
    <row r="130" spans="1:10" x14ac:dyDescent="0.2">
      <c r="A130" s="874" t="s">
        <v>382</v>
      </c>
      <c r="B130" s="913" t="s">
        <v>26</v>
      </c>
      <c r="C130" s="875" t="s">
        <v>324</v>
      </c>
      <c r="D130" s="875" t="s">
        <v>323</v>
      </c>
      <c r="E130" s="875" t="s">
        <v>322</v>
      </c>
      <c r="F130" s="875" t="s">
        <v>221</v>
      </c>
      <c r="G130" s="875" t="str">
        <f t="shared" si="28"/>
        <v>Euribor3M</v>
      </c>
      <c r="H130" s="874" t="str">
        <f t="shared" si="29"/>
        <v>EURAB3EBASIS30Y_Quote</v>
      </c>
      <c r="I130" s="877">
        <v>0</v>
      </c>
      <c r="J130" s="43"/>
    </row>
    <row r="131" spans="1:10" x14ac:dyDescent="0.2">
      <c r="A131" s="874" t="s">
        <v>382</v>
      </c>
      <c r="B131" s="913" t="s">
        <v>25</v>
      </c>
      <c r="C131" s="875" t="s">
        <v>324</v>
      </c>
      <c r="D131" s="875" t="s">
        <v>323</v>
      </c>
      <c r="E131" s="875" t="s">
        <v>322</v>
      </c>
      <c r="F131" s="875" t="s">
        <v>221</v>
      </c>
      <c r="G131" s="875" t="str">
        <f t="shared" si="28"/>
        <v>Euribor3M</v>
      </c>
      <c r="H131" s="874" t="str">
        <f t="shared" si="29"/>
        <v>EURAB3EBASIS35Y_Quote</v>
      </c>
      <c r="I131" s="877">
        <v>0</v>
      </c>
      <c r="J131" s="43"/>
    </row>
    <row r="132" spans="1:10" x14ac:dyDescent="0.2">
      <c r="A132" s="874" t="s">
        <v>382</v>
      </c>
      <c r="B132" s="913" t="s">
        <v>24</v>
      </c>
      <c r="C132" s="875" t="s">
        <v>324</v>
      </c>
      <c r="D132" s="875" t="s">
        <v>323</v>
      </c>
      <c r="E132" s="875" t="s">
        <v>322</v>
      </c>
      <c r="F132" s="875" t="s">
        <v>221</v>
      </c>
      <c r="G132" s="875" t="str">
        <f t="shared" si="28"/>
        <v>Euribor3M</v>
      </c>
      <c r="H132" s="874" t="str">
        <f t="shared" si="29"/>
        <v>EURAB3EBASIS40Y_Quote</v>
      </c>
      <c r="I132" s="877">
        <v>0</v>
      </c>
      <c r="J132" s="43"/>
    </row>
    <row r="133" spans="1:10" x14ac:dyDescent="0.2">
      <c r="A133" s="874" t="s">
        <v>382</v>
      </c>
      <c r="B133" s="913" t="s">
        <v>23</v>
      </c>
      <c r="C133" s="875" t="s">
        <v>324</v>
      </c>
      <c r="D133" s="875" t="s">
        <v>323</v>
      </c>
      <c r="E133" s="875" t="s">
        <v>322</v>
      </c>
      <c r="F133" s="875" t="s">
        <v>221</v>
      </c>
      <c r="G133" s="875" t="str">
        <f t="shared" si="28"/>
        <v>Euribor3M</v>
      </c>
      <c r="H133" s="874" t="str">
        <f t="shared" si="29"/>
        <v>EURAB3EBASIS50Y_Quote</v>
      </c>
      <c r="I133" s="877">
        <v>0</v>
      </c>
      <c r="J133" s="43"/>
    </row>
    <row r="134" spans="1:10" x14ac:dyDescent="0.2">
      <c r="A134" s="870" t="s">
        <v>382</v>
      </c>
      <c r="B134" s="903" t="s">
        <v>22</v>
      </c>
      <c r="C134" s="871" t="s">
        <v>324</v>
      </c>
      <c r="D134" s="871" t="s">
        <v>323</v>
      </c>
      <c r="E134" s="871" t="s">
        <v>322</v>
      </c>
      <c r="F134" s="871" t="s">
        <v>221</v>
      </c>
      <c r="G134" s="871" t="str">
        <f t="shared" si="28"/>
        <v>Euribor3M</v>
      </c>
      <c r="H134" s="870" t="str">
        <f t="shared" si="29"/>
        <v>EURAB3EBASIS60Y_Quote</v>
      </c>
      <c r="I134" s="985">
        <v>0</v>
      </c>
      <c r="J134" s="38"/>
    </row>
  </sheetData>
  <dataValidations count="4">
    <dataValidation type="list" allowBlank="1" showInputMessage="1" showErrorMessage="1" sqref="AJ6">
      <formula1>"AllDepos,DeposBeforeFirstFuturesStartDate,DeposBeforeFirstFuturesStartDatePlusOne,DeposBeforeFirstFuturesExpiryDate"</formula1>
    </dataValidation>
    <dataValidation type="list" allowBlank="1" showInputMessage="1" showErrorMessage="1" sqref="F89:F95 F3 F98:F134 F50:F86">
      <formula1>"Actual/Actual (ISDA),Actual/360,30/360 (Bond Basis),30E/360 (Eurobond Basis),Actual/365 (Fixed),Actual/Actual (ISMA),Actual/Actual (AFB),1/1,30/360 (Italian),Simple"</formula1>
    </dataValidation>
    <dataValidation type="list" allowBlank="1" showInputMessage="1" showErrorMessage="1" sqref="E89:E95 E3 E98:E134 E50:E86">
      <formula1>"Following,Modified Following,Preceding,Modified Preceding,Unadjusted,Half-Month Modified Following"</formula1>
    </dataValidation>
    <dataValidation type="list" allowBlank="1" showInputMessage="1" showErrorMessage="1" sqref="D89:D95 D98:D134 D50:D86">
      <formula1>"Annual,Semiannual,EveryFourthMonth,Quarterly,Bimonthly,Monthly,Biweekly,Weekly,Daily,Once,NoFrequency"</formula1>
    </dataValidation>
  </dataValidations>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8"/>
  <dimension ref="A1:AN397"/>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9" style="1" customWidth="1" outlineLevel="1"/>
    <col min="10" max="10" width="15.140625" style="1" customWidth="1" outlineLevel="1"/>
    <col min="11" max="11" width="2.7109375" style="1" customWidth="1"/>
    <col min="12" max="12" width="5"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92</v>
      </c>
      <c r="H1" s="239" t="str">
        <f>"_SYNTH"&amp;$G$1</f>
        <v>_SYNTH6M</v>
      </c>
      <c r="L1" s="965" t="s">
        <v>383</v>
      </c>
      <c r="M1" s="964"/>
      <c r="N1" s="964"/>
      <c r="O1" s="964"/>
      <c r="P1" s="964"/>
      <c r="Q1" s="964"/>
      <c r="R1" s="964"/>
      <c r="S1" s="964"/>
      <c r="T1" s="963"/>
      <c r="U1" s="958"/>
      <c r="V1" s="962" t="str">
        <f>Currency&amp;$G$1</f>
        <v>EUR6M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391" ca="1">_xll.qlPiecewiseYieldCurveData(YieldCurve_6M,Trigger)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2" si="0">Currency&amp;$B3&amp;"D"&amp;$H$1&amp;QuoteSuffix</f>
        <v>EURSND_SYNTH6M_Quote</v>
      </c>
      <c r="I3" s="947"/>
      <c r="J3" s="946"/>
      <c r="K3" s="154"/>
      <c r="L3" s="909" t="str">
        <f t="shared" ref="L3:L12" si="1">A3</f>
        <v>Dp</v>
      </c>
      <c r="M3" s="905" t="str">
        <f t="shared" ref="M3:M12" si="2">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66" ca="1" si="3">IFERROR(INDEX($L$3:$L$391,MATCH(X3,$N$3:$N$391,0),1),"")</f>
        <v/>
      </c>
      <c r="W3" s="4" t="e">
        <f t="array" aca="1" ref="W3:W391"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 t="shared" si="0"/>
        <v>EURSWD_SYNTH6M_Quote</v>
      </c>
      <c r="I4" s="915"/>
      <c r="J4" s="47"/>
      <c r="K4" s="23"/>
      <c r="L4" s="895" t="str">
        <f t="shared" si="1"/>
        <v>Dp</v>
      </c>
      <c r="M4" s="891" t="str">
        <f t="shared" si="2"/>
        <v>--</v>
      </c>
      <c r="N4" s="894" t="str">
        <f ca="1">IFERROR(_xll.qlRateHelperQuoteName(M4,Trigger),"--")</f>
        <v>--</v>
      </c>
      <c r="O4" s="893" t="str">
        <f ca="1">IFERROR(_xll.qlRateHelperQuoteValue($M4,Trigger),"--")</f>
        <v>--</v>
      </c>
      <c r="P4" s="970"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J4" s="944">
        <v>0</v>
      </c>
      <c r="AM4" s="1362" t="s">
        <v>530</v>
      </c>
      <c r="AN4" s="1365" t="e">
        <f ca="1">_xll.ohTrigger(RateHelpers)</f>
        <v>#NAME?</v>
      </c>
    </row>
    <row r="5" spans="1:40" ht="11.25" customHeight="1" x14ac:dyDescent="0.2">
      <c r="A5" s="874" t="s">
        <v>391</v>
      </c>
      <c r="B5" s="876" t="s">
        <v>177</v>
      </c>
      <c r="C5" s="912" t="str">
        <f t="shared" ref="C5:C12" si="4">B5</f>
        <v>2W</v>
      </c>
      <c r="D5" s="910"/>
      <c r="E5" s="910"/>
      <c r="F5" s="910"/>
      <c r="G5" s="875" t="str">
        <f>PROPER(Currency)&amp;FamilyName&amp;B5</f>
        <v>Euribor2W</v>
      </c>
      <c r="H5" s="934" t="str">
        <f t="shared" si="0"/>
        <v>EUR2WD_SYNTH6M_Quote</v>
      </c>
      <c r="I5" s="910"/>
      <c r="J5" s="43"/>
      <c r="K5" s="23"/>
      <c r="L5" s="895" t="str">
        <f t="shared" si="1"/>
        <v>Dp</v>
      </c>
      <c r="M5" s="891" t="str">
        <f t="shared" si="2"/>
        <v>--</v>
      </c>
      <c r="N5" s="894" t="str">
        <f ca="1">IFERROR(_xll.qlRateHelperQuoteName(M5,Trigger),"--")</f>
        <v>--</v>
      </c>
      <c r="O5" s="893" t="str">
        <f ca="1">IFERROR(_xll.qlRateHelperQuoteValue($M5,Trigger),"--")</f>
        <v>--</v>
      </c>
      <c r="P5" s="970"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E5" s="972"/>
      <c r="AF5" s="936" t="s">
        <v>394</v>
      </c>
      <c r="AJ5" s="944">
        <v>0</v>
      </c>
    </row>
    <row r="6" spans="1:40" ht="11.25" customHeight="1" x14ac:dyDescent="0.2">
      <c r="A6" s="943" t="s">
        <v>391</v>
      </c>
      <c r="B6" s="942" t="s">
        <v>176</v>
      </c>
      <c r="C6" s="941" t="str">
        <f t="shared" si="4"/>
        <v>3W</v>
      </c>
      <c r="D6" s="938"/>
      <c r="E6" s="938"/>
      <c r="F6" s="938"/>
      <c r="G6" s="940" t="e">
        <f ca="1">_xll.qlEuribor(,B6,,Permanent,Trigger,ObjectOverwrite)</f>
        <v>#NAME?</v>
      </c>
      <c r="H6" s="939" t="str">
        <f t="shared" si="0"/>
        <v>EUR3WD_SYNTH6M_Quote</v>
      </c>
      <c r="I6" s="938"/>
      <c r="J6" s="937"/>
      <c r="K6" s="23"/>
      <c r="L6" s="895" t="str">
        <f t="shared" si="1"/>
        <v>Dp</v>
      </c>
      <c r="M6" s="891" t="str">
        <f t="shared" si="2"/>
        <v>--</v>
      </c>
      <c r="N6" s="894" t="str">
        <f ca="1">IFERROR(_xll.qlRateHelperQuoteName(M6,Trigger),"--")</f>
        <v>--</v>
      </c>
      <c r="O6" s="893" t="str">
        <f ca="1">IFERROR(_xll.qlRateHelperQuoteValue($M6,Trigger),"--")</f>
        <v>--</v>
      </c>
      <c r="P6" s="970"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J6" s="935" t="s">
        <v>392</v>
      </c>
    </row>
    <row r="7" spans="1:40" ht="11.25" customHeight="1" x14ac:dyDescent="0.2">
      <c r="A7" s="874" t="s">
        <v>391</v>
      </c>
      <c r="B7" s="876" t="s">
        <v>175</v>
      </c>
      <c r="C7" s="912" t="str">
        <f t="shared" si="4"/>
        <v>1M</v>
      </c>
      <c r="D7" s="910"/>
      <c r="E7" s="910"/>
      <c r="F7" s="910"/>
      <c r="G7" s="875" t="str">
        <f>PROPER(Currency)&amp;FamilyName&amp;B7</f>
        <v>Euribor1M</v>
      </c>
      <c r="H7" s="934" t="str">
        <f t="shared" si="0"/>
        <v>EUR1MD_SYNTH6M_Quote</v>
      </c>
      <c r="I7" s="910"/>
      <c r="J7" s="43" t="e">
        <f ca="1">_xll.qlDepositRateHelper(,H7,G7,Permanent,Trigger,ObjectOverwrite)</f>
        <v>#NAME?</v>
      </c>
      <c r="K7" s="23"/>
      <c r="L7" s="895" t="str">
        <f t="shared" si="1"/>
        <v>Dp</v>
      </c>
      <c r="M7" s="891" t="e">
        <f t="shared" ca="1" si="2"/>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40" ht="11.25" customHeight="1" x14ac:dyDescent="0.2">
      <c r="A8" s="874" t="s">
        <v>391</v>
      </c>
      <c r="B8" s="876" t="s">
        <v>174</v>
      </c>
      <c r="C8" s="912" t="str">
        <f t="shared" si="4"/>
        <v>2M</v>
      </c>
      <c r="D8" s="910"/>
      <c r="E8" s="910"/>
      <c r="F8" s="910"/>
      <c r="G8" s="875" t="str">
        <f>PROPER(Currency)&amp;FamilyName&amp;B8</f>
        <v>Euribor2M</v>
      </c>
      <c r="H8" s="934" t="str">
        <f t="shared" si="0"/>
        <v>EUR2MD_SYNTH6M_Quote</v>
      </c>
      <c r="I8" s="910"/>
      <c r="J8" s="43" t="e">
        <f ca="1">_xll.qlDepositRateHelper(,H8,G8,Permanent,Trigger,ObjectOverwrite)</f>
        <v>#NAME?</v>
      </c>
      <c r="K8" s="23"/>
      <c r="L8" s="895" t="str">
        <f t="shared" si="1"/>
        <v>Dp</v>
      </c>
      <c r="M8" s="891" t="e">
        <f t="shared" ca="1" si="2"/>
        <v>#NAME?</v>
      </c>
      <c r="N8" s="894" t="str">
        <f ca="1">IFERROR(_xll.qlRateHelperQuoteName(M8,Trigger),"--")</f>
        <v>--</v>
      </c>
      <c r="O8" s="893" t="str">
        <f ca="1">IFERROR(_xll.qlRateHelperQuoteValue($M8,Trigger),"--")</f>
        <v>--</v>
      </c>
      <c r="P8" s="970" t="b">
        <v>1</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40" ht="11.25" customHeight="1" x14ac:dyDescent="0.2">
      <c r="A9" s="874" t="s">
        <v>391</v>
      </c>
      <c r="B9" s="876" t="s">
        <v>127</v>
      </c>
      <c r="C9" s="912" t="str">
        <f t="shared" si="4"/>
        <v>3M</v>
      </c>
      <c r="D9" s="910"/>
      <c r="E9" s="910"/>
      <c r="F9" s="910"/>
      <c r="G9" s="875" t="str">
        <f>PROPER(Currency)&amp;FamilyName&amp;B9</f>
        <v>Euribor3M</v>
      </c>
      <c r="H9" s="934" t="str">
        <f t="shared" si="0"/>
        <v>EUR3MD_SYNTH6M_Quote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970"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c r="AG9" s="1" t="s">
        <v>276</v>
      </c>
    </row>
    <row r="10" spans="1:40" ht="11.25" customHeight="1" x14ac:dyDescent="0.2">
      <c r="A10" s="933" t="s">
        <v>391</v>
      </c>
      <c r="B10" s="932" t="s">
        <v>173</v>
      </c>
      <c r="C10" s="931" t="str">
        <f t="shared" si="4"/>
        <v>4M</v>
      </c>
      <c r="D10" s="928"/>
      <c r="E10" s="928"/>
      <c r="F10" s="928"/>
      <c r="G10" s="930" t="e">
        <f ca="1">_xll.qlEuribor(,B10,,Permanent,Trigger,ObjectOverwrite)</f>
        <v>#NAME?</v>
      </c>
      <c r="H10" s="929" t="str">
        <f t="shared" si="0"/>
        <v>EUR4MD_SYNTH6M_Quote</v>
      </c>
      <c r="I10" s="928"/>
      <c r="J10" s="927" t="e">
        <f ca="1">_xll.qlDepositRateHelper(,H10,G10,Permanent,Trigger,ObjectOverwrite)</f>
        <v>#NAME?</v>
      </c>
      <c r="K10" s="23"/>
      <c r="L10" s="895" t="str">
        <f t="shared" si="1"/>
        <v>Dp</v>
      </c>
      <c r="M10" s="891" t="e">
        <f t="shared" ca="1" si="2"/>
        <v>#NAME?</v>
      </c>
      <c r="N10" s="894" t="str">
        <f ca="1">IFERROR(_xll.qlRateHelperQuoteName(M10,Trigger),"--")</f>
        <v>--</v>
      </c>
      <c r="O10" s="893" t="str">
        <f ca="1">IFERROR(_xll.qlRateHelperQuoteValue($M10,Trigger),"--")</f>
        <v>--</v>
      </c>
      <c r="P10" s="970" t="b">
        <v>1</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c r="AE10" s="956" t="s">
        <v>89</v>
      </c>
      <c r="AF10" s="956" t="s">
        <v>409</v>
      </c>
      <c r="AG10" s="956" t="s">
        <v>408</v>
      </c>
      <c r="AH10" s="956" t="s">
        <v>275</v>
      </c>
      <c r="AI10" s="956" t="s">
        <v>407</v>
      </c>
      <c r="AJ10" s="956" t="s">
        <v>406</v>
      </c>
      <c r="AK10" s="956" t="s">
        <v>265</v>
      </c>
      <c r="AL10" s="956" t="s">
        <v>405</v>
      </c>
    </row>
    <row r="11" spans="1:40" ht="11.25" customHeight="1" x14ac:dyDescent="0.2">
      <c r="A11" s="926" t="s">
        <v>391</v>
      </c>
      <c r="B11" s="925" t="s">
        <v>172</v>
      </c>
      <c r="C11" s="924" t="str">
        <f t="shared" si="4"/>
        <v>5M</v>
      </c>
      <c r="D11" s="921"/>
      <c r="E11" s="921"/>
      <c r="F11" s="921"/>
      <c r="G11" s="923" t="e">
        <f ca="1">_xll.qlEuribor(,B11,,Permanent,Trigger,ObjectOverwrite)</f>
        <v>#NAME?</v>
      </c>
      <c r="H11" s="922" t="str">
        <f t="shared" si="0"/>
        <v>EUR5MD_SYNTH6M_Quote</v>
      </c>
      <c r="I11" s="921"/>
      <c r="J11" s="920" t="e">
        <f ca="1">_xll.qlDepositRateHelper(,H11,G11,Permanent,Trigger,ObjectOverwrite)</f>
        <v>#NAME?</v>
      </c>
      <c r="K11" s="23"/>
      <c r="L11" s="895" t="str">
        <f t="shared" si="1"/>
        <v>Dp</v>
      </c>
      <c r="M11" s="891" t="e">
        <f t="shared" ca="1" si="2"/>
        <v>#NAME?</v>
      </c>
      <c r="N11" s="894" t="str">
        <f ca="1">IFERROR(_xll.qlRateHelperQuoteName(M11,Trigger),"--")</f>
        <v>--</v>
      </c>
      <c r="O11" s="893" t="str">
        <f ca="1">IFERROR(_xll.qlRateHelperQuoteValue($M11,Trigger),"--")</f>
        <v>--</v>
      </c>
      <c r="P11" s="970" t="b">
        <v>1</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97"/>
      <c r="AL11" s="986" t="str">
        <f t="shared" ref="AL11:AL23" si="7">IF(ISBLANK(AK11),AG11,EXP(-AK11*AH11))</f>
        <v>EURJump1_SYNTHON_Quote</v>
      </c>
    </row>
    <row r="12" spans="1:40" ht="11.25" customHeight="1" x14ac:dyDescent="0.2">
      <c r="A12" s="870" t="s">
        <v>391</v>
      </c>
      <c r="B12" s="872" t="s">
        <v>92</v>
      </c>
      <c r="C12" s="902" t="str">
        <f t="shared" si="4"/>
        <v>6M</v>
      </c>
      <c r="D12" s="900"/>
      <c r="E12" s="900"/>
      <c r="F12" s="900"/>
      <c r="G12" s="871" t="str">
        <f>PROPER(Currency)&amp;FamilyName&amp;B12</f>
        <v>Euribor6M</v>
      </c>
      <c r="H12" s="919" t="str">
        <f t="shared" si="0"/>
        <v>EUR6MD_SYNTH6M_Quote</v>
      </c>
      <c r="I12" s="900"/>
      <c r="J12" s="38" t="e">
        <f ca="1">_xll.qlDepositRateHelper(,H12,G12,Permanent,Trigger,ObjectOverwrite)</f>
        <v>#NAME?</v>
      </c>
      <c r="K12" s="23" t="s">
        <v>148</v>
      </c>
      <c r="L12" s="886" t="str">
        <f t="shared" si="1"/>
        <v>Dp</v>
      </c>
      <c r="M12" s="882" t="e">
        <f t="shared" ca="1" si="2"/>
        <v>#NAME?</v>
      </c>
      <c r="N12" s="885" t="str">
        <f ca="1">IFERROR(_xll.qlRateHelperQuoteName(M12,Trigger),"--")</f>
        <v>--</v>
      </c>
      <c r="O12" s="884" t="str">
        <f ca="1">IFERROR(_xll.qlRateHelperQuoteValue($M12,Trigger),"--")</f>
        <v>--</v>
      </c>
      <c r="P12" s="969" t="b">
        <v>1</v>
      </c>
      <c r="Q12" s="882">
        <v>10</v>
      </c>
      <c r="R12" s="882">
        <v>1</v>
      </c>
      <c r="S12" s="881" t="str">
        <f ca="1">IFERROR(_xll.qlRateHelperEarliestDate(M12,Trigger),"--")</f>
        <v>--</v>
      </c>
      <c r="T12" s="881"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96"/>
      <c r="AL12" s="979" t="str">
        <f t="shared" si="7"/>
        <v>EURJump2_SYNTHON_Quote</v>
      </c>
    </row>
    <row r="13" spans="1:40" ht="11.25" customHeight="1" x14ac:dyDescent="0.2">
      <c r="B13" s="1"/>
      <c r="C13" s="1"/>
      <c r="D13" s="1"/>
      <c r="E13" s="1"/>
      <c r="F13" s="1"/>
      <c r="G13" s="1"/>
      <c r="H13" s="1"/>
      <c r="K13" s="23"/>
      <c r="L13" s="909" t="str">
        <f t="shared" ref="L13:L30" si="8">A15</f>
        <v>FRA</v>
      </c>
      <c r="M13" s="905" t="e">
        <f t="shared" ref="M13:M30" ca="1" si="9">IF(ISBLANK(J15),"--",J15)</f>
        <v>#NAME?</v>
      </c>
      <c r="N13" s="908" t="str">
        <f ca="1">IFERROR(_xll.qlRateHelperQuoteName(M13,Trigger),"--")</f>
        <v>--</v>
      </c>
      <c r="O13" s="907" t="str">
        <f ca="1">IFERROR(_xll.qlRateHelperQuoteValue($M13,Trigger),"--")</f>
        <v>--</v>
      </c>
      <c r="P13" s="971" t="b">
        <v>1</v>
      </c>
      <c r="Q13" s="905">
        <v>20</v>
      </c>
      <c r="R13" s="905">
        <v>1</v>
      </c>
      <c r="S13" s="904" t="str">
        <f ca="1">IFERROR(_xll.qlRateHelperEarliestDate(M13,Trigger),"--")</f>
        <v>--</v>
      </c>
      <c r="T13" s="904"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96"/>
      <c r="AL13" s="979" t="str">
        <f t="shared" si="7"/>
        <v>EURJump3_SYNTHON_Quote</v>
      </c>
    </row>
    <row r="14" spans="1:40" ht="11.25" customHeight="1" x14ac:dyDescent="0.2">
      <c r="A14" s="146" t="s">
        <v>388</v>
      </c>
      <c r="B14" s="146" t="s">
        <v>390</v>
      </c>
      <c r="C14" s="146" t="s">
        <v>389</v>
      </c>
      <c r="D14" s="146"/>
      <c r="E14" s="146"/>
      <c r="F14" s="146"/>
      <c r="G14" s="146" t="s">
        <v>14</v>
      </c>
      <c r="H14" s="146" t="s">
        <v>384</v>
      </c>
      <c r="I14" s="146"/>
      <c r="J14" s="146" t="s">
        <v>383</v>
      </c>
      <c r="K14" s="23"/>
      <c r="L14" s="895" t="str">
        <f t="shared" si="8"/>
        <v>FRA</v>
      </c>
      <c r="M14" s="891" t="e">
        <f t="shared" ca="1" si="9"/>
        <v>#NAME?</v>
      </c>
      <c r="N14" s="894" t="str">
        <f ca="1">IFERROR(_xll.qlRateHelperQuoteName(M14,Trigger),"--")</f>
        <v>--</v>
      </c>
      <c r="O14" s="893" t="str">
        <f ca="1">IFERROR(_xll.qlRateHelperQuoteValue($M14,Trigger),"--")</f>
        <v>--</v>
      </c>
      <c r="P14" s="970" t="b">
        <v>1</v>
      </c>
      <c r="Q14" s="891">
        <v>20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96"/>
      <c r="AL14" s="979" t="str">
        <f t="shared" si="7"/>
        <v>EURJump4_SYNTHON_Quote</v>
      </c>
    </row>
    <row r="15" spans="1:40" ht="11.25" customHeight="1" x14ac:dyDescent="0.2">
      <c r="A15" s="897" t="s">
        <v>181</v>
      </c>
      <c r="B15" s="918">
        <v>1</v>
      </c>
      <c r="C15" s="917" t="str">
        <f t="shared" ref="C15:C32" si="10">"x"&amp;B15+SUBSTITUTE($G$1,"M","")&amp;"F"</f>
        <v>x7F</v>
      </c>
      <c r="D15" s="915"/>
      <c r="E15" s="915"/>
      <c r="F15" s="915"/>
      <c r="G15" s="898" t="str">
        <f t="shared" ref="G15:G32" si="11">PROPER(Currency)&amp;FamilyName&amp;$G$1</f>
        <v>Euribor6M</v>
      </c>
      <c r="H15" s="916" t="str">
        <f t="shared" ref="H15:H32" si="12">Currency&amp;B15&amp;C15&amp;QuoteSuffix</f>
        <v>EUR1x7F_Quote</v>
      </c>
      <c r="I15" s="915"/>
      <c r="J15" s="47" t="e">
        <f ca="1">_xll.qlFraRateHelper(,H15,B15&amp;"M",G15,PillarDate,,Permanent,Trigger,ObjectOverwrite)</f>
        <v>#NAME?</v>
      </c>
      <c r="K15" s="23"/>
      <c r="L15" s="895" t="str">
        <f t="shared" si="8"/>
        <v>FRA</v>
      </c>
      <c r="M15" s="891" t="e">
        <f t="shared" ca="1" si="9"/>
        <v>#NAME?</v>
      </c>
      <c r="N15" s="894" t="str">
        <f ca="1">IFERROR(_xll.qlRateHelperQuoteName(M15,Trigger),"--")</f>
        <v>--</v>
      </c>
      <c r="O15" s="893" t="str">
        <f ca="1">IFERROR(_xll.qlRateHelperQuoteValue($M15,Trigger),"--")</f>
        <v>--</v>
      </c>
      <c r="P15" s="970" t="b">
        <v>1</v>
      </c>
      <c r="Q15" s="891">
        <v>20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96"/>
      <c r="AL15" s="979" t="str">
        <f t="shared" si="7"/>
        <v>EURJump5_SYNTHON_Quote</v>
      </c>
    </row>
    <row r="16" spans="1:40" ht="11.25" customHeight="1" x14ac:dyDescent="0.2">
      <c r="A16" s="874" t="s">
        <v>181</v>
      </c>
      <c r="B16" s="913">
        <v>2</v>
      </c>
      <c r="C16" s="912" t="str">
        <f t="shared" si="10"/>
        <v>x8F</v>
      </c>
      <c r="D16" s="910"/>
      <c r="E16" s="910"/>
      <c r="F16" s="910"/>
      <c r="G16" s="875" t="str">
        <f t="shared" si="11"/>
        <v>Euribor6M</v>
      </c>
      <c r="H16" s="911" t="str">
        <f t="shared" si="12"/>
        <v>EUR2x8F_Quote</v>
      </c>
      <c r="I16" s="910"/>
      <c r="J16" s="43" t="e">
        <f ca="1">_xll.qlFraRateHelper(,H16,B16&amp;"M",G16,PillarDate,,Permanent,Trigger,ObjectOverwrite)</f>
        <v>#NAME?</v>
      </c>
      <c r="K16" s="23"/>
      <c r="L16" s="895" t="str">
        <f t="shared" si="8"/>
        <v>FRA</v>
      </c>
      <c r="M16" s="891" t="e">
        <f t="shared" ca="1" si="9"/>
        <v>#NAME?</v>
      </c>
      <c r="N16" s="894" t="str">
        <f ca="1">IFERROR(_xll.qlRateHelperQuoteName(M16,Trigger),"--")</f>
        <v>--</v>
      </c>
      <c r="O16" s="893" t="str">
        <f ca="1">IFERROR(_xll.qlRateHelperQuoteValue($M16,Trigger),"--")</f>
        <v>--</v>
      </c>
      <c r="P16" s="970" t="b">
        <v>1</v>
      </c>
      <c r="Q16" s="891">
        <v>20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96"/>
      <c r="AL16" s="979" t="str">
        <f t="shared" si="7"/>
        <v>EURJump6_SYNTHON_Quote</v>
      </c>
    </row>
    <row r="17" spans="1:38" ht="11.25" customHeight="1" x14ac:dyDescent="0.2">
      <c r="A17" s="874" t="s">
        <v>181</v>
      </c>
      <c r="B17" s="913">
        <v>3</v>
      </c>
      <c r="C17" s="912" t="str">
        <f t="shared" si="10"/>
        <v>x9F</v>
      </c>
      <c r="D17" s="910"/>
      <c r="E17" s="910"/>
      <c r="F17" s="910"/>
      <c r="G17" s="875" t="str">
        <f t="shared" si="11"/>
        <v>Euribor6M</v>
      </c>
      <c r="H17" s="911" t="str">
        <f t="shared" si="12"/>
        <v>EUR3x9F_Quote</v>
      </c>
      <c r="I17" s="910"/>
      <c r="J17" s="43" t="e">
        <f ca="1">_xll.qlFraRateHelper(,H17,B17&amp;"M",G17,PillarDate,,Permanent,Trigger,ObjectOverwrite)</f>
        <v>#NAME?</v>
      </c>
      <c r="K17" s="23"/>
      <c r="L17" s="895" t="str">
        <f t="shared" si="8"/>
        <v>FRA</v>
      </c>
      <c r="M17" s="891" t="e">
        <f t="shared" ca="1" si="9"/>
        <v>#NAME?</v>
      </c>
      <c r="N17" s="894" t="str">
        <f ca="1">IFERROR(_xll.qlRateHelperQuoteName(M17,Trigger),"--")</f>
        <v>--</v>
      </c>
      <c r="O17" s="893" t="str">
        <f ca="1">IFERROR(_xll.qlRateHelperQuoteValue($M17,Trigger),"--")</f>
        <v>--</v>
      </c>
      <c r="P17" s="970" t="b">
        <v>1</v>
      </c>
      <c r="Q17" s="891">
        <v>20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96"/>
      <c r="AL17" s="979" t="str">
        <f t="shared" si="7"/>
        <v>EURJump7_SYNTHON_Quote</v>
      </c>
    </row>
    <row r="18" spans="1:38" ht="11.25" customHeight="1" x14ac:dyDescent="0.2">
      <c r="A18" s="874" t="s">
        <v>181</v>
      </c>
      <c r="B18" s="913">
        <v>4</v>
      </c>
      <c r="C18" s="912" t="str">
        <f t="shared" si="10"/>
        <v>x10F</v>
      </c>
      <c r="D18" s="910"/>
      <c r="E18" s="910"/>
      <c r="F18" s="910"/>
      <c r="G18" s="875" t="str">
        <f t="shared" si="11"/>
        <v>Euribor6M</v>
      </c>
      <c r="H18" s="911" t="str">
        <f t="shared" si="12"/>
        <v>EUR4x10F_Quote</v>
      </c>
      <c r="I18" s="910"/>
      <c r="J18" s="43" t="e">
        <f ca="1">_xll.qlFraRateHelper(,H18,B18&amp;"M",G18,PillarDate,,Permanent,Trigger,ObjectOverwrite)</f>
        <v>#NAME?</v>
      </c>
      <c r="K18" s="23"/>
      <c r="L18" s="895" t="str">
        <f t="shared" si="8"/>
        <v>FRA</v>
      </c>
      <c r="M18" s="891" t="e">
        <f t="shared" ca="1" si="9"/>
        <v>#NAME?</v>
      </c>
      <c r="N18" s="894" t="str">
        <f ca="1">IFERROR(_xll.qlRateHelperQuoteName(M18,Trigger),"--")</f>
        <v>--</v>
      </c>
      <c r="O18" s="893" t="str">
        <f ca="1">IFERROR(_xll.qlRateHelperQuoteValue($M18,Trigger),"--")</f>
        <v>--</v>
      </c>
      <c r="P18" s="970" t="b">
        <v>1</v>
      </c>
      <c r="Q18" s="891">
        <v>20</v>
      </c>
      <c r="R18" s="891">
        <v>1</v>
      </c>
      <c r="S18" s="890" t="str">
        <f ca="1">IFERROR(_xll.qlRateHelperEarliestDate(M18,Trigger),"--")</f>
        <v>--</v>
      </c>
      <c r="T18" s="890"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96"/>
      <c r="AL18" s="979" t="str">
        <f t="shared" si="7"/>
        <v>EURJump8_SYNTHON_Quote</v>
      </c>
    </row>
    <row r="19" spans="1:38" ht="11.25" customHeight="1" x14ac:dyDescent="0.2">
      <c r="A19" s="874" t="s">
        <v>181</v>
      </c>
      <c r="B19" s="913">
        <v>5</v>
      </c>
      <c r="C19" s="912" t="str">
        <f t="shared" si="10"/>
        <v>x11F</v>
      </c>
      <c r="D19" s="910"/>
      <c r="E19" s="910"/>
      <c r="F19" s="910"/>
      <c r="G19" s="875" t="str">
        <f t="shared" si="11"/>
        <v>Euribor6M</v>
      </c>
      <c r="H19" s="911" t="str">
        <f t="shared" si="12"/>
        <v>EUR5x11F_Quote</v>
      </c>
      <c r="I19" s="910"/>
      <c r="J19" s="43" t="e">
        <f ca="1">_xll.qlFraRateHelper(,H19,B19&amp;"M",G19,PillarDate,,Permanent,Trigger,ObjectOverwrite)</f>
        <v>#NAME?</v>
      </c>
      <c r="K19" s="23"/>
      <c r="L19" s="895" t="str">
        <f t="shared" si="8"/>
        <v>FRA</v>
      </c>
      <c r="M19" s="891" t="e">
        <f t="shared" ca="1" si="9"/>
        <v>#NAME?</v>
      </c>
      <c r="N19" s="894" t="str">
        <f ca="1">IFERROR(_xll.qlRateHelperQuoteName(M19,Trigger),"--")</f>
        <v>--</v>
      </c>
      <c r="O19" s="893" t="str">
        <f ca="1">IFERROR(_xll.qlRateHelperQuoteValue($M19,Trigger),"--")</f>
        <v>--</v>
      </c>
      <c r="P19" s="970" t="b">
        <v>1</v>
      </c>
      <c r="Q19" s="891">
        <v>20</v>
      </c>
      <c r="R19" s="891">
        <v>1</v>
      </c>
      <c r="S19" s="890" t="str">
        <f ca="1">IFERROR(_xll.qlRateHelperEarliestDate(M19,Trigger),"--")</f>
        <v>--</v>
      </c>
      <c r="T19" s="890"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96"/>
      <c r="AL19" s="979" t="str">
        <f t="shared" si="7"/>
        <v>EURJump9_SYNTHON_Quote</v>
      </c>
    </row>
    <row r="20" spans="1:38" ht="11.25" customHeight="1" x14ac:dyDescent="0.2">
      <c r="A20" s="874" t="s">
        <v>181</v>
      </c>
      <c r="B20" s="913">
        <v>6</v>
      </c>
      <c r="C20" s="912" t="str">
        <f t="shared" si="10"/>
        <v>x12F</v>
      </c>
      <c r="D20" s="910"/>
      <c r="E20" s="910"/>
      <c r="F20" s="910"/>
      <c r="G20" s="875" t="str">
        <f t="shared" si="11"/>
        <v>Euribor6M</v>
      </c>
      <c r="H20" s="911" t="str">
        <f t="shared" si="12"/>
        <v>EUR6x12F_Quote</v>
      </c>
      <c r="I20" s="910"/>
      <c r="J20" s="43" t="e">
        <f ca="1">_xll.qlFraRateHelper(,H20,B20&amp;"M",G20,PillarDate,,Permanent,Trigger,ObjectOverwrite)</f>
        <v>#NAME?</v>
      </c>
      <c r="K20" s="23"/>
      <c r="L20" s="895" t="str">
        <f t="shared" si="8"/>
        <v>FRA</v>
      </c>
      <c r="M20" s="891" t="e">
        <f t="shared" ca="1" si="9"/>
        <v>#NAME?</v>
      </c>
      <c r="N20" s="894" t="str">
        <f ca="1">IFERROR(_xll.qlRateHelperQuoteName(M20,Trigger),"--")</f>
        <v>--</v>
      </c>
      <c r="O20" s="893" t="str">
        <f ca="1">IFERROR(_xll.qlRateHelperQuoteValue($M20,Trigger),"--")</f>
        <v>--</v>
      </c>
      <c r="P20" s="970" t="b">
        <v>1</v>
      </c>
      <c r="Q20" s="891">
        <v>20</v>
      </c>
      <c r="R20" s="891">
        <v>1</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96"/>
      <c r="AL20" s="979" t="str">
        <f t="shared" si="7"/>
        <v>EURJump10_SYNTHON_Quote</v>
      </c>
    </row>
    <row r="21" spans="1:38" ht="11.25" customHeight="1" x14ac:dyDescent="0.2">
      <c r="A21" s="874" t="s">
        <v>181</v>
      </c>
      <c r="B21" s="913">
        <v>7</v>
      </c>
      <c r="C21" s="912" t="str">
        <f t="shared" si="10"/>
        <v>x13F</v>
      </c>
      <c r="D21" s="910"/>
      <c r="E21" s="910"/>
      <c r="F21" s="910"/>
      <c r="G21" s="875" t="str">
        <f t="shared" si="11"/>
        <v>Euribor6M</v>
      </c>
      <c r="H21" s="911" t="str">
        <f t="shared" si="12"/>
        <v>EUR7x13F_Quote</v>
      </c>
      <c r="I21" s="910"/>
      <c r="J21" s="43" t="e">
        <f ca="1">_xll.qlFraRateHelper(,H21,B21&amp;"M",G21,PillarDate,,Permanent,Trigger,ObjectOverwrite)</f>
        <v>#NAME?</v>
      </c>
      <c r="K21" s="23"/>
      <c r="L21" s="895" t="str">
        <f t="shared" si="8"/>
        <v>FRA</v>
      </c>
      <c r="M21" s="891" t="e">
        <f t="shared" ca="1" si="9"/>
        <v>#NAME?</v>
      </c>
      <c r="N21" s="894" t="str">
        <f ca="1">IFERROR(_xll.qlRateHelperQuoteName(M21,Trigger),"--")</f>
        <v>--</v>
      </c>
      <c r="O21" s="893" t="str">
        <f ca="1">IFERROR(_xll.qlRateHelperQuoteValue($M21,Trigger),"--")</f>
        <v>--</v>
      </c>
      <c r="P21" s="970" t="b">
        <v>1</v>
      </c>
      <c r="Q21" s="891">
        <v>20</v>
      </c>
      <c r="R21" s="891">
        <v>1</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96"/>
      <c r="AL21" s="979" t="str">
        <f t="shared" si="7"/>
        <v>EURJump11_SYNTHON_Quote</v>
      </c>
    </row>
    <row r="22" spans="1:38" ht="11.25" customHeight="1" x14ac:dyDescent="0.2">
      <c r="A22" s="874" t="s">
        <v>181</v>
      </c>
      <c r="B22" s="913">
        <v>8</v>
      </c>
      <c r="C22" s="912" t="str">
        <f t="shared" si="10"/>
        <v>x14F</v>
      </c>
      <c r="D22" s="910"/>
      <c r="E22" s="910"/>
      <c r="F22" s="910"/>
      <c r="G22" s="875" t="str">
        <f t="shared" si="11"/>
        <v>Euribor6M</v>
      </c>
      <c r="H22" s="911" t="str">
        <f t="shared" si="12"/>
        <v>EUR8x14F_Quote</v>
      </c>
      <c r="I22" s="910"/>
      <c r="J22" s="43" t="e">
        <f ca="1">_xll.qlFraRateHelper(,H22,B22&amp;"M",G22,PillarDate,,Permanent,Trigger,ObjectOverwrite)</f>
        <v>#NAME?</v>
      </c>
      <c r="K22" s="23"/>
      <c r="L22" s="895" t="str">
        <f t="shared" si="8"/>
        <v>FRA</v>
      </c>
      <c r="M22" s="891" t="e">
        <f t="shared" ca="1" si="9"/>
        <v>#NAME?</v>
      </c>
      <c r="N22" s="894" t="str">
        <f ca="1">IFERROR(_xll.qlRateHelperQuoteName(M22,Trigger),"--")</f>
        <v>--</v>
      </c>
      <c r="O22" s="893" t="str">
        <f ca="1">IFERROR(_xll.qlRateHelperQuoteValue($M22,Trigger),"--")</f>
        <v>--</v>
      </c>
      <c r="P22" s="970" t="b">
        <v>1</v>
      </c>
      <c r="Q22" s="891">
        <v>20</v>
      </c>
      <c r="R22" s="891">
        <v>1</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96"/>
      <c r="AL22" s="979" t="str">
        <f t="shared" si="7"/>
        <v>EURJump12_SYNTHON_Quote</v>
      </c>
    </row>
    <row r="23" spans="1:38" ht="11.25" customHeight="1" x14ac:dyDescent="0.2">
      <c r="A23" s="874" t="s">
        <v>181</v>
      </c>
      <c r="B23" s="913">
        <v>9</v>
      </c>
      <c r="C23" s="912" t="str">
        <f t="shared" si="10"/>
        <v>x15F</v>
      </c>
      <c r="D23" s="910"/>
      <c r="E23" s="910"/>
      <c r="F23" s="910"/>
      <c r="G23" s="875" t="str">
        <f t="shared" si="11"/>
        <v>Euribor6M</v>
      </c>
      <c r="H23" s="911" t="str">
        <f t="shared" si="12"/>
        <v>EUR9x15F_Quote</v>
      </c>
      <c r="I23" s="910"/>
      <c r="J23" s="43" t="e">
        <f ca="1">_xll.qlFraRateHelper(,H23,B23&amp;"M",G23,PillarDate,,Permanent,Trigger,ObjectOverwrite)</f>
        <v>#NAME?</v>
      </c>
      <c r="K23" s="23"/>
      <c r="L23" s="895" t="str">
        <f t="shared" si="8"/>
        <v>FRA</v>
      </c>
      <c r="M23" s="891" t="e">
        <f t="shared" ca="1" si="9"/>
        <v>#NAME?</v>
      </c>
      <c r="N23" s="894" t="str">
        <f ca="1">IFERROR(_xll.qlRateHelperQuoteName(M23,Trigger),"--")</f>
        <v>--</v>
      </c>
      <c r="O23" s="893" t="str">
        <f ca="1">IFERROR(_xll.qlRateHelperQuoteValue($M23,Trigger),"--")</f>
        <v>--</v>
      </c>
      <c r="P23" s="970" t="b">
        <v>1</v>
      </c>
      <c r="Q23" s="891">
        <v>20</v>
      </c>
      <c r="R23" s="891">
        <v>1</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95"/>
      <c r="AL23" s="973" t="str">
        <f t="shared" si="7"/>
        <v>EURJump13_SYNTHON_Quote</v>
      </c>
    </row>
    <row r="24" spans="1:38" ht="11.25" customHeight="1" x14ac:dyDescent="0.2">
      <c r="A24" s="874" t="s">
        <v>181</v>
      </c>
      <c r="B24" s="913">
        <v>10</v>
      </c>
      <c r="C24" s="912" t="str">
        <f t="shared" si="10"/>
        <v>x16F</v>
      </c>
      <c r="D24" s="910"/>
      <c r="E24" s="910"/>
      <c r="F24" s="910"/>
      <c r="G24" s="875" t="str">
        <f t="shared" si="11"/>
        <v>Euribor6M</v>
      </c>
      <c r="H24" s="911" t="str">
        <f t="shared" si="12"/>
        <v>EUR10x16F_Quote</v>
      </c>
      <c r="I24" s="910"/>
      <c r="J24" s="43" t="e">
        <f ca="1">_xll.qlFraRateHelper(,H24,B24&amp;"M",G24,PillarDate,,Permanent,Trigger,ObjectOverwrite)</f>
        <v>#NAME?</v>
      </c>
      <c r="K24" s="23"/>
      <c r="L24" s="895" t="str">
        <f t="shared" si="8"/>
        <v>FRA</v>
      </c>
      <c r="M24" s="891" t="e">
        <f t="shared" ca="1" si="9"/>
        <v>#NAME?</v>
      </c>
      <c r="N24" s="894" t="str">
        <f ca="1">IFERROR(_xll.qlRateHelperQuoteName(M24,Trigger),"--")</f>
        <v>--</v>
      </c>
      <c r="O24" s="893" t="str">
        <f ca="1">IFERROR(_xll.qlRateHelperQuoteValue($M24,Trigger),"--")</f>
        <v>--</v>
      </c>
      <c r="P24" s="970" t="b">
        <v>1</v>
      </c>
      <c r="Q24" s="891">
        <v>20</v>
      </c>
      <c r="R24" s="891">
        <v>1</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8" ht="11.25" customHeight="1" x14ac:dyDescent="0.2">
      <c r="A25" s="874" t="s">
        <v>181</v>
      </c>
      <c r="B25" s="913">
        <v>11</v>
      </c>
      <c r="C25" s="912" t="str">
        <f t="shared" si="10"/>
        <v>x17F</v>
      </c>
      <c r="D25" s="910"/>
      <c r="E25" s="910"/>
      <c r="F25" s="910"/>
      <c r="G25" s="875" t="str">
        <f t="shared" si="11"/>
        <v>Euribor6M</v>
      </c>
      <c r="H25" s="911" t="str">
        <f t="shared" si="12"/>
        <v>EUR11x17F_Quote</v>
      </c>
      <c r="I25" s="910"/>
      <c r="J25" s="43" t="e">
        <f ca="1">_xll.qlFraRateHelper(,H25,B25&amp;"M",G25,PillarDate,,Permanent,Trigger,ObjectOverwrite)</f>
        <v>#NAME?</v>
      </c>
      <c r="K25" s="23"/>
      <c r="L25" s="895" t="str">
        <f t="shared" si="8"/>
        <v>FRA</v>
      </c>
      <c r="M25" s="891" t="e">
        <f t="shared" ca="1" si="9"/>
        <v>#NAME?</v>
      </c>
      <c r="N25" s="894" t="str">
        <f ca="1">IFERROR(_xll.qlRateHelperQuoteName(M25,Trigger),"--")</f>
        <v>--</v>
      </c>
      <c r="O25" s="893" t="str">
        <f ca="1">IFERROR(_xll.qlRateHelperQuoteValue($M25,Trigger),"--")</f>
        <v>--</v>
      </c>
      <c r="P25" s="970" t="b">
        <v>1</v>
      </c>
      <c r="Q25" s="891">
        <v>20</v>
      </c>
      <c r="R25" s="891">
        <v>1</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8" ht="11.25" customHeight="1" x14ac:dyDescent="0.2">
      <c r="A26" s="874" t="s">
        <v>181</v>
      </c>
      <c r="B26" s="913">
        <v>12</v>
      </c>
      <c r="C26" s="912" t="str">
        <f t="shared" si="10"/>
        <v>x18F</v>
      </c>
      <c r="D26" s="910"/>
      <c r="E26" s="910"/>
      <c r="F26" s="910"/>
      <c r="G26" s="875" t="str">
        <f t="shared" si="11"/>
        <v>Euribor6M</v>
      </c>
      <c r="H26" s="911" t="str">
        <f t="shared" si="12"/>
        <v>EUR12x18F_Quote</v>
      </c>
      <c r="I26" s="910"/>
      <c r="J26" s="43" t="e">
        <f ca="1">_xll.qlFraRateHelper(,H26,B26&amp;"M",G26,PillarDate,,Permanent,Trigger,ObjectOverwrite)</f>
        <v>#NAME?</v>
      </c>
      <c r="K26" s="23"/>
      <c r="L26" s="895" t="str">
        <f t="shared" si="8"/>
        <v>FRA</v>
      </c>
      <c r="M26" s="891" t="e">
        <f t="shared" ca="1" si="9"/>
        <v>#NAME?</v>
      </c>
      <c r="N26" s="894" t="str">
        <f ca="1">IFERROR(_xll.qlRateHelperQuoteName(M26,Trigger),"--")</f>
        <v>--</v>
      </c>
      <c r="O26" s="893" t="str">
        <f ca="1">IFERROR(_xll.qlRateHelperQuoteValue($M26,Trigger),"--")</f>
        <v>--</v>
      </c>
      <c r="P26" s="970" t="b">
        <v>1</v>
      </c>
      <c r="Q26" s="891">
        <v>20</v>
      </c>
      <c r="R26" s="891">
        <v>1</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8" ht="11.25" customHeight="1" x14ac:dyDescent="0.2">
      <c r="A27" s="874" t="s">
        <v>181</v>
      </c>
      <c r="B27" s="913">
        <v>13</v>
      </c>
      <c r="C27" s="912" t="str">
        <f t="shared" si="10"/>
        <v>x19F</v>
      </c>
      <c r="D27" s="910"/>
      <c r="E27" s="910"/>
      <c r="F27" s="910"/>
      <c r="G27" s="875" t="str">
        <f t="shared" si="11"/>
        <v>Euribor6M</v>
      </c>
      <c r="H27" s="911" t="str">
        <f t="shared" si="12"/>
        <v>EUR13x19F_Quote</v>
      </c>
      <c r="I27" s="910"/>
      <c r="J27" s="43" t="e">
        <f ca="1">_xll.qlFraRateHelper(,H27,B27&amp;"M",G27,PillarDate,,Permanent,Trigger,ObjectOverwrite)</f>
        <v>#NAME?</v>
      </c>
      <c r="K27" s="23"/>
      <c r="L27" s="895" t="str">
        <f t="shared" si="8"/>
        <v>FRA</v>
      </c>
      <c r="M27" s="891" t="e">
        <f t="shared" ca="1" si="9"/>
        <v>#NAME?</v>
      </c>
      <c r="N27" s="894" t="str">
        <f ca="1">IFERROR(_xll.qlRateHelperQuoteName(M27,Trigger),"--")</f>
        <v>--</v>
      </c>
      <c r="O27" s="893" t="str">
        <f ca="1">IFERROR(_xll.qlRateHelperQuoteValue($M27,Trigger),"--")</f>
        <v>--</v>
      </c>
      <c r="P27" s="970" t="b">
        <v>1</v>
      </c>
      <c r="Q27" s="891">
        <v>20</v>
      </c>
      <c r="R27" s="891">
        <v>1</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8" ht="11.25" customHeight="1" x14ac:dyDescent="0.2">
      <c r="A28" s="874" t="s">
        <v>181</v>
      </c>
      <c r="B28" s="913">
        <v>14</v>
      </c>
      <c r="C28" s="912" t="str">
        <f t="shared" si="10"/>
        <v>x20F</v>
      </c>
      <c r="D28" s="910"/>
      <c r="E28" s="910"/>
      <c r="F28" s="910"/>
      <c r="G28" s="875" t="str">
        <f t="shared" si="11"/>
        <v>Euribor6M</v>
      </c>
      <c r="H28" s="911" t="str">
        <f t="shared" si="12"/>
        <v>EUR14x20F_Quote</v>
      </c>
      <c r="I28" s="910"/>
      <c r="J28" s="43" t="e">
        <f ca="1">_xll.qlFraRateHelper(,H28,B28&amp;"M",G28,PillarDate,,Permanent,Trigger,ObjectOverwrite)</f>
        <v>#NAME?</v>
      </c>
      <c r="K28" s="23"/>
      <c r="L28" s="895" t="str">
        <f t="shared" si="8"/>
        <v>FRA</v>
      </c>
      <c r="M28" s="891" t="e">
        <f t="shared" ca="1" si="9"/>
        <v>#NAME?</v>
      </c>
      <c r="N28" s="894" t="str">
        <f ca="1">IFERROR(_xll.qlRateHelperQuoteName(M28,Trigger),"--")</f>
        <v>--</v>
      </c>
      <c r="O28" s="893" t="str">
        <f ca="1">IFERROR(_xll.qlRateHelperQuoteValue($M28,Trigger),"--")</f>
        <v>--</v>
      </c>
      <c r="P28" s="970" t="b">
        <v>1</v>
      </c>
      <c r="Q28" s="891">
        <v>20</v>
      </c>
      <c r="R28" s="891">
        <v>1</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8" ht="11.25" customHeight="1" x14ac:dyDescent="0.2">
      <c r="A29" s="874" t="s">
        <v>181</v>
      </c>
      <c r="B29" s="913">
        <v>15</v>
      </c>
      <c r="C29" s="912" t="str">
        <f t="shared" si="10"/>
        <v>x21F</v>
      </c>
      <c r="D29" s="910"/>
      <c r="E29" s="910"/>
      <c r="F29" s="910"/>
      <c r="G29" s="875" t="str">
        <f t="shared" si="11"/>
        <v>Euribor6M</v>
      </c>
      <c r="H29" s="911" t="str">
        <f t="shared" si="12"/>
        <v>EUR15x21F_Quote</v>
      </c>
      <c r="I29" s="910"/>
      <c r="J29" s="43" t="e">
        <f ca="1">_xll.qlFraRateHelper(,H29,B29&amp;"M",G29,PillarDate,,Permanent,Trigger,ObjectOverwrite)</f>
        <v>#NAME?</v>
      </c>
      <c r="K29" s="23"/>
      <c r="L29" s="895" t="str">
        <f t="shared" si="8"/>
        <v>FRA</v>
      </c>
      <c r="M29" s="891" t="e">
        <f t="shared" ca="1" si="9"/>
        <v>#NAME?</v>
      </c>
      <c r="N29" s="894" t="str">
        <f ca="1">IFERROR(_xll.qlRateHelperQuoteName(M29,Trigger),"--")</f>
        <v>--</v>
      </c>
      <c r="O29" s="893" t="str">
        <f ca="1">IFERROR(_xll.qlRateHelperQuoteValue($M29,Trigger),"--")</f>
        <v>--</v>
      </c>
      <c r="P29" s="970" t="b">
        <v>1</v>
      </c>
      <c r="Q29" s="891">
        <v>20</v>
      </c>
      <c r="R29" s="891">
        <v>1</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8" ht="11.25" customHeight="1" x14ac:dyDescent="0.2">
      <c r="A30" s="874" t="s">
        <v>181</v>
      </c>
      <c r="B30" s="913">
        <v>16</v>
      </c>
      <c r="C30" s="912" t="str">
        <f t="shared" si="10"/>
        <v>x22F</v>
      </c>
      <c r="D30" s="910"/>
      <c r="E30" s="910"/>
      <c r="F30" s="910"/>
      <c r="G30" s="875" t="str">
        <f t="shared" si="11"/>
        <v>Euribor6M</v>
      </c>
      <c r="H30" s="911" t="str">
        <f t="shared" si="12"/>
        <v>EUR16x22F_Quote</v>
      </c>
      <c r="I30" s="910"/>
      <c r="J30" s="43" t="e">
        <f ca="1">_xll.qlFraRateHelper(,H30,B30&amp;"M",G30,PillarDate,,Permanent,Trigger,ObjectOverwrite)</f>
        <v>#NAME?</v>
      </c>
      <c r="K30" s="23"/>
      <c r="L30" s="886" t="str">
        <f t="shared" si="8"/>
        <v>FRA</v>
      </c>
      <c r="M30" s="882" t="e">
        <f t="shared" ca="1" si="9"/>
        <v>#NAME?</v>
      </c>
      <c r="N30" s="885" t="str">
        <f ca="1">IFERROR(_xll.qlRateHelperQuoteName(M30,Trigger),"--")</f>
        <v>--</v>
      </c>
      <c r="O30" s="884" t="str">
        <f ca="1">IFERROR(_xll.qlRateHelperQuoteValue($M30,Trigger),"--")</f>
        <v>--</v>
      </c>
      <c r="P30" s="969" t="b">
        <v>1</v>
      </c>
      <c r="Q30" s="882">
        <v>20</v>
      </c>
      <c r="R30" s="882">
        <v>1</v>
      </c>
      <c r="S30" s="881" t="str">
        <f ca="1">IFERROR(_xll.qlRateHelperEarliestDate(M30,Trigger),"--")</f>
        <v>--</v>
      </c>
      <c r="T30" s="881"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8" ht="11.25" customHeight="1" x14ac:dyDescent="0.2">
      <c r="A31" s="874" t="s">
        <v>181</v>
      </c>
      <c r="B31" s="913">
        <v>17</v>
      </c>
      <c r="C31" s="912" t="str">
        <f t="shared" si="10"/>
        <v>x23F</v>
      </c>
      <c r="D31" s="910"/>
      <c r="E31" s="910"/>
      <c r="F31" s="910"/>
      <c r="G31" s="875" t="str">
        <f t="shared" si="11"/>
        <v>Euribor6M</v>
      </c>
      <c r="H31" s="911" t="str">
        <f t="shared" si="12"/>
        <v>EUR17x23F_Quote</v>
      </c>
      <c r="I31" s="910"/>
      <c r="J31" s="43" t="e">
        <f ca="1">_xll.qlFraRateHelper(,H31,B31&amp;"M",G31,PillarDate,,Permanent,Trigger,ObjectOverwrite)</f>
        <v>#NAME?</v>
      </c>
      <c r="K31" s="23"/>
      <c r="L31" s="895" t="str">
        <f t="shared" ref="L31:L67" si="13">A35</f>
        <v>Sw</v>
      </c>
      <c r="M31" s="891" t="str">
        <f t="shared" ref="M31:M67" si="14">IF(ISBLANK(J35),"--",J35)</f>
        <v>--</v>
      </c>
      <c r="N31" s="894" t="str">
        <f ca="1">IFERROR(_xll.qlRateHelperQuoteName(M31,Trigger),"--")</f>
        <v>--</v>
      </c>
      <c r="O31" s="893" t="str">
        <f ca="1">IFERROR(_xll.qlRateHelperQuoteValue($M31,Trigger),"--")</f>
        <v>--</v>
      </c>
      <c r="P31" s="970" t="b">
        <v>0</v>
      </c>
      <c r="Q31" s="891">
        <v>50</v>
      </c>
      <c r="R31" s="891">
        <v>1</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8" ht="11.25" customHeight="1" x14ac:dyDescent="0.2">
      <c r="A32" s="870" t="s">
        <v>181</v>
      </c>
      <c r="B32" s="903">
        <v>18</v>
      </c>
      <c r="C32" s="902" t="str">
        <f t="shared" si="10"/>
        <v>x24F</v>
      </c>
      <c r="D32" s="900"/>
      <c r="E32" s="900"/>
      <c r="F32" s="900"/>
      <c r="G32" s="871" t="str">
        <f t="shared" si="11"/>
        <v>Euribor6M</v>
      </c>
      <c r="H32" s="901" t="str">
        <f t="shared" si="12"/>
        <v>EUR18x24F_Quote</v>
      </c>
      <c r="I32" s="900"/>
      <c r="J32" s="38" t="e">
        <f ca="1">_xll.qlFraRateHelper(,H32,B32&amp;"M",G32,PillarDate,,Permanent,Trigger,ObjectOverwrite)</f>
        <v>#NAME?</v>
      </c>
      <c r="K32" s="23"/>
      <c r="L32" s="895" t="str">
        <f t="shared" si="13"/>
        <v>Sw</v>
      </c>
      <c r="M32" s="891" t="str">
        <f t="shared" si="14"/>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B33" s="1"/>
      <c r="C33" s="1"/>
      <c r="D33" s="1"/>
      <c r="E33" s="1"/>
      <c r="F33" s="1"/>
      <c r="G33" s="1" t="s">
        <v>21</v>
      </c>
      <c r="H33" s="1" t="s">
        <v>66</v>
      </c>
      <c r="K33" s="23"/>
      <c r="L33" s="895" t="str">
        <f t="shared" si="13"/>
        <v>Sw</v>
      </c>
      <c r="M33" s="891" t="str">
        <f t="shared" si="14"/>
        <v>--</v>
      </c>
      <c r="N33" s="894" t="str">
        <f ca="1">IFERROR(_xll.qlRateHelperQuoteName(M33,Trigger),"--")</f>
        <v>--</v>
      </c>
      <c r="O33" s="893" t="str">
        <f ca="1">IFERROR(_xll.qlRateHelperQuoteValue($M33,Trigger),"--")</f>
        <v>--</v>
      </c>
      <c r="P33" s="970" t="b">
        <v>0</v>
      </c>
      <c r="Q33" s="891">
        <v>50</v>
      </c>
      <c r="R33" s="891">
        <v>1</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146" t="s">
        <v>388</v>
      </c>
      <c r="B34" s="146" t="s">
        <v>107</v>
      </c>
      <c r="C34" s="146" t="s">
        <v>387</v>
      </c>
      <c r="D34" s="146" t="s">
        <v>330</v>
      </c>
      <c r="E34" s="146" t="s">
        <v>386</v>
      </c>
      <c r="F34" s="146" t="s">
        <v>385</v>
      </c>
      <c r="G34" s="146" t="s">
        <v>14</v>
      </c>
      <c r="H34" s="146" t="s">
        <v>384</v>
      </c>
      <c r="I34" s="146" t="s">
        <v>62</v>
      </c>
      <c r="J34" s="146" t="s">
        <v>383</v>
      </c>
      <c r="K34" s="23"/>
      <c r="L34" s="895" t="str">
        <f t="shared" si="13"/>
        <v>Sw</v>
      </c>
      <c r="M34" s="891" t="str">
        <f t="shared" si="14"/>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97" t="s">
        <v>404</v>
      </c>
      <c r="B35" s="899" t="s">
        <v>58</v>
      </c>
      <c r="C35" s="898" t="s">
        <v>324</v>
      </c>
      <c r="D35" s="898" t="s">
        <v>323</v>
      </c>
      <c r="E35" s="898" t="s">
        <v>322</v>
      </c>
      <c r="F35" s="898" t="s">
        <v>221</v>
      </c>
      <c r="G35" s="898" t="str">
        <f t="shared" ref="G35:G71" si="15">PROPER(Currency)&amp;FamilyName&amp;$G$1</f>
        <v>Euribor6M</v>
      </c>
      <c r="H35" s="897" t="str">
        <f t="shared" ref="H35:H71" si="16">Currency&amp;$G$33&amp;$H$33&amp;$B35&amp;QuoteSuffix</f>
        <v>EURAB6E1Y_Quote</v>
      </c>
      <c r="I35" s="896">
        <v>0</v>
      </c>
      <c r="J35" s="43"/>
      <c r="K35" s="23"/>
      <c r="L35" s="895" t="str">
        <f t="shared" si="13"/>
        <v>Sw</v>
      </c>
      <c r="M35" s="891" t="str">
        <f t="shared" si="14"/>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ca="1" si="3"/>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c r="AD35" s="914"/>
    </row>
    <row r="36" spans="1:30" ht="11.25" customHeight="1" x14ac:dyDescent="0.2">
      <c r="A36" s="874" t="s">
        <v>404</v>
      </c>
      <c r="B36" s="876" t="s">
        <v>57</v>
      </c>
      <c r="C36" s="875" t="s">
        <v>324</v>
      </c>
      <c r="D36" s="875" t="s">
        <v>323</v>
      </c>
      <c r="E36" s="875" t="s">
        <v>322</v>
      </c>
      <c r="F36" s="875" t="s">
        <v>221</v>
      </c>
      <c r="G36" s="875" t="str">
        <f t="shared" si="15"/>
        <v>Euribor6M</v>
      </c>
      <c r="H36" s="874" t="str">
        <f t="shared" si="16"/>
        <v>EURAB6E15M_Quote</v>
      </c>
      <c r="I36" s="877">
        <v>0</v>
      </c>
      <c r="J36" s="43"/>
      <c r="K36" s="23"/>
      <c r="L36" s="895" t="str">
        <f t="shared" si="13"/>
        <v>Sw</v>
      </c>
      <c r="M36" s="891" t="e">
        <f t="shared" ca="1" si="14"/>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3"/>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c r="AD36" s="914"/>
    </row>
    <row r="37" spans="1:30" ht="11.25" customHeight="1" x14ac:dyDescent="0.2">
      <c r="A37" s="874" t="s">
        <v>404</v>
      </c>
      <c r="B37" s="876" t="s">
        <v>56</v>
      </c>
      <c r="C37" s="875" t="s">
        <v>324</v>
      </c>
      <c r="D37" s="875" t="s">
        <v>323</v>
      </c>
      <c r="E37" s="875" t="s">
        <v>322</v>
      </c>
      <c r="F37" s="875" t="s">
        <v>221</v>
      </c>
      <c r="G37" s="875" t="str">
        <f t="shared" si="15"/>
        <v>Euribor6M</v>
      </c>
      <c r="H37" s="874" t="str">
        <f t="shared" si="16"/>
        <v>EURAB6E18M_Quote</v>
      </c>
      <c r="I37" s="877">
        <v>0</v>
      </c>
      <c r="J37" s="43"/>
      <c r="K37" s="23"/>
      <c r="L37" s="895" t="str">
        <f t="shared" si="13"/>
        <v>Sw</v>
      </c>
      <c r="M37" s="891" t="e">
        <f t="shared" ca="1" si="14"/>
        <v>#NAME?</v>
      </c>
      <c r="N37" s="894" t="str">
        <f ca="1">IFERROR(_xll.qlRateHelperQuoteName(M37,Trigger),"--")</f>
        <v>--</v>
      </c>
      <c r="O37" s="893" t="str">
        <f ca="1">IFERROR(_xll.qlRateHelperQuoteValue($M37,Trigger),"--")</f>
        <v>--</v>
      </c>
      <c r="P37" s="970" t="b">
        <v>1</v>
      </c>
      <c r="Q37" s="891">
        <v>50</v>
      </c>
      <c r="R37" s="891">
        <v>1</v>
      </c>
      <c r="S37" s="890" t="str">
        <f ca="1">IFERROR(_xll.qlRateHelperEarliestDate(M37,Trigger),"--")</f>
        <v>--</v>
      </c>
      <c r="T37" s="890" t="str">
        <f ca="1">IFERROR(_xll.qlRateHelperPillarDate(M37,Trigger),"--")</f>
        <v>--</v>
      </c>
      <c r="V37" s="4" t="str">
        <f t="shared" ca="1" si="3"/>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c r="AD37" s="914"/>
    </row>
    <row r="38" spans="1:30" ht="11.25" customHeight="1" x14ac:dyDescent="0.2">
      <c r="A38" s="874" t="s">
        <v>404</v>
      </c>
      <c r="B38" s="876" t="s">
        <v>55</v>
      </c>
      <c r="C38" s="875" t="s">
        <v>324</v>
      </c>
      <c r="D38" s="875" t="s">
        <v>323</v>
      </c>
      <c r="E38" s="875" t="s">
        <v>322</v>
      </c>
      <c r="F38" s="875" t="s">
        <v>221</v>
      </c>
      <c r="G38" s="875" t="str">
        <f t="shared" si="15"/>
        <v>Euribor6M</v>
      </c>
      <c r="H38" s="874" t="str">
        <f t="shared" si="16"/>
        <v>EURAB6E21M_Quote</v>
      </c>
      <c r="I38" s="877">
        <v>0</v>
      </c>
      <c r="J38" s="43"/>
      <c r="K38" s="23"/>
      <c r="L38" s="895" t="str">
        <f t="shared" si="13"/>
        <v>Sw</v>
      </c>
      <c r="M38" s="891" t="e">
        <f t="shared" ca="1" si="14"/>
        <v>#NAME?</v>
      </c>
      <c r="N38" s="894" t="str">
        <f ca="1">IFERROR(_xll.qlRateHelperQuoteName(M38,Trigger),"--")</f>
        <v>--</v>
      </c>
      <c r="O38" s="893" t="str">
        <f ca="1">IFERROR(_xll.qlRateHelperQuoteValue($M38,Trigger),"--")</f>
        <v>--</v>
      </c>
      <c r="P38" s="970" t="b">
        <v>1</v>
      </c>
      <c r="Q38" s="891">
        <v>50</v>
      </c>
      <c r="R38" s="891">
        <v>1</v>
      </c>
      <c r="S38" s="890" t="str">
        <f ca="1">IFERROR(_xll.qlRateHelperEarliestDate(M38,Trigger),"--")</f>
        <v>--</v>
      </c>
      <c r="T38" s="890" t="str">
        <f ca="1">IFERROR(_xll.qlRateHelperPillarDate(M38,Trigger),"--")</f>
        <v>--</v>
      </c>
      <c r="V38" s="4" t="str">
        <f t="shared" ca="1" si="3"/>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c r="AD38" s="914"/>
    </row>
    <row r="39" spans="1:30" ht="11.25" customHeight="1" x14ac:dyDescent="0.2">
      <c r="A39" s="874" t="s">
        <v>404</v>
      </c>
      <c r="B39" s="876" t="s">
        <v>54</v>
      </c>
      <c r="C39" s="875" t="s">
        <v>324</v>
      </c>
      <c r="D39" s="875" t="s">
        <v>323</v>
      </c>
      <c r="E39" s="875" t="s">
        <v>322</v>
      </c>
      <c r="F39" s="875" t="s">
        <v>221</v>
      </c>
      <c r="G39" s="875" t="str">
        <f t="shared" si="15"/>
        <v>Euribor6M</v>
      </c>
      <c r="H39" s="874" t="str">
        <f t="shared" si="16"/>
        <v>EURAB6E2Y_Quote</v>
      </c>
      <c r="I39" s="877">
        <v>0</v>
      </c>
      <c r="J39" s="43"/>
      <c r="K39" s="23"/>
      <c r="L39" s="895" t="str">
        <f t="shared" si="13"/>
        <v>Sw</v>
      </c>
      <c r="M39" s="891" t="e">
        <f t="shared" ca="1" si="14"/>
        <v>#NAME?</v>
      </c>
      <c r="N39" s="894" t="str">
        <f ca="1">IFERROR(_xll.qlRateHelperQuoteName(M39,Trigger),"--")</f>
        <v>--</v>
      </c>
      <c r="O39" s="893" t="str">
        <f ca="1">IFERROR(_xll.qlRateHelperQuoteValue($M39,Trigger),"--")</f>
        <v>--</v>
      </c>
      <c r="P39" s="970" t="b">
        <v>1</v>
      </c>
      <c r="Q39" s="891">
        <v>50</v>
      </c>
      <c r="R39" s="891">
        <v>1</v>
      </c>
      <c r="S39" s="890" t="str">
        <f ca="1">IFERROR(_xll.qlRateHelperEarliestDate(M39,Trigger),"--")</f>
        <v>--</v>
      </c>
      <c r="T39" s="890" t="str">
        <f ca="1">IFERROR(_xll.qlRateHelperPillarDate(M39,Trigger),"--")</f>
        <v>--</v>
      </c>
      <c r="V39" s="4" t="str">
        <f t="shared" ca="1" si="3"/>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c r="AD39" s="914"/>
    </row>
    <row r="40" spans="1:30" ht="11.25" customHeight="1" x14ac:dyDescent="0.2">
      <c r="A40" s="874" t="s">
        <v>404</v>
      </c>
      <c r="B40" s="876" t="s">
        <v>53</v>
      </c>
      <c r="C40" s="875" t="s">
        <v>324</v>
      </c>
      <c r="D40" s="875" t="s">
        <v>323</v>
      </c>
      <c r="E40" s="875" t="s">
        <v>322</v>
      </c>
      <c r="F40" s="875" t="s">
        <v>221</v>
      </c>
      <c r="G40" s="875" t="str">
        <f t="shared" si="15"/>
        <v>Euribor6M</v>
      </c>
      <c r="H40" s="874" t="str">
        <f t="shared" si="16"/>
        <v>EURAB6E3Y_Quote</v>
      </c>
      <c r="I40" s="877">
        <v>0</v>
      </c>
      <c r="J40" s="43" t="e">
        <f ca="1">_xll.qlSwapRateHelper2(,H40,2,B40,Calendar,D40,E40,F40,G40,I40,C40,Discounting,PillarDate,,Permanent,Trigger,ObjectOverwrite)</f>
        <v>#NAME?</v>
      </c>
      <c r="K40" s="23"/>
      <c r="L40" s="895" t="str">
        <f t="shared" si="13"/>
        <v>Sw</v>
      </c>
      <c r="M40" s="891" t="e">
        <f t="shared" ca="1" si="14"/>
        <v>#NAME?</v>
      </c>
      <c r="N40" s="894" t="str">
        <f ca="1">IFERROR(_xll.qlRateHelperQuoteName(M40,Trigger),"--")</f>
        <v>--</v>
      </c>
      <c r="O40" s="893" t="str">
        <f ca="1">IFERROR(_xll.qlRateHelperQuoteValue($M40,Trigger),"--")</f>
        <v>--</v>
      </c>
      <c r="P40" s="970" t="b">
        <v>1</v>
      </c>
      <c r="Q40" s="891">
        <v>50</v>
      </c>
      <c r="R40" s="891">
        <v>1</v>
      </c>
      <c r="S40" s="890" t="str">
        <f ca="1">IFERROR(_xll.qlRateHelperEarliestDate(M40,Trigger),"--")</f>
        <v>--</v>
      </c>
      <c r="T40" s="890" t="str">
        <f ca="1">IFERROR(_xll.qlRateHelperPillarDate(M40,Trigger),"--")</f>
        <v>--</v>
      </c>
      <c r="V40" s="4" t="str">
        <f t="shared" ca="1" si="3"/>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c r="AD40" s="914"/>
    </row>
    <row r="41" spans="1:30" ht="11.25" customHeight="1" x14ac:dyDescent="0.2">
      <c r="A41" s="874" t="s">
        <v>404</v>
      </c>
      <c r="B41" s="876" t="s">
        <v>52</v>
      </c>
      <c r="C41" s="875" t="s">
        <v>324</v>
      </c>
      <c r="D41" s="875" t="s">
        <v>323</v>
      </c>
      <c r="E41" s="875" t="s">
        <v>322</v>
      </c>
      <c r="F41" s="875" t="s">
        <v>221</v>
      </c>
      <c r="G41" s="875" t="str">
        <f t="shared" si="15"/>
        <v>Euribor6M</v>
      </c>
      <c r="H41" s="874" t="str">
        <f t="shared" si="16"/>
        <v>EURAB6E4Y_Quote</v>
      </c>
      <c r="I41" s="877">
        <v>0</v>
      </c>
      <c r="J41" s="43" t="e">
        <f ca="1">_xll.qlSwapRateHelper2(,H41,2,B41,Calendar,D41,E41,F41,G41,I41,C41,Discounting,PillarDate,,Permanent,Trigger,ObjectOverwrite)</f>
        <v>#NAME?</v>
      </c>
      <c r="L41" s="895" t="str">
        <f t="shared" si="13"/>
        <v>Sw</v>
      </c>
      <c r="M41" s="891" t="e">
        <f t="shared" ca="1" si="14"/>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3"/>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c r="AD41" s="914"/>
    </row>
    <row r="42" spans="1:30" ht="11.25" customHeight="1" x14ac:dyDescent="0.2">
      <c r="A42" s="874" t="s">
        <v>404</v>
      </c>
      <c r="B42" s="876" t="s">
        <v>51</v>
      </c>
      <c r="C42" s="875" t="s">
        <v>324</v>
      </c>
      <c r="D42" s="875" t="s">
        <v>323</v>
      </c>
      <c r="E42" s="875" t="s">
        <v>322</v>
      </c>
      <c r="F42" s="875" t="s">
        <v>221</v>
      </c>
      <c r="G42" s="875" t="str">
        <f t="shared" si="15"/>
        <v>Euribor6M</v>
      </c>
      <c r="H42" s="874" t="str">
        <f t="shared" si="16"/>
        <v>EURAB6E5Y_Quote</v>
      </c>
      <c r="I42" s="877">
        <v>0</v>
      </c>
      <c r="J42" s="43" t="e">
        <f ca="1">_xll.qlSwapRateHelper2(,H42,2,B42,Calendar,D42,E42,F42,G42,I42,C42,Discounting,PillarDate,,Permanent,Trigger,ObjectOverwrite)</f>
        <v>#NAME?</v>
      </c>
      <c r="L42" s="895" t="str">
        <f t="shared" si="13"/>
        <v>Sw</v>
      </c>
      <c r="M42" s="891" t="e">
        <f t="shared" ca="1" si="14"/>
        <v>#NAME?</v>
      </c>
      <c r="N42" s="894" t="str">
        <f ca="1">IFERROR(_xll.qlRateHelperQuoteName(M42,Trigger),"--")</f>
        <v>--</v>
      </c>
      <c r="O42" s="893" t="str">
        <f ca="1">IFERROR(_xll.qlRateHelperQuoteValue($M42,Trigger),"--")</f>
        <v>--</v>
      </c>
      <c r="P42" s="970" t="b">
        <v>1</v>
      </c>
      <c r="Q42" s="891">
        <v>50</v>
      </c>
      <c r="R42" s="891">
        <v>1</v>
      </c>
      <c r="S42" s="890" t="str">
        <f ca="1">IFERROR(_xll.qlRateHelperEarliestDate(M42,Trigger),"--")</f>
        <v>--</v>
      </c>
      <c r="T42" s="890" t="str">
        <f ca="1">IFERROR(_xll.qlRateHelperPillarDate(M42,Trigger),"--")</f>
        <v>--</v>
      </c>
      <c r="V42" s="4" t="str">
        <f t="shared" ca="1" si="3"/>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c r="AD42" s="914"/>
    </row>
    <row r="43" spans="1:30" ht="11.25" customHeight="1" x14ac:dyDescent="0.2">
      <c r="A43" s="874" t="s">
        <v>404</v>
      </c>
      <c r="B43" s="876" t="s">
        <v>50</v>
      </c>
      <c r="C43" s="875" t="s">
        <v>324</v>
      </c>
      <c r="D43" s="875" t="s">
        <v>323</v>
      </c>
      <c r="E43" s="875" t="s">
        <v>322</v>
      </c>
      <c r="F43" s="875" t="s">
        <v>221</v>
      </c>
      <c r="G43" s="875" t="str">
        <f t="shared" si="15"/>
        <v>Euribor6M</v>
      </c>
      <c r="H43" s="874" t="str">
        <f t="shared" si="16"/>
        <v>EURAB6E6Y_Quote</v>
      </c>
      <c r="I43" s="877">
        <v>0</v>
      </c>
      <c r="J43" s="43" t="e">
        <f ca="1">_xll.qlSwapRateHelper2(,H43,2,B43,Calendar,D43,E43,F43,G43,I43,C43,Discounting,PillarDate,,Permanent,Trigger,ObjectOverwrite)</f>
        <v>#NAME?</v>
      </c>
      <c r="L43" s="895" t="str">
        <f t="shared" si="13"/>
        <v>Sw</v>
      </c>
      <c r="M43" s="891" t="e">
        <f t="shared" ca="1" si="14"/>
        <v>#NAME?</v>
      </c>
      <c r="N43" s="894" t="str">
        <f ca="1">IFERROR(_xll.qlRateHelperQuoteName(M43,Trigger),"--")</f>
        <v>--</v>
      </c>
      <c r="O43" s="893" t="str">
        <f ca="1">IFERROR(_xll.qlRateHelperQuoteValue($M43,Trigger),"--")</f>
        <v>--</v>
      </c>
      <c r="P43" s="970" t="b">
        <v>1</v>
      </c>
      <c r="Q43" s="891">
        <v>50</v>
      </c>
      <c r="R43" s="891">
        <v>1</v>
      </c>
      <c r="S43" s="890" t="str">
        <f ca="1">IFERROR(_xll.qlRateHelperEarliestDate(M43,Trigger),"--")</f>
        <v>--</v>
      </c>
      <c r="T43" s="890" t="str">
        <f ca="1">IFERROR(_xll.qlRateHelperPillarDate(M43,Trigger),"--")</f>
        <v>--</v>
      </c>
      <c r="V43" s="4" t="str">
        <f t="shared" ca="1" si="3"/>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c r="AD43" s="914"/>
    </row>
    <row r="44" spans="1:30" ht="11.25" customHeight="1" x14ac:dyDescent="0.2">
      <c r="A44" s="874" t="s">
        <v>404</v>
      </c>
      <c r="B44" s="876" t="s">
        <v>49</v>
      </c>
      <c r="C44" s="875" t="s">
        <v>324</v>
      </c>
      <c r="D44" s="875" t="s">
        <v>323</v>
      </c>
      <c r="E44" s="875" t="s">
        <v>322</v>
      </c>
      <c r="F44" s="875" t="s">
        <v>221</v>
      </c>
      <c r="G44" s="875" t="str">
        <f t="shared" si="15"/>
        <v>Euribor6M</v>
      </c>
      <c r="H44" s="874" t="str">
        <f t="shared" si="16"/>
        <v>EURAB6E7Y_Quote</v>
      </c>
      <c r="I44" s="877">
        <v>0</v>
      </c>
      <c r="J44" s="43" t="e">
        <f ca="1">_xll.qlSwapRateHelper2(,H44,2,B44,Calendar,D44,E44,F44,G44,I44,C44,Discounting,PillarDate,,Permanent,Trigger,ObjectOverwrite)</f>
        <v>#NAME?</v>
      </c>
      <c r="L44" s="895" t="str">
        <f t="shared" si="13"/>
        <v>Sw</v>
      </c>
      <c r="M44" s="891" t="str">
        <f t="shared" si="14"/>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3"/>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c r="AD44" s="914"/>
    </row>
    <row r="45" spans="1:30" ht="11.25" customHeight="1" x14ac:dyDescent="0.2">
      <c r="A45" s="874" t="s">
        <v>404</v>
      </c>
      <c r="B45" s="876" t="s">
        <v>48</v>
      </c>
      <c r="C45" s="875" t="s">
        <v>324</v>
      </c>
      <c r="D45" s="875" t="s">
        <v>323</v>
      </c>
      <c r="E45" s="875" t="s">
        <v>322</v>
      </c>
      <c r="F45" s="875" t="s">
        <v>221</v>
      </c>
      <c r="G45" s="875" t="str">
        <f t="shared" si="15"/>
        <v>Euribor6M</v>
      </c>
      <c r="H45" s="874" t="str">
        <f t="shared" si="16"/>
        <v>EURAB6E8Y_Quote</v>
      </c>
      <c r="I45" s="877">
        <v>0</v>
      </c>
      <c r="J45" s="43" t="e">
        <f ca="1">_xll.qlSwapRateHelper2(,H45,2,B45,Calendar,D45,E45,F45,G45,I45,C45,Discounting,PillarDate,,Permanent,Trigger,ObjectOverwrite)</f>
        <v>#NAME?</v>
      </c>
      <c r="L45" s="895" t="str">
        <f t="shared" si="13"/>
        <v>Sw</v>
      </c>
      <c r="M45" s="891" t="e">
        <f t="shared" ca="1" si="14"/>
        <v>#NAME?</v>
      </c>
      <c r="N45" s="894" t="str">
        <f ca="1">IFERROR(_xll.qlRateHelperQuoteName(M45,Trigger),"--")</f>
        <v>--</v>
      </c>
      <c r="O45" s="893" t="str">
        <f ca="1">IFERROR(_xll.qlRateHelperQuoteValue($M45,Trigger),"--")</f>
        <v>--</v>
      </c>
      <c r="P45" s="970" t="b">
        <v>1</v>
      </c>
      <c r="Q45" s="891">
        <v>50</v>
      </c>
      <c r="R45" s="891">
        <v>1</v>
      </c>
      <c r="S45" s="890" t="str">
        <f ca="1">IFERROR(_xll.qlRateHelperEarliestDate(M45,Trigger),"--")</f>
        <v>--</v>
      </c>
      <c r="T45" s="890" t="str">
        <f ca="1">IFERROR(_xll.qlRateHelperPillarDate(M45,Trigger),"--")</f>
        <v>--</v>
      </c>
      <c r="V45" s="4" t="str">
        <f t="shared" ca="1" si="3"/>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c r="AD45" s="914"/>
    </row>
    <row r="46" spans="1:30" ht="11.25" customHeight="1" x14ac:dyDescent="0.2">
      <c r="A46" s="874" t="s">
        <v>404</v>
      </c>
      <c r="B46" s="876" t="s">
        <v>47</v>
      </c>
      <c r="C46" s="875" t="s">
        <v>324</v>
      </c>
      <c r="D46" s="875" t="s">
        <v>323</v>
      </c>
      <c r="E46" s="875" t="s">
        <v>322</v>
      </c>
      <c r="F46" s="875" t="s">
        <v>221</v>
      </c>
      <c r="G46" s="875" t="str">
        <f t="shared" si="15"/>
        <v>Euribor6M</v>
      </c>
      <c r="H46" s="874" t="str">
        <f t="shared" si="16"/>
        <v>EURAB6E9Y_Quote</v>
      </c>
      <c r="I46" s="877">
        <v>0</v>
      </c>
      <c r="J46" s="43" t="e">
        <f ca="1">_xll.qlSwapRateHelper2(,H46,2,B46,Calendar,D46,E46,F46,G46,I46,C46,Discounting,PillarDate,,Permanent,Trigger,ObjectOverwrite)</f>
        <v>#NAME?</v>
      </c>
      <c r="L46" s="895" t="str">
        <f t="shared" si="13"/>
        <v>Sw</v>
      </c>
      <c r="M46" s="891" t="str">
        <f t="shared" si="14"/>
        <v>--</v>
      </c>
      <c r="N46" s="894" t="str">
        <f ca="1">IFERROR(_xll.qlRateHelperQuoteName(M46,Trigger),"--")</f>
        <v>--</v>
      </c>
      <c r="O46" s="893" t="str">
        <f ca="1">IFERROR(_xll.qlRateHelperQuoteValue($M46,Trigger),"--")</f>
        <v>--</v>
      </c>
      <c r="P46" s="970" t="b">
        <v>0</v>
      </c>
      <c r="Q46" s="891">
        <v>50</v>
      </c>
      <c r="R46" s="891">
        <v>1</v>
      </c>
      <c r="S46" s="890" t="str">
        <f ca="1">IFERROR(_xll.qlRateHelperEarliestDate(M46,Trigger),"--")</f>
        <v>--</v>
      </c>
      <c r="T46" s="890" t="str">
        <f ca="1">IFERROR(_xll.qlRateHelperPillarDate(M46,Trigger),"--")</f>
        <v>--</v>
      </c>
      <c r="V46" s="4" t="str">
        <f t="shared" ca="1" si="3"/>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46</v>
      </c>
      <c r="C47" s="875" t="s">
        <v>324</v>
      </c>
      <c r="D47" s="875" t="s">
        <v>323</v>
      </c>
      <c r="E47" s="875" t="s">
        <v>322</v>
      </c>
      <c r="F47" s="875" t="s">
        <v>221</v>
      </c>
      <c r="G47" s="875" t="str">
        <f t="shared" si="15"/>
        <v>Euribor6M</v>
      </c>
      <c r="H47" s="874" t="str">
        <f t="shared" si="16"/>
        <v>EURAB6E10Y_Quote</v>
      </c>
      <c r="I47" s="877">
        <v>0</v>
      </c>
      <c r="J47" s="43" t="e">
        <f ca="1">_xll.qlSwapRateHelper2(,H47,2,B47,Calendar,D47,E47,F47,G47,I47,C47,Discounting,PillarDate,,Permanent,Trigger,ObjectOverwrite)</f>
        <v>#NAME?</v>
      </c>
      <c r="L47" s="895" t="str">
        <f t="shared" si="13"/>
        <v>Sw</v>
      </c>
      <c r="M47" s="891" t="str">
        <f t="shared" si="14"/>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3"/>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45</v>
      </c>
      <c r="C48" s="875" t="s">
        <v>324</v>
      </c>
      <c r="D48" s="875" t="s">
        <v>323</v>
      </c>
      <c r="E48" s="875" t="s">
        <v>322</v>
      </c>
      <c r="F48" s="875" t="s">
        <v>221</v>
      </c>
      <c r="G48" s="875" t="str">
        <f t="shared" si="15"/>
        <v>Euribor6M</v>
      </c>
      <c r="H48" s="874" t="str">
        <f t="shared" si="16"/>
        <v>EURAB6E11Y_Quote</v>
      </c>
      <c r="I48" s="877">
        <v>0</v>
      </c>
      <c r="J48" s="43"/>
      <c r="L48" s="895" t="str">
        <f t="shared" si="13"/>
        <v>Sw</v>
      </c>
      <c r="M48" s="891" t="e">
        <f t="shared" ca="1" si="14"/>
        <v>#NAME?</v>
      </c>
      <c r="N48" s="894" t="str">
        <f ca="1">IFERROR(_xll.qlRateHelperQuoteName(M48,Trigger),"--")</f>
        <v>--</v>
      </c>
      <c r="O48" s="893" t="str">
        <f ca="1">IFERROR(_xll.qlRateHelperQuoteValue($M48,Trigger),"--")</f>
        <v>--</v>
      </c>
      <c r="P48" s="970" t="b">
        <v>1</v>
      </c>
      <c r="Q48" s="891">
        <v>50</v>
      </c>
      <c r="R48" s="891">
        <v>1</v>
      </c>
      <c r="S48" s="890" t="str">
        <f ca="1">IFERROR(_xll.qlRateHelperEarliestDate(M48,Trigger),"--")</f>
        <v>--</v>
      </c>
      <c r="T48" s="890" t="str">
        <f ca="1">IFERROR(_xll.qlRateHelperPillarDate(M48,Trigger),"--")</f>
        <v>--</v>
      </c>
      <c r="V48" s="4" t="str">
        <f t="shared" ca="1" si="3"/>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44</v>
      </c>
      <c r="C49" s="875" t="s">
        <v>324</v>
      </c>
      <c r="D49" s="875" t="s">
        <v>323</v>
      </c>
      <c r="E49" s="875" t="s">
        <v>322</v>
      </c>
      <c r="F49" s="875" t="s">
        <v>221</v>
      </c>
      <c r="G49" s="875" t="str">
        <f t="shared" si="15"/>
        <v>Euribor6M</v>
      </c>
      <c r="H49" s="874" t="str">
        <f t="shared" si="16"/>
        <v>EURAB6E12Y_Quote</v>
      </c>
      <c r="I49" s="877">
        <v>0</v>
      </c>
      <c r="J49" s="43" t="e">
        <f ca="1">_xll.qlSwapRateHelper2(,H49,2,B49,Calendar,D49,E49,F49,G49,I49,C49,Discounting,PillarDate,,Permanent,Trigger,ObjectOverwrite)</f>
        <v>#NAME?</v>
      </c>
      <c r="L49" s="895" t="str">
        <f t="shared" si="13"/>
        <v>Sw</v>
      </c>
      <c r="M49" s="891" t="str">
        <f t="shared" si="14"/>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3"/>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43</v>
      </c>
      <c r="C50" s="875" t="s">
        <v>324</v>
      </c>
      <c r="D50" s="875" t="s">
        <v>323</v>
      </c>
      <c r="E50" s="875" t="s">
        <v>322</v>
      </c>
      <c r="F50" s="875" t="s">
        <v>221</v>
      </c>
      <c r="G50" s="875" t="str">
        <f t="shared" si="15"/>
        <v>Euribor6M</v>
      </c>
      <c r="H50" s="874" t="str">
        <f t="shared" si="16"/>
        <v>EURAB6E13Y_Quote</v>
      </c>
      <c r="I50" s="877">
        <v>0</v>
      </c>
      <c r="J50" s="43"/>
      <c r="L50" s="895" t="str">
        <f t="shared" si="13"/>
        <v>Sw</v>
      </c>
      <c r="M50" s="891" t="str">
        <f t="shared" si="14"/>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3"/>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42</v>
      </c>
      <c r="C51" s="875" t="s">
        <v>324</v>
      </c>
      <c r="D51" s="875" t="s">
        <v>323</v>
      </c>
      <c r="E51" s="875" t="s">
        <v>322</v>
      </c>
      <c r="F51" s="875" t="s">
        <v>221</v>
      </c>
      <c r="G51" s="875" t="str">
        <f t="shared" si="15"/>
        <v>Euribor6M</v>
      </c>
      <c r="H51" s="874" t="str">
        <f t="shared" si="16"/>
        <v>EURAB6E14Y_Quote</v>
      </c>
      <c r="I51" s="877">
        <v>0</v>
      </c>
      <c r="J51" s="43"/>
      <c r="L51" s="895" t="str">
        <f t="shared" si="13"/>
        <v>Sw</v>
      </c>
      <c r="M51" s="891" t="str">
        <f t="shared" si="14"/>
        <v>--</v>
      </c>
      <c r="N51" s="894" t="str">
        <f ca="1">IFERROR(_xll.qlRateHelperQuoteName(M51,Trigger),"--")</f>
        <v>--</v>
      </c>
      <c r="O51" s="893" t="str">
        <f ca="1">IFERROR(_xll.qlRateHelperQuoteValue($M51,Trigger),"--")</f>
        <v>--</v>
      </c>
      <c r="P51" s="970" t="b">
        <v>0</v>
      </c>
      <c r="Q51" s="891">
        <v>50</v>
      </c>
      <c r="R51" s="891">
        <v>1</v>
      </c>
      <c r="S51" s="890" t="str">
        <f ca="1">IFERROR(_xll.qlRateHelperEarliestDate(M51,Trigger),"--")</f>
        <v>--</v>
      </c>
      <c r="T51" s="890" t="str">
        <f ca="1">IFERROR(_xll.qlRateHelperPillarDate(M51,Trigger),"--")</f>
        <v>--</v>
      </c>
      <c r="V51" s="4" t="str">
        <f t="shared" ca="1" si="3"/>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41</v>
      </c>
      <c r="C52" s="875" t="s">
        <v>324</v>
      </c>
      <c r="D52" s="875" t="s">
        <v>323</v>
      </c>
      <c r="E52" s="875" t="s">
        <v>322</v>
      </c>
      <c r="F52" s="875" t="s">
        <v>221</v>
      </c>
      <c r="G52" s="875" t="str">
        <f t="shared" si="15"/>
        <v>Euribor6M</v>
      </c>
      <c r="H52" s="874" t="str">
        <f t="shared" si="16"/>
        <v>EURAB6E15Y_Quote</v>
      </c>
      <c r="I52" s="877">
        <v>0</v>
      </c>
      <c r="J52" s="43" t="e">
        <f ca="1">_xll.qlSwapRateHelper2(,H52,2,B52,Calendar,D52,E52,F52,G52,I52,C52,Discounting,PillarDate,,Permanent,Trigger,ObjectOverwrite)</f>
        <v>#NAME?</v>
      </c>
      <c r="L52" s="895" t="str">
        <f t="shared" si="13"/>
        <v>Sw</v>
      </c>
      <c r="M52" s="891" t="str">
        <f t="shared" si="14"/>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3"/>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40</v>
      </c>
      <c r="C53" s="875" t="s">
        <v>324</v>
      </c>
      <c r="D53" s="875" t="s">
        <v>323</v>
      </c>
      <c r="E53" s="875" t="s">
        <v>322</v>
      </c>
      <c r="F53" s="875" t="s">
        <v>221</v>
      </c>
      <c r="G53" s="875" t="str">
        <f t="shared" si="15"/>
        <v>Euribor6M</v>
      </c>
      <c r="H53" s="874" t="str">
        <f t="shared" si="16"/>
        <v>EURAB6E16Y_Quote</v>
      </c>
      <c r="I53" s="877">
        <v>0</v>
      </c>
      <c r="J53" s="43"/>
      <c r="L53" s="895" t="str">
        <f t="shared" si="13"/>
        <v>Sw</v>
      </c>
      <c r="M53" s="891" t="e">
        <f t="shared" ca="1" si="14"/>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3"/>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39</v>
      </c>
      <c r="C54" s="875" t="s">
        <v>324</v>
      </c>
      <c r="D54" s="875" t="s">
        <v>323</v>
      </c>
      <c r="E54" s="875" t="s">
        <v>322</v>
      </c>
      <c r="F54" s="875" t="s">
        <v>221</v>
      </c>
      <c r="G54" s="875" t="str">
        <f t="shared" si="15"/>
        <v>Euribor6M</v>
      </c>
      <c r="H54" s="874" t="str">
        <f t="shared" si="16"/>
        <v>EURAB6E17Y_Quote</v>
      </c>
      <c r="I54" s="877">
        <v>0</v>
      </c>
      <c r="J54" s="43"/>
      <c r="L54" s="895" t="str">
        <f t="shared" si="13"/>
        <v>Sw</v>
      </c>
      <c r="M54" s="891" t="str">
        <f t="shared" si="14"/>
        <v>--</v>
      </c>
      <c r="N54" s="894" t="str">
        <f ca="1">IFERROR(_xll.qlRateHelperQuoteName(M54,Trigger),"--")</f>
        <v>--</v>
      </c>
      <c r="O54" s="893" t="str">
        <f ca="1">IFERROR(_xll.qlRateHelperQuoteValue($M54,Trigger),"--")</f>
        <v>--</v>
      </c>
      <c r="P54" s="970" t="b">
        <v>0</v>
      </c>
      <c r="Q54" s="891">
        <v>50</v>
      </c>
      <c r="R54" s="891">
        <v>1</v>
      </c>
      <c r="S54" s="890" t="str">
        <f ca="1">IFERROR(_xll.qlRateHelperEarliestDate(M54,Trigger),"--")</f>
        <v>--</v>
      </c>
      <c r="T54" s="890" t="str">
        <f ca="1">IFERROR(_xll.qlRateHelperPillarDate(M54,Trigger),"--")</f>
        <v>--</v>
      </c>
      <c r="V54" s="4" t="str">
        <f t="shared" ca="1" si="3"/>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38</v>
      </c>
      <c r="C55" s="875" t="s">
        <v>324</v>
      </c>
      <c r="D55" s="875" t="s">
        <v>323</v>
      </c>
      <c r="E55" s="875" t="s">
        <v>322</v>
      </c>
      <c r="F55" s="875" t="s">
        <v>221</v>
      </c>
      <c r="G55" s="875" t="str">
        <f t="shared" si="15"/>
        <v>Euribor6M</v>
      </c>
      <c r="H55" s="874" t="str">
        <f t="shared" si="16"/>
        <v>EURAB6E18Y_Quote</v>
      </c>
      <c r="I55" s="877">
        <v>0</v>
      </c>
      <c r="J55" s="43"/>
      <c r="L55" s="895" t="str">
        <f t="shared" si="13"/>
        <v>Sw</v>
      </c>
      <c r="M55" s="891" t="str">
        <f t="shared" si="14"/>
        <v>--</v>
      </c>
      <c r="N55" s="894" t="str">
        <f ca="1">IFERROR(_xll.qlRateHelperQuoteName(M55,Trigger),"--")</f>
        <v>--</v>
      </c>
      <c r="O55" s="893" t="str">
        <f ca="1">IFERROR(_xll.qlRateHelperQuoteValue($M55,Trigger),"--")</f>
        <v>--</v>
      </c>
      <c r="P55" s="970" t="b">
        <v>0</v>
      </c>
      <c r="Q55" s="891">
        <v>50</v>
      </c>
      <c r="R55" s="891">
        <v>1</v>
      </c>
      <c r="S55" s="890" t="str">
        <f ca="1">IFERROR(_xll.qlRateHelperEarliestDate(M55,Trigger),"--")</f>
        <v>--</v>
      </c>
      <c r="T55" s="890" t="str">
        <f ca="1">IFERROR(_xll.qlRateHelperPillarDate(M55,Trigger),"--")</f>
        <v>--</v>
      </c>
      <c r="V55" s="4" t="str">
        <f t="shared" ca="1" si="3"/>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37</v>
      </c>
      <c r="C56" s="875" t="s">
        <v>324</v>
      </c>
      <c r="D56" s="875" t="s">
        <v>323</v>
      </c>
      <c r="E56" s="875" t="s">
        <v>322</v>
      </c>
      <c r="F56" s="875" t="s">
        <v>221</v>
      </c>
      <c r="G56" s="875" t="str">
        <f t="shared" si="15"/>
        <v>Euribor6M</v>
      </c>
      <c r="H56" s="874" t="str">
        <f t="shared" si="16"/>
        <v>EURAB6E19Y_Quote</v>
      </c>
      <c r="I56" s="877">
        <v>0</v>
      </c>
      <c r="J56" s="43"/>
      <c r="L56" s="895" t="str">
        <f t="shared" si="13"/>
        <v>Sw</v>
      </c>
      <c r="M56" s="891" t="str">
        <f t="shared" si="14"/>
        <v>--</v>
      </c>
      <c r="N56" s="894" t="str">
        <f ca="1">IFERROR(_xll.qlRateHelperQuoteName(M56,Trigger),"--")</f>
        <v>--</v>
      </c>
      <c r="O56" s="893" t="str">
        <f ca="1">IFERROR(_xll.qlRateHelperQuoteValue($M56,Trigger),"--")</f>
        <v>--</v>
      </c>
      <c r="P56" s="970" t="b">
        <v>0</v>
      </c>
      <c r="Q56" s="891">
        <v>50</v>
      </c>
      <c r="R56" s="891">
        <v>1</v>
      </c>
      <c r="S56" s="890" t="str">
        <f ca="1">IFERROR(_xll.qlRateHelperEarliestDate(M56,Trigger),"--")</f>
        <v>--</v>
      </c>
      <c r="T56" s="890" t="str">
        <f ca="1">IFERROR(_xll.qlRateHelperPillarDate(M56,Trigger),"--")</f>
        <v>--</v>
      </c>
      <c r="V56" s="4" t="str">
        <f t="shared" ca="1" si="3"/>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36</v>
      </c>
      <c r="C57" s="875" t="s">
        <v>324</v>
      </c>
      <c r="D57" s="875" t="s">
        <v>323</v>
      </c>
      <c r="E57" s="875" t="s">
        <v>322</v>
      </c>
      <c r="F57" s="875" t="s">
        <v>221</v>
      </c>
      <c r="G57" s="875" t="str">
        <f t="shared" si="15"/>
        <v>Euribor6M</v>
      </c>
      <c r="H57" s="874" t="str">
        <f t="shared" si="16"/>
        <v>EURAB6E20Y_Quote</v>
      </c>
      <c r="I57" s="877">
        <v>0</v>
      </c>
      <c r="J57" s="43" t="e">
        <f ca="1">_xll.qlSwapRateHelper2(,H57,2,B57,Calendar,D57,E57,F57,G57,I57,C57,Discounting,PillarDate,,Permanent,Trigger,ObjectOverwrite)</f>
        <v>#NAME?</v>
      </c>
      <c r="L57" s="895" t="str">
        <f t="shared" si="13"/>
        <v>Sw</v>
      </c>
      <c r="M57" s="891" t="str">
        <f t="shared" si="14"/>
        <v>--</v>
      </c>
      <c r="N57" s="894" t="str">
        <f ca="1">IFERROR(_xll.qlRateHelperQuoteName(M57,Trigger),"--")</f>
        <v>--</v>
      </c>
      <c r="O57" s="893" t="str">
        <f ca="1">IFERROR(_xll.qlRateHelperQuoteValue($M57,Trigger),"--")</f>
        <v>--</v>
      </c>
      <c r="P57" s="970" t="b">
        <v>0</v>
      </c>
      <c r="Q57" s="891">
        <v>50</v>
      </c>
      <c r="R57" s="891">
        <v>1</v>
      </c>
      <c r="S57" s="890" t="str">
        <f ca="1">IFERROR(_xll.qlRateHelperEarliestDate(M57,Trigger),"--")</f>
        <v>--</v>
      </c>
      <c r="T57" s="890" t="str">
        <f ca="1">IFERROR(_xll.qlRateHelperPillarDate(M57,Trigger),"--")</f>
        <v>--</v>
      </c>
      <c r="V57" s="4" t="str">
        <f t="shared" ca="1" si="3"/>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35</v>
      </c>
      <c r="C58" s="875" t="s">
        <v>324</v>
      </c>
      <c r="D58" s="875" t="s">
        <v>323</v>
      </c>
      <c r="E58" s="875" t="s">
        <v>322</v>
      </c>
      <c r="F58" s="875" t="s">
        <v>221</v>
      </c>
      <c r="G58" s="875" t="str">
        <f t="shared" si="15"/>
        <v>Euribor6M</v>
      </c>
      <c r="H58" s="874" t="str">
        <f t="shared" si="16"/>
        <v>EURAB6E21Y_Quote</v>
      </c>
      <c r="I58" s="877">
        <v>0</v>
      </c>
      <c r="J58" s="43"/>
      <c r="L58" s="895" t="str">
        <f t="shared" si="13"/>
        <v>Sw</v>
      </c>
      <c r="M58" s="891" t="e">
        <f t="shared" ca="1" si="14"/>
        <v>#NAME?</v>
      </c>
      <c r="N58" s="894" t="str">
        <f ca="1">IFERROR(_xll.qlRateHelperQuoteName(M58,Trigger),"--")</f>
        <v>--</v>
      </c>
      <c r="O58" s="893" t="str">
        <f ca="1">IFERROR(_xll.qlRateHelperQuoteValue($M58,Trigger),"--")</f>
        <v>--</v>
      </c>
      <c r="P58" s="970" t="b">
        <v>1</v>
      </c>
      <c r="Q58" s="891">
        <v>50</v>
      </c>
      <c r="R58" s="891">
        <v>1</v>
      </c>
      <c r="S58" s="890" t="str">
        <f ca="1">IFERROR(_xll.qlRateHelperEarliestDate(M58,Trigger),"--")</f>
        <v>--</v>
      </c>
      <c r="T58" s="890" t="str">
        <f ca="1">IFERROR(_xll.qlRateHelperPillarDate(M58,Trigger),"--")</f>
        <v>--</v>
      </c>
      <c r="V58" s="4" t="str">
        <f t="shared" ca="1" si="3"/>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404</v>
      </c>
      <c r="B59" s="876" t="s">
        <v>34</v>
      </c>
      <c r="C59" s="875" t="s">
        <v>324</v>
      </c>
      <c r="D59" s="875" t="s">
        <v>323</v>
      </c>
      <c r="E59" s="875" t="s">
        <v>322</v>
      </c>
      <c r="F59" s="875" t="s">
        <v>221</v>
      </c>
      <c r="G59" s="875" t="str">
        <f t="shared" si="15"/>
        <v>Euribor6M</v>
      </c>
      <c r="H59" s="874" t="str">
        <f t="shared" si="16"/>
        <v>EURAB6E22Y_Quote</v>
      </c>
      <c r="I59" s="877">
        <v>0</v>
      </c>
      <c r="J59" s="43"/>
      <c r="L59" s="895" t="str">
        <f t="shared" si="13"/>
        <v>Sw</v>
      </c>
      <c r="M59" s="891" t="str">
        <f t="shared" si="14"/>
        <v>--</v>
      </c>
      <c r="N59" s="894" t="str">
        <f ca="1">IFERROR(_xll.qlRateHelperQuoteName(M59,Trigger),"--")</f>
        <v>--</v>
      </c>
      <c r="O59" s="893" t="str">
        <f ca="1">IFERROR(_xll.qlRateHelperQuoteValue($M59,Trigger),"--")</f>
        <v>--</v>
      </c>
      <c r="P59" s="970" t="b">
        <v>0</v>
      </c>
      <c r="Q59" s="891">
        <v>50</v>
      </c>
      <c r="R59" s="891">
        <v>1</v>
      </c>
      <c r="S59" s="890" t="str">
        <f ca="1">IFERROR(_xll.qlRateHelperEarliestDate(M59,Trigger),"--")</f>
        <v>--</v>
      </c>
      <c r="T59" s="890" t="str">
        <f ca="1">IFERROR(_xll.qlRateHelperPillarDate(M59,Trigger),"--")</f>
        <v>--</v>
      </c>
      <c r="V59" s="4" t="str">
        <f t="shared" ca="1" si="3"/>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404</v>
      </c>
      <c r="B60" s="876" t="s">
        <v>33</v>
      </c>
      <c r="C60" s="875" t="s">
        <v>324</v>
      </c>
      <c r="D60" s="875" t="s">
        <v>323</v>
      </c>
      <c r="E60" s="875" t="s">
        <v>322</v>
      </c>
      <c r="F60" s="875" t="s">
        <v>221</v>
      </c>
      <c r="G60" s="875" t="str">
        <f t="shared" si="15"/>
        <v>Euribor6M</v>
      </c>
      <c r="H60" s="874" t="str">
        <f t="shared" si="16"/>
        <v>EURAB6E23Y_Quote</v>
      </c>
      <c r="I60" s="877">
        <v>0</v>
      </c>
      <c r="J60" s="43"/>
      <c r="L60" s="895" t="str">
        <f t="shared" si="13"/>
        <v>Sw</v>
      </c>
      <c r="M60" s="891" t="str">
        <f t="shared" si="14"/>
        <v>--</v>
      </c>
      <c r="N60" s="894" t="str">
        <f ca="1">IFERROR(_xll.qlRateHelperQuoteName(M60,Trigger),"--")</f>
        <v>--</v>
      </c>
      <c r="O60" s="893" t="str">
        <f ca="1">IFERROR(_xll.qlRateHelperQuoteValue($M60,Trigger),"--")</f>
        <v>--</v>
      </c>
      <c r="P60" s="970" t="b">
        <v>0</v>
      </c>
      <c r="Q60" s="891">
        <v>50</v>
      </c>
      <c r="R60" s="891">
        <v>1</v>
      </c>
      <c r="S60" s="890" t="str">
        <f ca="1">IFERROR(_xll.qlRateHelperEarliestDate(M60,Trigger),"--")</f>
        <v>--</v>
      </c>
      <c r="T60" s="890" t="str">
        <f ca="1">IFERROR(_xll.qlRateHelperPillarDate(M60,Trigger),"--")</f>
        <v>--</v>
      </c>
      <c r="V60" s="4" t="str">
        <f t="shared" ca="1" si="3"/>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404</v>
      </c>
      <c r="B61" s="876" t="s">
        <v>32</v>
      </c>
      <c r="C61" s="875" t="s">
        <v>324</v>
      </c>
      <c r="D61" s="875" t="s">
        <v>323</v>
      </c>
      <c r="E61" s="875" t="s">
        <v>322</v>
      </c>
      <c r="F61" s="875" t="s">
        <v>221</v>
      </c>
      <c r="G61" s="875" t="str">
        <f t="shared" si="15"/>
        <v>Euribor6M</v>
      </c>
      <c r="H61" s="874" t="str">
        <f t="shared" si="16"/>
        <v>EURAB6E24Y_Quote</v>
      </c>
      <c r="I61" s="877">
        <v>0</v>
      </c>
      <c r="J61" s="43"/>
      <c r="L61" s="895" t="str">
        <f t="shared" si="13"/>
        <v>Sw</v>
      </c>
      <c r="M61" s="891" t="str">
        <f t="shared" si="14"/>
        <v>--</v>
      </c>
      <c r="N61" s="894" t="str">
        <f ca="1">IFERROR(_xll.qlRateHelperQuoteName(M61,Trigger),"--")</f>
        <v>--</v>
      </c>
      <c r="O61" s="893" t="str">
        <f ca="1">IFERROR(_xll.qlRateHelperQuoteValue($M61,Trigger),"--")</f>
        <v>--</v>
      </c>
      <c r="P61" s="970" t="b">
        <v>0</v>
      </c>
      <c r="Q61" s="891">
        <v>50</v>
      </c>
      <c r="R61" s="891">
        <v>1</v>
      </c>
      <c r="S61" s="890" t="str">
        <f ca="1">IFERROR(_xll.qlRateHelperEarliestDate(M61,Trigger),"--")</f>
        <v>--</v>
      </c>
      <c r="T61" s="890" t="str">
        <f ca="1">IFERROR(_xll.qlRateHelperPillarDate(M61,Trigger),"--")</f>
        <v>--</v>
      </c>
      <c r="V61" s="4" t="str">
        <f t="shared" ca="1" si="3"/>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404</v>
      </c>
      <c r="B62" s="876" t="s">
        <v>31</v>
      </c>
      <c r="C62" s="875" t="s">
        <v>324</v>
      </c>
      <c r="D62" s="875" t="s">
        <v>323</v>
      </c>
      <c r="E62" s="875" t="s">
        <v>322</v>
      </c>
      <c r="F62" s="875" t="s">
        <v>221</v>
      </c>
      <c r="G62" s="875" t="str">
        <f t="shared" si="15"/>
        <v>Euribor6M</v>
      </c>
      <c r="H62" s="874" t="str">
        <f t="shared" si="16"/>
        <v>EURAB6E25Y_Quote</v>
      </c>
      <c r="I62" s="877">
        <v>0</v>
      </c>
      <c r="J62" s="43" t="e">
        <f ca="1">_xll.qlSwapRateHelper2(,H62,2,B62,Calendar,D62,E62,F62,G62,I62,C62,Discounting,PillarDate,,Permanent,Trigger,ObjectOverwrite)</f>
        <v>#NAME?</v>
      </c>
      <c r="L62" s="895" t="str">
        <f t="shared" si="13"/>
        <v>Sw</v>
      </c>
      <c r="M62" s="891" t="str">
        <f t="shared" si="14"/>
        <v>--</v>
      </c>
      <c r="N62" s="894" t="str">
        <f ca="1">IFERROR(_xll.qlRateHelperQuoteName(M62,Trigger),"--")</f>
        <v>--</v>
      </c>
      <c r="O62" s="893" t="str">
        <f ca="1">IFERROR(_xll.qlRateHelperQuoteValue($M62,Trigger),"--")</f>
        <v>--</v>
      </c>
      <c r="P62" s="970" t="b">
        <v>0</v>
      </c>
      <c r="Q62" s="891">
        <v>50</v>
      </c>
      <c r="R62" s="891">
        <v>1</v>
      </c>
      <c r="S62" s="890" t="str">
        <f ca="1">IFERROR(_xll.qlRateHelperEarliestDate(M62,Trigger),"--")</f>
        <v>--</v>
      </c>
      <c r="T62" s="890" t="str">
        <f ca="1">IFERROR(_xll.qlRateHelperPillarDate(M62,Trigger),"--")</f>
        <v>--</v>
      </c>
      <c r="V62" s="4" t="str">
        <f t="shared" ca="1" si="3"/>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404</v>
      </c>
      <c r="B63" s="876" t="s">
        <v>30</v>
      </c>
      <c r="C63" s="875" t="s">
        <v>324</v>
      </c>
      <c r="D63" s="875" t="s">
        <v>323</v>
      </c>
      <c r="E63" s="875" t="s">
        <v>322</v>
      </c>
      <c r="F63" s="875" t="s">
        <v>221</v>
      </c>
      <c r="G63" s="875" t="str">
        <f t="shared" si="15"/>
        <v>Euribor6M</v>
      </c>
      <c r="H63" s="874" t="str">
        <f t="shared" si="16"/>
        <v>EURAB6E26Y_Quote</v>
      </c>
      <c r="I63" s="877">
        <v>0</v>
      </c>
      <c r="J63" s="43"/>
      <c r="L63" s="895" t="str">
        <f t="shared" si="13"/>
        <v>Sw</v>
      </c>
      <c r="M63" s="891" t="e">
        <f t="shared" ca="1" si="14"/>
        <v>#NAME?</v>
      </c>
      <c r="N63" s="894" t="str">
        <f ca="1">IFERROR(_xll.qlRateHelperQuoteName(M63,Trigger),"--")</f>
        <v>--</v>
      </c>
      <c r="O63" s="893" t="str">
        <f ca="1">IFERROR(_xll.qlRateHelperQuoteValue($M63,Trigger),"--")</f>
        <v>--</v>
      </c>
      <c r="P63" s="970" t="b">
        <v>1</v>
      </c>
      <c r="Q63" s="891">
        <v>50</v>
      </c>
      <c r="R63" s="891">
        <v>1</v>
      </c>
      <c r="S63" s="890" t="str">
        <f ca="1">IFERROR(_xll.qlRateHelperEarliestDate(M63,Trigger),"--")</f>
        <v>--</v>
      </c>
      <c r="T63" s="890" t="str">
        <f ca="1">IFERROR(_xll.qlRateHelperPillarDate(M63,Trigger),"--")</f>
        <v>--</v>
      </c>
      <c r="V63" s="4" t="str">
        <f t="shared" ca="1" si="3"/>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404</v>
      </c>
      <c r="B64" s="876" t="s">
        <v>29</v>
      </c>
      <c r="C64" s="875" t="s">
        <v>324</v>
      </c>
      <c r="D64" s="875" t="s">
        <v>323</v>
      </c>
      <c r="E64" s="875" t="s">
        <v>322</v>
      </c>
      <c r="F64" s="875" t="s">
        <v>221</v>
      </c>
      <c r="G64" s="875" t="str">
        <f t="shared" si="15"/>
        <v>Euribor6M</v>
      </c>
      <c r="H64" s="874" t="str">
        <f t="shared" si="16"/>
        <v>EURAB6E27Y_Quote</v>
      </c>
      <c r="I64" s="877">
        <v>0</v>
      </c>
      <c r="J64" s="43"/>
      <c r="L64" s="895" t="str">
        <f t="shared" si="13"/>
        <v>Sw</v>
      </c>
      <c r="M64" s="891" t="e">
        <f t="shared" ca="1" si="14"/>
        <v>#NAME?</v>
      </c>
      <c r="N64" s="894" t="str">
        <f ca="1">IFERROR(_xll.qlRateHelperQuoteName(M64,Trigger),"--")</f>
        <v>--</v>
      </c>
      <c r="O64" s="893" t="str">
        <f ca="1">IFERROR(_xll.qlRateHelperQuoteValue($M64,Trigger),"--")</f>
        <v>--</v>
      </c>
      <c r="P64" s="970" t="b">
        <v>1</v>
      </c>
      <c r="Q64" s="891">
        <v>50</v>
      </c>
      <c r="R64" s="891">
        <v>1</v>
      </c>
      <c r="S64" s="890" t="str">
        <f ca="1">IFERROR(_xll.qlRateHelperEarliestDate(M64,Trigger),"--")</f>
        <v>--</v>
      </c>
      <c r="T64" s="890" t="str">
        <f ca="1">IFERROR(_xll.qlRateHelperPillarDate(M64,Trigger),"--")</f>
        <v>--</v>
      </c>
      <c r="V64" s="4" t="str">
        <f t="shared" ca="1" si="3"/>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404</v>
      </c>
      <c r="B65" s="876" t="s">
        <v>28</v>
      </c>
      <c r="C65" s="875" t="s">
        <v>324</v>
      </c>
      <c r="D65" s="875" t="s">
        <v>323</v>
      </c>
      <c r="E65" s="875" t="s">
        <v>322</v>
      </c>
      <c r="F65" s="875" t="s">
        <v>221</v>
      </c>
      <c r="G65" s="875" t="str">
        <f t="shared" si="15"/>
        <v>Euribor6M</v>
      </c>
      <c r="H65" s="874" t="str">
        <f t="shared" si="16"/>
        <v>EURAB6E28Y_Quote</v>
      </c>
      <c r="I65" s="877">
        <v>0</v>
      </c>
      <c r="J65" s="43"/>
      <c r="L65" s="895" t="str">
        <f t="shared" si="13"/>
        <v>Sw</v>
      </c>
      <c r="M65" s="891" t="e">
        <f t="shared" ca="1" si="14"/>
        <v>#NAME?</v>
      </c>
      <c r="N65" s="894" t="str">
        <f ca="1">IFERROR(_xll.qlRateHelperQuoteName(M65,Trigger),"--")</f>
        <v>--</v>
      </c>
      <c r="O65" s="893" t="str">
        <f ca="1">IFERROR(_xll.qlRateHelperQuoteValue($M65,Trigger),"--")</f>
        <v>--</v>
      </c>
      <c r="P65" s="970" t="b">
        <v>1</v>
      </c>
      <c r="Q65" s="891">
        <v>50</v>
      </c>
      <c r="R65" s="891">
        <v>1</v>
      </c>
      <c r="S65" s="890" t="str">
        <f ca="1">IFERROR(_xll.qlRateHelperEarliestDate(M65,Trigger),"--")</f>
        <v>--</v>
      </c>
      <c r="T65" s="890" t="str">
        <f ca="1">IFERROR(_xll.qlRateHelperPillarDate(M65,Trigger),"--")</f>
        <v>--</v>
      </c>
      <c r="V65" s="4" t="str">
        <f t="shared" ca="1" si="3"/>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404</v>
      </c>
      <c r="B66" s="876" t="s">
        <v>27</v>
      </c>
      <c r="C66" s="875" t="s">
        <v>324</v>
      </c>
      <c r="D66" s="875" t="s">
        <v>323</v>
      </c>
      <c r="E66" s="875" t="s">
        <v>322</v>
      </c>
      <c r="F66" s="875" t="s">
        <v>221</v>
      </c>
      <c r="G66" s="875" t="str">
        <f t="shared" si="15"/>
        <v>Euribor6M</v>
      </c>
      <c r="H66" s="874" t="str">
        <f t="shared" si="16"/>
        <v>EURAB6E29Y_Quote</v>
      </c>
      <c r="I66" s="877">
        <v>0</v>
      </c>
      <c r="J66" s="43"/>
      <c r="L66" s="895" t="str">
        <f t="shared" si="13"/>
        <v>Sw</v>
      </c>
      <c r="M66" s="891" t="e">
        <f t="shared" ca="1" si="14"/>
        <v>#NAME?</v>
      </c>
      <c r="N66" s="894" t="str">
        <f ca="1">IFERROR(_xll.qlRateHelperQuoteName(M66,Trigger),"--")</f>
        <v>--</v>
      </c>
      <c r="O66" s="893" t="str">
        <f ca="1">IFERROR(_xll.qlRateHelperQuoteValue($M66,Trigger),"--")</f>
        <v>--</v>
      </c>
      <c r="P66" s="970" t="b">
        <v>1</v>
      </c>
      <c r="Q66" s="891">
        <v>50</v>
      </c>
      <c r="R66" s="891">
        <v>1</v>
      </c>
      <c r="S66" s="890" t="str">
        <f ca="1">IFERROR(_xll.qlRateHelperEarliestDate(M66,Trigger),"--")</f>
        <v>--</v>
      </c>
      <c r="T66" s="890" t="str">
        <f ca="1">IFERROR(_xll.qlRateHelperPillarDate(M66,Trigger),"--")</f>
        <v>--</v>
      </c>
      <c r="V66" s="4" t="str">
        <f t="shared" ca="1" si="3"/>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404</v>
      </c>
      <c r="B67" s="876" t="s">
        <v>26</v>
      </c>
      <c r="C67" s="875" t="s">
        <v>324</v>
      </c>
      <c r="D67" s="875" t="s">
        <v>323</v>
      </c>
      <c r="E67" s="875" t="s">
        <v>322</v>
      </c>
      <c r="F67" s="875" t="s">
        <v>221</v>
      </c>
      <c r="G67" s="875" t="str">
        <f t="shared" si="15"/>
        <v>Euribor6M</v>
      </c>
      <c r="H67" s="874" t="str">
        <f t="shared" si="16"/>
        <v>EURAB6E30Y_Quote</v>
      </c>
      <c r="I67" s="877">
        <v>0</v>
      </c>
      <c r="J67" s="43" t="e">
        <f ca="1">_xll.qlSwapRateHelper2(,H67,2,B67,Calendar,D67,E67,F67,G67,I67,C67,Discounting,PillarDate,,Permanent,Trigger,ObjectOverwrite)</f>
        <v>#NAME?</v>
      </c>
      <c r="L67" s="895" t="str">
        <f t="shared" si="13"/>
        <v>Sw</v>
      </c>
      <c r="M67" s="891" t="e">
        <f t="shared" ca="1" si="14"/>
        <v>#NAME?</v>
      </c>
      <c r="N67" s="894" t="str">
        <f ca="1">IFERROR(_xll.qlRateHelperQuoteName(M67,Trigger),"--")</f>
        <v>--</v>
      </c>
      <c r="O67" s="893" t="str">
        <f ca="1">IFERROR(_xll.qlRateHelperQuoteValue($M67,Trigger),"--")</f>
        <v>--</v>
      </c>
      <c r="P67" s="970" t="b">
        <v>1</v>
      </c>
      <c r="Q67" s="891">
        <v>50</v>
      </c>
      <c r="R67" s="891">
        <v>1</v>
      </c>
      <c r="S67" s="890" t="str">
        <f ca="1">IFERROR(_xll.qlRateHelperEarliestDate(M67,Trigger),"--")</f>
        <v>--</v>
      </c>
      <c r="T67" s="890" t="str">
        <f ca="1">IFERROR(_xll.qlRateHelperPillarDate(M67,Trigger),"--")</f>
        <v>--</v>
      </c>
      <c r="V67" s="4" t="str">
        <f t="shared" ref="V67:V130" ca="1" si="17">IFERROR(INDEX($L$3:$L$391,MATCH(X67,$N$3:$N$391,0),1),"")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404</v>
      </c>
      <c r="B68" s="876" t="s">
        <v>25</v>
      </c>
      <c r="C68" s="875" t="s">
        <v>324</v>
      </c>
      <c r="D68" s="875" t="s">
        <v>323</v>
      </c>
      <c r="E68" s="875" t="s">
        <v>322</v>
      </c>
      <c r="F68" s="875" t="s">
        <v>221</v>
      </c>
      <c r="G68" s="875" t="str">
        <f t="shared" si="15"/>
        <v>Euribor6M</v>
      </c>
      <c r="H68" s="874" t="str">
        <f t="shared" si="16"/>
        <v>EURAB6E35Y_Quote</v>
      </c>
      <c r="I68" s="877">
        <v>0</v>
      </c>
      <c r="J68" s="43" t="e">
        <f ca="1">_xll.qlSwapRateHelper2(,H68,2,B68,Calendar,D68,E68,F68,G68,I68,C68,Discounting,PillarDate,,Permanent,Trigger,ObjectOverwrite)</f>
        <v>#NAME?</v>
      </c>
      <c r="L68" s="909" t="str">
        <f t="shared" ref="L68:L131" si="18">A74</f>
        <v>FwdSw</v>
      </c>
      <c r="M68" s="905" t="str">
        <f t="shared" ref="M68:M131" si="19">IF(ISBLANK(J74),"--",J74)</f>
        <v>--</v>
      </c>
      <c r="N68" s="908" t="str">
        <f ca="1">IFERROR(_xll.qlRateHelperQuoteName(M68,Trigger),"--")</f>
        <v>--</v>
      </c>
      <c r="O68" s="907" t="str">
        <f ca="1">IFERROR(_xll.qlRateHelperQuoteValue($M68,Trigger),"--")</f>
        <v>--</v>
      </c>
      <c r="P68" s="971" t="b">
        <v>0</v>
      </c>
      <c r="Q68" s="905">
        <v>50</v>
      </c>
      <c r="R68" s="905">
        <v>1</v>
      </c>
      <c r="S68" s="904" t="str">
        <f ca="1">IFERROR(_xll.qlRateHelperEarliestDate(M68,Trigger),"--")</f>
        <v>--</v>
      </c>
      <c r="T68" s="904"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404</v>
      </c>
      <c r="B69" s="876" t="s">
        <v>24</v>
      </c>
      <c r="C69" s="875" t="s">
        <v>324</v>
      </c>
      <c r="D69" s="875" t="s">
        <v>323</v>
      </c>
      <c r="E69" s="875" t="s">
        <v>322</v>
      </c>
      <c r="F69" s="875" t="s">
        <v>221</v>
      </c>
      <c r="G69" s="875" t="str">
        <f t="shared" si="15"/>
        <v>Euribor6M</v>
      </c>
      <c r="H69" s="874" t="str">
        <f t="shared" si="16"/>
        <v>EURAB6E40Y_Quote</v>
      </c>
      <c r="I69" s="877">
        <v>0</v>
      </c>
      <c r="J69" s="43" t="e">
        <f ca="1">_xll.qlSwapRateHelper2(,H69,2,B69,Calendar,D69,E69,F69,G69,I69,C69,Discounting,PillarDate,,Permanent,Trigger,ObjectOverwrite)</f>
        <v>#NAME?</v>
      </c>
      <c r="L69" s="895" t="str">
        <f t="shared" si="18"/>
        <v>FwdSw</v>
      </c>
      <c r="M69" s="891" t="str">
        <f t="shared" si="19"/>
        <v>--</v>
      </c>
      <c r="N69" s="894" t="str">
        <f ca="1">IFERROR(_xll.qlRateHelperQuoteName(M69,Trigger),"--")</f>
        <v>--</v>
      </c>
      <c r="O69" s="893" t="str">
        <f ca="1">IFERROR(_xll.qlRateHelperQuoteValue($M69,Trigger),"--")</f>
        <v>--</v>
      </c>
      <c r="P69" s="970" t="b">
        <v>0</v>
      </c>
      <c r="Q69" s="891">
        <v>50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404</v>
      </c>
      <c r="B70" s="876" t="s">
        <v>23</v>
      </c>
      <c r="C70" s="875" t="s">
        <v>324</v>
      </c>
      <c r="D70" s="875" t="s">
        <v>323</v>
      </c>
      <c r="E70" s="875" t="s">
        <v>322</v>
      </c>
      <c r="F70" s="875" t="s">
        <v>221</v>
      </c>
      <c r="G70" s="875" t="str">
        <f t="shared" si="15"/>
        <v>Euribor6M</v>
      </c>
      <c r="H70" s="874" t="str">
        <f t="shared" si="16"/>
        <v>EURAB6E50Y_Quote</v>
      </c>
      <c r="I70" s="873">
        <v>0</v>
      </c>
      <c r="J70" s="43" t="e">
        <f ca="1">_xll.qlSwapRateHelper2(,H70,2,B70,Calendar,D70,E70,F70,G70,I70,C70,Discounting,PillarDate,,Permanent,Trigger,ObjectOverwrite)</f>
        <v>#NAME?</v>
      </c>
      <c r="L70" s="895" t="str">
        <f t="shared" si="18"/>
        <v>FwdSw</v>
      </c>
      <c r="M70" s="891" t="str">
        <f t="shared" si="19"/>
        <v>--</v>
      </c>
      <c r="N70" s="894" t="str">
        <f ca="1">IFERROR(_xll.qlRateHelperQuoteName(M70,Trigger),"--")</f>
        <v>--</v>
      </c>
      <c r="O70" s="893" t="str">
        <f ca="1">IFERROR(_xll.qlRateHelperQuoteValue($M70,Trigger),"--")</f>
        <v>--</v>
      </c>
      <c r="P70" s="970" t="b">
        <v>0</v>
      </c>
      <c r="Q70" s="891">
        <v>50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0" t="s">
        <v>404</v>
      </c>
      <c r="B71" s="872" t="s">
        <v>22</v>
      </c>
      <c r="C71" s="871" t="s">
        <v>324</v>
      </c>
      <c r="D71" s="871" t="s">
        <v>323</v>
      </c>
      <c r="E71" s="871" t="s">
        <v>322</v>
      </c>
      <c r="F71" s="871" t="s">
        <v>221</v>
      </c>
      <c r="G71" s="871" t="str">
        <f t="shared" si="15"/>
        <v>Euribor6M</v>
      </c>
      <c r="H71" s="870" t="str">
        <f t="shared" si="16"/>
        <v>EURAB6E60Y_Quote</v>
      </c>
      <c r="I71" s="869">
        <v>0</v>
      </c>
      <c r="J71" s="38" t="e">
        <f ca="1">_xll.qlSwapRateHelper2(,H71,2,B71,Calendar,D71,E71,F71,G71,I71,C71,Discounting,PillarDate,,Permanent,Trigger,ObjectOverwrite)</f>
        <v>#NAME?</v>
      </c>
      <c r="L71" s="895" t="str">
        <f t="shared" si="18"/>
        <v>FwdSw</v>
      </c>
      <c r="M71" s="891" t="str">
        <f t="shared" si="19"/>
        <v>--</v>
      </c>
      <c r="N71" s="894" t="str">
        <f ca="1">IFERROR(_xll.qlRateHelperQuoteName(M71,Trigger),"--")</f>
        <v>--</v>
      </c>
      <c r="O71" s="893" t="str">
        <f ca="1">IFERROR(_xll.qlRateHelperQuoteValue($M71,Trigger),"--")</f>
        <v>--</v>
      </c>
      <c r="P71" s="970" t="b">
        <v>0</v>
      </c>
      <c r="Q71" s="891">
        <v>50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L72" s="895" t="str">
        <f t="shared" si="18"/>
        <v>FwdSw</v>
      </c>
      <c r="M72" s="891" t="str">
        <f t="shared" si="19"/>
        <v>--</v>
      </c>
      <c r="N72" s="894" t="str">
        <f ca="1">IFERROR(_xll.qlRateHelperQuoteName(M72,Trigger),"--")</f>
        <v>--</v>
      </c>
      <c r="O72" s="893" t="str">
        <f ca="1">IFERROR(_xll.qlRateHelperQuoteValue($M72,Trigger),"--")</f>
        <v>--</v>
      </c>
      <c r="P72" s="970" t="b">
        <v>0</v>
      </c>
      <c r="Q72" s="891">
        <v>50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146" t="s">
        <v>388</v>
      </c>
      <c r="B73" s="146" t="s">
        <v>107</v>
      </c>
      <c r="C73" s="146" t="s">
        <v>387</v>
      </c>
      <c r="D73" s="146" t="s">
        <v>330</v>
      </c>
      <c r="E73" s="146" t="s">
        <v>386</v>
      </c>
      <c r="F73" s="146" t="s">
        <v>385</v>
      </c>
      <c r="G73" s="146" t="s">
        <v>14</v>
      </c>
      <c r="H73" s="146" t="s">
        <v>384</v>
      </c>
      <c r="I73" s="146" t="s">
        <v>62</v>
      </c>
      <c r="J73" s="146" t="s">
        <v>383</v>
      </c>
      <c r="L73" s="895" t="str">
        <f t="shared" si="18"/>
        <v>FwdSw</v>
      </c>
      <c r="M73" s="891" t="str">
        <f t="shared" si="19"/>
        <v>--</v>
      </c>
      <c r="N73" s="894" t="str">
        <f ca="1">IFERROR(_xll.qlRateHelperQuoteName(M73,Trigger),"--")</f>
        <v>--</v>
      </c>
      <c r="O73" s="893" t="str">
        <f ca="1">IFERROR(_xll.qlRateHelperQuoteValue($M73,Trigger),"--")</f>
        <v>--</v>
      </c>
      <c r="P73" s="970" t="b">
        <v>0</v>
      </c>
      <c r="Q73" s="891">
        <v>50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97" t="s">
        <v>410</v>
      </c>
      <c r="B74" s="899" t="s">
        <v>58</v>
      </c>
      <c r="C74" s="898" t="s">
        <v>58</v>
      </c>
      <c r="D74" s="898" t="s">
        <v>323</v>
      </c>
      <c r="E74" s="898" t="s">
        <v>322</v>
      </c>
      <c r="F74" s="898" t="s">
        <v>221</v>
      </c>
      <c r="G74" s="898" t="str">
        <f t="shared" ref="G74:G137" si="20">PROPER(Currency)&amp;FamilyName&amp;Tenor</f>
        <v>Euribor6M</v>
      </c>
      <c r="H74" s="897" t="str">
        <f t="shared" ref="H74:H137" si="21">Currency&amp;SUBSTITUTE(C74,"Y","F")&amp;B74&amp;QuoteSuffix</f>
        <v>EUR1F1Y_Quote</v>
      </c>
      <c r="I74" s="896">
        <v>0</v>
      </c>
      <c r="J74" s="43"/>
      <c r="L74" s="895" t="str">
        <f t="shared" si="18"/>
        <v>FwdSw</v>
      </c>
      <c r="M74" s="891" t="str">
        <f t="shared" si="19"/>
        <v>--</v>
      </c>
      <c r="N74" s="894" t="str">
        <f ca="1">IFERROR(_xll.qlRateHelperQuoteName(M74,Trigger),"--")</f>
        <v>--</v>
      </c>
      <c r="O74" s="893" t="str">
        <f ca="1">IFERROR(_xll.qlRateHelperQuoteValue($M74,Trigger),"--")</f>
        <v>--</v>
      </c>
      <c r="P74" s="970" t="b">
        <v>0</v>
      </c>
      <c r="Q74" s="891">
        <v>50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410</v>
      </c>
      <c r="B75" s="876" t="s">
        <v>54</v>
      </c>
      <c r="C75" s="875" t="s">
        <v>58</v>
      </c>
      <c r="D75" s="875" t="s">
        <v>323</v>
      </c>
      <c r="E75" s="875" t="s">
        <v>322</v>
      </c>
      <c r="F75" s="875" t="s">
        <v>221</v>
      </c>
      <c r="G75" s="875" t="str">
        <f t="shared" si="20"/>
        <v>Euribor6M</v>
      </c>
      <c r="H75" s="874" t="str">
        <f t="shared" si="21"/>
        <v>EUR1F2Y_Quote</v>
      </c>
      <c r="I75" s="877">
        <v>0</v>
      </c>
      <c r="J75" s="43"/>
      <c r="L75" s="895" t="str">
        <f t="shared" si="18"/>
        <v>FwdSw</v>
      </c>
      <c r="M75" s="891" t="str">
        <f t="shared" si="19"/>
        <v>--</v>
      </c>
      <c r="N75" s="894" t="str">
        <f ca="1">IFERROR(_xll.qlRateHelperQuoteName(M75,Trigger),"--")</f>
        <v>--</v>
      </c>
      <c r="O75" s="893" t="str">
        <f ca="1">IFERROR(_xll.qlRateHelperQuoteValue($M75,Trigger),"--")</f>
        <v>--</v>
      </c>
      <c r="P75" s="970" t="b">
        <v>0</v>
      </c>
      <c r="Q75" s="891">
        <v>50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410</v>
      </c>
      <c r="B76" s="876" t="s">
        <v>53</v>
      </c>
      <c r="C76" s="875" t="s">
        <v>58</v>
      </c>
      <c r="D76" s="875" t="s">
        <v>323</v>
      </c>
      <c r="E76" s="875" t="s">
        <v>322</v>
      </c>
      <c r="F76" s="875" t="s">
        <v>221</v>
      </c>
      <c r="G76" s="875" t="str">
        <f t="shared" si="20"/>
        <v>Euribor6M</v>
      </c>
      <c r="H76" s="874" t="str">
        <f t="shared" si="21"/>
        <v>EUR1F3Y_Quote</v>
      </c>
      <c r="I76" s="877">
        <v>0</v>
      </c>
      <c r="J76" s="43"/>
      <c r="L76" s="895" t="str">
        <f t="shared" si="18"/>
        <v>FwdSw</v>
      </c>
      <c r="M76" s="891" t="str">
        <f t="shared" si="19"/>
        <v>--</v>
      </c>
      <c r="N76" s="894" t="str">
        <f ca="1">IFERROR(_xll.qlRateHelperQuoteName(M76,Trigger),"--")</f>
        <v>--</v>
      </c>
      <c r="O76" s="893" t="str">
        <f ca="1">IFERROR(_xll.qlRateHelperQuoteValue($M76,Trigger),"--")</f>
        <v>--</v>
      </c>
      <c r="P76" s="970" t="b">
        <v>0</v>
      </c>
      <c r="Q76" s="891">
        <v>50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410</v>
      </c>
      <c r="B77" s="876" t="s">
        <v>52</v>
      </c>
      <c r="C77" s="875" t="s">
        <v>58</v>
      </c>
      <c r="D77" s="875" t="s">
        <v>323</v>
      </c>
      <c r="E77" s="875" t="s">
        <v>322</v>
      </c>
      <c r="F77" s="875" t="s">
        <v>221</v>
      </c>
      <c r="G77" s="875" t="str">
        <f t="shared" si="20"/>
        <v>Euribor6M</v>
      </c>
      <c r="H77" s="874" t="str">
        <f t="shared" si="21"/>
        <v>EUR1F4Y_Quote</v>
      </c>
      <c r="I77" s="877">
        <v>0</v>
      </c>
      <c r="J77" s="43"/>
      <c r="L77" s="895" t="str">
        <f t="shared" si="18"/>
        <v>FwdSw</v>
      </c>
      <c r="M77" s="891" t="str">
        <f t="shared" si="19"/>
        <v>--</v>
      </c>
      <c r="N77" s="894" t="str">
        <f ca="1">IFERROR(_xll.qlRateHelperQuoteName(M77,Trigger),"--")</f>
        <v>--</v>
      </c>
      <c r="O77" s="893" t="str">
        <f ca="1">IFERROR(_xll.qlRateHelperQuoteValue($M77,Trigger),"--")</f>
        <v>--</v>
      </c>
      <c r="P77" s="970" t="b">
        <v>0</v>
      </c>
      <c r="Q77" s="891">
        <v>50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410</v>
      </c>
      <c r="B78" s="876" t="s">
        <v>51</v>
      </c>
      <c r="C78" s="875" t="s">
        <v>58</v>
      </c>
      <c r="D78" s="875" t="s">
        <v>323</v>
      </c>
      <c r="E78" s="875" t="s">
        <v>322</v>
      </c>
      <c r="F78" s="875" t="s">
        <v>221</v>
      </c>
      <c r="G78" s="875" t="str">
        <f t="shared" si="20"/>
        <v>Euribor6M</v>
      </c>
      <c r="H78" s="874" t="str">
        <f t="shared" si="21"/>
        <v>EUR1F5Y_Quote</v>
      </c>
      <c r="I78" s="877">
        <v>0</v>
      </c>
      <c r="J78" s="43"/>
      <c r="L78" s="895" t="str">
        <f t="shared" si="18"/>
        <v>FwdSw</v>
      </c>
      <c r="M78" s="891" t="str">
        <f t="shared" si="19"/>
        <v>--</v>
      </c>
      <c r="N78" s="894" t="str">
        <f ca="1">IFERROR(_xll.qlRateHelperQuoteName(M78,Trigger),"--")</f>
        <v>--</v>
      </c>
      <c r="O78" s="893" t="str">
        <f ca="1">IFERROR(_xll.qlRateHelperQuoteValue($M78,Trigger),"--")</f>
        <v>--</v>
      </c>
      <c r="P78" s="970" t="b">
        <v>0</v>
      </c>
      <c r="Q78" s="891">
        <v>50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410</v>
      </c>
      <c r="B79" s="876" t="s">
        <v>50</v>
      </c>
      <c r="C79" s="875" t="s">
        <v>58</v>
      </c>
      <c r="D79" s="875" t="s">
        <v>323</v>
      </c>
      <c r="E79" s="875" t="s">
        <v>322</v>
      </c>
      <c r="F79" s="875" t="s">
        <v>221</v>
      </c>
      <c r="G79" s="875" t="str">
        <f t="shared" si="20"/>
        <v>Euribor6M</v>
      </c>
      <c r="H79" s="874" t="str">
        <f t="shared" si="21"/>
        <v>EUR1F6Y_Quote</v>
      </c>
      <c r="I79" s="877">
        <v>0</v>
      </c>
      <c r="J79" s="43"/>
      <c r="L79" s="895" t="str">
        <f t="shared" si="18"/>
        <v>FwdSw</v>
      </c>
      <c r="M79" s="891" t="str">
        <f t="shared" si="19"/>
        <v>--</v>
      </c>
      <c r="N79" s="894" t="str">
        <f ca="1">IFERROR(_xll.qlRateHelperQuoteName(M79,Trigger),"--")</f>
        <v>--</v>
      </c>
      <c r="O79" s="893" t="str">
        <f ca="1">IFERROR(_xll.qlRateHelperQuoteValue($M79,Trigger),"--")</f>
        <v>--</v>
      </c>
      <c r="P79" s="970" t="b">
        <v>0</v>
      </c>
      <c r="Q79" s="891">
        <v>50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410</v>
      </c>
      <c r="B80" s="876" t="s">
        <v>49</v>
      </c>
      <c r="C80" s="875" t="s">
        <v>58</v>
      </c>
      <c r="D80" s="875" t="s">
        <v>323</v>
      </c>
      <c r="E80" s="875" t="s">
        <v>322</v>
      </c>
      <c r="F80" s="875" t="s">
        <v>221</v>
      </c>
      <c r="G80" s="875" t="str">
        <f t="shared" si="20"/>
        <v>Euribor6M</v>
      </c>
      <c r="H80" s="874" t="str">
        <f t="shared" si="21"/>
        <v>EUR1F7Y_Quote</v>
      </c>
      <c r="I80" s="877">
        <v>0</v>
      </c>
      <c r="J80" s="43"/>
      <c r="L80" s="895" t="str">
        <f t="shared" si="18"/>
        <v>FwdSw</v>
      </c>
      <c r="M80" s="891" t="str">
        <f t="shared" si="19"/>
        <v>--</v>
      </c>
      <c r="N80" s="894" t="str">
        <f ca="1">IFERROR(_xll.qlRateHelperQuoteName(M80,Trigger),"--")</f>
        <v>--</v>
      </c>
      <c r="O80" s="893" t="str">
        <f ca="1">IFERROR(_xll.qlRateHelperQuoteValue($M80,Trigger),"--")</f>
        <v>--</v>
      </c>
      <c r="P80" s="970" t="b">
        <v>0</v>
      </c>
      <c r="Q80" s="891">
        <v>50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410</v>
      </c>
      <c r="B81" s="876" t="s">
        <v>48</v>
      </c>
      <c r="C81" s="875" t="s">
        <v>58</v>
      </c>
      <c r="D81" s="875" t="s">
        <v>323</v>
      </c>
      <c r="E81" s="875" t="s">
        <v>322</v>
      </c>
      <c r="F81" s="875" t="s">
        <v>221</v>
      </c>
      <c r="G81" s="875" t="str">
        <f t="shared" si="20"/>
        <v>Euribor6M</v>
      </c>
      <c r="H81" s="874" t="str">
        <f t="shared" si="21"/>
        <v>EUR1F8Y_Quote</v>
      </c>
      <c r="I81" s="877">
        <v>0</v>
      </c>
      <c r="J81" s="43"/>
      <c r="L81" s="895" t="str">
        <f t="shared" si="18"/>
        <v>FwdSw</v>
      </c>
      <c r="M81" s="891" t="str">
        <f t="shared" si="19"/>
        <v>--</v>
      </c>
      <c r="N81" s="894" t="str">
        <f ca="1">IFERROR(_xll.qlRateHelperQuoteName(M81,Trigger),"--")</f>
        <v>--</v>
      </c>
      <c r="O81" s="893" t="str">
        <f ca="1">IFERROR(_xll.qlRateHelperQuoteValue($M81,Trigger),"--")</f>
        <v>--</v>
      </c>
      <c r="P81" s="970" t="b">
        <v>0</v>
      </c>
      <c r="Q81" s="891">
        <v>50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410</v>
      </c>
      <c r="B82" s="876" t="s">
        <v>47</v>
      </c>
      <c r="C82" s="875" t="s">
        <v>58</v>
      </c>
      <c r="D82" s="875" t="s">
        <v>323</v>
      </c>
      <c r="E82" s="875" t="s">
        <v>322</v>
      </c>
      <c r="F82" s="875" t="s">
        <v>221</v>
      </c>
      <c r="G82" s="875" t="str">
        <f t="shared" si="20"/>
        <v>Euribor6M</v>
      </c>
      <c r="H82" s="874" t="str">
        <f t="shared" si="21"/>
        <v>EUR1F9Y_Quote</v>
      </c>
      <c r="I82" s="877">
        <v>0</v>
      </c>
      <c r="J82" s="43"/>
      <c r="L82" s="895" t="str">
        <f t="shared" si="18"/>
        <v>FwdSw</v>
      </c>
      <c r="M82" s="891" t="str">
        <f t="shared" si="19"/>
        <v>--</v>
      </c>
      <c r="N82" s="894" t="str">
        <f ca="1">IFERROR(_xll.qlRateHelperQuoteName(M82,Trigger),"--")</f>
        <v>--</v>
      </c>
      <c r="O82" s="893" t="str">
        <f ca="1">IFERROR(_xll.qlRateHelperQuoteValue($M82,Trigger),"--")</f>
        <v>--</v>
      </c>
      <c r="P82" s="970" t="b">
        <v>0</v>
      </c>
      <c r="Q82" s="891">
        <v>50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410</v>
      </c>
      <c r="B83" s="876" t="s">
        <v>46</v>
      </c>
      <c r="C83" s="875" t="s">
        <v>58</v>
      </c>
      <c r="D83" s="875" t="s">
        <v>323</v>
      </c>
      <c r="E83" s="875" t="s">
        <v>322</v>
      </c>
      <c r="F83" s="875" t="s">
        <v>221</v>
      </c>
      <c r="G83" s="875" t="str">
        <f t="shared" si="20"/>
        <v>Euribor6M</v>
      </c>
      <c r="H83" s="874" t="str">
        <f t="shared" si="21"/>
        <v>EUR1F10Y_Quote</v>
      </c>
      <c r="I83" s="877">
        <v>0</v>
      </c>
      <c r="J83" s="43"/>
      <c r="L83" s="895" t="str">
        <f t="shared" si="18"/>
        <v>FwdSw</v>
      </c>
      <c r="M83" s="891" t="str">
        <f t="shared" si="19"/>
        <v>--</v>
      </c>
      <c r="N83" s="894" t="str">
        <f ca="1">IFERROR(_xll.qlRateHelperQuoteName(M83,Trigger),"--")</f>
        <v>--</v>
      </c>
      <c r="O83" s="893" t="str">
        <f ca="1">IFERROR(_xll.qlRateHelperQuoteValue($M83,Trigger),"--")</f>
        <v>--</v>
      </c>
      <c r="P83" s="970" t="b">
        <v>0</v>
      </c>
      <c r="Q83" s="891">
        <v>50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410</v>
      </c>
      <c r="B84" s="876" t="s">
        <v>45</v>
      </c>
      <c r="C84" s="875" t="s">
        <v>58</v>
      </c>
      <c r="D84" s="875" t="s">
        <v>323</v>
      </c>
      <c r="E84" s="875" t="s">
        <v>322</v>
      </c>
      <c r="F84" s="875" t="s">
        <v>221</v>
      </c>
      <c r="G84" s="875" t="str">
        <f t="shared" si="20"/>
        <v>Euribor6M</v>
      </c>
      <c r="H84" s="874" t="str">
        <f t="shared" si="21"/>
        <v>EUR1F11Y_Quote</v>
      </c>
      <c r="I84" s="877">
        <v>0</v>
      </c>
      <c r="J84" s="43"/>
      <c r="L84" s="895" t="str">
        <f t="shared" si="18"/>
        <v>FwdSw</v>
      </c>
      <c r="M84" s="891" t="str">
        <f t="shared" si="19"/>
        <v>--</v>
      </c>
      <c r="N84" s="894" t="str">
        <f ca="1">IFERROR(_xll.qlRateHelperQuoteName(M84,Trigger),"--")</f>
        <v>--</v>
      </c>
      <c r="O84" s="893" t="str">
        <f ca="1">IFERROR(_xll.qlRateHelperQuoteValue($M84,Trigger),"--")</f>
        <v>--</v>
      </c>
      <c r="P84" s="970" t="b">
        <v>0</v>
      </c>
      <c r="Q84" s="891">
        <v>50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410</v>
      </c>
      <c r="B85" s="876" t="s">
        <v>44</v>
      </c>
      <c r="C85" s="875" t="s">
        <v>58</v>
      </c>
      <c r="D85" s="875" t="s">
        <v>323</v>
      </c>
      <c r="E85" s="875" t="s">
        <v>322</v>
      </c>
      <c r="F85" s="875" t="s">
        <v>221</v>
      </c>
      <c r="G85" s="875" t="str">
        <f t="shared" si="20"/>
        <v>Euribor6M</v>
      </c>
      <c r="H85" s="874" t="str">
        <f t="shared" si="21"/>
        <v>EUR1F12Y_Quote</v>
      </c>
      <c r="I85" s="877">
        <v>0</v>
      </c>
      <c r="J85" s="43"/>
      <c r="L85" s="895" t="str">
        <f t="shared" si="18"/>
        <v>FwdSw</v>
      </c>
      <c r="M85" s="891" t="str">
        <f t="shared" si="19"/>
        <v>--</v>
      </c>
      <c r="N85" s="894" t="str">
        <f ca="1">IFERROR(_xll.qlRateHelperQuoteName(M85,Trigger),"--")</f>
        <v>--</v>
      </c>
      <c r="O85" s="893" t="str">
        <f ca="1">IFERROR(_xll.qlRateHelperQuoteValue($M85,Trigger),"--")</f>
        <v>--</v>
      </c>
      <c r="P85" s="970" t="b">
        <v>0</v>
      </c>
      <c r="Q85" s="891">
        <v>50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410</v>
      </c>
      <c r="B86" s="876" t="s">
        <v>43</v>
      </c>
      <c r="C86" s="875" t="s">
        <v>58</v>
      </c>
      <c r="D86" s="875" t="s">
        <v>323</v>
      </c>
      <c r="E86" s="875" t="s">
        <v>322</v>
      </c>
      <c r="F86" s="875" t="s">
        <v>221</v>
      </c>
      <c r="G86" s="875" t="str">
        <f t="shared" si="20"/>
        <v>Euribor6M</v>
      </c>
      <c r="H86" s="874" t="str">
        <f t="shared" si="21"/>
        <v>EUR1F13Y_Quote</v>
      </c>
      <c r="I86" s="877">
        <v>0</v>
      </c>
      <c r="J86" s="43"/>
      <c r="L86" s="895" t="str">
        <f t="shared" si="18"/>
        <v>FwdSw</v>
      </c>
      <c r="M86" s="891" t="str">
        <f t="shared" si="19"/>
        <v>--</v>
      </c>
      <c r="N86" s="894" t="str">
        <f ca="1">IFERROR(_xll.qlRateHelperQuoteName(M86,Trigger),"--")</f>
        <v>--</v>
      </c>
      <c r="O86" s="893" t="str">
        <f ca="1">IFERROR(_xll.qlRateHelperQuoteValue($M86,Trigger),"--")</f>
        <v>--</v>
      </c>
      <c r="P86" s="970" t="b">
        <v>0</v>
      </c>
      <c r="Q86" s="891">
        <v>50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410</v>
      </c>
      <c r="B87" s="876" t="s">
        <v>42</v>
      </c>
      <c r="C87" s="875" t="s">
        <v>58</v>
      </c>
      <c r="D87" s="875" t="s">
        <v>323</v>
      </c>
      <c r="E87" s="875" t="s">
        <v>322</v>
      </c>
      <c r="F87" s="875" t="s">
        <v>221</v>
      </c>
      <c r="G87" s="875" t="str">
        <f t="shared" si="20"/>
        <v>Euribor6M</v>
      </c>
      <c r="H87" s="874" t="str">
        <f t="shared" si="21"/>
        <v>EUR1F14Y_Quote</v>
      </c>
      <c r="I87" s="877">
        <v>0</v>
      </c>
      <c r="J87" s="43"/>
      <c r="L87" s="895" t="str">
        <f t="shared" si="18"/>
        <v>FwdSw</v>
      </c>
      <c r="M87" s="891" t="str">
        <f t="shared" si="19"/>
        <v>--</v>
      </c>
      <c r="N87" s="894" t="str">
        <f ca="1">IFERROR(_xll.qlRateHelperQuoteName(M87,Trigger),"--")</f>
        <v>--</v>
      </c>
      <c r="O87" s="893" t="str">
        <f ca="1">IFERROR(_xll.qlRateHelperQuoteValue($M87,Trigger),"--")</f>
        <v>--</v>
      </c>
      <c r="P87" s="970" t="b">
        <v>0</v>
      </c>
      <c r="Q87" s="891">
        <v>50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410</v>
      </c>
      <c r="B88" s="876" t="s">
        <v>41</v>
      </c>
      <c r="C88" s="875" t="s">
        <v>58</v>
      </c>
      <c r="D88" s="875" t="s">
        <v>323</v>
      </c>
      <c r="E88" s="875" t="s">
        <v>322</v>
      </c>
      <c r="F88" s="875" t="s">
        <v>221</v>
      </c>
      <c r="G88" s="875" t="str">
        <f t="shared" si="20"/>
        <v>Euribor6M</v>
      </c>
      <c r="H88" s="874" t="str">
        <f t="shared" si="21"/>
        <v>EUR1F15Y_Quote</v>
      </c>
      <c r="I88" s="877">
        <v>0</v>
      </c>
      <c r="J88" s="43"/>
      <c r="L88" s="895" t="str">
        <f t="shared" si="18"/>
        <v>FwdSw</v>
      </c>
      <c r="M88" s="891" t="str">
        <f t="shared" si="19"/>
        <v>--</v>
      </c>
      <c r="N88" s="894" t="str">
        <f ca="1">IFERROR(_xll.qlRateHelperQuoteName(M88,Trigger),"--")</f>
        <v>--</v>
      </c>
      <c r="O88" s="893" t="str">
        <f ca="1">IFERROR(_xll.qlRateHelperQuoteValue($M88,Trigger),"--")</f>
        <v>--</v>
      </c>
      <c r="P88" s="970" t="b">
        <v>0</v>
      </c>
      <c r="Q88" s="891">
        <v>50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410</v>
      </c>
      <c r="B89" s="876" t="s">
        <v>36</v>
      </c>
      <c r="C89" s="875" t="s">
        <v>58</v>
      </c>
      <c r="D89" s="875" t="s">
        <v>323</v>
      </c>
      <c r="E89" s="875" t="s">
        <v>322</v>
      </c>
      <c r="F89" s="875" t="s">
        <v>221</v>
      </c>
      <c r="G89" s="875" t="str">
        <f t="shared" si="20"/>
        <v>Euribor6M</v>
      </c>
      <c r="H89" s="874" t="str">
        <f t="shared" si="21"/>
        <v>EUR1F20Y_Quote</v>
      </c>
      <c r="I89" s="877">
        <v>0</v>
      </c>
      <c r="J89" s="43"/>
      <c r="L89" s="895" t="str">
        <f t="shared" si="18"/>
        <v>FwdSw</v>
      </c>
      <c r="M89" s="891" t="str">
        <f t="shared" si="19"/>
        <v>--</v>
      </c>
      <c r="N89" s="894" t="str">
        <f ca="1">IFERROR(_xll.qlRateHelperQuoteName(M89,Trigger),"--")</f>
        <v>--</v>
      </c>
      <c r="O89" s="893" t="str">
        <f ca="1">IFERROR(_xll.qlRateHelperQuoteValue($M89,Trigger),"--")</f>
        <v>--</v>
      </c>
      <c r="P89" s="970" t="b">
        <v>0</v>
      </c>
      <c r="Q89" s="891">
        <v>50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410</v>
      </c>
      <c r="B90" s="876" t="s">
        <v>31</v>
      </c>
      <c r="C90" s="875" t="s">
        <v>58</v>
      </c>
      <c r="D90" s="875" t="s">
        <v>323</v>
      </c>
      <c r="E90" s="875" t="s">
        <v>322</v>
      </c>
      <c r="F90" s="875" t="s">
        <v>221</v>
      </c>
      <c r="G90" s="875" t="str">
        <f t="shared" si="20"/>
        <v>Euribor6M</v>
      </c>
      <c r="H90" s="874" t="str">
        <f t="shared" si="21"/>
        <v>EUR1F25Y_Quote</v>
      </c>
      <c r="I90" s="877">
        <v>0</v>
      </c>
      <c r="J90" s="43"/>
      <c r="K90" s="1" t="s">
        <v>148</v>
      </c>
      <c r="L90" s="895" t="str">
        <f t="shared" si="18"/>
        <v>FwdSw</v>
      </c>
      <c r="M90" s="891" t="str">
        <f t="shared" si="19"/>
        <v>--</v>
      </c>
      <c r="N90" s="894" t="str">
        <f ca="1">IFERROR(_xll.qlRateHelperQuoteName(M90,Trigger),"--")</f>
        <v>--</v>
      </c>
      <c r="O90" s="893" t="str">
        <f ca="1">IFERROR(_xll.qlRateHelperQuoteValue($M90,Trigger),"--")</f>
        <v>--</v>
      </c>
      <c r="P90" s="970" t="b">
        <v>0</v>
      </c>
      <c r="Q90" s="891">
        <v>50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410</v>
      </c>
      <c r="B91" s="876" t="s">
        <v>26</v>
      </c>
      <c r="C91" s="875" t="s">
        <v>58</v>
      </c>
      <c r="D91" s="875" t="s">
        <v>323</v>
      </c>
      <c r="E91" s="875" t="s">
        <v>322</v>
      </c>
      <c r="F91" s="875" t="s">
        <v>221</v>
      </c>
      <c r="G91" s="875" t="str">
        <f t="shared" si="20"/>
        <v>Euribor6M</v>
      </c>
      <c r="H91" s="874" t="str">
        <f t="shared" si="21"/>
        <v>EUR1F30Y_Quote</v>
      </c>
      <c r="I91" s="877">
        <v>0</v>
      </c>
      <c r="J91" s="43"/>
      <c r="L91" s="895" t="str">
        <f t="shared" si="18"/>
        <v>FwdSw</v>
      </c>
      <c r="M91" s="891" t="str">
        <f t="shared" si="19"/>
        <v>--</v>
      </c>
      <c r="N91" s="894" t="str">
        <f ca="1">IFERROR(_xll.qlRateHelperQuoteName(M91,Trigger),"--")</f>
        <v>--</v>
      </c>
      <c r="O91" s="893" t="str">
        <f ca="1">IFERROR(_xll.qlRateHelperQuoteValue($M91,Trigger),"--")</f>
        <v>--</v>
      </c>
      <c r="P91" s="970" t="b">
        <v>0</v>
      </c>
      <c r="Q91" s="891">
        <v>50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97" t="s">
        <v>410</v>
      </c>
      <c r="B92" s="899" t="s">
        <v>58</v>
      </c>
      <c r="C92" s="898" t="s">
        <v>54</v>
      </c>
      <c r="D92" s="898" t="s">
        <v>323</v>
      </c>
      <c r="E92" s="898" t="s">
        <v>322</v>
      </c>
      <c r="F92" s="898" t="s">
        <v>221</v>
      </c>
      <c r="G92" s="898" t="str">
        <f t="shared" si="20"/>
        <v>Euribor6M</v>
      </c>
      <c r="H92" s="897" t="str">
        <f t="shared" si="21"/>
        <v>EUR2F1Y_Quote</v>
      </c>
      <c r="I92" s="896">
        <v>0</v>
      </c>
      <c r="J92" s="47"/>
      <c r="L92" s="895" t="str">
        <f t="shared" si="18"/>
        <v>FwdSw</v>
      </c>
      <c r="M92" s="891" t="str">
        <f t="shared" si="19"/>
        <v>--</v>
      </c>
      <c r="N92" s="894" t="str">
        <f ca="1">IFERROR(_xll.qlRateHelperQuoteName(M92,Trigger),"--")</f>
        <v>--</v>
      </c>
      <c r="O92" s="893" t="str">
        <f ca="1">IFERROR(_xll.qlRateHelperQuoteValue($M92,Trigger),"--")</f>
        <v>--</v>
      </c>
      <c r="P92" s="970" t="b">
        <v>0</v>
      </c>
      <c r="Q92" s="891">
        <v>50</v>
      </c>
      <c r="R92" s="891">
        <v>1</v>
      </c>
      <c r="S92" s="890" t="str">
        <f ca="1">IFERROR(_xll.qlRateHelperEarliestDate(M92,Trigger),"--")</f>
        <v>--</v>
      </c>
      <c r="T92" s="890" t="str">
        <f ca="1">IFERROR(_xll.qlRateHelperPillarDate(M92,Trigger),"--")</f>
        <v>--</v>
      </c>
      <c r="V92" s="4" t="str">
        <f t="shared" ca="1" si="17"/>
        <v/>
      </c>
      <c r="W92" s="4" t="e">
        <f ca="1"/>
        <v>#NAME?</v>
      </c>
      <c r="X92" s="4" t="str">
        <f ca="1">IFERROR(_xll.qlRateHelperQuoteName(W92,Trigger),"")</f>
        <v/>
      </c>
      <c r="Y92" s="889" t="str">
        <f ca="1">IFERROR(_xll.qlRateHelperRate(W92,Trigger),"")</f>
        <v/>
      </c>
      <c r="Z92" s="888" t="str">
        <f ca="1">IF(ISERROR(_xll.qlSwapRateHelperSpread($W92)),IF(ISERROR(_xll.qlFuturesRateHelperConvexityAdjustment($W92)),"",_xll.qlFuturesRateHelperConvexityAdjustment($W92)),_xll.qlSwapRateHelperSpread($W92))</f>
        <v/>
      </c>
      <c r="AA92" s="5" t="str">
        <f ca="1">IFERROR(_xll.qlRateHelperEarliestDate(W92,Trigger),"")</f>
        <v/>
      </c>
      <c r="AB92" s="5" t="str">
        <f ca="1">IFERROR(_xll.qlRateHelperPillarDate(W92,Trigger),"")</f>
        <v/>
      </c>
      <c r="AC92" s="887" t="e">
        <f ca="1"/>
        <v>#NAME?</v>
      </c>
    </row>
    <row r="93" spans="1:29" x14ac:dyDescent="0.2">
      <c r="A93" s="874" t="s">
        <v>410</v>
      </c>
      <c r="B93" s="876" t="s">
        <v>54</v>
      </c>
      <c r="C93" s="875" t="s">
        <v>54</v>
      </c>
      <c r="D93" s="875" t="s">
        <v>323</v>
      </c>
      <c r="E93" s="875" t="s">
        <v>322</v>
      </c>
      <c r="F93" s="875" t="s">
        <v>221</v>
      </c>
      <c r="G93" s="875" t="str">
        <f t="shared" si="20"/>
        <v>Euribor6M</v>
      </c>
      <c r="H93" s="874" t="str">
        <f t="shared" si="21"/>
        <v>EUR2F2Y_Quote</v>
      </c>
      <c r="I93" s="877">
        <v>0</v>
      </c>
      <c r="J93" s="43"/>
      <c r="L93" s="895" t="str">
        <f t="shared" si="18"/>
        <v>FwdSw</v>
      </c>
      <c r="M93" s="891" t="str">
        <f t="shared" si="19"/>
        <v>--</v>
      </c>
      <c r="N93" s="894" t="str">
        <f ca="1">IFERROR(_xll.qlRateHelperQuoteName(M93,Trigger),"--")</f>
        <v>--</v>
      </c>
      <c r="O93" s="893" t="str">
        <f ca="1">IFERROR(_xll.qlRateHelperQuoteValue($M93,Trigger),"--")</f>
        <v>--</v>
      </c>
      <c r="P93" s="970" t="b">
        <v>0</v>
      </c>
      <c r="Q93" s="891">
        <v>50</v>
      </c>
      <c r="R93" s="891">
        <v>1</v>
      </c>
      <c r="S93" s="890" t="str">
        <f ca="1">IFERROR(_xll.qlRateHelperEarliestDate(M93,Trigger),"--")</f>
        <v>--</v>
      </c>
      <c r="T93" s="890" t="str">
        <f ca="1">IFERROR(_xll.qlRateHelperPillarDate(M93,Trigger),"--")</f>
        <v>--</v>
      </c>
      <c r="V93" s="4" t="str">
        <f t="shared" ca="1" si="17"/>
        <v/>
      </c>
      <c r="W93" s="4" t="e">
        <f ca="1"/>
        <v>#NAME?</v>
      </c>
      <c r="X93" s="4" t="str">
        <f ca="1">IFERROR(_xll.qlRateHelperQuoteName(W93,Trigger),"")</f>
        <v/>
      </c>
      <c r="Y93" s="889" t="str">
        <f ca="1">IFERROR(_xll.qlRateHelperRate(W93,Trigger),"")</f>
        <v/>
      </c>
      <c r="Z93" s="888" t="str">
        <f ca="1">IF(ISERROR(_xll.qlSwapRateHelperSpread($W93)),IF(ISERROR(_xll.qlFuturesRateHelperConvexityAdjustment($W93)),"",_xll.qlFuturesRateHelperConvexityAdjustment($W93)),_xll.qlSwapRateHelperSpread($W93))</f>
        <v/>
      </c>
      <c r="AA93" s="5" t="str">
        <f ca="1">IFERROR(_xll.qlRateHelperEarliestDate(W93,Trigger),"")</f>
        <v/>
      </c>
      <c r="AB93" s="5" t="str">
        <f ca="1">IFERROR(_xll.qlRateHelperPillarDate(W93,Trigger),"")</f>
        <v/>
      </c>
      <c r="AC93" s="887" t="e">
        <f ca="1"/>
        <v>#NAME?</v>
      </c>
    </row>
    <row r="94" spans="1:29" x14ac:dyDescent="0.2">
      <c r="A94" s="874" t="s">
        <v>410</v>
      </c>
      <c r="B94" s="876" t="s">
        <v>53</v>
      </c>
      <c r="C94" s="875" t="s">
        <v>54</v>
      </c>
      <c r="D94" s="875" t="s">
        <v>323</v>
      </c>
      <c r="E94" s="875" t="s">
        <v>322</v>
      </c>
      <c r="F94" s="875" t="s">
        <v>221</v>
      </c>
      <c r="G94" s="875" t="str">
        <f t="shared" si="20"/>
        <v>Euribor6M</v>
      </c>
      <c r="H94" s="874" t="str">
        <f t="shared" si="21"/>
        <v>EUR2F3Y_Quote</v>
      </c>
      <c r="I94" s="877">
        <v>0</v>
      </c>
      <c r="J94" s="43"/>
      <c r="L94" s="895" t="str">
        <f t="shared" si="18"/>
        <v>FwdSw</v>
      </c>
      <c r="M94" s="891" t="str">
        <f t="shared" si="19"/>
        <v>--</v>
      </c>
      <c r="N94" s="894" t="str">
        <f ca="1">IFERROR(_xll.qlRateHelperQuoteName(M94,Trigger),"--")</f>
        <v>--</v>
      </c>
      <c r="O94" s="893" t="str">
        <f ca="1">IFERROR(_xll.qlRateHelperQuoteValue($M94,Trigger),"--")</f>
        <v>--</v>
      </c>
      <c r="P94" s="970" t="b">
        <v>0</v>
      </c>
      <c r="Q94" s="891">
        <v>50</v>
      </c>
      <c r="R94" s="891">
        <v>1</v>
      </c>
      <c r="S94" s="890" t="str">
        <f ca="1">IFERROR(_xll.qlRateHelperEarliestDate(M94,Trigger),"--")</f>
        <v>--</v>
      </c>
      <c r="T94" s="890" t="str">
        <f ca="1">IFERROR(_xll.qlRateHelperPillarDate(M94,Trigger),"--")</f>
        <v>--</v>
      </c>
      <c r="V94" s="4" t="str">
        <f t="shared" ca="1" si="17"/>
        <v/>
      </c>
      <c r="W94" s="4" t="e">
        <f ca="1"/>
        <v>#NAME?</v>
      </c>
      <c r="X94" s="4" t="str">
        <f ca="1">IFERROR(_xll.qlRateHelperQuoteName(W94,Trigger),"")</f>
        <v/>
      </c>
      <c r="Y94" s="889" t="str">
        <f ca="1">IFERROR(_xll.qlRateHelperRate(W94,Trigger),"")</f>
        <v/>
      </c>
      <c r="Z94" s="888" t="str">
        <f ca="1">IF(ISERROR(_xll.qlSwapRateHelperSpread($W94)),IF(ISERROR(_xll.qlFuturesRateHelperConvexityAdjustment($W94)),"",_xll.qlFuturesRateHelperConvexityAdjustment($W94)),_xll.qlSwapRateHelperSpread($W94))</f>
        <v/>
      </c>
      <c r="AA94" s="5" t="str">
        <f ca="1">IFERROR(_xll.qlRateHelperEarliestDate(W94,Trigger),"")</f>
        <v/>
      </c>
      <c r="AB94" s="5" t="str">
        <f ca="1">IFERROR(_xll.qlRateHelperPillarDate(W94,Trigger),"")</f>
        <v/>
      </c>
      <c r="AC94" s="887" t="e">
        <f ca="1"/>
        <v>#NAME?</v>
      </c>
    </row>
    <row r="95" spans="1:29" x14ac:dyDescent="0.2">
      <c r="A95" s="874" t="s">
        <v>410</v>
      </c>
      <c r="B95" s="876" t="s">
        <v>52</v>
      </c>
      <c r="C95" s="875" t="s">
        <v>54</v>
      </c>
      <c r="D95" s="875" t="s">
        <v>323</v>
      </c>
      <c r="E95" s="875" t="s">
        <v>322</v>
      </c>
      <c r="F95" s="875" t="s">
        <v>221</v>
      </c>
      <c r="G95" s="875" t="str">
        <f t="shared" si="20"/>
        <v>Euribor6M</v>
      </c>
      <c r="H95" s="874" t="str">
        <f t="shared" si="21"/>
        <v>EUR2F4Y_Quote</v>
      </c>
      <c r="I95" s="877">
        <v>0</v>
      </c>
      <c r="J95" s="43"/>
      <c r="L95" s="895" t="str">
        <f t="shared" si="18"/>
        <v>FwdSw</v>
      </c>
      <c r="M95" s="891" t="str">
        <f t="shared" si="19"/>
        <v>--</v>
      </c>
      <c r="N95" s="894" t="str">
        <f ca="1">IFERROR(_xll.qlRateHelperQuoteName(M95,Trigger),"--")</f>
        <v>--</v>
      </c>
      <c r="O95" s="893" t="str">
        <f ca="1">IFERROR(_xll.qlRateHelperQuoteValue($M95,Trigger),"--")</f>
        <v>--</v>
      </c>
      <c r="P95" s="970" t="b">
        <v>0</v>
      </c>
      <c r="Q95" s="891">
        <v>50</v>
      </c>
      <c r="R95" s="891">
        <v>1</v>
      </c>
      <c r="S95" s="890" t="str">
        <f ca="1">IFERROR(_xll.qlRateHelperEarliestDate(M95,Trigger),"--")</f>
        <v>--</v>
      </c>
      <c r="T95" s="890" t="str">
        <f ca="1">IFERROR(_xll.qlRateHelperPillarDate(M95,Trigger),"--")</f>
        <v>--</v>
      </c>
      <c r="V95" s="4" t="str">
        <f t="shared" ca="1" si="17"/>
        <v/>
      </c>
      <c r="W95" s="4" t="e">
        <f ca="1"/>
        <v>#NAME?</v>
      </c>
      <c r="X95" s="4" t="str">
        <f ca="1">IFERROR(_xll.qlRateHelperQuoteName(W95,Trigger),"")</f>
        <v/>
      </c>
      <c r="Y95" s="889" t="str">
        <f ca="1">IFERROR(_xll.qlRateHelperRate(W95,Trigger),"")</f>
        <v/>
      </c>
      <c r="Z95" s="888" t="str">
        <f ca="1">IF(ISERROR(_xll.qlSwapRateHelperSpread($W95)),IF(ISERROR(_xll.qlFuturesRateHelperConvexityAdjustment($W95)),"",_xll.qlFuturesRateHelperConvexityAdjustment($W95)),_xll.qlSwapRateHelperSpread($W95))</f>
        <v/>
      </c>
      <c r="AA95" s="5" t="str">
        <f ca="1">IFERROR(_xll.qlRateHelperEarliestDate(W95,Trigger),"")</f>
        <v/>
      </c>
      <c r="AB95" s="5" t="str">
        <f ca="1">IFERROR(_xll.qlRateHelperPillarDate(W95,Trigger),"")</f>
        <v/>
      </c>
      <c r="AC95" s="887" t="e">
        <f ca="1"/>
        <v>#NAME?</v>
      </c>
    </row>
    <row r="96" spans="1:29" x14ac:dyDescent="0.2">
      <c r="A96" s="874" t="s">
        <v>410</v>
      </c>
      <c r="B96" s="876" t="s">
        <v>51</v>
      </c>
      <c r="C96" s="875" t="s">
        <v>54</v>
      </c>
      <c r="D96" s="875" t="s">
        <v>323</v>
      </c>
      <c r="E96" s="875" t="s">
        <v>322</v>
      </c>
      <c r="F96" s="875" t="s">
        <v>221</v>
      </c>
      <c r="G96" s="875" t="str">
        <f t="shared" si="20"/>
        <v>Euribor6M</v>
      </c>
      <c r="H96" s="874" t="str">
        <f t="shared" si="21"/>
        <v>EUR2F5Y_Quote</v>
      </c>
      <c r="I96" s="877">
        <v>0</v>
      </c>
      <c r="J96" s="43"/>
      <c r="L96" s="895" t="str">
        <f t="shared" si="18"/>
        <v>FwdSw</v>
      </c>
      <c r="M96" s="891" t="str">
        <f t="shared" si="19"/>
        <v>--</v>
      </c>
      <c r="N96" s="894" t="str">
        <f ca="1">IFERROR(_xll.qlRateHelperQuoteName(M96,Trigger),"--")</f>
        <v>--</v>
      </c>
      <c r="O96" s="893" t="str">
        <f ca="1">IFERROR(_xll.qlRateHelperQuoteValue($M96,Trigger),"--")</f>
        <v>--</v>
      </c>
      <c r="P96" s="970" t="b">
        <v>0</v>
      </c>
      <c r="Q96" s="891">
        <v>50</v>
      </c>
      <c r="R96" s="891">
        <v>1</v>
      </c>
      <c r="S96" s="890" t="str">
        <f ca="1">IFERROR(_xll.qlRateHelperEarliestDate(M96,Trigger),"--")</f>
        <v>--</v>
      </c>
      <c r="T96" s="890" t="str">
        <f ca="1">IFERROR(_xll.qlRateHelperPillarDate(M96,Trigger),"--")</f>
        <v>--</v>
      </c>
      <c r="V96" s="4" t="str">
        <f t="shared" ca="1" si="17"/>
        <v/>
      </c>
      <c r="W96" s="4" t="e">
        <f ca="1"/>
        <v>#NAME?</v>
      </c>
      <c r="X96" s="4" t="str">
        <f ca="1">IFERROR(_xll.qlRateHelperQuoteName(W96,Trigger),"")</f>
        <v/>
      </c>
      <c r="Y96" s="889" t="str">
        <f ca="1">IFERROR(_xll.qlRateHelperRate(W96,Trigger),"")</f>
        <v/>
      </c>
      <c r="Z96" s="888" t="str">
        <f ca="1">IF(ISERROR(_xll.qlSwapRateHelperSpread($W96)),IF(ISERROR(_xll.qlFuturesRateHelperConvexityAdjustment($W96)),"",_xll.qlFuturesRateHelperConvexityAdjustment($W96)),_xll.qlSwapRateHelperSpread($W96))</f>
        <v/>
      </c>
      <c r="AA96" s="5" t="str">
        <f ca="1">IFERROR(_xll.qlRateHelperEarliestDate(W96,Trigger),"")</f>
        <v/>
      </c>
      <c r="AB96" s="5" t="str">
        <f ca="1">IFERROR(_xll.qlRateHelperPillarDate(W96,Trigger),"")</f>
        <v/>
      </c>
      <c r="AC96" s="887" t="e">
        <f ca="1"/>
        <v>#NAME?</v>
      </c>
    </row>
    <row r="97" spans="1:29" x14ac:dyDescent="0.2">
      <c r="A97" s="874" t="s">
        <v>410</v>
      </c>
      <c r="B97" s="876" t="s">
        <v>50</v>
      </c>
      <c r="C97" s="875" t="s">
        <v>54</v>
      </c>
      <c r="D97" s="875" t="s">
        <v>323</v>
      </c>
      <c r="E97" s="875" t="s">
        <v>322</v>
      </c>
      <c r="F97" s="875" t="s">
        <v>221</v>
      </c>
      <c r="G97" s="875" t="str">
        <f t="shared" si="20"/>
        <v>Euribor6M</v>
      </c>
      <c r="H97" s="874" t="str">
        <f t="shared" si="21"/>
        <v>EUR2F6Y_Quote</v>
      </c>
      <c r="I97" s="877">
        <v>0</v>
      </c>
      <c r="J97" s="43"/>
      <c r="L97" s="895" t="str">
        <f t="shared" si="18"/>
        <v>FwdSw</v>
      </c>
      <c r="M97" s="891" t="str">
        <f t="shared" si="19"/>
        <v>--</v>
      </c>
      <c r="N97" s="894" t="str">
        <f ca="1">IFERROR(_xll.qlRateHelperQuoteName(M97,Trigger),"--")</f>
        <v>--</v>
      </c>
      <c r="O97" s="893" t="str">
        <f ca="1">IFERROR(_xll.qlRateHelperQuoteValue($M97,Trigger),"--")</f>
        <v>--</v>
      </c>
      <c r="P97" s="970" t="b">
        <v>0</v>
      </c>
      <c r="Q97" s="891">
        <v>50</v>
      </c>
      <c r="R97" s="891">
        <v>1</v>
      </c>
      <c r="S97" s="890" t="str">
        <f ca="1">IFERROR(_xll.qlRateHelperEarliestDate(M97,Trigger),"--")</f>
        <v>--</v>
      </c>
      <c r="T97" s="890" t="str">
        <f ca="1">IFERROR(_xll.qlRateHelperPillarDate(M97,Trigger),"--")</f>
        <v>--</v>
      </c>
      <c r="V97" s="4" t="str">
        <f t="shared" ca="1" si="17"/>
        <v/>
      </c>
      <c r="W97" s="4" t="e">
        <f ca="1"/>
        <v>#NAME?</v>
      </c>
      <c r="X97" s="4" t="str">
        <f ca="1">IFERROR(_xll.qlRateHelperQuoteName(W97,Trigger),"")</f>
        <v/>
      </c>
      <c r="Y97" s="889" t="str">
        <f ca="1">IFERROR(_xll.qlRateHelperRate(W97,Trigger),"")</f>
        <v/>
      </c>
      <c r="Z97" s="888" t="str">
        <f ca="1">IF(ISERROR(_xll.qlSwapRateHelperSpread($W97)),IF(ISERROR(_xll.qlFuturesRateHelperConvexityAdjustment($W97)),"",_xll.qlFuturesRateHelperConvexityAdjustment($W97)),_xll.qlSwapRateHelperSpread($W97))</f>
        <v/>
      </c>
      <c r="AA97" s="5" t="str">
        <f ca="1">IFERROR(_xll.qlRateHelperEarliestDate(W97,Trigger),"")</f>
        <v/>
      </c>
      <c r="AB97" s="5" t="str">
        <f ca="1">IFERROR(_xll.qlRateHelperPillarDate(W97,Trigger),"")</f>
        <v/>
      </c>
      <c r="AC97" s="887" t="e">
        <f ca="1"/>
        <v>#NAME?</v>
      </c>
    </row>
    <row r="98" spans="1:29" x14ac:dyDescent="0.2">
      <c r="A98" s="874" t="s">
        <v>410</v>
      </c>
      <c r="B98" s="876" t="s">
        <v>49</v>
      </c>
      <c r="C98" s="875" t="s">
        <v>54</v>
      </c>
      <c r="D98" s="875" t="s">
        <v>323</v>
      </c>
      <c r="E98" s="875" t="s">
        <v>322</v>
      </c>
      <c r="F98" s="875" t="s">
        <v>221</v>
      </c>
      <c r="G98" s="875" t="str">
        <f t="shared" si="20"/>
        <v>Euribor6M</v>
      </c>
      <c r="H98" s="874" t="str">
        <f t="shared" si="21"/>
        <v>EUR2F7Y_Quote</v>
      </c>
      <c r="I98" s="877">
        <v>0</v>
      </c>
      <c r="J98" s="43"/>
      <c r="L98" s="895" t="str">
        <f t="shared" si="18"/>
        <v>FwdSw</v>
      </c>
      <c r="M98" s="891" t="str">
        <f t="shared" si="19"/>
        <v>--</v>
      </c>
      <c r="N98" s="894" t="str">
        <f ca="1">IFERROR(_xll.qlRateHelperQuoteName(M98,Trigger),"--")</f>
        <v>--</v>
      </c>
      <c r="O98" s="893" t="str">
        <f ca="1">IFERROR(_xll.qlRateHelperQuoteValue($M98,Trigger),"--")</f>
        <v>--</v>
      </c>
      <c r="P98" s="970" t="b">
        <v>0</v>
      </c>
      <c r="Q98" s="891">
        <v>50</v>
      </c>
      <c r="R98" s="891">
        <v>1</v>
      </c>
      <c r="S98" s="890" t="str">
        <f ca="1">IFERROR(_xll.qlRateHelperEarliestDate(M98,Trigger),"--")</f>
        <v>--</v>
      </c>
      <c r="T98" s="890" t="str">
        <f ca="1">IFERROR(_xll.qlRateHelperPillarDate(M98,Trigger),"--")</f>
        <v>--</v>
      </c>
      <c r="V98" s="4" t="str">
        <f t="shared" ca="1" si="17"/>
        <v/>
      </c>
      <c r="W98" s="4" t="e">
        <f ca="1"/>
        <v>#NAME?</v>
      </c>
      <c r="X98" s="4" t="str">
        <f ca="1">IFERROR(_xll.qlRateHelperQuoteName(W98,Trigger),"")</f>
        <v/>
      </c>
      <c r="Y98" s="889" t="str">
        <f ca="1">IFERROR(_xll.qlRateHelperRate(W98,Trigger),"")</f>
        <v/>
      </c>
      <c r="Z98" s="888" t="str">
        <f ca="1">IF(ISERROR(_xll.qlSwapRateHelperSpread($W98)),IF(ISERROR(_xll.qlFuturesRateHelperConvexityAdjustment($W98)),"",_xll.qlFuturesRateHelperConvexityAdjustment($W98)),_xll.qlSwapRateHelperSpread($W98))</f>
        <v/>
      </c>
      <c r="AA98" s="5" t="str">
        <f ca="1">IFERROR(_xll.qlRateHelperEarliestDate(W98,Trigger),"")</f>
        <v/>
      </c>
      <c r="AB98" s="5" t="str">
        <f ca="1">IFERROR(_xll.qlRateHelperPillarDate(W98,Trigger),"")</f>
        <v/>
      </c>
      <c r="AC98" s="887" t="e">
        <f ca="1"/>
        <v>#NAME?</v>
      </c>
    </row>
    <row r="99" spans="1:29" x14ac:dyDescent="0.2">
      <c r="A99" s="874" t="s">
        <v>410</v>
      </c>
      <c r="B99" s="876" t="s">
        <v>48</v>
      </c>
      <c r="C99" s="875" t="s">
        <v>54</v>
      </c>
      <c r="D99" s="875" t="s">
        <v>323</v>
      </c>
      <c r="E99" s="875" t="s">
        <v>322</v>
      </c>
      <c r="F99" s="875" t="s">
        <v>221</v>
      </c>
      <c r="G99" s="875" t="str">
        <f t="shared" si="20"/>
        <v>Euribor6M</v>
      </c>
      <c r="H99" s="874" t="str">
        <f t="shared" si="21"/>
        <v>EUR2F8Y_Quote</v>
      </c>
      <c r="I99" s="877">
        <v>0</v>
      </c>
      <c r="J99" s="43"/>
      <c r="L99" s="895" t="str">
        <f t="shared" si="18"/>
        <v>FwdSw</v>
      </c>
      <c r="M99" s="891" t="str">
        <f t="shared" si="19"/>
        <v>--</v>
      </c>
      <c r="N99" s="894" t="str">
        <f ca="1">IFERROR(_xll.qlRateHelperQuoteName(M99,Trigger),"--")</f>
        <v>--</v>
      </c>
      <c r="O99" s="893" t="str">
        <f ca="1">IFERROR(_xll.qlRateHelperQuoteValue($M99,Trigger),"--")</f>
        <v>--</v>
      </c>
      <c r="P99" s="970" t="b">
        <v>0</v>
      </c>
      <c r="Q99" s="891">
        <v>50</v>
      </c>
      <c r="R99" s="891">
        <v>1</v>
      </c>
      <c r="S99" s="890" t="str">
        <f ca="1">IFERROR(_xll.qlRateHelperEarliestDate(M99,Trigger),"--")</f>
        <v>--</v>
      </c>
      <c r="T99" s="890" t="str">
        <f ca="1">IFERROR(_xll.qlRateHelperPillarDate(M99,Trigger),"--")</f>
        <v>--</v>
      </c>
      <c r="V99" s="4" t="str">
        <f t="shared" ca="1" si="17"/>
        <v/>
      </c>
      <c r="W99" s="4" t="e">
        <f ca="1"/>
        <v>#NAME?</v>
      </c>
      <c r="X99" s="4" t="str">
        <f ca="1">IFERROR(_xll.qlRateHelperQuoteName(W99,Trigger),"")</f>
        <v/>
      </c>
      <c r="Y99" s="889" t="str">
        <f ca="1">IFERROR(_xll.qlRateHelperRate(W99,Trigger),"")</f>
        <v/>
      </c>
      <c r="Z99" s="888" t="str">
        <f ca="1">IF(ISERROR(_xll.qlSwapRateHelperSpread($W99)),IF(ISERROR(_xll.qlFuturesRateHelperConvexityAdjustment($W99)),"",_xll.qlFuturesRateHelperConvexityAdjustment($W99)),_xll.qlSwapRateHelperSpread($W99))</f>
        <v/>
      </c>
      <c r="AA99" s="5" t="str">
        <f ca="1">IFERROR(_xll.qlRateHelperEarliestDate(W99,Trigger),"")</f>
        <v/>
      </c>
      <c r="AB99" s="5" t="str">
        <f ca="1">IFERROR(_xll.qlRateHelperPillarDate(W99,Trigger),"")</f>
        <v/>
      </c>
      <c r="AC99" s="887" t="e">
        <f ca="1"/>
        <v>#NAME?</v>
      </c>
    </row>
    <row r="100" spans="1:29" x14ac:dyDescent="0.2">
      <c r="A100" s="874" t="s">
        <v>410</v>
      </c>
      <c r="B100" s="876" t="s">
        <v>47</v>
      </c>
      <c r="C100" s="875" t="s">
        <v>54</v>
      </c>
      <c r="D100" s="875" t="s">
        <v>323</v>
      </c>
      <c r="E100" s="875" t="s">
        <v>322</v>
      </c>
      <c r="F100" s="875" t="s">
        <v>221</v>
      </c>
      <c r="G100" s="875" t="str">
        <f t="shared" si="20"/>
        <v>Euribor6M</v>
      </c>
      <c r="H100" s="874" t="str">
        <f t="shared" si="21"/>
        <v>EUR2F9Y_Quote</v>
      </c>
      <c r="I100" s="877">
        <v>0</v>
      </c>
      <c r="J100" s="43"/>
      <c r="L100" s="895" t="str">
        <f t="shared" si="18"/>
        <v>FwdSw</v>
      </c>
      <c r="M100" s="891" t="str">
        <f t="shared" si="19"/>
        <v>--</v>
      </c>
      <c r="N100" s="894" t="str">
        <f ca="1">IFERROR(_xll.qlRateHelperQuoteName(M100,Trigger),"--")</f>
        <v>--</v>
      </c>
      <c r="O100" s="893" t="str">
        <f ca="1">IFERROR(_xll.qlRateHelperQuoteValue($M100,Trigger),"--")</f>
        <v>--</v>
      </c>
      <c r="P100" s="970" t="b">
        <v>0</v>
      </c>
      <c r="Q100" s="891">
        <v>50</v>
      </c>
      <c r="R100" s="891">
        <v>1</v>
      </c>
      <c r="S100" s="890" t="str">
        <f ca="1">IFERROR(_xll.qlRateHelperEarliestDate(M100,Trigger),"--")</f>
        <v>--</v>
      </c>
      <c r="T100" s="890" t="str">
        <f ca="1">IFERROR(_xll.qlRateHelperPillarDate(M100,Trigger),"--")</f>
        <v>--</v>
      </c>
      <c r="V100" s="4" t="str">
        <f t="shared" ca="1" si="17"/>
        <v/>
      </c>
      <c r="W100" s="4" t="e">
        <f ca="1"/>
        <v>#NAME?</v>
      </c>
      <c r="X100" s="4" t="str">
        <f ca="1">IFERROR(_xll.qlRateHelperQuoteName(W100,Trigger),"")</f>
        <v/>
      </c>
      <c r="Y100" s="889" t="str">
        <f ca="1">IFERROR(_xll.qlRateHelperRate(W100,Trigger),"")</f>
        <v/>
      </c>
      <c r="Z100" s="888" t="str">
        <f ca="1">IF(ISERROR(_xll.qlSwapRateHelperSpread($W100)),IF(ISERROR(_xll.qlFuturesRateHelperConvexityAdjustment($W100)),"",_xll.qlFuturesRateHelperConvexityAdjustment($W100)),_xll.qlSwapRateHelperSpread($W100))</f>
        <v/>
      </c>
      <c r="AA100" s="5" t="str">
        <f ca="1">IFERROR(_xll.qlRateHelperEarliestDate(W100,Trigger),"")</f>
        <v/>
      </c>
      <c r="AB100" s="5" t="str">
        <f ca="1">IFERROR(_xll.qlRateHelperPillarDate(W100,Trigger),"")</f>
        <v/>
      </c>
      <c r="AC100" s="887" t="e">
        <f ca="1"/>
        <v>#NAME?</v>
      </c>
    </row>
    <row r="101" spans="1:29" x14ac:dyDescent="0.2">
      <c r="A101" s="874" t="s">
        <v>410</v>
      </c>
      <c r="B101" s="876" t="s">
        <v>46</v>
      </c>
      <c r="C101" s="875" t="s">
        <v>54</v>
      </c>
      <c r="D101" s="875" t="s">
        <v>323</v>
      </c>
      <c r="E101" s="875" t="s">
        <v>322</v>
      </c>
      <c r="F101" s="875" t="s">
        <v>221</v>
      </c>
      <c r="G101" s="875" t="str">
        <f t="shared" si="20"/>
        <v>Euribor6M</v>
      </c>
      <c r="H101" s="874" t="str">
        <f t="shared" si="21"/>
        <v>EUR2F10Y_Quote</v>
      </c>
      <c r="I101" s="877">
        <v>0</v>
      </c>
      <c r="J101" s="43"/>
      <c r="L101" s="895" t="str">
        <f t="shared" si="18"/>
        <v>FwdSw</v>
      </c>
      <c r="M101" s="891" t="str">
        <f t="shared" si="19"/>
        <v>--</v>
      </c>
      <c r="N101" s="894" t="str">
        <f ca="1">IFERROR(_xll.qlRateHelperQuoteName(M101,Trigger),"--")</f>
        <v>--</v>
      </c>
      <c r="O101" s="893" t="str">
        <f ca="1">IFERROR(_xll.qlRateHelperQuoteValue($M101,Trigger),"--")</f>
        <v>--</v>
      </c>
      <c r="P101" s="970" t="b">
        <v>0</v>
      </c>
      <c r="Q101" s="891">
        <v>50</v>
      </c>
      <c r="R101" s="891">
        <v>1</v>
      </c>
      <c r="S101" s="890" t="str">
        <f ca="1">IFERROR(_xll.qlRateHelperEarliestDate(M101,Trigger),"--")</f>
        <v>--</v>
      </c>
      <c r="T101" s="890" t="str">
        <f ca="1">IFERROR(_xll.qlRateHelperPillarDate(M101,Trigger),"--")</f>
        <v>--</v>
      </c>
      <c r="V101" s="4" t="str">
        <f t="shared" ca="1" si="17"/>
        <v/>
      </c>
      <c r="W101" s="4" t="e">
        <f ca="1"/>
        <v>#NAME?</v>
      </c>
      <c r="X101" s="4" t="str">
        <f ca="1">IFERROR(_xll.qlRateHelperQuoteName(W101,Trigger),"")</f>
        <v/>
      </c>
      <c r="Y101" s="889" t="str">
        <f ca="1">IFERROR(_xll.qlRateHelperRate(W101,Trigger),"")</f>
        <v/>
      </c>
      <c r="Z101" s="888" t="str">
        <f ca="1">IF(ISERROR(_xll.qlSwapRateHelperSpread($W101)),IF(ISERROR(_xll.qlFuturesRateHelperConvexityAdjustment($W101)),"",_xll.qlFuturesRateHelperConvexityAdjustment($W101)),_xll.qlSwapRateHelperSpread($W101))</f>
        <v/>
      </c>
      <c r="AA101" s="5" t="str">
        <f ca="1">IFERROR(_xll.qlRateHelperEarliestDate(W101,Trigger),"")</f>
        <v/>
      </c>
      <c r="AB101" s="5" t="str">
        <f ca="1">IFERROR(_xll.qlRateHelperPillarDate(W101,Trigger),"")</f>
        <v/>
      </c>
      <c r="AC101" s="887" t="e">
        <f ca="1"/>
        <v>#NAME?</v>
      </c>
    </row>
    <row r="102" spans="1:29" x14ac:dyDescent="0.2">
      <c r="A102" s="874" t="s">
        <v>410</v>
      </c>
      <c r="B102" s="876" t="s">
        <v>45</v>
      </c>
      <c r="C102" s="875" t="s">
        <v>54</v>
      </c>
      <c r="D102" s="875" t="s">
        <v>323</v>
      </c>
      <c r="E102" s="875" t="s">
        <v>322</v>
      </c>
      <c r="F102" s="875" t="s">
        <v>221</v>
      </c>
      <c r="G102" s="875" t="str">
        <f t="shared" si="20"/>
        <v>Euribor6M</v>
      </c>
      <c r="H102" s="874" t="str">
        <f t="shared" si="21"/>
        <v>EUR2F11Y_Quote</v>
      </c>
      <c r="I102" s="877">
        <v>0</v>
      </c>
      <c r="J102" s="43"/>
      <c r="L102" s="895" t="str">
        <f t="shared" si="18"/>
        <v>FwdSw</v>
      </c>
      <c r="M102" s="891" t="str">
        <f t="shared" si="19"/>
        <v>--</v>
      </c>
      <c r="N102" s="894" t="str">
        <f ca="1">IFERROR(_xll.qlRateHelperQuoteName(M102,Trigger),"--")</f>
        <v>--</v>
      </c>
      <c r="O102" s="893" t="str">
        <f ca="1">IFERROR(_xll.qlRateHelperQuoteValue($M102,Trigger),"--")</f>
        <v>--</v>
      </c>
      <c r="P102" s="970" t="b">
        <v>0</v>
      </c>
      <c r="Q102" s="891">
        <v>50</v>
      </c>
      <c r="R102" s="891">
        <v>1</v>
      </c>
      <c r="S102" s="890" t="str">
        <f ca="1">IFERROR(_xll.qlRateHelperEarliestDate(M102,Trigger),"--")</f>
        <v>--</v>
      </c>
      <c r="T102" s="890" t="str">
        <f ca="1">IFERROR(_xll.qlRateHelperPillarDate(M102,Trigger),"--")</f>
        <v>--</v>
      </c>
      <c r="V102" s="4" t="str">
        <f t="shared" ca="1" si="17"/>
        <v/>
      </c>
      <c r="W102" s="4" t="e">
        <f ca="1"/>
        <v>#NAME?</v>
      </c>
      <c r="X102" s="4" t="str">
        <f ca="1">IFERROR(_xll.qlRateHelperQuoteName(W102,Trigger),"")</f>
        <v/>
      </c>
      <c r="Y102" s="889" t="str">
        <f ca="1">IFERROR(_xll.qlRateHelperRate(W102,Trigger),"")</f>
        <v/>
      </c>
      <c r="Z102" s="888" t="str">
        <f ca="1">IF(ISERROR(_xll.qlSwapRateHelperSpread($W102)),IF(ISERROR(_xll.qlFuturesRateHelperConvexityAdjustment($W102)),"",_xll.qlFuturesRateHelperConvexityAdjustment($W102)),_xll.qlSwapRateHelperSpread($W102))</f>
        <v/>
      </c>
      <c r="AA102" s="5" t="str">
        <f ca="1">IFERROR(_xll.qlRateHelperEarliestDate(W102,Trigger),"")</f>
        <v/>
      </c>
      <c r="AB102" s="5" t="str">
        <f ca="1">IFERROR(_xll.qlRateHelperPillarDate(W102,Trigger),"")</f>
        <v/>
      </c>
      <c r="AC102" s="887" t="e">
        <f ca="1"/>
        <v>#NAME?</v>
      </c>
    </row>
    <row r="103" spans="1:29" x14ac:dyDescent="0.2">
      <c r="A103" s="874" t="s">
        <v>410</v>
      </c>
      <c r="B103" s="876" t="s">
        <v>44</v>
      </c>
      <c r="C103" s="875" t="s">
        <v>54</v>
      </c>
      <c r="D103" s="875" t="s">
        <v>323</v>
      </c>
      <c r="E103" s="875" t="s">
        <v>322</v>
      </c>
      <c r="F103" s="875" t="s">
        <v>221</v>
      </c>
      <c r="G103" s="875" t="str">
        <f t="shared" si="20"/>
        <v>Euribor6M</v>
      </c>
      <c r="H103" s="874" t="str">
        <f t="shared" si="21"/>
        <v>EUR2F12Y_Quote</v>
      </c>
      <c r="I103" s="877">
        <v>0</v>
      </c>
      <c r="J103" s="43"/>
      <c r="L103" s="895" t="str">
        <f t="shared" si="18"/>
        <v>FwdSw</v>
      </c>
      <c r="M103" s="891" t="str">
        <f t="shared" si="19"/>
        <v>--</v>
      </c>
      <c r="N103" s="894" t="str">
        <f ca="1">IFERROR(_xll.qlRateHelperQuoteName(M103,Trigger),"--")</f>
        <v>--</v>
      </c>
      <c r="O103" s="893" t="str">
        <f ca="1">IFERROR(_xll.qlRateHelperQuoteValue($M103,Trigger),"--")</f>
        <v>--</v>
      </c>
      <c r="P103" s="970" t="b">
        <v>0</v>
      </c>
      <c r="Q103" s="891">
        <v>50</v>
      </c>
      <c r="R103" s="891">
        <v>1</v>
      </c>
      <c r="S103" s="890" t="str">
        <f ca="1">IFERROR(_xll.qlRateHelperEarliestDate(M103,Trigger),"--")</f>
        <v>--</v>
      </c>
      <c r="T103" s="890" t="str">
        <f ca="1">IFERROR(_xll.qlRateHelperPillarDate(M103,Trigger),"--")</f>
        <v>--</v>
      </c>
      <c r="V103" s="4" t="str">
        <f t="shared" ca="1" si="17"/>
        <v/>
      </c>
      <c r="W103" s="4" t="e">
        <f ca="1"/>
        <v>#NAME?</v>
      </c>
      <c r="X103" s="4" t="str">
        <f ca="1">IFERROR(_xll.qlRateHelperQuoteName(W103,Trigger),"")</f>
        <v/>
      </c>
      <c r="Y103" s="889" t="str">
        <f ca="1">IFERROR(_xll.qlRateHelperRate(W103,Trigger),"")</f>
        <v/>
      </c>
      <c r="Z103" s="888" t="str">
        <f ca="1">IF(ISERROR(_xll.qlSwapRateHelperSpread($W103)),IF(ISERROR(_xll.qlFuturesRateHelperConvexityAdjustment($W103)),"",_xll.qlFuturesRateHelperConvexityAdjustment($W103)),_xll.qlSwapRateHelperSpread($W103))</f>
        <v/>
      </c>
      <c r="AA103" s="5" t="str">
        <f ca="1">IFERROR(_xll.qlRateHelperEarliestDate(W103,Trigger),"")</f>
        <v/>
      </c>
      <c r="AB103" s="5" t="str">
        <f ca="1">IFERROR(_xll.qlRateHelperPillarDate(W103,Trigger),"")</f>
        <v/>
      </c>
      <c r="AC103" s="887" t="e">
        <f ca="1"/>
        <v>#NAME?</v>
      </c>
    </row>
    <row r="104" spans="1:29" x14ac:dyDescent="0.2">
      <c r="A104" s="874" t="s">
        <v>410</v>
      </c>
      <c r="B104" s="876" t="s">
        <v>43</v>
      </c>
      <c r="C104" s="875" t="s">
        <v>54</v>
      </c>
      <c r="D104" s="875" t="s">
        <v>323</v>
      </c>
      <c r="E104" s="875" t="s">
        <v>322</v>
      </c>
      <c r="F104" s="875" t="s">
        <v>221</v>
      </c>
      <c r="G104" s="875" t="str">
        <f t="shared" si="20"/>
        <v>Euribor6M</v>
      </c>
      <c r="H104" s="874" t="str">
        <f t="shared" si="21"/>
        <v>EUR2F13Y_Quote</v>
      </c>
      <c r="I104" s="877">
        <v>0</v>
      </c>
      <c r="J104" s="43"/>
      <c r="L104" s="895" t="str">
        <f t="shared" si="18"/>
        <v>FwdSw</v>
      </c>
      <c r="M104" s="891" t="str">
        <f t="shared" si="19"/>
        <v>--</v>
      </c>
      <c r="N104" s="894" t="str">
        <f ca="1">IFERROR(_xll.qlRateHelperQuoteName(M104,Trigger),"--")</f>
        <v>--</v>
      </c>
      <c r="O104" s="893" t="str">
        <f ca="1">IFERROR(_xll.qlRateHelperQuoteValue($M104,Trigger),"--")</f>
        <v>--</v>
      </c>
      <c r="P104" s="970" t="b">
        <v>0</v>
      </c>
      <c r="Q104" s="891">
        <v>50</v>
      </c>
      <c r="R104" s="891">
        <v>1</v>
      </c>
      <c r="S104" s="890" t="str">
        <f ca="1">IFERROR(_xll.qlRateHelperEarliestDate(M104,Trigger),"--")</f>
        <v>--</v>
      </c>
      <c r="T104" s="890" t="str">
        <f ca="1">IFERROR(_xll.qlRateHelperPillarDate(M104,Trigger),"--")</f>
        <v>--</v>
      </c>
      <c r="V104" s="4" t="str">
        <f t="shared" ca="1" si="17"/>
        <v/>
      </c>
      <c r="W104" s="4" t="e">
        <f ca="1"/>
        <v>#NAME?</v>
      </c>
      <c r="X104" s="4" t="str">
        <f ca="1">IFERROR(_xll.qlRateHelperQuoteName(W104,Trigger),"")</f>
        <v/>
      </c>
      <c r="Y104" s="889" t="str">
        <f ca="1">IFERROR(_xll.qlRateHelperRate(W104,Trigger),"")</f>
        <v/>
      </c>
      <c r="Z104" s="888" t="str">
        <f ca="1">IF(ISERROR(_xll.qlSwapRateHelperSpread($W104)),IF(ISERROR(_xll.qlFuturesRateHelperConvexityAdjustment($W104)),"",_xll.qlFuturesRateHelperConvexityAdjustment($W104)),_xll.qlSwapRateHelperSpread($W104))</f>
        <v/>
      </c>
      <c r="AA104" s="5" t="str">
        <f ca="1">IFERROR(_xll.qlRateHelperEarliestDate(W104,Trigger),"")</f>
        <v/>
      </c>
      <c r="AB104" s="5" t="str">
        <f ca="1">IFERROR(_xll.qlRateHelperPillarDate(W104,Trigger),"")</f>
        <v/>
      </c>
      <c r="AC104" s="887" t="e">
        <f ca="1"/>
        <v>#NAME?</v>
      </c>
    </row>
    <row r="105" spans="1:29" x14ac:dyDescent="0.2">
      <c r="A105" s="874" t="s">
        <v>410</v>
      </c>
      <c r="B105" s="876" t="s">
        <v>42</v>
      </c>
      <c r="C105" s="875" t="s">
        <v>54</v>
      </c>
      <c r="D105" s="875" t="s">
        <v>323</v>
      </c>
      <c r="E105" s="875" t="s">
        <v>322</v>
      </c>
      <c r="F105" s="875" t="s">
        <v>221</v>
      </c>
      <c r="G105" s="875" t="str">
        <f t="shared" si="20"/>
        <v>Euribor6M</v>
      </c>
      <c r="H105" s="874" t="str">
        <f t="shared" si="21"/>
        <v>EUR2F14Y_Quote</v>
      </c>
      <c r="I105" s="877">
        <v>0</v>
      </c>
      <c r="J105" s="43"/>
      <c r="L105" s="895" t="str">
        <f t="shared" si="18"/>
        <v>FwdSw</v>
      </c>
      <c r="M105" s="891" t="str">
        <f t="shared" si="19"/>
        <v>--</v>
      </c>
      <c r="N105" s="894" t="str">
        <f ca="1">IFERROR(_xll.qlRateHelperQuoteName(M105,Trigger),"--")</f>
        <v>--</v>
      </c>
      <c r="O105" s="893" t="str">
        <f ca="1">IFERROR(_xll.qlRateHelperQuoteValue($M105,Trigger),"--")</f>
        <v>--</v>
      </c>
      <c r="P105" s="970" t="b">
        <v>0</v>
      </c>
      <c r="Q105" s="891">
        <v>50</v>
      </c>
      <c r="R105" s="891">
        <v>1</v>
      </c>
      <c r="S105" s="890" t="str">
        <f ca="1">IFERROR(_xll.qlRateHelperEarliestDate(M105,Trigger),"--")</f>
        <v>--</v>
      </c>
      <c r="T105" s="890" t="str">
        <f ca="1">IFERROR(_xll.qlRateHelperPillarDate(M105,Trigger),"--")</f>
        <v>--</v>
      </c>
      <c r="V105" s="4" t="str">
        <f t="shared" ca="1" si="17"/>
        <v/>
      </c>
      <c r="W105" s="4" t="e">
        <f ca="1"/>
        <v>#NAME?</v>
      </c>
      <c r="X105" s="4" t="str">
        <f ca="1">IFERROR(_xll.qlRateHelperQuoteName(W105,Trigger),"")</f>
        <v/>
      </c>
      <c r="Y105" s="889" t="str">
        <f ca="1">IFERROR(_xll.qlRateHelperRate(W105,Trigger),"")</f>
        <v/>
      </c>
      <c r="Z105" s="888" t="str">
        <f ca="1">IF(ISERROR(_xll.qlSwapRateHelperSpread($W105)),IF(ISERROR(_xll.qlFuturesRateHelperConvexityAdjustment($W105)),"",_xll.qlFuturesRateHelperConvexityAdjustment($W105)),_xll.qlSwapRateHelperSpread($W105))</f>
        <v/>
      </c>
      <c r="AA105" s="5" t="str">
        <f ca="1">IFERROR(_xll.qlRateHelperEarliestDate(W105,Trigger),"")</f>
        <v/>
      </c>
      <c r="AB105" s="5" t="str">
        <f ca="1">IFERROR(_xll.qlRateHelperPillarDate(W105,Trigger),"")</f>
        <v/>
      </c>
      <c r="AC105" s="887" t="e">
        <f ca="1"/>
        <v>#NAME?</v>
      </c>
    </row>
    <row r="106" spans="1:29" x14ac:dyDescent="0.2">
      <c r="A106" s="874" t="s">
        <v>410</v>
      </c>
      <c r="B106" s="876" t="s">
        <v>41</v>
      </c>
      <c r="C106" s="875" t="s">
        <v>54</v>
      </c>
      <c r="D106" s="875" t="s">
        <v>323</v>
      </c>
      <c r="E106" s="875" t="s">
        <v>322</v>
      </c>
      <c r="F106" s="875" t="s">
        <v>221</v>
      </c>
      <c r="G106" s="875" t="str">
        <f t="shared" si="20"/>
        <v>Euribor6M</v>
      </c>
      <c r="H106" s="874" t="str">
        <f t="shared" si="21"/>
        <v>EUR2F15Y_Quote</v>
      </c>
      <c r="I106" s="877">
        <v>0</v>
      </c>
      <c r="J106" s="43"/>
      <c r="L106" s="895" t="str">
        <f t="shared" si="18"/>
        <v>FwdSw</v>
      </c>
      <c r="M106" s="891" t="str">
        <f t="shared" si="19"/>
        <v>--</v>
      </c>
      <c r="N106" s="894" t="str">
        <f ca="1">IFERROR(_xll.qlRateHelperQuoteName(M106,Trigger),"--")</f>
        <v>--</v>
      </c>
      <c r="O106" s="893" t="str">
        <f ca="1">IFERROR(_xll.qlRateHelperQuoteValue($M106,Trigger),"--")</f>
        <v>--</v>
      </c>
      <c r="P106" s="970" t="b">
        <v>0</v>
      </c>
      <c r="Q106" s="891">
        <v>50</v>
      </c>
      <c r="R106" s="891">
        <v>1</v>
      </c>
      <c r="S106" s="890" t="str">
        <f ca="1">IFERROR(_xll.qlRateHelperEarliestDate(M106,Trigger),"--")</f>
        <v>--</v>
      </c>
      <c r="T106" s="890" t="str">
        <f ca="1">IFERROR(_xll.qlRateHelperPillarDate(M106,Trigger),"--")</f>
        <v>--</v>
      </c>
      <c r="V106" s="4" t="str">
        <f t="shared" ca="1" si="17"/>
        <v/>
      </c>
      <c r="W106" s="4" t="e">
        <f ca="1"/>
        <v>#NAME?</v>
      </c>
      <c r="X106" s="4" t="str">
        <f ca="1">IFERROR(_xll.qlRateHelperQuoteName(W106,Trigger),"")</f>
        <v/>
      </c>
      <c r="Y106" s="889" t="str">
        <f ca="1">IFERROR(_xll.qlRateHelperRate(W106,Trigger),"")</f>
        <v/>
      </c>
      <c r="Z106" s="888" t="str">
        <f ca="1">IF(ISERROR(_xll.qlSwapRateHelperSpread($W106)),IF(ISERROR(_xll.qlFuturesRateHelperConvexityAdjustment($W106)),"",_xll.qlFuturesRateHelperConvexityAdjustment($W106)),_xll.qlSwapRateHelperSpread($W106))</f>
        <v/>
      </c>
      <c r="AA106" s="5" t="str">
        <f ca="1">IFERROR(_xll.qlRateHelperEarliestDate(W106,Trigger),"")</f>
        <v/>
      </c>
      <c r="AB106" s="5" t="str">
        <f ca="1">IFERROR(_xll.qlRateHelperPillarDate(W106,Trigger),"")</f>
        <v/>
      </c>
      <c r="AC106" s="887" t="e">
        <f ca="1"/>
        <v>#NAME?</v>
      </c>
    </row>
    <row r="107" spans="1:29" x14ac:dyDescent="0.2">
      <c r="A107" s="874" t="s">
        <v>410</v>
      </c>
      <c r="B107" s="876" t="s">
        <v>36</v>
      </c>
      <c r="C107" s="875" t="s">
        <v>54</v>
      </c>
      <c r="D107" s="875" t="s">
        <v>323</v>
      </c>
      <c r="E107" s="875" t="s">
        <v>322</v>
      </c>
      <c r="F107" s="875" t="s">
        <v>221</v>
      </c>
      <c r="G107" s="875" t="str">
        <f t="shared" si="20"/>
        <v>Euribor6M</v>
      </c>
      <c r="H107" s="874" t="str">
        <f t="shared" si="21"/>
        <v>EUR2F20Y_Quote</v>
      </c>
      <c r="I107" s="877">
        <v>0</v>
      </c>
      <c r="J107" s="43"/>
      <c r="L107" s="895" t="str">
        <f t="shared" si="18"/>
        <v>FwdSw</v>
      </c>
      <c r="M107" s="891" t="str">
        <f t="shared" si="19"/>
        <v>--</v>
      </c>
      <c r="N107" s="894" t="str">
        <f ca="1">IFERROR(_xll.qlRateHelperQuoteName(M107,Trigger),"--")</f>
        <v>--</v>
      </c>
      <c r="O107" s="893" t="str">
        <f ca="1">IFERROR(_xll.qlRateHelperQuoteValue($M107,Trigger),"--")</f>
        <v>--</v>
      </c>
      <c r="P107" s="970" t="b">
        <v>0</v>
      </c>
      <c r="Q107" s="891">
        <v>50</v>
      </c>
      <c r="R107" s="891">
        <v>1</v>
      </c>
      <c r="S107" s="890" t="str">
        <f ca="1">IFERROR(_xll.qlRateHelperEarliestDate(M107,Trigger),"--")</f>
        <v>--</v>
      </c>
      <c r="T107" s="890" t="str">
        <f ca="1">IFERROR(_xll.qlRateHelperPillarDate(M107,Trigger),"--")</f>
        <v>--</v>
      </c>
      <c r="V107" s="4" t="str">
        <f t="shared" ca="1" si="17"/>
        <v/>
      </c>
      <c r="W107" s="4" t="e">
        <f ca="1"/>
        <v>#NAME?</v>
      </c>
      <c r="X107" s="4" t="str">
        <f ca="1">IFERROR(_xll.qlRateHelperQuoteName(W107,Trigger),"")</f>
        <v/>
      </c>
      <c r="Y107" s="889" t="str">
        <f ca="1">IFERROR(_xll.qlRateHelperRate(W107,Trigger),"")</f>
        <v/>
      </c>
      <c r="Z107" s="888" t="str">
        <f ca="1">IF(ISERROR(_xll.qlSwapRateHelperSpread($W107)),IF(ISERROR(_xll.qlFuturesRateHelperConvexityAdjustment($W107)),"",_xll.qlFuturesRateHelperConvexityAdjustment($W107)),_xll.qlSwapRateHelperSpread($W107))</f>
        <v/>
      </c>
      <c r="AA107" s="5" t="str">
        <f ca="1">IFERROR(_xll.qlRateHelperEarliestDate(W107,Trigger),"")</f>
        <v/>
      </c>
      <c r="AB107" s="5" t="str">
        <f ca="1">IFERROR(_xll.qlRateHelperPillarDate(W107,Trigger),"")</f>
        <v/>
      </c>
      <c r="AC107" s="887" t="e">
        <f ca="1"/>
        <v>#NAME?</v>
      </c>
    </row>
    <row r="108" spans="1:29" x14ac:dyDescent="0.2">
      <c r="A108" s="874" t="s">
        <v>410</v>
      </c>
      <c r="B108" s="876" t="s">
        <v>31</v>
      </c>
      <c r="C108" s="875" t="s">
        <v>54</v>
      </c>
      <c r="D108" s="875" t="s">
        <v>323</v>
      </c>
      <c r="E108" s="875" t="s">
        <v>322</v>
      </c>
      <c r="F108" s="875" t="s">
        <v>221</v>
      </c>
      <c r="G108" s="875" t="str">
        <f t="shared" si="20"/>
        <v>Euribor6M</v>
      </c>
      <c r="H108" s="874" t="str">
        <f t="shared" si="21"/>
        <v>EUR2F25Y_Quote</v>
      </c>
      <c r="I108" s="877">
        <v>0</v>
      </c>
      <c r="J108" s="43"/>
      <c r="L108" s="895" t="str">
        <f t="shared" si="18"/>
        <v>FwdSw</v>
      </c>
      <c r="M108" s="891" t="str">
        <f t="shared" si="19"/>
        <v>--</v>
      </c>
      <c r="N108" s="894" t="str">
        <f ca="1">IFERROR(_xll.qlRateHelperQuoteName(M108,Trigger),"--")</f>
        <v>--</v>
      </c>
      <c r="O108" s="893" t="str">
        <f ca="1">IFERROR(_xll.qlRateHelperQuoteValue($M108,Trigger),"--")</f>
        <v>--</v>
      </c>
      <c r="P108" s="970" t="b">
        <v>0</v>
      </c>
      <c r="Q108" s="891">
        <v>50</v>
      </c>
      <c r="R108" s="891">
        <v>1</v>
      </c>
      <c r="S108" s="890" t="str">
        <f ca="1">IFERROR(_xll.qlRateHelperEarliestDate(M108,Trigger),"--")</f>
        <v>--</v>
      </c>
      <c r="T108" s="890" t="str">
        <f ca="1">IFERROR(_xll.qlRateHelperPillarDate(M108,Trigger),"--")</f>
        <v>--</v>
      </c>
      <c r="V108" s="4" t="str">
        <f t="shared" ca="1" si="17"/>
        <v/>
      </c>
      <c r="W108" s="4" t="e">
        <f ca="1"/>
        <v>#NAME?</v>
      </c>
      <c r="X108" s="4" t="str">
        <f ca="1">IFERROR(_xll.qlRateHelperQuoteName(W108,Trigger),"")</f>
        <v/>
      </c>
      <c r="Y108" s="889" t="str">
        <f ca="1">IFERROR(_xll.qlRateHelperRate(W108,Trigger),"")</f>
        <v/>
      </c>
      <c r="Z108" s="888" t="str">
        <f ca="1">IF(ISERROR(_xll.qlSwapRateHelperSpread($W108)),IF(ISERROR(_xll.qlFuturesRateHelperConvexityAdjustment($W108)),"",_xll.qlFuturesRateHelperConvexityAdjustment($W108)),_xll.qlSwapRateHelperSpread($W108))</f>
        <v/>
      </c>
      <c r="AA108" s="5" t="str">
        <f ca="1">IFERROR(_xll.qlRateHelperEarliestDate(W108,Trigger),"")</f>
        <v/>
      </c>
      <c r="AB108" s="5" t="str">
        <f ca="1">IFERROR(_xll.qlRateHelperPillarDate(W108,Trigger),"")</f>
        <v/>
      </c>
      <c r="AC108" s="887" t="e">
        <f ca="1"/>
        <v>#NAME?</v>
      </c>
    </row>
    <row r="109" spans="1:29" x14ac:dyDescent="0.2">
      <c r="A109" s="870" t="s">
        <v>410</v>
      </c>
      <c r="B109" s="872" t="s">
        <v>26</v>
      </c>
      <c r="C109" s="871" t="s">
        <v>54</v>
      </c>
      <c r="D109" s="871" t="s">
        <v>323</v>
      </c>
      <c r="E109" s="871" t="s">
        <v>322</v>
      </c>
      <c r="F109" s="871" t="s">
        <v>221</v>
      </c>
      <c r="G109" s="871" t="str">
        <f t="shared" si="20"/>
        <v>Euribor6M</v>
      </c>
      <c r="H109" s="870" t="str">
        <f t="shared" si="21"/>
        <v>EUR2F30Y_Quote</v>
      </c>
      <c r="I109" s="869">
        <v>0</v>
      </c>
      <c r="J109" s="38"/>
      <c r="L109" s="895" t="str">
        <f t="shared" si="18"/>
        <v>FwdSw</v>
      </c>
      <c r="M109" s="891" t="str">
        <f t="shared" si="19"/>
        <v>--</v>
      </c>
      <c r="N109" s="894" t="str">
        <f ca="1">IFERROR(_xll.qlRateHelperQuoteName(M109,Trigger),"--")</f>
        <v>--</v>
      </c>
      <c r="O109" s="893" t="str">
        <f ca="1">IFERROR(_xll.qlRateHelperQuoteValue($M109,Trigger),"--")</f>
        <v>--</v>
      </c>
      <c r="P109" s="970" t="b">
        <v>0</v>
      </c>
      <c r="Q109" s="891">
        <v>50</v>
      </c>
      <c r="R109" s="891">
        <v>1</v>
      </c>
      <c r="S109" s="890" t="str">
        <f ca="1">IFERROR(_xll.qlRateHelperEarliestDate(M109,Trigger),"--")</f>
        <v>--</v>
      </c>
      <c r="T109" s="890" t="str">
        <f ca="1">IFERROR(_xll.qlRateHelperPillarDate(M109,Trigger),"--")</f>
        <v>--</v>
      </c>
      <c r="V109" s="4" t="str">
        <f t="shared" ca="1" si="17"/>
        <v/>
      </c>
      <c r="W109" s="4" t="e">
        <f ca="1"/>
        <v>#NAME?</v>
      </c>
      <c r="X109" s="4" t="str">
        <f ca="1">IFERROR(_xll.qlRateHelperQuoteName(W109,Trigger),"")</f>
        <v/>
      </c>
      <c r="Y109" s="889" t="str">
        <f ca="1">IFERROR(_xll.qlRateHelperRate(W109,Trigger),"")</f>
        <v/>
      </c>
      <c r="Z109" s="888" t="str">
        <f ca="1">IF(ISERROR(_xll.qlSwapRateHelperSpread($W109)),IF(ISERROR(_xll.qlFuturesRateHelperConvexityAdjustment($W109)),"",_xll.qlFuturesRateHelperConvexityAdjustment($W109)),_xll.qlSwapRateHelperSpread($W109))</f>
        <v/>
      </c>
      <c r="AA109" s="5" t="str">
        <f ca="1">IFERROR(_xll.qlRateHelperEarliestDate(W109,Trigger),"")</f>
        <v/>
      </c>
      <c r="AB109" s="5" t="str">
        <f ca="1">IFERROR(_xll.qlRateHelperPillarDate(W109,Trigger),"")</f>
        <v/>
      </c>
      <c r="AC109" s="887" t="e">
        <f ca="1"/>
        <v>#NAME?</v>
      </c>
    </row>
    <row r="110" spans="1:29" x14ac:dyDescent="0.2">
      <c r="A110" s="874" t="s">
        <v>410</v>
      </c>
      <c r="B110" s="876" t="s">
        <v>58</v>
      </c>
      <c r="C110" s="875" t="s">
        <v>53</v>
      </c>
      <c r="D110" s="875" t="s">
        <v>323</v>
      </c>
      <c r="E110" s="875" t="s">
        <v>322</v>
      </c>
      <c r="F110" s="875" t="s">
        <v>221</v>
      </c>
      <c r="G110" s="875" t="str">
        <f t="shared" si="20"/>
        <v>Euribor6M</v>
      </c>
      <c r="H110" s="874" t="str">
        <f t="shared" si="21"/>
        <v>EUR3F1Y_Quote</v>
      </c>
      <c r="I110" s="877">
        <v>0</v>
      </c>
      <c r="J110" s="43"/>
      <c r="L110" s="895" t="str">
        <f t="shared" si="18"/>
        <v>FwdSw</v>
      </c>
      <c r="M110" s="891" t="str">
        <f t="shared" si="19"/>
        <v>--</v>
      </c>
      <c r="N110" s="894" t="str">
        <f ca="1">IFERROR(_xll.qlRateHelperQuoteName(M110,Trigger),"--")</f>
        <v>--</v>
      </c>
      <c r="O110" s="893" t="str">
        <f ca="1">IFERROR(_xll.qlRateHelperQuoteValue($M110,Trigger),"--")</f>
        <v>--</v>
      </c>
      <c r="P110" s="970" t="b">
        <v>0</v>
      </c>
      <c r="Q110" s="891">
        <v>50</v>
      </c>
      <c r="R110" s="891">
        <v>1</v>
      </c>
      <c r="S110" s="890" t="str">
        <f ca="1">IFERROR(_xll.qlRateHelperEarliestDate(M110,Trigger),"--")</f>
        <v>--</v>
      </c>
      <c r="T110" s="890" t="str">
        <f ca="1">IFERROR(_xll.qlRateHelperPillarDate(M110,Trigger),"--")</f>
        <v>--</v>
      </c>
      <c r="V110" s="4" t="str">
        <f t="shared" ca="1" si="17"/>
        <v/>
      </c>
      <c r="W110" s="4" t="e">
        <f ca="1"/>
        <v>#NAME?</v>
      </c>
      <c r="X110" s="4" t="str">
        <f ca="1">IFERROR(_xll.qlRateHelperQuoteName(W110,Trigger),"")</f>
        <v/>
      </c>
      <c r="Y110" s="889" t="str">
        <f ca="1">IFERROR(_xll.qlRateHelperRate(W110,Trigger),"")</f>
        <v/>
      </c>
      <c r="Z110" s="888" t="str">
        <f ca="1">IF(ISERROR(_xll.qlSwapRateHelperSpread($W110)),IF(ISERROR(_xll.qlFuturesRateHelperConvexityAdjustment($W110)),"",_xll.qlFuturesRateHelperConvexityAdjustment($W110)),_xll.qlSwapRateHelperSpread($W110))</f>
        <v/>
      </c>
      <c r="AA110" s="5" t="str">
        <f ca="1">IFERROR(_xll.qlRateHelperEarliestDate(W110,Trigger),"")</f>
        <v/>
      </c>
      <c r="AB110" s="5" t="str">
        <f ca="1">IFERROR(_xll.qlRateHelperPillarDate(W110,Trigger),"")</f>
        <v/>
      </c>
      <c r="AC110" s="887" t="e">
        <f ca="1"/>
        <v>#NAME?</v>
      </c>
    </row>
    <row r="111" spans="1:29" x14ac:dyDescent="0.2">
      <c r="A111" s="874" t="s">
        <v>410</v>
      </c>
      <c r="B111" s="876" t="s">
        <v>54</v>
      </c>
      <c r="C111" s="875" t="s">
        <v>53</v>
      </c>
      <c r="D111" s="875" t="s">
        <v>323</v>
      </c>
      <c r="E111" s="875" t="s">
        <v>322</v>
      </c>
      <c r="F111" s="875" t="s">
        <v>221</v>
      </c>
      <c r="G111" s="875" t="str">
        <f t="shared" si="20"/>
        <v>Euribor6M</v>
      </c>
      <c r="H111" s="874" t="str">
        <f t="shared" si="21"/>
        <v>EUR3F2Y_Quote</v>
      </c>
      <c r="I111" s="877">
        <v>0</v>
      </c>
      <c r="J111" s="43"/>
      <c r="L111" s="895" t="str">
        <f t="shared" si="18"/>
        <v>FwdSw</v>
      </c>
      <c r="M111" s="891" t="str">
        <f t="shared" si="19"/>
        <v>--</v>
      </c>
      <c r="N111" s="894" t="str">
        <f ca="1">IFERROR(_xll.qlRateHelperQuoteName(M111,Trigger),"--")</f>
        <v>--</v>
      </c>
      <c r="O111" s="893" t="str">
        <f ca="1">IFERROR(_xll.qlRateHelperQuoteValue($M111,Trigger),"--")</f>
        <v>--</v>
      </c>
      <c r="P111" s="970" t="b">
        <v>0</v>
      </c>
      <c r="Q111" s="891">
        <v>50</v>
      </c>
      <c r="R111" s="891">
        <v>1</v>
      </c>
      <c r="S111" s="890" t="str">
        <f ca="1">IFERROR(_xll.qlRateHelperEarliestDate(M111,Trigger),"--")</f>
        <v>--</v>
      </c>
      <c r="T111" s="890" t="str">
        <f ca="1">IFERROR(_xll.qlRateHelperPillarDate(M111,Trigger),"--")</f>
        <v>--</v>
      </c>
      <c r="V111" s="4" t="str">
        <f t="shared" ca="1" si="17"/>
        <v/>
      </c>
      <c r="W111" s="4" t="e">
        <f ca="1"/>
        <v>#NAME?</v>
      </c>
      <c r="X111" s="4" t="str">
        <f ca="1">IFERROR(_xll.qlRateHelperQuoteName(W111,Trigger),"")</f>
        <v/>
      </c>
      <c r="Y111" s="889" t="str">
        <f ca="1">IFERROR(_xll.qlRateHelperRate(W111,Trigger),"")</f>
        <v/>
      </c>
      <c r="Z111" s="888" t="str">
        <f ca="1">IF(ISERROR(_xll.qlSwapRateHelperSpread($W111)),IF(ISERROR(_xll.qlFuturesRateHelperConvexityAdjustment($W111)),"",_xll.qlFuturesRateHelperConvexityAdjustment($W111)),_xll.qlSwapRateHelperSpread($W111))</f>
        <v/>
      </c>
      <c r="AA111" s="5" t="str">
        <f ca="1">IFERROR(_xll.qlRateHelperEarliestDate(W111,Trigger),"")</f>
        <v/>
      </c>
      <c r="AB111" s="5" t="str">
        <f ca="1">IFERROR(_xll.qlRateHelperPillarDate(W111,Trigger),"")</f>
        <v/>
      </c>
      <c r="AC111" s="887" t="e">
        <f ca="1"/>
        <v>#NAME?</v>
      </c>
    </row>
    <row r="112" spans="1:29" x14ac:dyDescent="0.2">
      <c r="A112" s="874" t="s">
        <v>410</v>
      </c>
      <c r="B112" s="876" t="s">
        <v>53</v>
      </c>
      <c r="C112" s="875" t="s">
        <v>53</v>
      </c>
      <c r="D112" s="875" t="s">
        <v>323</v>
      </c>
      <c r="E112" s="875" t="s">
        <v>322</v>
      </c>
      <c r="F112" s="875" t="s">
        <v>221</v>
      </c>
      <c r="G112" s="875" t="str">
        <f t="shared" si="20"/>
        <v>Euribor6M</v>
      </c>
      <c r="H112" s="874" t="str">
        <f t="shared" si="21"/>
        <v>EUR3F3Y_Quote</v>
      </c>
      <c r="I112" s="877">
        <v>0</v>
      </c>
      <c r="J112" s="43"/>
      <c r="L112" s="895" t="str">
        <f t="shared" si="18"/>
        <v>FwdSw</v>
      </c>
      <c r="M112" s="891" t="str">
        <f t="shared" si="19"/>
        <v>--</v>
      </c>
      <c r="N112" s="894" t="str">
        <f ca="1">IFERROR(_xll.qlRateHelperQuoteName(M112,Trigger),"--")</f>
        <v>--</v>
      </c>
      <c r="O112" s="893" t="str">
        <f ca="1">IFERROR(_xll.qlRateHelperQuoteValue($M112,Trigger),"--")</f>
        <v>--</v>
      </c>
      <c r="P112" s="970" t="b">
        <v>0</v>
      </c>
      <c r="Q112" s="891">
        <v>50</v>
      </c>
      <c r="R112" s="891">
        <v>1</v>
      </c>
      <c r="S112" s="890" t="str">
        <f ca="1">IFERROR(_xll.qlRateHelperEarliestDate(M112,Trigger),"--")</f>
        <v>--</v>
      </c>
      <c r="T112" s="890" t="str">
        <f ca="1">IFERROR(_xll.qlRateHelperPillarDate(M112,Trigger),"--")</f>
        <v>--</v>
      </c>
      <c r="V112" s="4" t="str">
        <f t="shared" ca="1" si="17"/>
        <v/>
      </c>
      <c r="W112" s="4" t="e">
        <f ca="1"/>
        <v>#NAME?</v>
      </c>
      <c r="X112" s="4" t="str">
        <f ca="1">IFERROR(_xll.qlRateHelperQuoteName(W112,Trigger),"")</f>
        <v/>
      </c>
      <c r="Y112" s="889" t="str">
        <f ca="1">IFERROR(_xll.qlRateHelperRate(W112,Trigger),"")</f>
        <v/>
      </c>
      <c r="Z112" s="888" t="str">
        <f ca="1">IF(ISERROR(_xll.qlSwapRateHelperSpread($W112)),IF(ISERROR(_xll.qlFuturesRateHelperConvexityAdjustment($W112)),"",_xll.qlFuturesRateHelperConvexityAdjustment($W112)),_xll.qlSwapRateHelperSpread($W112))</f>
        <v/>
      </c>
      <c r="AA112" s="5" t="str">
        <f ca="1">IFERROR(_xll.qlRateHelperEarliestDate(W112,Trigger),"")</f>
        <v/>
      </c>
      <c r="AB112" s="5" t="str">
        <f ca="1">IFERROR(_xll.qlRateHelperPillarDate(W112,Trigger),"")</f>
        <v/>
      </c>
      <c r="AC112" s="887" t="e">
        <f ca="1"/>
        <v>#NAME?</v>
      </c>
    </row>
    <row r="113" spans="1:29" x14ac:dyDescent="0.2">
      <c r="A113" s="874" t="s">
        <v>410</v>
      </c>
      <c r="B113" s="876" t="s">
        <v>52</v>
      </c>
      <c r="C113" s="875" t="s">
        <v>53</v>
      </c>
      <c r="D113" s="875" t="s">
        <v>323</v>
      </c>
      <c r="E113" s="875" t="s">
        <v>322</v>
      </c>
      <c r="F113" s="875" t="s">
        <v>221</v>
      </c>
      <c r="G113" s="875" t="str">
        <f t="shared" si="20"/>
        <v>Euribor6M</v>
      </c>
      <c r="H113" s="874" t="str">
        <f t="shared" si="21"/>
        <v>EUR3F4Y_Quote</v>
      </c>
      <c r="I113" s="877">
        <v>0</v>
      </c>
      <c r="J113" s="43"/>
      <c r="L113" s="895" t="str">
        <f t="shared" si="18"/>
        <v>FwdSw</v>
      </c>
      <c r="M113" s="891" t="str">
        <f t="shared" si="19"/>
        <v>--</v>
      </c>
      <c r="N113" s="894" t="str">
        <f ca="1">IFERROR(_xll.qlRateHelperQuoteName(M113,Trigger),"--")</f>
        <v>--</v>
      </c>
      <c r="O113" s="893" t="str">
        <f ca="1">IFERROR(_xll.qlRateHelperQuoteValue($M113,Trigger),"--")</f>
        <v>--</v>
      </c>
      <c r="P113" s="970" t="b">
        <v>0</v>
      </c>
      <c r="Q113" s="891">
        <v>50</v>
      </c>
      <c r="R113" s="891">
        <v>1</v>
      </c>
      <c r="S113" s="890" t="str">
        <f ca="1">IFERROR(_xll.qlRateHelperEarliestDate(M113,Trigger),"--")</f>
        <v>--</v>
      </c>
      <c r="T113" s="890" t="str">
        <f ca="1">IFERROR(_xll.qlRateHelperPillarDate(M113,Trigger),"--")</f>
        <v>--</v>
      </c>
      <c r="V113" s="4" t="str">
        <f t="shared" ca="1" si="17"/>
        <v/>
      </c>
      <c r="W113" s="4" t="e">
        <f ca="1"/>
        <v>#NAME?</v>
      </c>
      <c r="X113" s="4" t="str">
        <f ca="1">IFERROR(_xll.qlRateHelperQuoteName(W113,Trigger),"")</f>
        <v/>
      </c>
      <c r="Y113" s="889" t="str">
        <f ca="1">IFERROR(_xll.qlRateHelperRate(W113,Trigger),"")</f>
        <v/>
      </c>
      <c r="Z113" s="888" t="str">
        <f ca="1">IF(ISERROR(_xll.qlSwapRateHelperSpread($W113)),IF(ISERROR(_xll.qlFuturesRateHelperConvexityAdjustment($W113)),"",_xll.qlFuturesRateHelperConvexityAdjustment($W113)),_xll.qlSwapRateHelperSpread($W113))</f>
        <v/>
      </c>
      <c r="AA113" s="5" t="str">
        <f ca="1">IFERROR(_xll.qlRateHelperEarliestDate(W113,Trigger),"")</f>
        <v/>
      </c>
      <c r="AB113" s="5" t="str">
        <f ca="1">IFERROR(_xll.qlRateHelperPillarDate(W113,Trigger),"")</f>
        <v/>
      </c>
      <c r="AC113" s="887" t="e">
        <f ca="1"/>
        <v>#NAME?</v>
      </c>
    </row>
    <row r="114" spans="1:29" x14ac:dyDescent="0.2">
      <c r="A114" s="874" t="s">
        <v>410</v>
      </c>
      <c r="B114" s="876" t="s">
        <v>51</v>
      </c>
      <c r="C114" s="875" t="s">
        <v>53</v>
      </c>
      <c r="D114" s="875" t="s">
        <v>323</v>
      </c>
      <c r="E114" s="875" t="s">
        <v>322</v>
      </c>
      <c r="F114" s="875" t="s">
        <v>221</v>
      </c>
      <c r="G114" s="875" t="str">
        <f t="shared" si="20"/>
        <v>Euribor6M</v>
      </c>
      <c r="H114" s="874" t="str">
        <f t="shared" si="21"/>
        <v>EUR3F5Y_Quote</v>
      </c>
      <c r="I114" s="877">
        <v>0</v>
      </c>
      <c r="J114" s="43"/>
      <c r="L114" s="895" t="str">
        <f t="shared" si="18"/>
        <v>FwdSw</v>
      </c>
      <c r="M114" s="891" t="str">
        <f t="shared" si="19"/>
        <v>--</v>
      </c>
      <c r="N114" s="894" t="str">
        <f ca="1">IFERROR(_xll.qlRateHelperQuoteName(M114,Trigger),"--")</f>
        <v>--</v>
      </c>
      <c r="O114" s="893" t="str">
        <f ca="1">IFERROR(_xll.qlRateHelperQuoteValue($M114,Trigger),"--")</f>
        <v>--</v>
      </c>
      <c r="P114" s="970" t="b">
        <v>0</v>
      </c>
      <c r="Q114" s="891">
        <v>50</v>
      </c>
      <c r="R114" s="891">
        <v>1</v>
      </c>
      <c r="S114" s="890" t="str">
        <f ca="1">IFERROR(_xll.qlRateHelperEarliestDate(M114,Trigger),"--")</f>
        <v>--</v>
      </c>
      <c r="T114" s="890" t="str">
        <f ca="1">IFERROR(_xll.qlRateHelperPillarDate(M114,Trigger),"--")</f>
        <v>--</v>
      </c>
      <c r="V114" s="4" t="str">
        <f t="shared" ca="1" si="17"/>
        <v/>
      </c>
      <c r="W114" s="4" t="e">
        <f ca="1"/>
        <v>#NAME?</v>
      </c>
      <c r="X114" s="4" t="str">
        <f ca="1">IFERROR(_xll.qlRateHelperQuoteName(W114,Trigger),"")</f>
        <v/>
      </c>
      <c r="Y114" s="889" t="str">
        <f ca="1">IFERROR(_xll.qlRateHelperRate(W114,Trigger),"")</f>
        <v/>
      </c>
      <c r="Z114" s="888" t="str">
        <f ca="1">IF(ISERROR(_xll.qlSwapRateHelperSpread($W114)),IF(ISERROR(_xll.qlFuturesRateHelperConvexityAdjustment($W114)),"",_xll.qlFuturesRateHelperConvexityAdjustment($W114)),_xll.qlSwapRateHelperSpread($W114))</f>
        <v/>
      </c>
      <c r="AA114" s="5" t="str">
        <f ca="1">IFERROR(_xll.qlRateHelperEarliestDate(W114,Trigger),"")</f>
        <v/>
      </c>
      <c r="AB114" s="5" t="str">
        <f ca="1">IFERROR(_xll.qlRateHelperPillarDate(W114,Trigger),"")</f>
        <v/>
      </c>
      <c r="AC114" s="887" t="e">
        <f ca="1"/>
        <v>#NAME?</v>
      </c>
    </row>
    <row r="115" spans="1:29" x14ac:dyDescent="0.2">
      <c r="A115" s="874" t="s">
        <v>410</v>
      </c>
      <c r="B115" s="876" t="s">
        <v>50</v>
      </c>
      <c r="C115" s="875" t="s">
        <v>53</v>
      </c>
      <c r="D115" s="875" t="s">
        <v>323</v>
      </c>
      <c r="E115" s="875" t="s">
        <v>322</v>
      </c>
      <c r="F115" s="875" t="s">
        <v>221</v>
      </c>
      <c r="G115" s="875" t="str">
        <f t="shared" si="20"/>
        <v>Euribor6M</v>
      </c>
      <c r="H115" s="874" t="str">
        <f t="shared" si="21"/>
        <v>EUR3F6Y_Quote</v>
      </c>
      <c r="I115" s="877">
        <v>0</v>
      </c>
      <c r="J115" s="43"/>
      <c r="L115" s="895" t="str">
        <f t="shared" si="18"/>
        <v>FwdSw</v>
      </c>
      <c r="M115" s="891" t="str">
        <f t="shared" si="19"/>
        <v>--</v>
      </c>
      <c r="N115" s="894" t="str">
        <f ca="1">IFERROR(_xll.qlRateHelperQuoteName(M115,Trigger),"--")</f>
        <v>--</v>
      </c>
      <c r="O115" s="893" t="str">
        <f ca="1">IFERROR(_xll.qlRateHelperQuoteValue($M115,Trigger),"--")</f>
        <v>--</v>
      </c>
      <c r="P115" s="970" t="b">
        <v>0</v>
      </c>
      <c r="Q115" s="891">
        <v>50</v>
      </c>
      <c r="R115" s="891">
        <v>1</v>
      </c>
      <c r="S115" s="890" t="str">
        <f ca="1">IFERROR(_xll.qlRateHelperEarliestDate(M115,Trigger),"--")</f>
        <v>--</v>
      </c>
      <c r="T115" s="890" t="str">
        <f ca="1">IFERROR(_xll.qlRateHelperPillarDate(M115,Trigger),"--")</f>
        <v>--</v>
      </c>
      <c r="V115" s="4" t="str">
        <f t="shared" ca="1" si="17"/>
        <v/>
      </c>
      <c r="W115" s="4" t="e">
        <f ca="1"/>
        <v>#NAME?</v>
      </c>
      <c r="X115" s="4" t="str">
        <f ca="1">IFERROR(_xll.qlRateHelperQuoteName(W115,Trigger),"")</f>
        <v/>
      </c>
      <c r="Y115" s="889" t="str">
        <f ca="1">IFERROR(_xll.qlRateHelperRate(W115,Trigger),"")</f>
        <v/>
      </c>
      <c r="Z115" s="888" t="str">
        <f ca="1">IF(ISERROR(_xll.qlSwapRateHelperSpread($W115)),IF(ISERROR(_xll.qlFuturesRateHelperConvexityAdjustment($W115)),"",_xll.qlFuturesRateHelperConvexityAdjustment($W115)),_xll.qlSwapRateHelperSpread($W115))</f>
        <v/>
      </c>
      <c r="AA115" s="5" t="str">
        <f ca="1">IFERROR(_xll.qlRateHelperEarliestDate(W115,Trigger),"")</f>
        <v/>
      </c>
      <c r="AB115" s="5" t="str">
        <f ca="1">IFERROR(_xll.qlRateHelperPillarDate(W115,Trigger),"")</f>
        <v/>
      </c>
      <c r="AC115" s="887" t="e">
        <f ca="1"/>
        <v>#NAME?</v>
      </c>
    </row>
    <row r="116" spans="1:29" x14ac:dyDescent="0.2">
      <c r="A116" s="874" t="s">
        <v>410</v>
      </c>
      <c r="B116" s="876" t="s">
        <v>49</v>
      </c>
      <c r="C116" s="875" t="s">
        <v>53</v>
      </c>
      <c r="D116" s="875" t="s">
        <v>323</v>
      </c>
      <c r="E116" s="875" t="s">
        <v>322</v>
      </c>
      <c r="F116" s="875" t="s">
        <v>221</v>
      </c>
      <c r="G116" s="875" t="str">
        <f t="shared" si="20"/>
        <v>Euribor6M</v>
      </c>
      <c r="H116" s="874" t="str">
        <f t="shared" si="21"/>
        <v>EUR3F7Y_Quote</v>
      </c>
      <c r="I116" s="877">
        <v>0</v>
      </c>
      <c r="J116" s="43"/>
      <c r="L116" s="895" t="str">
        <f t="shared" si="18"/>
        <v>FwdSw</v>
      </c>
      <c r="M116" s="891" t="str">
        <f t="shared" si="19"/>
        <v>--</v>
      </c>
      <c r="N116" s="894" t="str">
        <f ca="1">IFERROR(_xll.qlRateHelperQuoteName(M116,Trigger),"--")</f>
        <v>--</v>
      </c>
      <c r="O116" s="893" t="str">
        <f ca="1">IFERROR(_xll.qlRateHelperQuoteValue($M116,Trigger),"--")</f>
        <v>--</v>
      </c>
      <c r="P116" s="970" t="b">
        <v>0</v>
      </c>
      <c r="Q116" s="891">
        <v>50</v>
      </c>
      <c r="R116" s="891">
        <v>1</v>
      </c>
      <c r="S116" s="890" t="str">
        <f ca="1">IFERROR(_xll.qlRateHelperEarliestDate(M116,Trigger),"--")</f>
        <v>--</v>
      </c>
      <c r="T116" s="890" t="str">
        <f ca="1">IFERROR(_xll.qlRateHelperPillarDate(M116,Trigger),"--")</f>
        <v>--</v>
      </c>
      <c r="V116" s="4" t="str">
        <f t="shared" ca="1" si="17"/>
        <v/>
      </c>
      <c r="W116" s="4" t="e">
        <f ca="1"/>
        <v>#NAME?</v>
      </c>
      <c r="X116" s="4" t="str">
        <f ca="1">IFERROR(_xll.qlRateHelperQuoteName(W116,Trigger),"")</f>
        <v/>
      </c>
      <c r="Y116" s="889" t="str">
        <f ca="1">IFERROR(_xll.qlRateHelperRate(W116,Trigger),"")</f>
        <v/>
      </c>
      <c r="Z116" s="888" t="str">
        <f ca="1">IF(ISERROR(_xll.qlSwapRateHelperSpread($W116)),IF(ISERROR(_xll.qlFuturesRateHelperConvexityAdjustment($W116)),"",_xll.qlFuturesRateHelperConvexityAdjustment($W116)),_xll.qlSwapRateHelperSpread($W116))</f>
        <v/>
      </c>
      <c r="AA116" s="5" t="str">
        <f ca="1">IFERROR(_xll.qlRateHelperEarliestDate(W116,Trigger),"")</f>
        <v/>
      </c>
      <c r="AB116" s="5" t="str">
        <f ca="1">IFERROR(_xll.qlRateHelperPillarDate(W116,Trigger),"")</f>
        <v/>
      </c>
      <c r="AC116" s="887" t="e">
        <f ca="1"/>
        <v>#NAME?</v>
      </c>
    </row>
    <row r="117" spans="1:29" x14ac:dyDescent="0.2">
      <c r="A117" s="874" t="s">
        <v>410</v>
      </c>
      <c r="B117" s="876" t="s">
        <v>48</v>
      </c>
      <c r="C117" s="875" t="s">
        <v>53</v>
      </c>
      <c r="D117" s="875" t="s">
        <v>323</v>
      </c>
      <c r="E117" s="875" t="s">
        <v>322</v>
      </c>
      <c r="F117" s="875" t="s">
        <v>221</v>
      </c>
      <c r="G117" s="875" t="str">
        <f t="shared" si="20"/>
        <v>Euribor6M</v>
      </c>
      <c r="H117" s="874" t="str">
        <f t="shared" si="21"/>
        <v>EUR3F8Y_Quote</v>
      </c>
      <c r="I117" s="877">
        <v>0</v>
      </c>
      <c r="J117" s="43"/>
      <c r="L117" s="895" t="str">
        <f t="shared" si="18"/>
        <v>FwdSw</v>
      </c>
      <c r="M117" s="891" t="str">
        <f t="shared" si="19"/>
        <v>--</v>
      </c>
      <c r="N117" s="894" t="str">
        <f ca="1">IFERROR(_xll.qlRateHelperQuoteName(M117,Trigger),"--")</f>
        <v>--</v>
      </c>
      <c r="O117" s="893" t="str">
        <f ca="1">IFERROR(_xll.qlRateHelperQuoteValue($M117,Trigger),"--")</f>
        <v>--</v>
      </c>
      <c r="P117" s="970" t="b">
        <v>0</v>
      </c>
      <c r="Q117" s="891">
        <v>50</v>
      </c>
      <c r="R117" s="891">
        <v>1</v>
      </c>
      <c r="S117" s="890" t="str">
        <f ca="1">IFERROR(_xll.qlRateHelperEarliestDate(M117,Trigger),"--")</f>
        <v>--</v>
      </c>
      <c r="T117" s="890" t="str">
        <f ca="1">IFERROR(_xll.qlRateHelperPillarDate(M117,Trigger),"--")</f>
        <v>--</v>
      </c>
      <c r="V117" s="4" t="str">
        <f t="shared" ca="1" si="17"/>
        <v/>
      </c>
      <c r="W117" s="4" t="e">
        <f ca="1"/>
        <v>#NAME?</v>
      </c>
      <c r="X117" s="4" t="str">
        <f ca="1">IFERROR(_xll.qlRateHelperQuoteName(W117,Trigger),"")</f>
        <v/>
      </c>
      <c r="Y117" s="889" t="str">
        <f ca="1">IFERROR(_xll.qlRateHelperRate(W117,Trigger),"")</f>
        <v/>
      </c>
      <c r="Z117" s="888" t="str">
        <f ca="1">IF(ISERROR(_xll.qlSwapRateHelperSpread($W117)),IF(ISERROR(_xll.qlFuturesRateHelperConvexityAdjustment($W117)),"",_xll.qlFuturesRateHelperConvexityAdjustment($W117)),_xll.qlSwapRateHelperSpread($W117))</f>
        <v/>
      </c>
      <c r="AA117" s="5" t="str">
        <f ca="1">IFERROR(_xll.qlRateHelperEarliestDate(W117,Trigger),"")</f>
        <v/>
      </c>
      <c r="AB117" s="5" t="str">
        <f ca="1">IFERROR(_xll.qlRateHelperPillarDate(W117,Trigger),"")</f>
        <v/>
      </c>
      <c r="AC117" s="887" t="e">
        <f ca="1"/>
        <v>#NAME?</v>
      </c>
    </row>
    <row r="118" spans="1:29" x14ac:dyDescent="0.2">
      <c r="A118" s="874" t="s">
        <v>410</v>
      </c>
      <c r="B118" s="876" t="s">
        <v>47</v>
      </c>
      <c r="C118" s="875" t="s">
        <v>53</v>
      </c>
      <c r="D118" s="875" t="s">
        <v>323</v>
      </c>
      <c r="E118" s="875" t="s">
        <v>322</v>
      </c>
      <c r="F118" s="875" t="s">
        <v>221</v>
      </c>
      <c r="G118" s="875" t="str">
        <f t="shared" si="20"/>
        <v>Euribor6M</v>
      </c>
      <c r="H118" s="874" t="str">
        <f t="shared" si="21"/>
        <v>EUR3F9Y_Quote</v>
      </c>
      <c r="I118" s="877">
        <v>0</v>
      </c>
      <c r="J118" s="43"/>
      <c r="L118" s="895" t="str">
        <f t="shared" si="18"/>
        <v>FwdSw</v>
      </c>
      <c r="M118" s="891" t="str">
        <f t="shared" si="19"/>
        <v>--</v>
      </c>
      <c r="N118" s="894" t="str">
        <f ca="1">IFERROR(_xll.qlRateHelperQuoteName(M118,Trigger),"--")</f>
        <v>--</v>
      </c>
      <c r="O118" s="893" t="str">
        <f ca="1">IFERROR(_xll.qlRateHelperQuoteValue($M118,Trigger),"--")</f>
        <v>--</v>
      </c>
      <c r="P118" s="970" t="b">
        <v>0</v>
      </c>
      <c r="Q118" s="891">
        <v>50</v>
      </c>
      <c r="R118" s="891">
        <v>1</v>
      </c>
      <c r="S118" s="890" t="str">
        <f ca="1">IFERROR(_xll.qlRateHelperEarliestDate(M118,Trigger),"--")</f>
        <v>--</v>
      </c>
      <c r="T118" s="890" t="str">
        <f ca="1">IFERROR(_xll.qlRateHelperPillarDate(M118,Trigger),"--")</f>
        <v>--</v>
      </c>
      <c r="V118" s="4" t="str">
        <f t="shared" ca="1" si="17"/>
        <v/>
      </c>
      <c r="W118" s="4" t="e">
        <f ca="1"/>
        <v>#NAME?</v>
      </c>
      <c r="X118" s="4" t="str">
        <f ca="1">IFERROR(_xll.qlRateHelperQuoteName(W118,Trigger),"")</f>
        <v/>
      </c>
      <c r="Y118" s="889" t="str">
        <f ca="1">IFERROR(_xll.qlRateHelperRate(W118,Trigger),"")</f>
        <v/>
      </c>
      <c r="Z118" s="888" t="str">
        <f ca="1">IF(ISERROR(_xll.qlSwapRateHelperSpread($W118)),IF(ISERROR(_xll.qlFuturesRateHelperConvexityAdjustment($W118)),"",_xll.qlFuturesRateHelperConvexityAdjustment($W118)),_xll.qlSwapRateHelperSpread($W118))</f>
        <v/>
      </c>
      <c r="AA118" s="5" t="str">
        <f ca="1">IFERROR(_xll.qlRateHelperEarliestDate(W118,Trigger),"")</f>
        <v/>
      </c>
      <c r="AB118" s="5" t="str">
        <f ca="1">IFERROR(_xll.qlRateHelperPillarDate(W118,Trigger),"")</f>
        <v/>
      </c>
      <c r="AC118" s="887" t="e">
        <f ca="1"/>
        <v>#NAME?</v>
      </c>
    </row>
    <row r="119" spans="1:29" x14ac:dyDescent="0.2">
      <c r="A119" s="874" t="s">
        <v>410</v>
      </c>
      <c r="B119" s="876" t="s">
        <v>46</v>
      </c>
      <c r="C119" s="875" t="s">
        <v>53</v>
      </c>
      <c r="D119" s="875" t="s">
        <v>323</v>
      </c>
      <c r="E119" s="875" t="s">
        <v>322</v>
      </c>
      <c r="F119" s="875" t="s">
        <v>221</v>
      </c>
      <c r="G119" s="875" t="str">
        <f t="shared" si="20"/>
        <v>Euribor6M</v>
      </c>
      <c r="H119" s="874" t="str">
        <f t="shared" si="21"/>
        <v>EUR3F10Y_Quote</v>
      </c>
      <c r="I119" s="877">
        <v>0</v>
      </c>
      <c r="J119" s="43"/>
      <c r="L119" s="895" t="str">
        <f t="shared" si="18"/>
        <v>FwdSw</v>
      </c>
      <c r="M119" s="891" t="str">
        <f t="shared" si="19"/>
        <v>--</v>
      </c>
      <c r="N119" s="894" t="str">
        <f ca="1">IFERROR(_xll.qlRateHelperQuoteName(M119,Trigger),"--")</f>
        <v>--</v>
      </c>
      <c r="O119" s="893" t="str">
        <f ca="1">IFERROR(_xll.qlRateHelperQuoteValue($M119,Trigger),"--")</f>
        <v>--</v>
      </c>
      <c r="P119" s="970" t="b">
        <v>0</v>
      </c>
      <c r="Q119" s="891">
        <v>50</v>
      </c>
      <c r="R119" s="891">
        <v>1</v>
      </c>
      <c r="S119" s="890" t="str">
        <f ca="1">IFERROR(_xll.qlRateHelperEarliestDate(M119,Trigger),"--")</f>
        <v>--</v>
      </c>
      <c r="T119" s="890" t="str">
        <f ca="1">IFERROR(_xll.qlRateHelperPillarDate(M119,Trigger),"--")</f>
        <v>--</v>
      </c>
      <c r="V119" s="4" t="str">
        <f t="shared" ca="1" si="17"/>
        <v/>
      </c>
      <c r="W119" s="4" t="e">
        <f ca="1"/>
        <v>#NAME?</v>
      </c>
      <c r="X119" s="4" t="str">
        <f ca="1">IFERROR(_xll.qlRateHelperQuoteName(W119,Trigger),"")</f>
        <v/>
      </c>
      <c r="Y119" s="889" t="str">
        <f ca="1">IFERROR(_xll.qlRateHelperRate(W119,Trigger),"")</f>
        <v/>
      </c>
      <c r="Z119" s="888" t="str">
        <f ca="1">IF(ISERROR(_xll.qlSwapRateHelperSpread($W119)),IF(ISERROR(_xll.qlFuturesRateHelperConvexityAdjustment($W119)),"",_xll.qlFuturesRateHelperConvexityAdjustment($W119)),_xll.qlSwapRateHelperSpread($W119))</f>
        <v/>
      </c>
      <c r="AA119" s="5" t="str">
        <f ca="1">IFERROR(_xll.qlRateHelperEarliestDate(W119,Trigger),"")</f>
        <v/>
      </c>
      <c r="AB119" s="5" t="str">
        <f ca="1">IFERROR(_xll.qlRateHelperPillarDate(W119,Trigger),"")</f>
        <v/>
      </c>
      <c r="AC119" s="887" t="e">
        <f ca="1"/>
        <v>#NAME?</v>
      </c>
    </row>
    <row r="120" spans="1:29" x14ac:dyDescent="0.2">
      <c r="A120" s="874" t="s">
        <v>410</v>
      </c>
      <c r="B120" s="876" t="s">
        <v>45</v>
      </c>
      <c r="C120" s="875" t="s">
        <v>53</v>
      </c>
      <c r="D120" s="875" t="s">
        <v>323</v>
      </c>
      <c r="E120" s="875" t="s">
        <v>322</v>
      </c>
      <c r="F120" s="875" t="s">
        <v>221</v>
      </c>
      <c r="G120" s="875" t="str">
        <f t="shared" si="20"/>
        <v>Euribor6M</v>
      </c>
      <c r="H120" s="874" t="str">
        <f t="shared" si="21"/>
        <v>EUR3F11Y_Quote</v>
      </c>
      <c r="I120" s="877">
        <v>0</v>
      </c>
      <c r="J120" s="43"/>
      <c r="L120" s="895" t="str">
        <f t="shared" si="18"/>
        <v>FwdSw</v>
      </c>
      <c r="M120" s="891" t="str">
        <f t="shared" si="19"/>
        <v>--</v>
      </c>
      <c r="N120" s="894" t="str">
        <f ca="1">IFERROR(_xll.qlRateHelperQuoteName(M120,Trigger),"--")</f>
        <v>--</v>
      </c>
      <c r="O120" s="893" t="str">
        <f ca="1">IFERROR(_xll.qlRateHelperQuoteValue($M120,Trigger),"--")</f>
        <v>--</v>
      </c>
      <c r="P120" s="970" t="b">
        <v>0</v>
      </c>
      <c r="Q120" s="891">
        <v>50</v>
      </c>
      <c r="R120" s="891">
        <v>1</v>
      </c>
      <c r="S120" s="890" t="str">
        <f ca="1">IFERROR(_xll.qlRateHelperEarliestDate(M120,Trigger),"--")</f>
        <v>--</v>
      </c>
      <c r="T120" s="890" t="str">
        <f ca="1">IFERROR(_xll.qlRateHelperPillarDate(M120,Trigger),"--")</f>
        <v>--</v>
      </c>
      <c r="V120" s="4" t="str">
        <f t="shared" ca="1" si="17"/>
        <v/>
      </c>
      <c r="W120" s="4" t="e">
        <f ca="1"/>
        <v>#NAME?</v>
      </c>
      <c r="X120" s="4" t="str">
        <f ca="1">IFERROR(_xll.qlRateHelperQuoteName(W120,Trigger),"")</f>
        <v/>
      </c>
      <c r="Y120" s="889" t="str">
        <f ca="1">IFERROR(_xll.qlRateHelperRate(W120,Trigger),"")</f>
        <v/>
      </c>
      <c r="Z120" s="888" t="str">
        <f ca="1">IF(ISERROR(_xll.qlSwapRateHelperSpread($W120)),IF(ISERROR(_xll.qlFuturesRateHelperConvexityAdjustment($W120)),"",_xll.qlFuturesRateHelperConvexityAdjustment($W120)),_xll.qlSwapRateHelperSpread($W120))</f>
        <v/>
      </c>
      <c r="AA120" s="5" t="str">
        <f ca="1">IFERROR(_xll.qlRateHelperEarliestDate(W120,Trigger),"")</f>
        <v/>
      </c>
      <c r="AB120" s="5" t="str">
        <f ca="1">IFERROR(_xll.qlRateHelperPillarDate(W120,Trigger),"")</f>
        <v/>
      </c>
      <c r="AC120" s="887" t="e">
        <f ca="1"/>
        <v>#NAME?</v>
      </c>
    </row>
    <row r="121" spans="1:29" x14ac:dyDescent="0.2">
      <c r="A121" s="874" t="s">
        <v>410</v>
      </c>
      <c r="B121" s="876" t="s">
        <v>44</v>
      </c>
      <c r="C121" s="875" t="s">
        <v>53</v>
      </c>
      <c r="D121" s="875" t="s">
        <v>323</v>
      </c>
      <c r="E121" s="875" t="s">
        <v>322</v>
      </c>
      <c r="F121" s="875" t="s">
        <v>221</v>
      </c>
      <c r="G121" s="875" t="str">
        <f t="shared" si="20"/>
        <v>Euribor6M</v>
      </c>
      <c r="H121" s="874" t="str">
        <f t="shared" si="21"/>
        <v>EUR3F12Y_Quote</v>
      </c>
      <c r="I121" s="877">
        <v>0</v>
      </c>
      <c r="J121" s="43"/>
      <c r="L121" s="895" t="str">
        <f t="shared" si="18"/>
        <v>FwdSw</v>
      </c>
      <c r="M121" s="891" t="str">
        <f t="shared" si="19"/>
        <v>--</v>
      </c>
      <c r="N121" s="894" t="str">
        <f ca="1">IFERROR(_xll.qlRateHelperQuoteName(M121,Trigger),"--")</f>
        <v>--</v>
      </c>
      <c r="O121" s="893" t="str">
        <f ca="1">IFERROR(_xll.qlRateHelperQuoteValue($M121,Trigger),"--")</f>
        <v>--</v>
      </c>
      <c r="P121" s="970" t="b">
        <v>0</v>
      </c>
      <c r="Q121" s="891">
        <v>50</v>
      </c>
      <c r="R121" s="891">
        <v>1</v>
      </c>
      <c r="S121" s="890" t="str">
        <f ca="1">IFERROR(_xll.qlRateHelperEarliestDate(M121,Trigger),"--")</f>
        <v>--</v>
      </c>
      <c r="T121" s="890" t="str">
        <f ca="1">IFERROR(_xll.qlRateHelperPillarDate(M121,Trigger),"--")</f>
        <v>--</v>
      </c>
      <c r="V121" s="4" t="str">
        <f t="shared" ca="1" si="17"/>
        <v/>
      </c>
      <c r="W121" s="4" t="e">
        <f ca="1"/>
        <v>#NAME?</v>
      </c>
      <c r="X121" s="4" t="str">
        <f ca="1">IFERROR(_xll.qlRateHelperQuoteName(W121,Trigger),"")</f>
        <v/>
      </c>
      <c r="Y121" s="889" t="str">
        <f ca="1">IFERROR(_xll.qlRateHelperRate(W121,Trigger),"")</f>
        <v/>
      </c>
      <c r="Z121" s="888" t="str">
        <f ca="1">IF(ISERROR(_xll.qlSwapRateHelperSpread($W121)),IF(ISERROR(_xll.qlFuturesRateHelperConvexityAdjustment($W121)),"",_xll.qlFuturesRateHelperConvexityAdjustment($W121)),_xll.qlSwapRateHelperSpread($W121))</f>
        <v/>
      </c>
      <c r="AA121" s="5" t="str">
        <f ca="1">IFERROR(_xll.qlRateHelperEarliestDate(W121,Trigger),"")</f>
        <v/>
      </c>
      <c r="AB121" s="5" t="str">
        <f ca="1">IFERROR(_xll.qlRateHelperPillarDate(W121,Trigger),"")</f>
        <v/>
      </c>
      <c r="AC121" s="887" t="e">
        <f ca="1"/>
        <v>#NAME?</v>
      </c>
    </row>
    <row r="122" spans="1:29" x14ac:dyDescent="0.2">
      <c r="A122" s="874" t="s">
        <v>410</v>
      </c>
      <c r="B122" s="876" t="s">
        <v>43</v>
      </c>
      <c r="C122" s="875" t="s">
        <v>53</v>
      </c>
      <c r="D122" s="875" t="s">
        <v>323</v>
      </c>
      <c r="E122" s="875" t="s">
        <v>322</v>
      </c>
      <c r="F122" s="875" t="s">
        <v>221</v>
      </c>
      <c r="G122" s="875" t="str">
        <f t="shared" si="20"/>
        <v>Euribor6M</v>
      </c>
      <c r="H122" s="874" t="str">
        <f t="shared" si="21"/>
        <v>EUR3F13Y_Quote</v>
      </c>
      <c r="I122" s="877">
        <v>0</v>
      </c>
      <c r="J122" s="43"/>
      <c r="L122" s="895" t="str">
        <f t="shared" si="18"/>
        <v>FwdSw</v>
      </c>
      <c r="M122" s="891" t="str">
        <f t="shared" si="19"/>
        <v>--</v>
      </c>
      <c r="N122" s="894" t="str">
        <f ca="1">IFERROR(_xll.qlRateHelperQuoteName(M122,Trigger),"--")</f>
        <v>--</v>
      </c>
      <c r="O122" s="893" t="str">
        <f ca="1">IFERROR(_xll.qlRateHelperQuoteValue($M122,Trigger),"--")</f>
        <v>--</v>
      </c>
      <c r="P122" s="970" t="b">
        <v>0</v>
      </c>
      <c r="Q122" s="891">
        <v>50</v>
      </c>
      <c r="R122" s="891">
        <v>1</v>
      </c>
      <c r="S122" s="890" t="str">
        <f ca="1">IFERROR(_xll.qlRateHelperEarliestDate(M122,Trigger),"--")</f>
        <v>--</v>
      </c>
      <c r="T122" s="890" t="str">
        <f ca="1">IFERROR(_xll.qlRateHelperPillarDate(M122,Trigger),"--")</f>
        <v>--</v>
      </c>
      <c r="V122" s="4" t="str">
        <f t="shared" ca="1" si="17"/>
        <v/>
      </c>
      <c r="W122" s="4" t="e">
        <f ca="1"/>
        <v>#NAME?</v>
      </c>
      <c r="X122" s="4" t="str">
        <f ca="1">IFERROR(_xll.qlRateHelperQuoteName(W122,Trigger),"")</f>
        <v/>
      </c>
      <c r="Y122" s="889" t="str">
        <f ca="1">IFERROR(_xll.qlRateHelperRate(W122,Trigger),"")</f>
        <v/>
      </c>
      <c r="Z122" s="888" t="str">
        <f ca="1">IF(ISERROR(_xll.qlSwapRateHelperSpread($W122)),IF(ISERROR(_xll.qlFuturesRateHelperConvexityAdjustment($W122)),"",_xll.qlFuturesRateHelperConvexityAdjustment($W122)),_xll.qlSwapRateHelperSpread($W122))</f>
        <v/>
      </c>
      <c r="AA122" s="5" t="str">
        <f ca="1">IFERROR(_xll.qlRateHelperEarliestDate(W122,Trigger),"")</f>
        <v/>
      </c>
      <c r="AB122" s="5" t="str">
        <f ca="1">IFERROR(_xll.qlRateHelperPillarDate(W122,Trigger),"")</f>
        <v/>
      </c>
      <c r="AC122" s="887" t="e">
        <f ca="1"/>
        <v>#NAME?</v>
      </c>
    </row>
    <row r="123" spans="1:29" x14ac:dyDescent="0.2">
      <c r="A123" s="874" t="s">
        <v>410</v>
      </c>
      <c r="B123" s="876" t="s">
        <v>42</v>
      </c>
      <c r="C123" s="875" t="s">
        <v>53</v>
      </c>
      <c r="D123" s="875" t="s">
        <v>323</v>
      </c>
      <c r="E123" s="875" t="s">
        <v>322</v>
      </c>
      <c r="F123" s="875" t="s">
        <v>221</v>
      </c>
      <c r="G123" s="875" t="str">
        <f t="shared" si="20"/>
        <v>Euribor6M</v>
      </c>
      <c r="H123" s="874" t="str">
        <f t="shared" si="21"/>
        <v>EUR3F14Y_Quote</v>
      </c>
      <c r="I123" s="877">
        <v>0</v>
      </c>
      <c r="J123" s="43"/>
      <c r="L123" s="895" t="str">
        <f t="shared" si="18"/>
        <v>FwdSw</v>
      </c>
      <c r="M123" s="891" t="str">
        <f t="shared" si="19"/>
        <v>--</v>
      </c>
      <c r="N123" s="894" t="str">
        <f ca="1">IFERROR(_xll.qlRateHelperQuoteName(M123,Trigger),"--")</f>
        <v>--</v>
      </c>
      <c r="O123" s="893" t="str">
        <f ca="1">IFERROR(_xll.qlRateHelperQuoteValue($M123,Trigger),"--")</f>
        <v>--</v>
      </c>
      <c r="P123" s="970" t="b">
        <v>0</v>
      </c>
      <c r="Q123" s="891">
        <v>50</v>
      </c>
      <c r="R123" s="891">
        <v>1</v>
      </c>
      <c r="S123" s="890" t="str">
        <f ca="1">IFERROR(_xll.qlRateHelperEarliestDate(M123,Trigger),"--")</f>
        <v>--</v>
      </c>
      <c r="T123" s="890" t="str">
        <f ca="1">IFERROR(_xll.qlRateHelperPillarDate(M123,Trigger),"--")</f>
        <v>--</v>
      </c>
      <c r="V123" s="4" t="str">
        <f t="shared" ca="1" si="17"/>
        <v/>
      </c>
      <c r="W123" s="4" t="e">
        <f ca="1"/>
        <v>#NAME?</v>
      </c>
      <c r="X123" s="4" t="str">
        <f ca="1">IFERROR(_xll.qlRateHelperQuoteName(W123,Trigger),"")</f>
        <v/>
      </c>
      <c r="Y123" s="889" t="str">
        <f ca="1">IFERROR(_xll.qlRateHelperRate(W123,Trigger),"")</f>
        <v/>
      </c>
      <c r="Z123" s="888" t="str">
        <f ca="1">IF(ISERROR(_xll.qlSwapRateHelperSpread($W123)),IF(ISERROR(_xll.qlFuturesRateHelperConvexityAdjustment($W123)),"",_xll.qlFuturesRateHelperConvexityAdjustment($W123)),_xll.qlSwapRateHelperSpread($W123))</f>
        <v/>
      </c>
      <c r="AA123" s="5" t="str">
        <f ca="1">IFERROR(_xll.qlRateHelperEarliestDate(W123,Trigger),"")</f>
        <v/>
      </c>
      <c r="AB123" s="5" t="str">
        <f ca="1">IFERROR(_xll.qlRateHelperPillarDate(W123,Trigger),"")</f>
        <v/>
      </c>
      <c r="AC123" s="887" t="e">
        <f ca="1"/>
        <v>#NAME?</v>
      </c>
    </row>
    <row r="124" spans="1:29" x14ac:dyDescent="0.2">
      <c r="A124" s="874" t="s">
        <v>410</v>
      </c>
      <c r="B124" s="876" t="s">
        <v>41</v>
      </c>
      <c r="C124" s="875" t="s">
        <v>53</v>
      </c>
      <c r="D124" s="875" t="s">
        <v>323</v>
      </c>
      <c r="E124" s="875" t="s">
        <v>322</v>
      </c>
      <c r="F124" s="875" t="s">
        <v>221</v>
      </c>
      <c r="G124" s="875" t="str">
        <f t="shared" si="20"/>
        <v>Euribor6M</v>
      </c>
      <c r="H124" s="874" t="str">
        <f t="shared" si="21"/>
        <v>EUR3F15Y_Quote</v>
      </c>
      <c r="I124" s="877">
        <v>0</v>
      </c>
      <c r="J124" s="43"/>
      <c r="L124" s="895" t="str">
        <f t="shared" si="18"/>
        <v>FwdSw</v>
      </c>
      <c r="M124" s="891" t="str">
        <f t="shared" si="19"/>
        <v>--</v>
      </c>
      <c r="N124" s="894" t="str">
        <f ca="1">IFERROR(_xll.qlRateHelperQuoteName(M124,Trigger),"--")</f>
        <v>--</v>
      </c>
      <c r="O124" s="893" t="str">
        <f ca="1">IFERROR(_xll.qlRateHelperQuoteValue($M124,Trigger),"--")</f>
        <v>--</v>
      </c>
      <c r="P124" s="970" t="b">
        <v>0</v>
      </c>
      <c r="Q124" s="891">
        <v>50</v>
      </c>
      <c r="R124" s="891">
        <v>1</v>
      </c>
      <c r="S124" s="890" t="str">
        <f ca="1">IFERROR(_xll.qlRateHelperEarliestDate(M124,Trigger),"--")</f>
        <v>--</v>
      </c>
      <c r="T124" s="890" t="str">
        <f ca="1">IFERROR(_xll.qlRateHelperPillarDate(M124,Trigger),"--")</f>
        <v>--</v>
      </c>
      <c r="V124" s="4" t="str">
        <f t="shared" ca="1" si="17"/>
        <v/>
      </c>
      <c r="W124" s="4" t="e">
        <f ca="1"/>
        <v>#NAME?</v>
      </c>
      <c r="X124" s="4" t="str">
        <f ca="1">IFERROR(_xll.qlRateHelperQuoteName(W124,Trigger),"")</f>
        <v/>
      </c>
      <c r="Y124" s="889" t="str">
        <f ca="1">IFERROR(_xll.qlRateHelperRate(W124,Trigger),"")</f>
        <v/>
      </c>
      <c r="Z124" s="888" t="str">
        <f ca="1">IF(ISERROR(_xll.qlSwapRateHelperSpread($W124)),IF(ISERROR(_xll.qlFuturesRateHelperConvexityAdjustment($W124)),"",_xll.qlFuturesRateHelperConvexityAdjustment($W124)),_xll.qlSwapRateHelperSpread($W124))</f>
        <v/>
      </c>
      <c r="AA124" s="5" t="str">
        <f ca="1">IFERROR(_xll.qlRateHelperEarliestDate(W124,Trigger),"")</f>
        <v/>
      </c>
      <c r="AB124" s="5" t="str">
        <f ca="1">IFERROR(_xll.qlRateHelperPillarDate(W124,Trigger),"")</f>
        <v/>
      </c>
      <c r="AC124" s="887" t="e">
        <f ca="1"/>
        <v>#NAME?</v>
      </c>
    </row>
    <row r="125" spans="1:29" x14ac:dyDescent="0.2">
      <c r="A125" s="874" t="s">
        <v>410</v>
      </c>
      <c r="B125" s="876" t="s">
        <v>36</v>
      </c>
      <c r="C125" s="875" t="s">
        <v>53</v>
      </c>
      <c r="D125" s="875" t="s">
        <v>323</v>
      </c>
      <c r="E125" s="875" t="s">
        <v>322</v>
      </c>
      <c r="F125" s="875" t="s">
        <v>221</v>
      </c>
      <c r="G125" s="875" t="str">
        <f t="shared" si="20"/>
        <v>Euribor6M</v>
      </c>
      <c r="H125" s="874" t="str">
        <f t="shared" si="21"/>
        <v>EUR3F20Y_Quote</v>
      </c>
      <c r="I125" s="877">
        <v>0</v>
      </c>
      <c r="J125" s="43"/>
      <c r="L125" s="895" t="str">
        <f t="shared" si="18"/>
        <v>FwdSw</v>
      </c>
      <c r="M125" s="891" t="str">
        <f t="shared" si="19"/>
        <v>--</v>
      </c>
      <c r="N125" s="894" t="str">
        <f ca="1">IFERROR(_xll.qlRateHelperQuoteName(M125,Trigger),"--")</f>
        <v>--</v>
      </c>
      <c r="O125" s="893" t="str">
        <f ca="1">IFERROR(_xll.qlRateHelperQuoteValue($M125,Trigger),"--")</f>
        <v>--</v>
      </c>
      <c r="P125" s="970" t="b">
        <v>0</v>
      </c>
      <c r="Q125" s="891">
        <v>50</v>
      </c>
      <c r="R125" s="891">
        <v>1</v>
      </c>
      <c r="S125" s="890" t="str">
        <f ca="1">IFERROR(_xll.qlRateHelperEarliestDate(M125,Trigger),"--")</f>
        <v>--</v>
      </c>
      <c r="T125" s="890" t="str">
        <f ca="1">IFERROR(_xll.qlRateHelperPillarDate(M125,Trigger),"--")</f>
        <v>--</v>
      </c>
      <c r="V125" s="4" t="str">
        <f t="shared" ca="1" si="17"/>
        <v/>
      </c>
      <c r="W125" s="4" t="e">
        <f ca="1"/>
        <v>#NAME?</v>
      </c>
      <c r="X125" s="4" t="str">
        <f ca="1">IFERROR(_xll.qlRateHelperQuoteName(W125,Trigger),"")</f>
        <v/>
      </c>
      <c r="Y125" s="889" t="str">
        <f ca="1">IFERROR(_xll.qlRateHelperRate(W125,Trigger),"")</f>
        <v/>
      </c>
      <c r="Z125" s="888" t="str">
        <f ca="1">IF(ISERROR(_xll.qlSwapRateHelperSpread($W125)),IF(ISERROR(_xll.qlFuturesRateHelperConvexityAdjustment($W125)),"",_xll.qlFuturesRateHelperConvexityAdjustment($W125)),_xll.qlSwapRateHelperSpread($W125))</f>
        <v/>
      </c>
      <c r="AA125" s="5" t="str">
        <f ca="1">IFERROR(_xll.qlRateHelperEarliestDate(W125,Trigger),"")</f>
        <v/>
      </c>
      <c r="AB125" s="5" t="str">
        <f ca="1">IFERROR(_xll.qlRateHelperPillarDate(W125,Trigger),"")</f>
        <v/>
      </c>
      <c r="AC125" s="887" t="e">
        <f ca="1"/>
        <v>#NAME?</v>
      </c>
    </row>
    <row r="126" spans="1:29" x14ac:dyDescent="0.2">
      <c r="A126" s="874" t="s">
        <v>410</v>
      </c>
      <c r="B126" s="876" t="s">
        <v>31</v>
      </c>
      <c r="C126" s="875" t="s">
        <v>53</v>
      </c>
      <c r="D126" s="875" t="s">
        <v>323</v>
      </c>
      <c r="E126" s="875" t="s">
        <v>322</v>
      </c>
      <c r="F126" s="875" t="s">
        <v>221</v>
      </c>
      <c r="G126" s="875" t="str">
        <f t="shared" si="20"/>
        <v>Euribor6M</v>
      </c>
      <c r="H126" s="874" t="str">
        <f t="shared" si="21"/>
        <v>EUR3F25Y_Quote</v>
      </c>
      <c r="I126" s="877">
        <v>0</v>
      </c>
      <c r="J126" s="43"/>
      <c r="L126" s="895" t="str">
        <f t="shared" si="18"/>
        <v>FwdSw</v>
      </c>
      <c r="M126" s="891" t="str">
        <f t="shared" si="19"/>
        <v>--</v>
      </c>
      <c r="N126" s="894" t="str">
        <f ca="1">IFERROR(_xll.qlRateHelperQuoteName(M126,Trigger),"--")</f>
        <v>--</v>
      </c>
      <c r="O126" s="893" t="str">
        <f ca="1">IFERROR(_xll.qlRateHelperQuoteValue($M126,Trigger),"--")</f>
        <v>--</v>
      </c>
      <c r="P126" s="970" t="b">
        <v>0</v>
      </c>
      <c r="Q126" s="891">
        <v>50</v>
      </c>
      <c r="R126" s="891">
        <v>1</v>
      </c>
      <c r="S126" s="890" t="str">
        <f ca="1">IFERROR(_xll.qlRateHelperEarliestDate(M126,Trigger),"--")</f>
        <v>--</v>
      </c>
      <c r="T126" s="890" t="str">
        <f ca="1">IFERROR(_xll.qlRateHelperPillarDate(M126,Trigger),"--")</f>
        <v>--</v>
      </c>
      <c r="V126" s="4" t="str">
        <f t="shared" ca="1" si="17"/>
        <v/>
      </c>
      <c r="W126" s="4" t="e">
        <f ca="1"/>
        <v>#NAME?</v>
      </c>
      <c r="X126" s="4" t="str">
        <f ca="1">IFERROR(_xll.qlRateHelperQuoteName(W126,Trigger),"")</f>
        <v/>
      </c>
      <c r="Y126" s="889" t="str">
        <f ca="1">IFERROR(_xll.qlRateHelperRate(W126,Trigger),"")</f>
        <v/>
      </c>
      <c r="Z126" s="888" t="str">
        <f ca="1">IF(ISERROR(_xll.qlSwapRateHelperSpread($W126)),IF(ISERROR(_xll.qlFuturesRateHelperConvexityAdjustment($W126)),"",_xll.qlFuturesRateHelperConvexityAdjustment($W126)),_xll.qlSwapRateHelperSpread($W126))</f>
        <v/>
      </c>
      <c r="AA126" s="5" t="str">
        <f ca="1">IFERROR(_xll.qlRateHelperEarliestDate(W126,Trigger),"")</f>
        <v/>
      </c>
      <c r="AB126" s="5" t="str">
        <f ca="1">IFERROR(_xll.qlRateHelperPillarDate(W126,Trigger),"")</f>
        <v/>
      </c>
      <c r="AC126" s="887" t="e">
        <f ca="1"/>
        <v>#NAME?</v>
      </c>
    </row>
    <row r="127" spans="1:29" x14ac:dyDescent="0.2">
      <c r="A127" s="874" t="s">
        <v>410</v>
      </c>
      <c r="B127" s="876" t="s">
        <v>26</v>
      </c>
      <c r="C127" s="875" t="s">
        <v>53</v>
      </c>
      <c r="D127" s="875" t="s">
        <v>323</v>
      </c>
      <c r="E127" s="875" t="s">
        <v>322</v>
      </c>
      <c r="F127" s="875" t="s">
        <v>221</v>
      </c>
      <c r="G127" s="875" t="str">
        <f t="shared" si="20"/>
        <v>Euribor6M</v>
      </c>
      <c r="H127" s="874" t="str">
        <f t="shared" si="21"/>
        <v>EUR3F30Y_Quote</v>
      </c>
      <c r="I127" s="877">
        <v>0</v>
      </c>
      <c r="J127" s="43"/>
      <c r="L127" s="895" t="str">
        <f t="shared" si="18"/>
        <v>FwdSw</v>
      </c>
      <c r="M127" s="891" t="str">
        <f t="shared" si="19"/>
        <v>--</v>
      </c>
      <c r="N127" s="894" t="str">
        <f ca="1">IFERROR(_xll.qlRateHelperQuoteName(M127,Trigger),"--")</f>
        <v>--</v>
      </c>
      <c r="O127" s="893" t="str">
        <f ca="1">IFERROR(_xll.qlRateHelperQuoteValue($M127,Trigger),"--")</f>
        <v>--</v>
      </c>
      <c r="P127" s="970" t="b">
        <v>0</v>
      </c>
      <c r="Q127" s="891">
        <v>50</v>
      </c>
      <c r="R127" s="891">
        <v>1</v>
      </c>
      <c r="S127" s="890" t="str">
        <f ca="1">IFERROR(_xll.qlRateHelperEarliestDate(M127,Trigger),"--")</f>
        <v>--</v>
      </c>
      <c r="T127" s="890" t="str">
        <f ca="1">IFERROR(_xll.qlRateHelperPillarDate(M127,Trigger),"--")</f>
        <v>--</v>
      </c>
      <c r="V127" s="4" t="str">
        <f t="shared" ca="1" si="17"/>
        <v/>
      </c>
      <c r="W127" s="4" t="e">
        <f ca="1"/>
        <v>#NAME?</v>
      </c>
      <c r="X127" s="4" t="str">
        <f ca="1">IFERROR(_xll.qlRateHelperQuoteName(W127,Trigger),"")</f>
        <v/>
      </c>
      <c r="Y127" s="889" t="str">
        <f ca="1">IFERROR(_xll.qlRateHelperRate(W127,Trigger),"")</f>
        <v/>
      </c>
      <c r="Z127" s="888" t="str">
        <f ca="1">IF(ISERROR(_xll.qlSwapRateHelperSpread($W127)),IF(ISERROR(_xll.qlFuturesRateHelperConvexityAdjustment($W127)),"",_xll.qlFuturesRateHelperConvexityAdjustment($W127)),_xll.qlSwapRateHelperSpread($W127))</f>
        <v/>
      </c>
      <c r="AA127" s="5" t="str">
        <f ca="1">IFERROR(_xll.qlRateHelperEarliestDate(W127,Trigger),"")</f>
        <v/>
      </c>
      <c r="AB127" s="5" t="str">
        <f ca="1">IFERROR(_xll.qlRateHelperPillarDate(W127,Trigger),"")</f>
        <v/>
      </c>
      <c r="AC127" s="887" t="e">
        <f ca="1"/>
        <v>#NAME?</v>
      </c>
    </row>
    <row r="128" spans="1:29" x14ac:dyDescent="0.2">
      <c r="A128" s="897" t="s">
        <v>410</v>
      </c>
      <c r="B128" s="899" t="s">
        <v>58</v>
      </c>
      <c r="C128" s="898" t="s">
        <v>52</v>
      </c>
      <c r="D128" s="898" t="s">
        <v>323</v>
      </c>
      <c r="E128" s="898" t="s">
        <v>322</v>
      </c>
      <c r="F128" s="898" t="s">
        <v>221</v>
      </c>
      <c r="G128" s="898" t="str">
        <f t="shared" si="20"/>
        <v>Euribor6M</v>
      </c>
      <c r="H128" s="897" t="str">
        <f t="shared" si="21"/>
        <v>EUR4F1Y_Quote</v>
      </c>
      <c r="I128" s="896">
        <v>0</v>
      </c>
      <c r="J128" s="47"/>
      <c r="L128" s="895" t="str">
        <f t="shared" si="18"/>
        <v>FwdSw</v>
      </c>
      <c r="M128" s="891" t="str">
        <f t="shared" si="19"/>
        <v>--</v>
      </c>
      <c r="N128" s="894" t="str">
        <f ca="1">IFERROR(_xll.qlRateHelperQuoteName(M128,Trigger),"--")</f>
        <v>--</v>
      </c>
      <c r="O128" s="893" t="str">
        <f ca="1">IFERROR(_xll.qlRateHelperQuoteValue($M128,Trigger),"--")</f>
        <v>--</v>
      </c>
      <c r="P128" s="970" t="b">
        <v>0</v>
      </c>
      <c r="Q128" s="891">
        <v>50</v>
      </c>
      <c r="R128" s="891">
        <v>1</v>
      </c>
      <c r="S128" s="890" t="str">
        <f ca="1">IFERROR(_xll.qlRateHelperEarliestDate(M128,Trigger),"--")</f>
        <v>--</v>
      </c>
      <c r="T128" s="890" t="str">
        <f ca="1">IFERROR(_xll.qlRateHelperPillarDate(M128,Trigger),"--")</f>
        <v>--</v>
      </c>
      <c r="V128" s="4" t="str">
        <f t="shared" ca="1" si="17"/>
        <v/>
      </c>
      <c r="W128" s="4" t="e">
        <f ca="1"/>
        <v>#NAME?</v>
      </c>
      <c r="X128" s="4" t="str">
        <f ca="1">IFERROR(_xll.qlRateHelperQuoteName(W128,Trigger),"")</f>
        <v/>
      </c>
      <c r="Y128" s="889" t="str">
        <f ca="1">IFERROR(_xll.qlRateHelperRate(W128,Trigger),"")</f>
        <v/>
      </c>
      <c r="Z128" s="888" t="str">
        <f ca="1">IF(ISERROR(_xll.qlSwapRateHelperSpread($W128)),IF(ISERROR(_xll.qlFuturesRateHelperConvexityAdjustment($W128)),"",_xll.qlFuturesRateHelperConvexityAdjustment($W128)),_xll.qlSwapRateHelperSpread($W128))</f>
        <v/>
      </c>
      <c r="AA128" s="5" t="str">
        <f ca="1">IFERROR(_xll.qlRateHelperEarliestDate(W128,Trigger),"")</f>
        <v/>
      </c>
      <c r="AB128" s="5" t="str">
        <f ca="1">IFERROR(_xll.qlRateHelperPillarDate(W128,Trigger),"")</f>
        <v/>
      </c>
      <c r="AC128" s="887" t="e">
        <f ca="1"/>
        <v>#NAME?</v>
      </c>
    </row>
    <row r="129" spans="1:29" x14ac:dyDescent="0.2">
      <c r="A129" s="874" t="s">
        <v>410</v>
      </c>
      <c r="B129" s="876" t="s">
        <v>54</v>
      </c>
      <c r="C129" s="875" t="s">
        <v>52</v>
      </c>
      <c r="D129" s="875" t="s">
        <v>323</v>
      </c>
      <c r="E129" s="875" t="s">
        <v>322</v>
      </c>
      <c r="F129" s="875" t="s">
        <v>221</v>
      </c>
      <c r="G129" s="875" t="str">
        <f t="shared" si="20"/>
        <v>Euribor6M</v>
      </c>
      <c r="H129" s="874" t="str">
        <f t="shared" si="21"/>
        <v>EUR4F2Y_Quote</v>
      </c>
      <c r="I129" s="877">
        <v>0</v>
      </c>
      <c r="J129" s="43"/>
      <c r="L129" s="895" t="str">
        <f t="shared" si="18"/>
        <v>FwdSw</v>
      </c>
      <c r="M129" s="891" t="str">
        <f t="shared" si="19"/>
        <v>--</v>
      </c>
      <c r="N129" s="894" t="str">
        <f ca="1">IFERROR(_xll.qlRateHelperQuoteName(M129,Trigger),"--")</f>
        <v>--</v>
      </c>
      <c r="O129" s="893" t="str">
        <f ca="1">IFERROR(_xll.qlRateHelperQuoteValue($M129,Trigger),"--")</f>
        <v>--</v>
      </c>
      <c r="P129" s="970" t="b">
        <v>0</v>
      </c>
      <c r="Q129" s="891">
        <v>50</v>
      </c>
      <c r="R129" s="891">
        <v>1</v>
      </c>
      <c r="S129" s="890" t="str">
        <f ca="1">IFERROR(_xll.qlRateHelperEarliestDate(M129,Trigger),"--")</f>
        <v>--</v>
      </c>
      <c r="T129" s="890" t="str">
        <f ca="1">IFERROR(_xll.qlRateHelperPillarDate(M129,Trigger),"--")</f>
        <v>--</v>
      </c>
      <c r="V129" s="4" t="str">
        <f t="shared" ca="1" si="17"/>
        <v/>
      </c>
      <c r="W129" s="4" t="e">
        <f ca="1"/>
        <v>#NAME?</v>
      </c>
      <c r="X129" s="4" t="str">
        <f ca="1">IFERROR(_xll.qlRateHelperQuoteName(W129,Trigger),"")</f>
        <v/>
      </c>
      <c r="Y129" s="889" t="str">
        <f ca="1">IFERROR(_xll.qlRateHelperRate(W129,Trigger),"")</f>
        <v/>
      </c>
      <c r="Z129" s="888" t="str">
        <f ca="1">IF(ISERROR(_xll.qlSwapRateHelperSpread($W129)),IF(ISERROR(_xll.qlFuturesRateHelperConvexityAdjustment($W129)),"",_xll.qlFuturesRateHelperConvexityAdjustment($W129)),_xll.qlSwapRateHelperSpread($W129))</f>
        <v/>
      </c>
      <c r="AA129" s="5" t="str">
        <f ca="1">IFERROR(_xll.qlRateHelperEarliestDate(W129,Trigger),"")</f>
        <v/>
      </c>
      <c r="AB129" s="5" t="str">
        <f ca="1">IFERROR(_xll.qlRateHelperPillarDate(W129,Trigger),"")</f>
        <v/>
      </c>
      <c r="AC129" s="887" t="e">
        <f ca="1"/>
        <v>#NAME?</v>
      </c>
    </row>
    <row r="130" spans="1:29" x14ac:dyDescent="0.2">
      <c r="A130" s="874" t="s">
        <v>410</v>
      </c>
      <c r="B130" s="876" t="s">
        <v>53</v>
      </c>
      <c r="C130" s="875" t="s">
        <v>52</v>
      </c>
      <c r="D130" s="875" t="s">
        <v>323</v>
      </c>
      <c r="E130" s="875" t="s">
        <v>322</v>
      </c>
      <c r="F130" s="875" t="s">
        <v>221</v>
      </c>
      <c r="G130" s="875" t="str">
        <f t="shared" si="20"/>
        <v>Euribor6M</v>
      </c>
      <c r="H130" s="874" t="str">
        <f t="shared" si="21"/>
        <v>EUR4F3Y_Quote</v>
      </c>
      <c r="I130" s="877">
        <v>0</v>
      </c>
      <c r="J130" s="43"/>
      <c r="L130" s="895" t="str">
        <f t="shared" si="18"/>
        <v>FwdSw</v>
      </c>
      <c r="M130" s="891" t="str">
        <f t="shared" si="19"/>
        <v>--</v>
      </c>
      <c r="N130" s="894" t="str">
        <f ca="1">IFERROR(_xll.qlRateHelperQuoteName(M130,Trigger),"--")</f>
        <v>--</v>
      </c>
      <c r="O130" s="893" t="str">
        <f ca="1">IFERROR(_xll.qlRateHelperQuoteValue($M130,Trigger),"--")</f>
        <v>--</v>
      </c>
      <c r="P130" s="970" t="b">
        <v>0</v>
      </c>
      <c r="Q130" s="891">
        <v>50</v>
      </c>
      <c r="R130" s="891">
        <v>1</v>
      </c>
      <c r="S130" s="890" t="str">
        <f ca="1">IFERROR(_xll.qlRateHelperEarliestDate(M130,Trigger),"--")</f>
        <v>--</v>
      </c>
      <c r="T130" s="890" t="str">
        <f ca="1">IFERROR(_xll.qlRateHelperPillarDate(M130,Trigger),"--")</f>
        <v>--</v>
      </c>
      <c r="V130" s="4" t="str">
        <f t="shared" ca="1" si="17"/>
        <v/>
      </c>
      <c r="W130" s="4" t="e">
        <f ca="1"/>
        <v>#NAME?</v>
      </c>
      <c r="X130" s="4" t="str">
        <f ca="1">IFERROR(_xll.qlRateHelperQuoteName(W130,Trigger),"")</f>
        <v/>
      </c>
      <c r="Y130" s="889" t="str">
        <f ca="1">IFERROR(_xll.qlRateHelperRate(W130,Trigger),"")</f>
        <v/>
      </c>
      <c r="Z130" s="888" t="str">
        <f ca="1">IF(ISERROR(_xll.qlSwapRateHelperSpread($W130)),IF(ISERROR(_xll.qlFuturesRateHelperConvexityAdjustment($W130)),"",_xll.qlFuturesRateHelperConvexityAdjustment($W130)),_xll.qlSwapRateHelperSpread($W130))</f>
        <v/>
      </c>
      <c r="AA130" s="5" t="str">
        <f ca="1">IFERROR(_xll.qlRateHelperEarliestDate(W130,Trigger),"")</f>
        <v/>
      </c>
      <c r="AB130" s="5" t="str">
        <f ca="1">IFERROR(_xll.qlRateHelperPillarDate(W130,Trigger),"")</f>
        <v/>
      </c>
      <c r="AC130" s="887" t="e">
        <f ca="1"/>
        <v>#NAME?</v>
      </c>
    </row>
    <row r="131" spans="1:29" x14ac:dyDescent="0.2">
      <c r="A131" s="874" t="s">
        <v>410</v>
      </c>
      <c r="B131" s="876" t="s">
        <v>52</v>
      </c>
      <c r="C131" s="875" t="s">
        <v>52</v>
      </c>
      <c r="D131" s="875" t="s">
        <v>323</v>
      </c>
      <c r="E131" s="875" t="s">
        <v>322</v>
      </c>
      <c r="F131" s="875" t="s">
        <v>221</v>
      </c>
      <c r="G131" s="875" t="str">
        <f t="shared" si="20"/>
        <v>Euribor6M</v>
      </c>
      <c r="H131" s="874" t="str">
        <f t="shared" si="21"/>
        <v>EUR4F4Y_Quote</v>
      </c>
      <c r="I131" s="877">
        <v>0</v>
      </c>
      <c r="J131" s="43"/>
      <c r="L131" s="895" t="str">
        <f t="shared" si="18"/>
        <v>FwdSw</v>
      </c>
      <c r="M131" s="891" t="str">
        <f t="shared" si="19"/>
        <v>--</v>
      </c>
      <c r="N131" s="894" t="str">
        <f ca="1">IFERROR(_xll.qlRateHelperQuoteName(M131,Trigger),"--")</f>
        <v>--</v>
      </c>
      <c r="O131" s="893" t="str">
        <f ca="1">IFERROR(_xll.qlRateHelperQuoteValue($M131,Trigger),"--")</f>
        <v>--</v>
      </c>
      <c r="P131" s="970" t="b">
        <v>0</v>
      </c>
      <c r="Q131" s="891">
        <v>50</v>
      </c>
      <c r="R131" s="891">
        <v>1</v>
      </c>
      <c r="S131" s="890" t="str">
        <f ca="1">IFERROR(_xll.qlRateHelperEarliestDate(M131,Trigger),"--")</f>
        <v>--</v>
      </c>
      <c r="T131" s="890" t="str">
        <f ca="1">IFERROR(_xll.qlRateHelperPillarDate(M131,Trigger),"--")</f>
        <v>--</v>
      </c>
      <c r="V131" s="4" t="str">
        <f t="shared" ref="V131:V194" ca="1" si="22">IFERROR(INDEX($L$3:$L$391,MATCH(X131,$N$3:$N$391,0),1),"")</f>
        <v/>
      </c>
      <c r="W131" s="4" t="e">
        <f ca="1"/>
        <v>#NAME?</v>
      </c>
      <c r="X131" s="4" t="str">
        <f ca="1">IFERROR(_xll.qlRateHelperQuoteName(W131,Trigger),"")</f>
        <v/>
      </c>
      <c r="Y131" s="889" t="str">
        <f ca="1">IFERROR(_xll.qlRateHelperRate(W131,Trigger),"")</f>
        <v/>
      </c>
      <c r="Z131" s="888" t="str">
        <f ca="1">IF(ISERROR(_xll.qlSwapRateHelperSpread($W131)),IF(ISERROR(_xll.qlFuturesRateHelperConvexityAdjustment($W131)),"",_xll.qlFuturesRateHelperConvexityAdjustment($W131)),_xll.qlSwapRateHelperSpread($W131))</f>
        <v/>
      </c>
      <c r="AA131" s="5" t="str">
        <f ca="1">IFERROR(_xll.qlRateHelperEarliestDate(W131,Trigger),"")</f>
        <v/>
      </c>
      <c r="AB131" s="5" t="str">
        <f ca="1">IFERROR(_xll.qlRateHelperPillarDate(W131,Trigger),"")</f>
        <v/>
      </c>
      <c r="AC131" s="887" t="e">
        <f ca="1"/>
        <v>#NAME?</v>
      </c>
    </row>
    <row r="132" spans="1:29" x14ac:dyDescent="0.2">
      <c r="A132" s="874" t="s">
        <v>410</v>
      </c>
      <c r="B132" s="876" t="s">
        <v>51</v>
      </c>
      <c r="C132" s="875" t="s">
        <v>52</v>
      </c>
      <c r="D132" s="875" t="s">
        <v>323</v>
      </c>
      <c r="E132" s="875" t="s">
        <v>322</v>
      </c>
      <c r="F132" s="875" t="s">
        <v>221</v>
      </c>
      <c r="G132" s="875" t="str">
        <f t="shared" si="20"/>
        <v>Euribor6M</v>
      </c>
      <c r="H132" s="874" t="str">
        <f t="shared" si="21"/>
        <v>EUR4F5Y_Quote</v>
      </c>
      <c r="I132" s="877">
        <v>0</v>
      </c>
      <c r="J132" s="43"/>
      <c r="L132" s="895" t="str">
        <f t="shared" ref="L132:L195" si="23">A138</f>
        <v>FwdSw</v>
      </c>
      <c r="M132" s="891" t="str">
        <f t="shared" ref="M132:M195" si="24">IF(ISBLANK(J138),"--",J138)</f>
        <v>--</v>
      </c>
      <c r="N132" s="894" t="str">
        <f ca="1">IFERROR(_xll.qlRateHelperQuoteName(M132,Trigger),"--")</f>
        <v>--</v>
      </c>
      <c r="O132" s="893" t="str">
        <f ca="1">IFERROR(_xll.qlRateHelperQuoteValue($M132,Trigger),"--")</f>
        <v>--</v>
      </c>
      <c r="P132" s="970" t="b">
        <v>0</v>
      </c>
      <c r="Q132" s="891">
        <v>50</v>
      </c>
      <c r="R132" s="891">
        <v>1</v>
      </c>
      <c r="S132" s="890" t="str">
        <f ca="1">IFERROR(_xll.qlRateHelperEarliestDate(M132,Trigger),"--")</f>
        <v>--</v>
      </c>
      <c r="T132" s="890" t="str">
        <f ca="1">IFERROR(_xll.qlRateHelperPillarDate(M132,Trigger),"--")</f>
        <v>--</v>
      </c>
      <c r="V132" s="4" t="str">
        <f t="shared" ca="1" si="22"/>
        <v/>
      </c>
      <c r="W132" s="4" t="e">
        <f ca="1"/>
        <v>#NAME?</v>
      </c>
      <c r="X132" s="4" t="str">
        <f ca="1">IFERROR(_xll.qlRateHelperQuoteName(W132,Trigger),"")</f>
        <v/>
      </c>
      <c r="Y132" s="889" t="str">
        <f ca="1">IFERROR(_xll.qlRateHelperRate(W132,Trigger),"")</f>
        <v/>
      </c>
      <c r="Z132" s="888" t="str">
        <f ca="1">IF(ISERROR(_xll.qlSwapRateHelperSpread($W132)),IF(ISERROR(_xll.qlFuturesRateHelperConvexityAdjustment($W132)),"",_xll.qlFuturesRateHelperConvexityAdjustment($W132)),_xll.qlSwapRateHelperSpread($W132))</f>
        <v/>
      </c>
      <c r="AA132" s="5" t="str">
        <f ca="1">IFERROR(_xll.qlRateHelperEarliestDate(W132,Trigger),"")</f>
        <v/>
      </c>
      <c r="AB132" s="5" t="str">
        <f ca="1">IFERROR(_xll.qlRateHelperPillarDate(W132,Trigger),"")</f>
        <v/>
      </c>
      <c r="AC132" s="887" t="e">
        <f ca="1"/>
        <v>#NAME?</v>
      </c>
    </row>
    <row r="133" spans="1:29" x14ac:dyDescent="0.2">
      <c r="A133" s="874" t="s">
        <v>410</v>
      </c>
      <c r="B133" s="876" t="s">
        <v>50</v>
      </c>
      <c r="C133" s="875" t="s">
        <v>52</v>
      </c>
      <c r="D133" s="875" t="s">
        <v>323</v>
      </c>
      <c r="E133" s="875" t="s">
        <v>322</v>
      </c>
      <c r="F133" s="875" t="s">
        <v>221</v>
      </c>
      <c r="G133" s="875" t="str">
        <f t="shared" si="20"/>
        <v>Euribor6M</v>
      </c>
      <c r="H133" s="874" t="str">
        <f t="shared" si="21"/>
        <v>EUR4F6Y_Quote</v>
      </c>
      <c r="I133" s="877">
        <v>0</v>
      </c>
      <c r="J133" s="43"/>
      <c r="L133" s="895" t="str">
        <f t="shared" si="23"/>
        <v>FwdSw</v>
      </c>
      <c r="M133" s="891" t="str">
        <f t="shared" si="24"/>
        <v>--</v>
      </c>
      <c r="N133" s="894" t="str">
        <f ca="1">IFERROR(_xll.qlRateHelperQuoteName(M133,Trigger),"--")</f>
        <v>--</v>
      </c>
      <c r="O133" s="893" t="str">
        <f ca="1">IFERROR(_xll.qlRateHelperQuoteValue($M133,Trigger),"--")</f>
        <v>--</v>
      </c>
      <c r="P133" s="970" t="b">
        <v>0</v>
      </c>
      <c r="Q133" s="891">
        <v>50</v>
      </c>
      <c r="R133" s="891">
        <v>1</v>
      </c>
      <c r="S133" s="890" t="str">
        <f ca="1">IFERROR(_xll.qlRateHelperEarliestDate(M133,Trigger),"--")</f>
        <v>--</v>
      </c>
      <c r="T133" s="890" t="str">
        <f ca="1">IFERROR(_xll.qlRateHelperPillarDate(M133,Trigger),"--")</f>
        <v>--</v>
      </c>
      <c r="V133" s="4" t="str">
        <f t="shared" ca="1" si="22"/>
        <v/>
      </c>
      <c r="W133" s="4" t="e">
        <f ca="1"/>
        <v>#NAME?</v>
      </c>
      <c r="X133" s="4" t="str">
        <f ca="1">IFERROR(_xll.qlRateHelperQuoteName(W133,Trigger),"")</f>
        <v/>
      </c>
      <c r="Y133" s="889" t="str">
        <f ca="1">IFERROR(_xll.qlRateHelperRate(W133,Trigger),"")</f>
        <v/>
      </c>
      <c r="Z133" s="888" t="str">
        <f ca="1">IF(ISERROR(_xll.qlSwapRateHelperSpread($W133)),IF(ISERROR(_xll.qlFuturesRateHelperConvexityAdjustment($W133)),"",_xll.qlFuturesRateHelperConvexityAdjustment($W133)),_xll.qlSwapRateHelperSpread($W133))</f>
        <v/>
      </c>
      <c r="AA133" s="5" t="str">
        <f ca="1">IFERROR(_xll.qlRateHelperEarliestDate(W133,Trigger),"")</f>
        <v/>
      </c>
      <c r="AB133" s="5" t="str">
        <f ca="1">IFERROR(_xll.qlRateHelperPillarDate(W133,Trigger),"")</f>
        <v/>
      </c>
      <c r="AC133" s="887" t="e">
        <f ca="1"/>
        <v>#NAME?</v>
      </c>
    </row>
    <row r="134" spans="1:29" x14ac:dyDescent="0.2">
      <c r="A134" s="874" t="s">
        <v>410</v>
      </c>
      <c r="B134" s="876" t="s">
        <v>49</v>
      </c>
      <c r="C134" s="875" t="s">
        <v>52</v>
      </c>
      <c r="D134" s="875" t="s">
        <v>323</v>
      </c>
      <c r="E134" s="875" t="s">
        <v>322</v>
      </c>
      <c r="F134" s="875" t="s">
        <v>221</v>
      </c>
      <c r="G134" s="875" t="str">
        <f t="shared" si="20"/>
        <v>Euribor6M</v>
      </c>
      <c r="H134" s="874" t="str">
        <f t="shared" si="21"/>
        <v>EUR4F7Y_Quote</v>
      </c>
      <c r="I134" s="877">
        <v>0</v>
      </c>
      <c r="J134" s="43"/>
      <c r="L134" s="895" t="str">
        <f t="shared" si="23"/>
        <v>FwdSw</v>
      </c>
      <c r="M134" s="891" t="str">
        <f t="shared" si="24"/>
        <v>--</v>
      </c>
      <c r="N134" s="894" t="str">
        <f ca="1">IFERROR(_xll.qlRateHelperQuoteName(M134,Trigger),"--")</f>
        <v>--</v>
      </c>
      <c r="O134" s="893" t="str">
        <f ca="1">IFERROR(_xll.qlRateHelperQuoteValue($M134,Trigger),"--")</f>
        <v>--</v>
      </c>
      <c r="P134" s="970" t="b">
        <v>0</v>
      </c>
      <c r="Q134" s="891">
        <v>50</v>
      </c>
      <c r="R134" s="891">
        <v>1</v>
      </c>
      <c r="S134" s="890" t="str">
        <f ca="1">IFERROR(_xll.qlRateHelperEarliestDate(M134,Trigger),"--")</f>
        <v>--</v>
      </c>
      <c r="T134" s="890" t="str">
        <f ca="1">IFERROR(_xll.qlRateHelperPillarDate(M134,Trigger),"--")</f>
        <v>--</v>
      </c>
      <c r="V134" s="4" t="str">
        <f t="shared" ca="1" si="22"/>
        <v/>
      </c>
      <c r="W134" s="4" t="e">
        <f ca="1"/>
        <v>#NAME?</v>
      </c>
      <c r="X134" s="4" t="str">
        <f ca="1">IFERROR(_xll.qlRateHelperQuoteName(W134,Trigger),"")</f>
        <v/>
      </c>
      <c r="Y134" s="889" t="str">
        <f ca="1">IFERROR(_xll.qlRateHelperRate(W134,Trigger),"")</f>
        <v/>
      </c>
      <c r="Z134" s="888" t="str">
        <f ca="1">IF(ISERROR(_xll.qlSwapRateHelperSpread($W134)),IF(ISERROR(_xll.qlFuturesRateHelperConvexityAdjustment($W134)),"",_xll.qlFuturesRateHelperConvexityAdjustment($W134)),_xll.qlSwapRateHelperSpread($W134))</f>
        <v/>
      </c>
      <c r="AA134" s="5" t="str">
        <f ca="1">IFERROR(_xll.qlRateHelperEarliestDate(W134,Trigger),"")</f>
        <v/>
      </c>
      <c r="AB134" s="5" t="str">
        <f ca="1">IFERROR(_xll.qlRateHelperPillarDate(W134,Trigger),"")</f>
        <v/>
      </c>
      <c r="AC134" s="887" t="e">
        <f ca="1"/>
        <v>#NAME?</v>
      </c>
    </row>
    <row r="135" spans="1:29" x14ac:dyDescent="0.2">
      <c r="A135" s="874" t="s">
        <v>410</v>
      </c>
      <c r="B135" s="876" t="s">
        <v>48</v>
      </c>
      <c r="C135" s="875" t="s">
        <v>52</v>
      </c>
      <c r="D135" s="875" t="s">
        <v>323</v>
      </c>
      <c r="E135" s="875" t="s">
        <v>322</v>
      </c>
      <c r="F135" s="875" t="s">
        <v>221</v>
      </c>
      <c r="G135" s="875" t="str">
        <f t="shared" si="20"/>
        <v>Euribor6M</v>
      </c>
      <c r="H135" s="874" t="str">
        <f t="shared" si="21"/>
        <v>EUR4F8Y_Quote</v>
      </c>
      <c r="I135" s="877">
        <v>0</v>
      </c>
      <c r="J135" s="43"/>
      <c r="L135" s="895" t="str">
        <f t="shared" si="23"/>
        <v>FwdSw</v>
      </c>
      <c r="M135" s="891" t="str">
        <f t="shared" si="24"/>
        <v>--</v>
      </c>
      <c r="N135" s="894" t="str">
        <f ca="1">IFERROR(_xll.qlRateHelperQuoteName(M135,Trigger),"--")</f>
        <v>--</v>
      </c>
      <c r="O135" s="893" t="str">
        <f ca="1">IFERROR(_xll.qlRateHelperQuoteValue($M135,Trigger),"--")</f>
        <v>--</v>
      </c>
      <c r="P135" s="970" t="b">
        <v>0</v>
      </c>
      <c r="Q135" s="891">
        <v>50</v>
      </c>
      <c r="R135" s="891">
        <v>1</v>
      </c>
      <c r="S135" s="890" t="str">
        <f ca="1">IFERROR(_xll.qlRateHelperEarliestDate(M135,Trigger),"--")</f>
        <v>--</v>
      </c>
      <c r="T135" s="890" t="str">
        <f ca="1">IFERROR(_xll.qlRateHelperPillarDate(M135,Trigger),"--")</f>
        <v>--</v>
      </c>
      <c r="V135" s="4" t="str">
        <f t="shared" ca="1" si="22"/>
        <v/>
      </c>
      <c r="W135" s="4" t="e">
        <f ca="1"/>
        <v>#NAME?</v>
      </c>
      <c r="X135" s="4" t="str">
        <f ca="1">IFERROR(_xll.qlRateHelperQuoteName(W135,Trigger),"")</f>
        <v/>
      </c>
      <c r="Y135" s="889" t="str">
        <f ca="1">IFERROR(_xll.qlRateHelperRate(W135,Trigger),"")</f>
        <v/>
      </c>
      <c r="Z135" s="888" t="str">
        <f ca="1">IF(ISERROR(_xll.qlSwapRateHelperSpread($W135)),IF(ISERROR(_xll.qlFuturesRateHelperConvexityAdjustment($W135)),"",_xll.qlFuturesRateHelperConvexityAdjustment($W135)),_xll.qlSwapRateHelperSpread($W135))</f>
        <v/>
      </c>
      <c r="AA135" s="5" t="str">
        <f ca="1">IFERROR(_xll.qlRateHelperEarliestDate(W135,Trigger),"")</f>
        <v/>
      </c>
      <c r="AB135" s="5" t="str">
        <f ca="1">IFERROR(_xll.qlRateHelperPillarDate(W135,Trigger),"")</f>
        <v/>
      </c>
      <c r="AC135" s="887" t="e">
        <f ca="1"/>
        <v>#NAME?</v>
      </c>
    </row>
    <row r="136" spans="1:29" x14ac:dyDescent="0.2">
      <c r="A136" s="874" t="s">
        <v>410</v>
      </c>
      <c r="B136" s="876" t="s">
        <v>47</v>
      </c>
      <c r="C136" s="875" t="s">
        <v>52</v>
      </c>
      <c r="D136" s="875" t="s">
        <v>323</v>
      </c>
      <c r="E136" s="875" t="s">
        <v>322</v>
      </c>
      <c r="F136" s="875" t="s">
        <v>221</v>
      </c>
      <c r="G136" s="875" t="str">
        <f t="shared" si="20"/>
        <v>Euribor6M</v>
      </c>
      <c r="H136" s="874" t="str">
        <f t="shared" si="21"/>
        <v>EUR4F9Y_Quote</v>
      </c>
      <c r="I136" s="877">
        <v>0</v>
      </c>
      <c r="J136" s="43"/>
      <c r="L136" s="895" t="str">
        <f t="shared" si="23"/>
        <v>FwdSw</v>
      </c>
      <c r="M136" s="891" t="str">
        <f t="shared" si="24"/>
        <v>--</v>
      </c>
      <c r="N136" s="894" t="str">
        <f ca="1">IFERROR(_xll.qlRateHelperQuoteName(M136,Trigger),"--")</f>
        <v>--</v>
      </c>
      <c r="O136" s="893" t="str">
        <f ca="1">IFERROR(_xll.qlRateHelperQuoteValue($M136,Trigger),"--")</f>
        <v>--</v>
      </c>
      <c r="P136" s="970" t="b">
        <v>0</v>
      </c>
      <c r="Q136" s="891">
        <v>50</v>
      </c>
      <c r="R136" s="891">
        <v>1</v>
      </c>
      <c r="S136" s="890" t="str">
        <f ca="1">IFERROR(_xll.qlRateHelperEarliestDate(M136,Trigger),"--")</f>
        <v>--</v>
      </c>
      <c r="T136" s="890" t="str">
        <f ca="1">IFERROR(_xll.qlRateHelperPillarDate(M136,Trigger),"--")</f>
        <v>--</v>
      </c>
      <c r="V136" s="4" t="str">
        <f t="shared" ca="1" si="22"/>
        <v/>
      </c>
      <c r="W136" s="4" t="e">
        <f ca="1"/>
        <v>#NAME?</v>
      </c>
      <c r="X136" s="4" t="str">
        <f ca="1">IFERROR(_xll.qlRateHelperQuoteName(W136,Trigger),"")</f>
        <v/>
      </c>
      <c r="Y136" s="889" t="str">
        <f ca="1">IFERROR(_xll.qlRateHelperRate(W136,Trigger),"")</f>
        <v/>
      </c>
      <c r="Z136" s="888" t="str">
        <f ca="1">IF(ISERROR(_xll.qlSwapRateHelperSpread($W136)),IF(ISERROR(_xll.qlFuturesRateHelperConvexityAdjustment($W136)),"",_xll.qlFuturesRateHelperConvexityAdjustment($W136)),_xll.qlSwapRateHelperSpread($W136))</f>
        <v/>
      </c>
      <c r="AA136" s="5" t="str">
        <f ca="1">IFERROR(_xll.qlRateHelperEarliestDate(W136,Trigger),"")</f>
        <v/>
      </c>
      <c r="AB136" s="5" t="str">
        <f ca="1">IFERROR(_xll.qlRateHelperPillarDate(W136,Trigger),"")</f>
        <v/>
      </c>
      <c r="AC136" s="887" t="e">
        <f ca="1"/>
        <v>#NAME?</v>
      </c>
    </row>
    <row r="137" spans="1:29" x14ac:dyDescent="0.2">
      <c r="A137" s="874" t="s">
        <v>410</v>
      </c>
      <c r="B137" s="876" t="s">
        <v>46</v>
      </c>
      <c r="C137" s="875" t="s">
        <v>52</v>
      </c>
      <c r="D137" s="875" t="s">
        <v>323</v>
      </c>
      <c r="E137" s="875" t="s">
        <v>322</v>
      </c>
      <c r="F137" s="875" t="s">
        <v>221</v>
      </c>
      <c r="G137" s="875" t="str">
        <f t="shared" si="20"/>
        <v>Euribor6M</v>
      </c>
      <c r="H137" s="874" t="str">
        <f t="shared" si="21"/>
        <v>EUR4F10Y_Quote</v>
      </c>
      <c r="I137" s="877">
        <v>0</v>
      </c>
      <c r="J137" s="43"/>
      <c r="L137" s="895" t="str">
        <f t="shared" si="23"/>
        <v>FwdSw</v>
      </c>
      <c r="M137" s="891" t="str">
        <f t="shared" si="24"/>
        <v>--</v>
      </c>
      <c r="N137" s="894" t="str">
        <f ca="1">IFERROR(_xll.qlRateHelperQuoteName(M137,Trigger),"--")</f>
        <v>--</v>
      </c>
      <c r="O137" s="893" t="str">
        <f ca="1">IFERROR(_xll.qlRateHelperQuoteValue($M137,Trigger),"--")</f>
        <v>--</v>
      </c>
      <c r="P137" s="970" t="b">
        <v>0</v>
      </c>
      <c r="Q137" s="891">
        <v>50</v>
      </c>
      <c r="R137" s="891">
        <v>1</v>
      </c>
      <c r="S137" s="890" t="str">
        <f ca="1">IFERROR(_xll.qlRateHelperEarliestDate(M137,Trigger),"--")</f>
        <v>--</v>
      </c>
      <c r="T137" s="890" t="str">
        <f ca="1">IFERROR(_xll.qlRateHelperPillarDate(M137,Trigger),"--")</f>
        <v>--</v>
      </c>
      <c r="V137" s="4" t="str">
        <f t="shared" ca="1" si="22"/>
        <v/>
      </c>
      <c r="W137" s="4" t="e">
        <f ca="1"/>
        <v>#NAME?</v>
      </c>
      <c r="X137" s="4" t="str">
        <f ca="1">IFERROR(_xll.qlRateHelperQuoteName(W137,Trigger),"")</f>
        <v/>
      </c>
      <c r="Y137" s="889" t="str">
        <f ca="1">IFERROR(_xll.qlRateHelperRate(W137,Trigger),"")</f>
        <v/>
      </c>
      <c r="Z137" s="888" t="str">
        <f ca="1">IF(ISERROR(_xll.qlSwapRateHelperSpread($W137)),IF(ISERROR(_xll.qlFuturesRateHelperConvexityAdjustment($W137)),"",_xll.qlFuturesRateHelperConvexityAdjustment($W137)),_xll.qlSwapRateHelperSpread($W137))</f>
        <v/>
      </c>
      <c r="AA137" s="5" t="str">
        <f ca="1">IFERROR(_xll.qlRateHelperEarliestDate(W137,Trigger),"")</f>
        <v/>
      </c>
      <c r="AB137" s="5" t="str">
        <f ca="1">IFERROR(_xll.qlRateHelperPillarDate(W137,Trigger),"")</f>
        <v/>
      </c>
      <c r="AC137" s="887" t="e">
        <f ca="1"/>
        <v>#NAME?</v>
      </c>
    </row>
    <row r="138" spans="1:29" x14ac:dyDescent="0.2">
      <c r="A138" s="874" t="s">
        <v>410</v>
      </c>
      <c r="B138" s="876" t="s">
        <v>45</v>
      </c>
      <c r="C138" s="875" t="s">
        <v>52</v>
      </c>
      <c r="D138" s="875" t="s">
        <v>323</v>
      </c>
      <c r="E138" s="875" t="s">
        <v>322</v>
      </c>
      <c r="F138" s="875" t="s">
        <v>221</v>
      </c>
      <c r="G138" s="875" t="str">
        <f t="shared" ref="G138:G201" si="25">PROPER(Currency)&amp;FamilyName&amp;Tenor</f>
        <v>Euribor6M</v>
      </c>
      <c r="H138" s="874" t="str">
        <f t="shared" ref="H138:H201" si="26">Currency&amp;SUBSTITUTE(C138,"Y","F")&amp;B138&amp;QuoteSuffix</f>
        <v>EUR4F11Y_Quote</v>
      </c>
      <c r="I138" s="877">
        <v>0</v>
      </c>
      <c r="J138" s="43"/>
      <c r="L138" s="895" t="str">
        <f t="shared" si="23"/>
        <v>FwdSw</v>
      </c>
      <c r="M138" s="891" t="str">
        <f t="shared" si="24"/>
        <v>--</v>
      </c>
      <c r="N138" s="894" t="str">
        <f ca="1">IFERROR(_xll.qlRateHelperQuoteName(M138,Trigger),"--")</f>
        <v>--</v>
      </c>
      <c r="O138" s="893" t="str">
        <f ca="1">IFERROR(_xll.qlRateHelperQuoteValue($M138,Trigger),"--")</f>
        <v>--</v>
      </c>
      <c r="P138" s="970" t="b">
        <v>0</v>
      </c>
      <c r="Q138" s="891">
        <v>50</v>
      </c>
      <c r="R138" s="891">
        <v>1</v>
      </c>
      <c r="S138" s="890" t="str">
        <f ca="1">IFERROR(_xll.qlRateHelperEarliestDate(M138,Trigger),"--")</f>
        <v>--</v>
      </c>
      <c r="T138" s="890" t="str">
        <f ca="1">IFERROR(_xll.qlRateHelperPillarDate(M138,Trigger),"--")</f>
        <v>--</v>
      </c>
      <c r="V138" s="4" t="str">
        <f t="shared" ca="1" si="22"/>
        <v/>
      </c>
      <c r="W138" s="4" t="e">
        <f ca="1"/>
        <v>#NAME?</v>
      </c>
      <c r="X138" s="4" t="str">
        <f ca="1">IFERROR(_xll.qlRateHelperQuoteName(W138,Trigger),"")</f>
        <v/>
      </c>
      <c r="Y138" s="889" t="str">
        <f ca="1">IFERROR(_xll.qlRateHelperRate(W138,Trigger),"")</f>
        <v/>
      </c>
      <c r="Z138" s="888" t="str">
        <f ca="1">IF(ISERROR(_xll.qlSwapRateHelperSpread($W138)),IF(ISERROR(_xll.qlFuturesRateHelperConvexityAdjustment($W138)),"",_xll.qlFuturesRateHelperConvexityAdjustment($W138)),_xll.qlSwapRateHelperSpread($W138))</f>
        <v/>
      </c>
      <c r="AA138" s="5" t="str">
        <f ca="1">IFERROR(_xll.qlRateHelperEarliestDate(W138,Trigger),"")</f>
        <v/>
      </c>
      <c r="AB138" s="5" t="str">
        <f ca="1">IFERROR(_xll.qlRateHelperPillarDate(W138,Trigger),"")</f>
        <v/>
      </c>
      <c r="AC138" s="887" t="e">
        <f ca="1"/>
        <v>#NAME?</v>
      </c>
    </row>
    <row r="139" spans="1:29" x14ac:dyDescent="0.2">
      <c r="A139" s="874" t="s">
        <v>410</v>
      </c>
      <c r="B139" s="876" t="s">
        <v>44</v>
      </c>
      <c r="C139" s="875" t="s">
        <v>52</v>
      </c>
      <c r="D139" s="875" t="s">
        <v>323</v>
      </c>
      <c r="E139" s="875" t="s">
        <v>322</v>
      </c>
      <c r="F139" s="875" t="s">
        <v>221</v>
      </c>
      <c r="G139" s="875" t="str">
        <f t="shared" si="25"/>
        <v>Euribor6M</v>
      </c>
      <c r="H139" s="874" t="str">
        <f t="shared" si="26"/>
        <v>EUR4F12Y_Quote</v>
      </c>
      <c r="I139" s="877">
        <v>0</v>
      </c>
      <c r="J139" s="43"/>
      <c r="L139" s="895" t="str">
        <f t="shared" si="23"/>
        <v>FwdSw</v>
      </c>
      <c r="M139" s="891" t="str">
        <f t="shared" si="24"/>
        <v>--</v>
      </c>
      <c r="N139" s="894" t="str">
        <f ca="1">IFERROR(_xll.qlRateHelperQuoteName(M139,Trigger),"--")</f>
        <v>--</v>
      </c>
      <c r="O139" s="893" t="str">
        <f ca="1">IFERROR(_xll.qlRateHelperQuoteValue($M139,Trigger),"--")</f>
        <v>--</v>
      </c>
      <c r="P139" s="970" t="b">
        <v>0</v>
      </c>
      <c r="Q139" s="891">
        <v>50</v>
      </c>
      <c r="R139" s="891">
        <v>1</v>
      </c>
      <c r="S139" s="890" t="str">
        <f ca="1">IFERROR(_xll.qlRateHelperEarliestDate(M139,Trigger),"--")</f>
        <v>--</v>
      </c>
      <c r="T139" s="890" t="str">
        <f ca="1">IFERROR(_xll.qlRateHelperPillarDate(M139,Trigger),"--")</f>
        <v>--</v>
      </c>
      <c r="V139" s="4" t="str">
        <f t="shared" ca="1" si="22"/>
        <v/>
      </c>
      <c r="W139" s="4" t="e">
        <f ca="1"/>
        <v>#NAME?</v>
      </c>
      <c r="X139" s="4" t="str">
        <f ca="1">IFERROR(_xll.qlRateHelperQuoteName(W139,Trigger),"")</f>
        <v/>
      </c>
      <c r="Y139" s="889" t="str">
        <f ca="1">IFERROR(_xll.qlRateHelperRate(W139,Trigger),"")</f>
        <v/>
      </c>
      <c r="Z139" s="888" t="str">
        <f ca="1">IF(ISERROR(_xll.qlSwapRateHelperSpread($W139)),IF(ISERROR(_xll.qlFuturesRateHelperConvexityAdjustment($W139)),"",_xll.qlFuturesRateHelperConvexityAdjustment($W139)),_xll.qlSwapRateHelperSpread($W139))</f>
        <v/>
      </c>
      <c r="AA139" s="5" t="str">
        <f ca="1">IFERROR(_xll.qlRateHelperEarliestDate(W139,Trigger),"")</f>
        <v/>
      </c>
      <c r="AB139" s="5" t="str">
        <f ca="1">IFERROR(_xll.qlRateHelperPillarDate(W139,Trigger),"")</f>
        <v/>
      </c>
      <c r="AC139" s="887" t="e">
        <f ca="1"/>
        <v>#NAME?</v>
      </c>
    </row>
    <row r="140" spans="1:29" x14ac:dyDescent="0.2">
      <c r="A140" s="874" t="s">
        <v>410</v>
      </c>
      <c r="B140" s="876" t="s">
        <v>43</v>
      </c>
      <c r="C140" s="875" t="s">
        <v>52</v>
      </c>
      <c r="D140" s="875" t="s">
        <v>323</v>
      </c>
      <c r="E140" s="875" t="s">
        <v>322</v>
      </c>
      <c r="F140" s="875" t="s">
        <v>221</v>
      </c>
      <c r="G140" s="875" t="str">
        <f t="shared" si="25"/>
        <v>Euribor6M</v>
      </c>
      <c r="H140" s="874" t="str">
        <f t="shared" si="26"/>
        <v>EUR4F13Y_Quote</v>
      </c>
      <c r="I140" s="877">
        <v>0</v>
      </c>
      <c r="J140" s="43"/>
      <c r="L140" s="895" t="str">
        <f t="shared" si="23"/>
        <v>FwdSw</v>
      </c>
      <c r="M140" s="891" t="str">
        <f t="shared" si="24"/>
        <v>--</v>
      </c>
      <c r="N140" s="894" t="str">
        <f ca="1">IFERROR(_xll.qlRateHelperQuoteName(M140,Trigger),"--")</f>
        <v>--</v>
      </c>
      <c r="O140" s="893" t="str">
        <f ca="1">IFERROR(_xll.qlRateHelperQuoteValue($M140,Trigger),"--")</f>
        <v>--</v>
      </c>
      <c r="P140" s="970" t="b">
        <v>0</v>
      </c>
      <c r="Q140" s="891">
        <v>50</v>
      </c>
      <c r="R140" s="891">
        <v>1</v>
      </c>
      <c r="S140" s="890" t="str">
        <f ca="1">IFERROR(_xll.qlRateHelperEarliestDate(M140,Trigger),"--")</f>
        <v>--</v>
      </c>
      <c r="T140" s="890" t="str">
        <f ca="1">IFERROR(_xll.qlRateHelperPillarDate(M140,Trigger),"--")</f>
        <v>--</v>
      </c>
      <c r="V140" s="4" t="str">
        <f t="shared" ca="1" si="22"/>
        <v/>
      </c>
      <c r="W140" s="4" t="e">
        <f ca="1"/>
        <v>#NAME?</v>
      </c>
      <c r="X140" s="4" t="str">
        <f ca="1">IFERROR(_xll.qlRateHelperQuoteName(W140,Trigger),"")</f>
        <v/>
      </c>
      <c r="Y140" s="889" t="str">
        <f ca="1">IFERROR(_xll.qlRateHelperRate(W140,Trigger),"")</f>
        <v/>
      </c>
      <c r="Z140" s="888" t="str">
        <f ca="1">IF(ISERROR(_xll.qlSwapRateHelperSpread($W140)),IF(ISERROR(_xll.qlFuturesRateHelperConvexityAdjustment($W140)),"",_xll.qlFuturesRateHelperConvexityAdjustment($W140)),_xll.qlSwapRateHelperSpread($W140))</f>
        <v/>
      </c>
      <c r="AA140" s="5" t="str">
        <f ca="1">IFERROR(_xll.qlRateHelperEarliestDate(W140,Trigger),"")</f>
        <v/>
      </c>
      <c r="AB140" s="5" t="str">
        <f ca="1">IFERROR(_xll.qlRateHelperPillarDate(W140,Trigger),"")</f>
        <v/>
      </c>
      <c r="AC140" s="887" t="e">
        <f ca="1"/>
        <v>#NAME?</v>
      </c>
    </row>
    <row r="141" spans="1:29" x14ac:dyDescent="0.2">
      <c r="A141" s="874" t="s">
        <v>410</v>
      </c>
      <c r="B141" s="876" t="s">
        <v>42</v>
      </c>
      <c r="C141" s="875" t="s">
        <v>52</v>
      </c>
      <c r="D141" s="875" t="s">
        <v>323</v>
      </c>
      <c r="E141" s="875" t="s">
        <v>322</v>
      </c>
      <c r="F141" s="875" t="s">
        <v>221</v>
      </c>
      <c r="G141" s="875" t="str">
        <f t="shared" si="25"/>
        <v>Euribor6M</v>
      </c>
      <c r="H141" s="874" t="str">
        <f t="shared" si="26"/>
        <v>EUR4F14Y_Quote</v>
      </c>
      <c r="I141" s="877">
        <v>0</v>
      </c>
      <c r="J141" s="43"/>
      <c r="L141" s="895" t="str">
        <f t="shared" si="23"/>
        <v>FwdSw</v>
      </c>
      <c r="M141" s="891" t="str">
        <f t="shared" si="24"/>
        <v>--</v>
      </c>
      <c r="N141" s="894" t="str">
        <f ca="1">IFERROR(_xll.qlRateHelperQuoteName(M141,Trigger),"--")</f>
        <v>--</v>
      </c>
      <c r="O141" s="893" t="str">
        <f ca="1">IFERROR(_xll.qlRateHelperQuoteValue($M141,Trigger),"--")</f>
        <v>--</v>
      </c>
      <c r="P141" s="970" t="b">
        <v>0</v>
      </c>
      <c r="Q141" s="891">
        <v>50</v>
      </c>
      <c r="R141" s="891">
        <v>1</v>
      </c>
      <c r="S141" s="890" t="str">
        <f ca="1">IFERROR(_xll.qlRateHelperEarliestDate(M141,Trigger),"--")</f>
        <v>--</v>
      </c>
      <c r="T141" s="890" t="str">
        <f ca="1">IFERROR(_xll.qlRateHelperPillarDate(M141,Trigger),"--")</f>
        <v>--</v>
      </c>
      <c r="V141" s="4" t="str">
        <f t="shared" ca="1" si="22"/>
        <v/>
      </c>
      <c r="W141" s="4" t="e">
        <f ca="1"/>
        <v>#NAME?</v>
      </c>
      <c r="X141" s="4" t="str">
        <f ca="1">IFERROR(_xll.qlRateHelperQuoteName(W141,Trigger),"")</f>
        <v/>
      </c>
      <c r="Y141" s="889" t="str">
        <f ca="1">IFERROR(_xll.qlRateHelperRate(W141,Trigger),"")</f>
        <v/>
      </c>
      <c r="Z141" s="888" t="str">
        <f ca="1">IF(ISERROR(_xll.qlSwapRateHelperSpread($W141)),IF(ISERROR(_xll.qlFuturesRateHelperConvexityAdjustment($W141)),"",_xll.qlFuturesRateHelperConvexityAdjustment($W141)),_xll.qlSwapRateHelperSpread($W141))</f>
        <v/>
      </c>
      <c r="AA141" s="5" t="str">
        <f ca="1">IFERROR(_xll.qlRateHelperEarliestDate(W141,Trigger),"")</f>
        <v/>
      </c>
      <c r="AB141" s="5" t="str">
        <f ca="1">IFERROR(_xll.qlRateHelperPillarDate(W141,Trigger),"")</f>
        <v/>
      </c>
      <c r="AC141" s="887" t="e">
        <f ca="1"/>
        <v>#NAME?</v>
      </c>
    </row>
    <row r="142" spans="1:29" x14ac:dyDescent="0.2">
      <c r="A142" s="874" t="s">
        <v>410</v>
      </c>
      <c r="B142" s="876" t="s">
        <v>41</v>
      </c>
      <c r="C142" s="875" t="s">
        <v>52</v>
      </c>
      <c r="D142" s="875" t="s">
        <v>323</v>
      </c>
      <c r="E142" s="875" t="s">
        <v>322</v>
      </c>
      <c r="F142" s="875" t="s">
        <v>221</v>
      </c>
      <c r="G142" s="875" t="str">
        <f t="shared" si="25"/>
        <v>Euribor6M</v>
      </c>
      <c r="H142" s="874" t="str">
        <f t="shared" si="26"/>
        <v>EUR4F15Y_Quote</v>
      </c>
      <c r="I142" s="877">
        <v>0</v>
      </c>
      <c r="J142" s="43"/>
      <c r="L142" s="895" t="str">
        <f t="shared" si="23"/>
        <v>FwdSw</v>
      </c>
      <c r="M142" s="891" t="str">
        <f t="shared" si="24"/>
        <v>--</v>
      </c>
      <c r="N142" s="894" t="str">
        <f ca="1">IFERROR(_xll.qlRateHelperQuoteName(M142,Trigger),"--")</f>
        <v>--</v>
      </c>
      <c r="O142" s="893" t="str">
        <f ca="1">IFERROR(_xll.qlRateHelperQuoteValue($M142,Trigger),"--")</f>
        <v>--</v>
      </c>
      <c r="P142" s="970" t="b">
        <v>0</v>
      </c>
      <c r="Q142" s="891">
        <v>50</v>
      </c>
      <c r="R142" s="891">
        <v>1</v>
      </c>
      <c r="S142" s="890" t="str">
        <f ca="1">IFERROR(_xll.qlRateHelperEarliestDate(M142,Trigger),"--")</f>
        <v>--</v>
      </c>
      <c r="T142" s="890" t="str">
        <f ca="1">IFERROR(_xll.qlRateHelperPillarDate(M142,Trigger),"--")</f>
        <v>--</v>
      </c>
      <c r="V142" s="4" t="str">
        <f t="shared" ca="1" si="22"/>
        <v/>
      </c>
      <c r="W142" s="4" t="e">
        <f ca="1"/>
        <v>#NAME?</v>
      </c>
      <c r="X142" s="4" t="str">
        <f ca="1">IFERROR(_xll.qlRateHelperQuoteName(W142,Trigger),"")</f>
        <v/>
      </c>
      <c r="Y142" s="889" t="str">
        <f ca="1">IFERROR(_xll.qlRateHelperRate(W142,Trigger),"")</f>
        <v/>
      </c>
      <c r="Z142" s="888" t="str">
        <f ca="1">IF(ISERROR(_xll.qlSwapRateHelperSpread($W142)),IF(ISERROR(_xll.qlFuturesRateHelperConvexityAdjustment($W142)),"",_xll.qlFuturesRateHelperConvexityAdjustment($W142)),_xll.qlSwapRateHelperSpread($W142))</f>
        <v/>
      </c>
      <c r="AA142" s="5" t="str">
        <f ca="1">IFERROR(_xll.qlRateHelperEarliestDate(W142,Trigger),"")</f>
        <v/>
      </c>
      <c r="AB142" s="5" t="str">
        <f ca="1">IFERROR(_xll.qlRateHelperPillarDate(W142,Trigger),"")</f>
        <v/>
      </c>
      <c r="AC142" s="887" t="e">
        <f ca="1"/>
        <v>#NAME?</v>
      </c>
    </row>
    <row r="143" spans="1:29" x14ac:dyDescent="0.2">
      <c r="A143" s="874" t="s">
        <v>410</v>
      </c>
      <c r="B143" s="876" t="s">
        <v>36</v>
      </c>
      <c r="C143" s="875" t="s">
        <v>52</v>
      </c>
      <c r="D143" s="875" t="s">
        <v>323</v>
      </c>
      <c r="E143" s="875" t="s">
        <v>322</v>
      </c>
      <c r="F143" s="875" t="s">
        <v>221</v>
      </c>
      <c r="G143" s="875" t="str">
        <f t="shared" si="25"/>
        <v>Euribor6M</v>
      </c>
      <c r="H143" s="874" t="str">
        <f t="shared" si="26"/>
        <v>EUR4F20Y_Quote</v>
      </c>
      <c r="I143" s="877">
        <v>0</v>
      </c>
      <c r="J143" s="43"/>
      <c r="L143" s="895" t="str">
        <f t="shared" si="23"/>
        <v>FwdSw</v>
      </c>
      <c r="M143" s="891" t="str">
        <f t="shared" si="24"/>
        <v>--</v>
      </c>
      <c r="N143" s="894" t="str">
        <f ca="1">IFERROR(_xll.qlRateHelperQuoteName(M143,Trigger),"--")</f>
        <v>--</v>
      </c>
      <c r="O143" s="893" t="str">
        <f ca="1">IFERROR(_xll.qlRateHelperQuoteValue($M143,Trigger),"--")</f>
        <v>--</v>
      </c>
      <c r="P143" s="970" t="b">
        <v>0</v>
      </c>
      <c r="Q143" s="891">
        <v>50</v>
      </c>
      <c r="R143" s="891">
        <v>1</v>
      </c>
      <c r="S143" s="890" t="str">
        <f ca="1">IFERROR(_xll.qlRateHelperEarliestDate(M143,Trigger),"--")</f>
        <v>--</v>
      </c>
      <c r="T143" s="890" t="str">
        <f ca="1">IFERROR(_xll.qlRateHelperPillarDate(M143,Trigger),"--")</f>
        <v>--</v>
      </c>
      <c r="V143" s="4" t="str">
        <f t="shared" ca="1" si="22"/>
        <v/>
      </c>
      <c r="W143" s="4" t="e">
        <f ca="1"/>
        <v>#NAME?</v>
      </c>
      <c r="X143" s="4" t="str">
        <f ca="1">IFERROR(_xll.qlRateHelperQuoteName(W143,Trigger),"")</f>
        <v/>
      </c>
      <c r="Y143" s="889" t="str">
        <f ca="1">IFERROR(_xll.qlRateHelperRate(W143,Trigger),"")</f>
        <v/>
      </c>
      <c r="Z143" s="888" t="str">
        <f ca="1">IF(ISERROR(_xll.qlSwapRateHelperSpread($W143)),IF(ISERROR(_xll.qlFuturesRateHelperConvexityAdjustment($W143)),"",_xll.qlFuturesRateHelperConvexityAdjustment($W143)),_xll.qlSwapRateHelperSpread($W143))</f>
        <v/>
      </c>
      <c r="AA143" s="5" t="str">
        <f ca="1">IFERROR(_xll.qlRateHelperEarliestDate(W143,Trigger),"")</f>
        <v/>
      </c>
      <c r="AB143" s="5" t="str">
        <f ca="1">IFERROR(_xll.qlRateHelperPillarDate(W143,Trigger),"")</f>
        <v/>
      </c>
      <c r="AC143" s="887" t="e">
        <f ca="1"/>
        <v>#NAME?</v>
      </c>
    </row>
    <row r="144" spans="1:29" x14ac:dyDescent="0.2">
      <c r="A144" s="874" t="s">
        <v>410</v>
      </c>
      <c r="B144" s="876" t="s">
        <v>31</v>
      </c>
      <c r="C144" s="875" t="s">
        <v>52</v>
      </c>
      <c r="D144" s="875" t="s">
        <v>323</v>
      </c>
      <c r="E144" s="875" t="s">
        <v>322</v>
      </c>
      <c r="F144" s="875" t="s">
        <v>221</v>
      </c>
      <c r="G144" s="875" t="str">
        <f t="shared" si="25"/>
        <v>Euribor6M</v>
      </c>
      <c r="H144" s="874" t="str">
        <f t="shared" si="26"/>
        <v>EUR4F25Y_Quote</v>
      </c>
      <c r="I144" s="877">
        <v>0</v>
      </c>
      <c r="J144" s="43"/>
      <c r="L144" s="895" t="str">
        <f t="shared" si="23"/>
        <v>FwdSw</v>
      </c>
      <c r="M144" s="891" t="str">
        <f t="shared" si="24"/>
        <v>--</v>
      </c>
      <c r="N144" s="894" t="str">
        <f ca="1">IFERROR(_xll.qlRateHelperQuoteName(M144,Trigger),"--")</f>
        <v>--</v>
      </c>
      <c r="O144" s="893" t="str">
        <f ca="1">IFERROR(_xll.qlRateHelperQuoteValue($M144,Trigger),"--")</f>
        <v>--</v>
      </c>
      <c r="P144" s="970" t="b">
        <v>0</v>
      </c>
      <c r="Q144" s="891">
        <v>50</v>
      </c>
      <c r="R144" s="891">
        <v>1</v>
      </c>
      <c r="S144" s="890" t="str">
        <f ca="1">IFERROR(_xll.qlRateHelperEarliestDate(M144,Trigger),"--")</f>
        <v>--</v>
      </c>
      <c r="T144" s="890" t="str">
        <f ca="1">IFERROR(_xll.qlRateHelperPillarDate(M144,Trigger),"--")</f>
        <v>--</v>
      </c>
      <c r="V144" s="4" t="str">
        <f t="shared" ca="1" si="22"/>
        <v/>
      </c>
      <c r="W144" s="4" t="e">
        <f ca="1"/>
        <v>#NAME?</v>
      </c>
      <c r="X144" s="4" t="str">
        <f ca="1">IFERROR(_xll.qlRateHelperQuoteName(W144,Trigger),"")</f>
        <v/>
      </c>
      <c r="Y144" s="889" t="str">
        <f ca="1">IFERROR(_xll.qlRateHelperRate(W144,Trigger),"")</f>
        <v/>
      </c>
      <c r="Z144" s="888" t="str">
        <f ca="1">IF(ISERROR(_xll.qlSwapRateHelperSpread($W144)),IF(ISERROR(_xll.qlFuturesRateHelperConvexityAdjustment($W144)),"",_xll.qlFuturesRateHelperConvexityAdjustment($W144)),_xll.qlSwapRateHelperSpread($W144))</f>
        <v/>
      </c>
      <c r="AA144" s="5" t="str">
        <f ca="1">IFERROR(_xll.qlRateHelperEarliestDate(W144,Trigger),"")</f>
        <v/>
      </c>
      <c r="AB144" s="5" t="str">
        <f ca="1">IFERROR(_xll.qlRateHelperPillarDate(W144,Trigger),"")</f>
        <v/>
      </c>
      <c r="AC144" s="887" t="e">
        <f ca="1"/>
        <v>#NAME?</v>
      </c>
    </row>
    <row r="145" spans="1:29" x14ac:dyDescent="0.2">
      <c r="A145" s="870" t="s">
        <v>410</v>
      </c>
      <c r="B145" s="872" t="s">
        <v>26</v>
      </c>
      <c r="C145" s="871" t="s">
        <v>52</v>
      </c>
      <c r="D145" s="871" t="s">
        <v>323</v>
      </c>
      <c r="E145" s="871" t="s">
        <v>322</v>
      </c>
      <c r="F145" s="871" t="s">
        <v>221</v>
      </c>
      <c r="G145" s="871" t="str">
        <f t="shared" si="25"/>
        <v>Euribor6M</v>
      </c>
      <c r="H145" s="870" t="str">
        <f t="shared" si="26"/>
        <v>EUR4F30Y_Quote</v>
      </c>
      <c r="I145" s="985">
        <v>0</v>
      </c>
      <c r="J145" s="38"/>
      <c r="L145" s="895" t="str">
        <f t="shared" si="23"/>
        <v>FwdSw</v>
      </c>
      <c r="M145" s="891" t="str">
        <f t="shared" si="24"/>
        <v>--</v>
      </c>
      <c r="N145" s="894" t="str">
        <f ca="1">IFERROR(_xll.qlRateHelperQuoteName(M145,Trigger),"--")</f>
        <v>--</v>
      </c>
      <c r="O145" s="893" t="str">
        <f ca="1">IFERROR(_xll.qlRateHelperQuoteValue($M145,Trigger),"--")</f>
        <v>--</v>
      </c>
      <c r="P145" s="970" t="b">
        <v>0</v>
      </c>
      <c r="Q145" s="891">
        <v>50</v>
      </c>
      <c r="R145" s="891">
        <v>1</v>
      </c>
      <c r="S145" s="890" t="str">
        <f ca="1">IFERROR(_xll.qlRateHelperEarliestDate(M145,Trigger),"--")</f>
        <v>--</v>
      </c>
      <c r="T145" s="890" t="str">
        <f ca="1">IFERROR(_xll.qlRateHelperPillarDate(M145,Trigger),"--")</f>
        <v>--</v>
      </c>
      <c r="V145" s="4" t="str">
        <f t="shared" ca="1" si="22"/>
        <v/>
      </c>
      <c r="W145" s="4" t="e">
        <f ca="1"/>
        <v>#NAME?</v>
      </c>
      <c r="X145" s="4" t="str">
        <f ca="1">IFERROR(_xll.qlRateHelperQuoteName(W145,Trigger),"")</f>
        <v/>
      </c>
      <c r="Y145" s="889" t="str">
        <f ca="1">IFERROR(_xll.qlRateHelperRate(W145,Trigger),"")</f>
        <v/>
      </c>
      <c r="Z145" s="888" t="str">
        <f ca="1">IF(ISERROR(_xll.qlSwapRateHelperSpread($W145)),IF(ISERROR(_xll.qlFuturesRateHelperConvexityAdjustment($W145)),"",_xll.qlFuturesRateHelperConvexityAdjustment($W145)),_xll.qlSwapRateHelperSpread($W145))</f>
        <v/>
      </c>
      <c r="AA145" s="5" t="str">
        <f ca="1">IFERROR(_xll.qlRateHelperEarliestDate(W145,Trigger),"")</f>
        <v/>
      </c>
      <c r="AB145" s="5" t="str">
        <f ca="1">IFERROR(_xll.qlRateHelperPillarDate(W145,Trigger),"")</f>
        <v/>
      </c>
      <c r="AC145" s="887" t="e">
        <f ca="1"/>
        <v>#NAME?</v>
      </c>
    </row>
    <row r="146" spans="1:29" x14ac:dyDescent="0.2">
      <c r="A146" s="874" t="s">
        <v>410</v>
      </c>
      <c r="B146" s="876" t="s">
        <v>58</v>
      </c>
      <c r="C146" s="875" t="s">
        <v>51</v>
      </c>
      <c r="D146" s="875" t="s">
        <v>323</v>
      </c>
      <c r="E146" s="875" t="s">
        <v>322</v>
      </c>
      <c r="F146" s="875" t="s">
        <v>221</v>
      </c>
      <c r="G146" s="875" t="str">
        <f t="shared" si="25"/>
        <v>Euribor6M</v>
      </c>
      <c r="H146" s="874" t="str">
        <f t="shared" si="26"/>
        <v>EUR5F1Y_Quote</v>
      </c>
      <c r="I146" s="877">
        <v>0</v>
      </c>
      <c r="J146" s="43"/>
      <c r="L146" s="895" t="str">
        <f t="shared" si="23"/>
        <v>FwdSw</v>
      </c>
      <c r="M146" s="891" t="str">
        <f t="shared" si="24"/>
        <v>--</v>
      </c>
      <c r="N146" s="894" t="str">
        <f ca="1">IFERROR(_xll.qlRateHelperQuoteName(M146,Trigger),"--")</f>
        <v>--</v>
      </c>
      <c r="O146" s="893" t="str">
        <f ca="1">IFERROR(_xll.qlRateHelperQuoteValue($M146,Trigger),"--")</f>
        <v>--</v>
      </c>
      <c r="P146" s="970" t="b">
        <v>0</v>
      </c>
      <c r="Q146" s="891">
        <v>50</v>
      </c>
      <c r="R146" s="891">
        <v>1</v>
      </c>
      <c r="S146" s="890" t="str">
        <f ca="1">IFERROR(_xll.qlRateHelperEarliestDate(M146,Trigger),"--")</f>
        <v>--</v>
      </c>
      <c r="T146" s="890" t="str">
        <f ca="1">IFERROR(_xll.qlRateHelperPillarDate(M146,Trigger),"--")</f>
        <v>--</v>
      </c>
      <c r="V146" s="4" t="str">
        <f t="shared" ca="1" si="22"/>
        <v/>
      </c>
      <c r="W146" s="4" t="e">
        <f ca="1"/>
        <v>#NAME?</v>
      </c>
      <c r="X146" s="4" t="str">
        <f ca="1">IFERROR(_xll.qlRateHelperQuoteName(W146,Trigger),"")</f>
        <v/>
      </c>
      <c r="Y146" s="889" t="str">
        <f ca="1">IFERROR(_xll.qlRateHelperRate(W146,Trigger),"")</f>
        <v/>
      </c>
      <c r="Z146" s="888" t="str">
        <f ca="1">IF(ISERROR(_xll.qlSwapRateHelperSpread($W146)),IF(ISERROR(_xll.qlFuturesRateHelperConvexityAdjustment($W146)),"",_xll.qlFuturesRateHelperConvexityAdjustment($W146)),_xll.qlSwapRateHelperSpread($W146))</f>
        <v/>
      </c>
      <c r="AA146" s="5" t="str">
        <f ca="1">IFERROR(_xll.qlRateHelperEarliestDate(W146,Trigger),"")</f>
        <v/>
      </c>
      <c r="AB146" s="5" t="str">
        <f ca="1">IFERROR(_xll.qlRateHelperPillarDate(W146,Trigger),"")</f>
        <v/>
      </c>
      <c r="AC146" s="887" t="e">
        <f ca="1"/>
        <v>#NAME?</v>
      </c>
    </row>
    <row r="147" spans="1:29" x14ac:dyDescent="0.2">
      <c r="A147" s="874" t="s">
        <v>410</v>
      </c>
      <c r="B147" s="876" t="s">
        <v>54</v>
      </c>
      <c r="C147" s="875" t="s">
        <v>51</v>
      </c>
      <c r="D147" s="875" t="s">
        <v>323</v>
      </c>
      <c r="E147" s="875" t="s">
        <v>322</v>
      </c>
      <c r="F147" s="875" t="s">
        <v>221</v>
      </c>
      <c r="G147" s="875" t="str">
        <f t="shared" si="25"/>
        <v>Euribor6M</v>
      </c>
      <c r="H147" s="874" t="str">
        <f t="shared" si="26"/>
        <v>EUR5F2Y_Quote</v>
      </c>
      <c r="I147" s="877">
        <v>0</v>
      </c>
      <c r="J147" s="43"/>
      <c r="L147" s="895" t="str">
        <f t="shared" si="23"/>
        <v>FwdSw</v>
      </c>
      <c r="M147" s="891" t="str">
        <f t="shared" si="24"/>
        <v>--</v>
      </c>
      <c r="N147" s="894" t="str">
        <f ca="1">IFERROR(_xll.qlRateHelperQuoteName(M147,Trigger),"--")</f>
        <v>--</v>
      </c>
      <c r="O147" s="893" t="str">
        <f ca="1">IFERROR(_xll.qlRateHelperQuoteValue($M147,Trigger),"--")</f>
        <v>--</v>
      </c>
      <c r="P147" s="970" t="b">
        <v>0</v>
      </c>
      <c r="Q147" s="891">
        <v>50</v>
      </c>
      <c r="R147" s="891">
        <v>1</v>
      </c>
      <c r="S147" s="890" t="str">
        <f ca="1">IFERROR(_xll.qlRateHelperEarliestDate(M147,Trigger),"--")</f>
        <v>--</v>
      </c>
      <c r="T147" s="890" t="str">
        <f ca="1">IFERROR(_xll.qlRateHelperPillarDate(M147,Trigger),"--")</f>
        <v>--</v>
      </c>
      <c r="V147" s="4" t="str">
        <f t="shared" ca="1" si="22"/>
        <v/>
      </c>
      <c r="W147" s="4" t="e">
        <f ca="1"/>
        <v>#NAME?</v>
      </c>
      <c r="X147" s="4" t="str">
        <f ca="1">IFERROR(_xll.qlRateHelperQuoteName(W147,Trigger),"")</f>
        <v/>
      </c>
      <c r="Y147" s="889" t="str">
        <f ca="1">IFERROR(_xll.qlRateHelperRate(W147,Trigger),"")</f>
        <v/>
      </c>
      <c r="Z147" s="888" t="str">
        <f ca="1">IF(ISERROR(_xll.qlSwapRateHelperSpread($W147)),IF(ISERROR(_xll.qlFuturesRateHelperConvexityAdjustment($W147)),"",_xll.qlFuturesRateHelperConvexityAdjustment($W147)),_xll.qlSwapRateHelperSpread($W147))</f>
        <v/>
      </c>
      <c r="AA147" s="5" t="str">
        <f ca="1">IFERROR(_xll.qlRateHelperEarliestDate(W147,Trigger),"")</f>
        <v/>
      </c>
      <c r="AB147" s="5" t="str">
        <f ca="1">IFERROR(_xll.qlRateHelperPillarDate(W147,Trigger),"")</f>
        <v/>
      </c>
      <c r="AC147" s="887" t="e">
        <f ca="1"/>
        <v>#NAME?</v>
      </c>
    </row>
    <row r="148" spans="1:29" x14ac:dyDescent="0.2">
      <c r="A148" s="874" t="s">
        <v>410</v>
      </c>
      <c r="B148" s="876" t="s">
        <v>53</v>
      </c>
      <c r="C148" s="875" t="s">
        <v>51</v>
      </c>
      <c r="D148" s="875" t="s">
        <v>323</v>
      </c>
      <c r="E148" s="875" t="s">
        <v>322</v>
      </c>
      <c r="F148" s="875" t="s">
        <v>221</v>
      </c>
      <c r="G148" s="875" t="str">
        <f t="shared" si="25"/>
        <v>Euribor6M</v>
      </c>
      <c r="H148" s="874" t="str">
        <f t="shared" si="26"/>
        <v>EUR5F3Y_Quote</v>
      </c>
      <c r="I148" s="877">
        <v>0</v>
      </c>
      <c r="J148" s="43"/>
      <c r="L148" s="895" t="str">
        <f t="shared" si="23"/>
        <v>FwdSw</v>
      </c>
      <c r="M148" s="891" t="str">
        <f t="shared" si="24"/>
        <v>--</v>
      </c>
      <c r="N148" s="894" t="str">
        <f ca="1">IFERROR(_xll.qlRateHelperQuoteName(M148,Trigger),"--")</f>
        <v>--</v>
      </c>
      <c r="O148" s="893" t="str">
        <f ca="1">IFERROR(_xll.qlRateHelperQuoteValue($M148,Trigger),"--")</f>
        <v>--</v>
      </c>
      <c r="P148" s="970" t="b">
        <v>0</v>
      </c>
      <c r="Q148" s="891">
        <v>50</v>
      </c>
      <c r="R148" s="891">
        <v>1</v>
      </c>
      <c r="S148" s="890" t="str">
        <f ca="1">IFERROR(_xll.qlRateHelperEarliestDate(M148,Trigger),"--")</f>
        <v>--</v>
      </c>
      <c r="T148" s="890" t="str">
        <f ca="1">IFERROR(_xll.qlRateHelperPillarDate(M148,Trigger),"--")</f>
        <v>--</v>
      </c>
      <c r="V148" s="4" t="str">
        <f t="shared" ca="1" si="22"/>
        <v/>
      </c>
      <c r="W148" s="4" t="e">
        <f ca="1"/>
        <v>#NAME?</v>
      </c>
      <c r="X148" s="4" t="str">
        <f ca="1">IFERROR(_xll.qlRateHelperQuoteName(W148,Trigger),"")</f>
        <v/>
      </c>
      <c r="Y148" s="889" t="str">
        <f ca="1">IFERROR(_xll.qlRateHelperRate(W148,Trigger),"")</f>
        <v/>
      </c>
      <c r="Z148" s="888" t="str">
        <f ca="1">IF(ISERROR(_xll.qlSwapRateHelperSpread($W148)),IF(ISERROR(_xll.qlFuturesRateHelperConvexityAdjustment($W148)),"",_xll.qlFuturesRateHelperConvexityAdjustment($W148)),_xll.qlSwapRateHelperSpread($W148))</f>
        <v/>
      </c>
      <c r="AA148" s="5" t="str">
        <f ca="1">IFERROR(_xll.qlRateHelperEarliestDate(W148,Trigger),"")</f>
        <v/>
      </c>
      <c r="AB148" s="5" t="str">
        <f ca="1">IFERROR(_xll.qlRateHelperPillarDate(W148,Trigger),"")</f>
        <v/>
      </c>
      <c r="AC148" s="887" t="e">
        <f ca="1"/>
        <v>#NAME?</v>
      </c>
    </row>
    <row r="149" spans="1:29" x14ac:dyDescent="0.2">
      <c r="A149" s="874" t="s">
        <v>410</v>
      </c>
      <c r="B149" s="876" t="s">
        <v>52</v>
      </c>
      <c r="C149" s="875" t="s">
        <v>51</v>
      </c>
      <c r="D149" s="875" t="s">
        <v>323</v>
      </c>
      <c r="E149" s="875" t="s">
        <v>322</v>
      </c>
      <c r="F149" s="875" t="s">
        <v>221</v>
      </c>
      <c r="G149" s="875" t="str">
        <f t="shared" si="25"/>
        <v>Euribor6M</v>
      </c>
      <c r="H149" s="874" t="str">
        <f t="shared" si="26"/>
        <v>EUR5F4Y_Quote</v>
      </c>
      <c r="I149" s="877">
        <v>0</v>
      </c>
      <c r="J149" s="43"/>
      <c r="L149" s="895" t="str">
        <f t="shared" si="23"/>
        <v>FwdSw</v>
      </c>
      <c r="M149" s="891" t="str">
        <f t="shared" si="24"/>
        <v>--</v>
      </c>
      <c r="N149" s="894" t="str">
        <f ca="1">IFERROR(_xll.qlRateHelperQuoteName(M149,Trigger),"--")</f>
        <v>--</v>
      </c>
      <c r="O149" s="893" t="str">
        <f ca="1">IFERROR(_xll.qlRateHelperQuoteValue($M149,Trigger),"--")</f>
        <v>--</v>
      </c>
      <c r="P149" s="970" t="b">
        <v>0</v>
      </c>
      <c r="Q149" s="891">
        <v>50</v>
      </c>
      <c r="R149" s="891">
        <v>1</v>
      </c>
      <c r="S149" s="890" t="str">
        <f ca="1">IFERROR(_xll.qlRateHelperEarliestDate(M149,Trigger),"--")</f>
        <v>--</v>
      </c>
      <c r="T149" s="890" t="str">
        <f ca="1">IFERROR(_xll.qlRateHelperPillarDate(M149,Trigger),"--")</f>
        <v>--</v>
      </c>
      <c r="V149" s="4" t="str">
        <f t="shared" ca="1" si="22"/>
        <v/>
      </c>
      <c r="W149" s="4" t="e">
        <f ca="1"/>
        <v>#NAME?</v>
      </c>
      <c r="X149" s="4" t="str">
        <f ca="1">IFERROR(_xll.qlRateHelperQuoteName(W149,Trigger),"")</f>
        <v/>
      </c>
      <c r="Y149" s="889" t="str">
        <f ca="1">IFERROR(_xll.qlRateHelperRate(W149,Trigger),"")</f>
        <v/>
      </c>
      <c r="Z149" s="888" t="str">
        <f ca="1">IF(ISERROR(_xll.qlSwapRateHelperSpread($W149)),IF(ISERROR(_xll.qlFuturesRateHelperConvexityAdjustment($W149)),"",_xll.qlFuturesRateHelperConvexityAdjustment($W149)),_xll.qlSwapRateHelperSpread($W149))</f>
        <v/>
      </c>
      <c r="AA149" s="5" t="str">
        <f ca="1">IFERROR(_xll.qlRateHelperEarliestDate(W149,Trigger),"")</f>
        <v/>
      </c>
      <c r="AB149" s="5" t="str">
        <f ca="1">IFERROR(_xll.qlRateHelperPillarDate(W149,Trigger),"")</f>
        <v/>
      </c>
      <c r="AC149" s="887" t="e">
        <f ca="1"/>
        <v>#NAME?</v>
      </c>
    </row>
    <row r="150" spans="1:29" x14ac:dyDescent="0.2">
      <c r="A150" s="874" t="s">
        <v>410</v>
      </c>
      <c r="B150" s="876" t="s">
        <v>51</v>
      </c>
      <c r="C150" s="875" t="s">
        <v>51</v>
      </c>
      <c r="D150" s="875" t="s">
        <v>323</v>
      </c>
      <c r="E150" s="875" t="s">
        <v>322</v>
      </c>
      <c r="F150" s="875" t="s">
        <v>221</v>
      </c>
      <c r="G150" s="875" t="str">
        <f t="shared" si="25"/>
        <v>Euribor6M</v>
      </c>
      <c r="H150" s="874" t="str">
        <f t="shared" si="26"/>
        <v>EUR5F5Y_Quote</v>
      </c>
      <c r="I150" s="877">
        <v>0</v>
      </c>
      <c r="J150" s="43"/>
      <c r="L150" s="895" t="str">
        <f t="shared" si="23"/>
        <v>FwdSw</v>
      </c>
      <c r="M150" s="891" t="str">
        <f t="shared" si="24"/>
        <v>--</v>
      </c>
      <c r="N150" s="894" t="str">
        <f ca="1">IFERROR(_xll.qlRateHelperQuoteName(M150,Trigger),"--")</f>
        <v>--</v>
      </c>
      <c r="O150" s="893" t="str">
        <f ca="1">IFERROR(_xll.qlRateHelperQuoteValue($M150,Trigger),"--")</f>
        <v>--</v>
      </c>
      <c r="P150" s="970" t="b">
        <v>0</v>
      </c>
      <c r="Q150" s="891">
        <v>50</v>
      </c>
      <c r="R150" s="891">
        <v>1</v>
      </c>
      <c r="S150" s="890" t="str">
        <f ca="1">IFERROR(_xll.qlRateHelperEarliestDate(M150,Trigger),"--")</f>
        <v>--</v>
      </c>
      <c r="T150" s="890" t="str">
        <f ca="1">IFERROR(_xll.qlRateHelperPillarDate(M150,Trigger),"--")</f>
        <v>--</v>
      </c>
      <c r="V150" s="4" t="str">
        <f t="shared" ca="1" si="22"/>
        <v/>
      </c>
      <c r="W150" s="4" t="e">
        <f ca="1"/>
        <v>#NAME?</v>
      </c>
      <c r="X150" s="4" t="str">
        <f ca="1">IFERROR(_xll.qlRateHelperQuoteName(W150,Trigger),"")</f>
        <v/>
      </c>
      <c r="Y150" s="889" t="str">
        <f ca="1">IFERROR(_xll.qlRateHelperRate(W150,Trigger),"")</f>
        <v/>
      </c>
      <c r="Z150" s="888" t="str">
        <f ca="1">IF(ISERROR(_xll.qlSwapRateHelperSpread($W150)),IF(ISERROR(_xll.qlFuturesRateHelperConvexityAdjustment($W150)),"",_xll.qlFuturesRateHelperConvexityAdjustment($W150)),_xll.qlSwapRateHelperSpread($W150))</f>
        <v/>
      </c>
      <c r="AA150" s="5" t="str">
        <f ca="1">IFERROR(_xll.qlRateHelperEarliestDate(W150,Trigger),"")</f>
        <v/>
      </c>
      <c r="AB150" s="5" t="str">
        <f ca="1">IFERROR(_xll.qlRateHelperPillarDate(W150,Trigger),"")</f>
        <v/>
      </c>
      <c r="AC150" s="887" t="e">
        <f ca="1"/>
        <v>#NAME?</v>
      </c>
    </row>
    <row r="151" spans="1:29" x14ac:dyDescent="0.2">
      <c r="A151" s="874" t="s">
        <v>410</v>
      </c>
      <c r="B151" s="876" t="s">
        <v>50</v>
      </c>
      <c r="C151" s="875" t="s">
        <v>51</v>
      </c>
      <c r="D151" s="875" t="s">
        <v>323</v>
      </c>
      <c r="E151" s="875" t="s">
        <v>322</v>
      </c>
      <c r="F151" s="875" t="s">
        <v>221</v>
      </c>
      <c r="G151" s="875" t="str">
        <f t="shared" si="25"/>
        <v>Euribor6M</v>
      </c>
      <c r="H151" s="874" t="str">
        <f t="shared" si="26"/>
        <v>EUR5F6Y_Quote</v>
      </c>
      <c r="I151" s="877">
        <v>0</v>
      </c>
      <c r="J151" s="43"/>
      <c r="L151" s="895" t="str">
        <f t="shared" si="23"/>
        <v>FwdSw</v>
      </c>
      <c r="M151" s="891" t="str">
        <f t="shared" si="24"/>
        <v>--</v>
      </c>
      <c r="N151" s="894" t="str">
        <f ca="1">IFERROR(_xll.qlRateHelperQuoteName(M151,Trigger),"--")</f>
        <v>--</v>
      </c>
      <c r="O151" s="893" t="str">
        <f ca="1">IFERROR(_xll.qlRateHelperQuoteValue($M151,Trigger),"--")</f>
        <v>--</v>
      </c>
      <c r="P151" s="970" t="b">
        <v>0</v>
      </c>
      <c r="Q151" s="891">
        <v>50</v>
      </c>
      <c r="R151" s="891">
        <v>1</v>
      </c>
      <c r="S151" s="890" t="str">
        <f ca="1">IFERROR(_xll.qlRateHelperEarliestDate(M151,Trigger),"--")</f>
        <v>--</v>
      </c>
      <c r="T151" s="890" t="str">
        <f ca="1">IFERROR(_xll.qlRateHelperPillarDate(M151,Trigger),"--")</f>
        <v>--</v>
      </c>
      <c r="V151" s="4" t="str">
        <f t="shared" ca="1" si="22"/>
        <v/>
      </c>
      <c r="W151" s="4" t="e">
        <f ca="1"/>
        <v>#NAME?</v>
      </c>
      <c r="X151" s="4" t="str">
        <f ca="1">IFERROR(_xll.qlRateHelperQuoteName(W151,Trigger),"")</f>
        <v/>
      </c>
      <c r="Y151" s="889" t="str">
        <f ca="1">IFERROR(_xll.qlRateHelperRate(W151,Trigger),"")</f>
        <v/>
      </c>
      <c r="Z151" s="888" t="str">
        <f ca="1">IF(ISERROR(_xll.qlSwapRateHelperSpread($W151)),IF(ISERROR(_xll.qlFuturesRateHelperConvexityAdjustment($W151)),"",_xll.qlFuturesRateHelperConvexityAdjustment($W151)),_xll.qlSwapRateHelperSpread($W151))</f>
        <v/>
      </c>
      <c r="AA151" s="5" t="str">
        <f ca="1">IFERROR(_xll.qlRateHelperEarliestDate(W151,Trigger),"")</f>
        <v/>
      </c>
      <c r="AB151" s="5" t="str">
        <f ca="1">IFERROR(_xll.qlRateHelperPillarDate(W151,Trigger),"")</f>
        <v/>
      </c>
      <c r="AC151" s="887" t="e">
        <f ca="1"/>
        <v>#NAME?</v>
      </c>
    </row>
    <row r="152" spans="1:29" x14ac:dyDescent="0.2">
      <c r="A152" s="874" t="s">
        <v>410</v>
      </c>
      <c r="B152" s="876" t="s">
        <v>49</v>
      </c>
      <c r="C152" s="875" t="s">
        <v>51</v>
      </c>
      <c r="D152" s="875" t="s">
        <v>323</v>
      </c>
      <c r="E152" s="875" t="s">
        <v>322</v>
      </c>
      <c r="F152" s="875" t="s">
        <v>221</v>
      </c>
      <c r="G152" s="875" t="str">
        <f t="shared" si="25"/>
        <v>Euribor6M</v>
      </c>
      <c r="H152" s="874" t="str">
        <f t="shared" si="26"/>
        <v>EUR5F7Y_Quote</v>
      </c>
      <c r="I152" s="877">
        <v>0</v>
      </c>
      <c r="J152" s="43"/>
      <c r="L152" s="895" t="str">
        <f t="shared" si="23"/>
        <v>FwdSw</v>
      </c>
      <c r="M152" s="891" t="str">
        <f t="shared" si="24"/>
        <v>--</v>
      </c>
      <c r="N152" s="894" t="str">
        <f ca="1">IFERROR(_xll.qlRateHelperQuoteName(M152,Trigger),"--")</f>
        <v>--</v>
      </c>
      <c r="O152" s="893" t="str">
        <f ca="1">IFERROR(_xll.qlRateHelperQuoteValue($M152,Trigger),"--")</f>
        <v>--</v>
      </c>
      <c r="P152" s="970" t="b">
        <v>0</v>
      </c>
      <c r="Q152" s="891">
        <v>50</v>
      </c>
      <c r="R152" s="891">
        <v>1</v>
      </c>
      <c r="S152" s="890" t="str">
        <f ca="1">IFERROR(_xll.qlRateHelperEarliestDate(M152,Trigger),"--")</f>
        <v>--</v>
      </c>
      <c r="T152" s="890" t="str">
        <f ca="1">IFERROR(_xll.qlRateHelperPillarDate(M152,Trigger),"--")</f>
        <v>--</v>
      </c>
      <c r="V152" s="4" t="str">
        <f t="shared" ca="1" si="22"/>
        <v/>
      </c>
      <c r="W152" s="4" t="e">
        <f ca="1"/>
        <v>#NAME?</v>
      </c>
      <c r="X152" s="4" t="str">
        <f ca="1">IFERROR(_xll.qlRateHelperQuoteName(W152,Trigger),"")</f>
        <v/>
      </c>
      <c r="Y152" s="889" t="str">
        <f ca="1">IFERROR(_xll.qlRateHelperRate(W152,Trigger),"")</f>
        <v/>
      </c>
      <c r="Z152" s="888" t="str">
        <f ca="1">IF(ISERROR(_xll.qlSwapRateHelperSpread($W152)),IF(ISERROR(_xll.qlFuturesRateHelperConvexityAdjustment($W152)),"",_xll.qlFuturesRateHelperConvexityAdjustment($W152)),_xll.qlSwapRateHelperSpread($W152))</f>
        <v/>
      </c>
      <c r="AA152" s="5" t="str">
        <f ca="1">IFERROR(_xll.qlRateHelperEarliestDate(W152,Trigger),"")</f>
        <v/>
      </c>
      <c r="AB152" s="5" t="str">
        <f ca="1">IFERROR(_xll.qlRateHelperPillarDate(W152,Trigger),"")</f>
        <v/>
      </c>
      <c r="AC152" s="887" t="e">
        <f ca="1"/>
        <v>#NAME?</v>
      </c>
    </row>
    <row r="153" spans="1:29" x14ac:dyDescent="0.2">
      <c r="A153" s="874" t="s">
        <v>410</v>
      </c>
      <c r="B153" s="876" t="s">
        <v>48</v>
      </c>
      <c r="C153" s="875" t="s">
        <v>51</v>
      </c>
      <c r="D153" s="875" t="s">
        <v>323</v>
      </c>
      <c r="E153" s="875" t="s">
        <v>322</v>
      </c>
      <c r="F153" s="875" t="s">
        <v>221</v>
      </c>
      <c r="G153" s="875" t="str">
        <f t="shared" si="25"/>
        <v>Euribor6M</v>
      </c>
      <c r="H153" s="874" t="str">
        <f t="shared" si="26"/>
        <v>EUR5F8Y_Quote</v>
      </c>
      <c r="I153" s="877">
        <v>0</v>
      </c>
      <c r="J153" s="43"/>
      <c r="L153" s="895" t="str">
        <f t="shared" si="23"/>
        <v>FwdSw</v>
      </c>
      <c r="M153" s="891" t="str">
        <f t="shared" si="24"/>
        <v>--</v>
      </c>
      <c r="N153" s="894" t="str">
        <f ca="1">IFERROR(_xll.qlRateHelperQuoteName(M153,Trigger),"--")</f>
        <v>--</v>
      </c>
      <c r="O153" s="893" t="str">
        <f ca="1">IFERROR(_xll.qlRateHelperQuoteValue($M153,Trigger),"--")</f>
        <v>--</v>
      </c>
      <c r="P153" s="970" t="b">
        <v>0</v>
      </c>
      <c r="Q153" s="891">
        <v>50</v>
      </c>
      <c r="R153" s="891">
        <v>1</v>
      </c>
      <c r="S153" s="890" t="str">
        <f ca="1">IFERROR(_xll.qlRateHelperEarliestDate(M153,Trigger),"--")</f>
        <v>--</v>
      </c>
      <c r="T153" s="890" t="str">
        <f ca="1">IFERROR(_xll.qlRateHelperPillarDate(M153,Trigger),"--")</f>
        <v>--</v>
      </c>
      <c r="V153" s="4" t="str">
        <f t="shared" ca="1" si="22"/>
        <v/>
      </c>
      <c r="W153" s="4" t="e">
        <f ca="1"/>
        <v>#NAME?</v>
      </c>
      <c r="X153" s="4" t="str">
        <f ca="1">IFERROR(_xll.qlRateHelperQuoteName(W153,Trigger),"")</f>
        <v/>
      </c>
      <c r="Y153" s="889" t="str">
        <f ca="1">IFERROR(_xll.qlRateHelperRate(W153,Trigger),"")</f>
        <v/>
      </c>
      <c r="Z153" s="888" t="str">
        <f ca="1">IF(ISERROR(_xll.qlSwapRateHelperSpread($W153)),IF(ISERROR(_xll.qlFuturesRateHelperConvexityAdjustment($W153)),"",_xll.qlFuturesRateHelperConvexityAdjustment($W153)),_xll.qlSwapRateHelperSpread($W153))</f>
        <v/>
      </c>
      <c r="AA153" s="5" t="str">
        <f ca="1">IFERROR(_xll.qlRateHelperEarliestDate(W153,Trigger),"")</f>
        <v/>
      </c>
      <c r="AB153" s="5" t="str">
        <f ca="1">IFERROR(_xll.qlRateHelperPillarDate(W153,Trigger),"")</f>
        <v/>
      </c>
      <c r="AC153" s="887" t="e">
        <f ca="1"/>
        <v>#NAME?</v>
      </c>
    </row>
    <row r="154" spans="1:29" x14ac:dyDescent="0.2">
      <c r="A154" s="874" t="s">
        <v>410</v>
      </c>
      <c r="B154" s="876" t="s">
        <v>47</v>
      </c>
      <c r="C154" s="875" t="s">
        <v>51</v>
      </c>
      <c r="D154" s="875" t="s">
        <v>323</v>
      </c>
      <c r="E154" s="875" t="s">
        <v>322</v>
      </c>
      <c r="F154" s="875" t="s">
        <v>221</v>
      </c>
      <c r="G154" s="875" t="str">
        <f t="shared" si="25"/>
        <v>Euribor6M</v>
      </c>
      <c r="H154" s="874" t="str">
        <f t="shared" si="26"/>
        <v>EUR5F9Y_Quote</v>
      </c>
      <c r="I154" s="877">
        <v>0</v>
      </c>
      <c r="J154" s="43"/>
      <c r="L154" s="895" t="str">
        <f t="shared" si="23"/>
        <v>FwdSw</v>
      </c>
      <c r="M154" s="891" t="str">
        <f t="shared" si="24"/>
        <v>--</v>
      </c>
      <c r="N154" s="894" t="str">
        <f ca="1">IFERROR(_xll.qlRateHelperQuoteName(M154,Trigger),"--")</f>
        <v>--</v>
      </c>
      <c r="O154" s="893" t="str">
        <f ca="1">IFERROR(_xll.qlRateHelperQuoteValue($M154,Trigger),"--")</f>
        <v>--</v>
      </c>
      <c r="P154" s="970" t="b">
        <v>0</v>
      </c>
      <c r="Q154" s="891">
        <v>50</v>
      </c>
      <c r="R154" s="891">
        <v>1</v>
      </c>
      <c r="S154" s="890" t="str">
        <f ca="1">IFERROR(_xll.qlRateHelperEarliestDate(M154,Trigger),"--")</f>
        <v>--</v>
      </c>
      <c r="T154" s="890" t="str">
        <f ca="1">IFERROR(_xll.qlRateHelperPillarDate(M154,Trigger),"--")</f>
        <v>--</v>
      </c>
      <c r="V154" s="4" t="str">
        <f t="shared" ca="1" si="22"/>
        <v/>
      </c>
      <c r="W154" s="4" t="e">
        <f ca="1"/>
        <v>#NAME?</v>
      </c>
      <c r="X154" s="4" t="str">
        <f ca="1">IFERROR(_xll.qlRateHelperQuoteName(W154,Trigger),"")</f>
        <v/>
      </c>
      <c r="Y154" s="889" t="str">
        <f ca="1">IFERROR(_xll.qlRateHelperRate(W154,Trigger),"")</f>
        <v/>
      </c>
      <c r="Z154" s="888" t="str">
        <f ca="1">IF(ISERROR(_xll.qlSwapRateHelperSpread($W154)),IF(ISERROR(_xll.qlFuturesRateHelperConvexityAdjustment($W154)),"",_xll.qlFuturesRateHelperConvexityAdjustment($W154)),_xll.qlSwapRateHelperSpread($W154))</f>
        <v/>
      </c>
      <c r="AA154" s="5" t="str">
        <f ca="1">IFERROR(_xll.qlRateHelperEarliestDate(W154,Trigger),"")</f>
        <v/>
      </c>
      <c r="AB154" s="5" t="str">
        <f ca="1">IFERROR(_xll.qlRateHelperPillarDate(W154,Trigger),"")</f>
        <v/>
      </c>
      <c r="AC154" s="887" t="e">
        <f ca="1"/>
        <v>#NAME?</v>
      </c>
    </row>
    <row r="155" spans="1:29" x14ac:dyDescent="0.2">
      <c r="A155" s="874" t="s">
        <v>410</v>
      </c>
      <c r="B155" s="876" t="s">
        <v>46</v>
      </c>
      <c r="C155" s="875" t="s">
        <v>51</v>
      </c>
      <c r="D155" s="875" t="s">
        <v>323</v>
      </c>
      <c r="E155" s="875" t="s">
        <v>322</v>
      </c>
      <c r="F155" s="875" t="s">
        <v>221</v>
      </c>
      <c r="G155" s="875" t="str">
        <f t="shared" si="25"/>
        <v>Euribor6M</v>
      </c>
      <c r="H155" s="874" t="str">
        <f t="shared" si="26"/>
        <v>EUR5F10Y_Quote</v>
      </c>
      <c r="I155" s="877">
        <v>0</v>
      </c>
      <c r="J155" s="43"/>
      <c r="L155" s="895" t="str">
        <f t="shared" si="23"/>
        <v>FwdSw</v>
      </c>
      <c r="M155" s="891" t="str">
        <f t="shared" si="24"/>
        <v>--</v>
      </c>
      <c r="N155" s="894" t="str">
        <f ca="1">IFERROR(_xll.qlRateHelperQuoteName(M155,Trigger),"--")</f>
        <v>--</v>
      </c>
      <c r="O155" s="893" t="str">
        <f ca="1">IFERROR(_xll.qlRateHelperQuoteValue($M155,Trigger),"--")</f>
        <v>--</v>
      </c>
      <c r="P155" s="970" t="b">
        <v>0</v>
      </c>
      <c r="Q155" s="891">
        <v>50</v>
      </c>
      <c r="R155" s="891">
        <v>1</v>
      </c>
      <c r="S155" s="890" t="str">
        <f ca="1">IFERROR(_xll.qlRateHelperEarliestDate(M155,Trigger),"--")</f>
        <v>--</v>
      </c>
      <c r="T155" s="890" t="str">
        <f ca="1">IFERROR(_xll.qlRateHelperPillarDate(M155,Trigger),"--")</f>
        <v>--</v>
      </c>
      <c r="V155" s="4" t="str">
        <f t="shared" ca="1" si="22"/>
        <v/>
      </c>
      <c r="W155" s="4" t="e">
        <f ca="1"/>
        <v>#NAME?</v>
      </c>
      <c r="X155" s="4" t="str">
        <f ca="1">IFERROR(_xll.qlRateHelperQuoteName(W155,Trigger),"")</f>
        <v/>
      </c>
      <c r="Y155" s="889" t="str">
        <f ca="1">IFERROR(_xll.qlRateHelperRate(W155,Trigger),"")</f>
        <v/>
      </c>
      <c r="Z155" s="888" t="str">
        <f ca="1">IF(ISERROR(_xll.qlSwapRateHelperSpread($W155)),IF(ISERROR(_xll.qlFuturesRateHelperConvexityAdjustment($W155)),"",_xll.qlFuturesRateHelperConvexityAdjustment($W155)),_xll.qlSwapRateHelperSpread($W155))</f>
        <v/>
      </c>
      <c r="AA155" s="5" t="str">
        <f ca="1">IFERROR(_xll.qlRateHelperEarliestDate(W155,Trigger),"")</f>
        <v/>
      </c>
      <c r="AB155" s="5" t="str">
        <f ca="1">IFERROR(_xll.qlRateHelperPillarDate(W155,Trigger),"")</f>
        <v/>
      </c>
      <c r="AC155" s="887" t="e">
        <f ca="1"/>
        <v>#NAME?</v>
      </c>
    </row>
    <row r="156" spans="1:29" x14ac:dyDescent="0.2">
      <c r="A156" s="874" t="s">
        <v>410</v>
      </c>
      <c r="B156" s="876" t="s">
        <v>45</v>
      </c>
      <c r="C156" s="875" t="s">
        <v>51</v>
      </c>
      <c r="D156" s="875" t="s">
        <v>323</v>
      </c>
      <c r="E156" s="875" t="s">
        <v>322</v>
      </c>
      <c r="F156" s="875" t="s">
        <v>221</v>
      </c>
      <c r="G156" s="875" t="str">
        <f t="shared" si="25"/>
        <v>Euribor6M</v>
      </c>
      <c r="H156" s="874" t="str">
        <f t="shared" si="26"/>
        <v>EUR5F11Y_Quote</v>
      </c>
      <c r="I156" s="877">
        <v>0</v>
      </c>
      <c r="J156" s="43"/>
      <c r="L156" s="895" t="str">
        <f t="shared" si="23"/>
        <v>FwdSw</v>
      </c>
      <c r="M156" s="891" t="str">
        <f t="shared" si="24"/>
        <v>--</v>
      </c>
      <c r="N156" s="894" t="str">
        <f ca="1">IFERROR(_xll.qlRateHelperQuoteName(M156,Trigger),"--")</f>
        <v>--</v>
      </c>
      <c r="O156" s="893" t="str">
        <f ca="1">IFERROR(_xll.qlRateHelperQuoteValue($M156,Trigger),"--")</f>
        <v>--</v>
      </c>
      <c r="P156" s="970" t="b">
        <v>0</v>
      </c>
      <c r="Q156" s="891">
        <v>50</v>
      </c>
      <c r="R156" s="891">
        <v>1</v>
      </c>
      <c r="S156" s="890" t="str">
        <f ca="1">IFERROR(_xll.qlRateHelperEarliestDate(M156,Trigger),"--")</f>
        <v>--</v>
      </c>
      <c r="T156" s="890" t="str">
        <f ca="1">IFERROR(_xll.qlRateHelperPillarDate(M156,Trigger),"--")</f>
        <v>--</v>
      </c>
      <c r="V156" s="4" t="str">
        <f t="shared" ca="1" si="22"/>
        <v/>
      </c>
      <c r="W156" s="4" t="e">
        <f ca="1"/>
        <v>#NAME?</v>
      </c>
      <c r="X156" s="4" t="str">
        <f ca="1">IFERROR(_xll.qlRateHelperQuoteName(W156,Trigger),"")</f>
        <v/>
      </c>
      <c r="Y156" s="889" t="str">
        <f ca="1">IFERROR(_xll.qlRateHelperRate(W156,Trigger),"")</f>
        <v/>
      </c>
      <c r="Z156" s="888" t="str">
        <f ca="1">IF(ISERROR(_xll.qlSwapRateHelperSpread($W156)),IF(ISERROR(_xll.qlFuturesRateHelperConvexityAdjustment($W156)),"",_xll.qlFuturesRateHelperConvexityAdjustment($W156)),_xll.qlSwapRateHelperSpread($W156))</f>
        <v/>
      </c>
      <c r="AA156" s="5" t="str">
        <f ca="1">IFERROR(_xll.qlRateHelperEarliestDate(W156,Trigger),"")</f>
        <v/>
      </c>
      <c r="AB156" s="5" t="str">
        <f ca="1">IFERROR(_xll.qlRateHelperPillarDate(W156,Trigger),"")</f>
        <v/>
      </c>
      <c r="AC156" s="887" t="e">
        <f ca="1"/>
        <v>#NAME?</v>
      </c>
    </row>
    <row r="157" spans="1:29" x14ac:dyDescent="0.2">
      <c r="A157" s="874" t="s">
        <v>410</v>
      </c>
      <c r="B157" s="876" t="s">
        <v>44</v>
      </c>
      <c r="C157" s="875" t="s">
        <v>51</v>
      </c>
      <c r="D157" s="875" t="s">
        <v>323</v>
      </c>
      <c r="E157" s="875" t="s">
        <v>322</v>
      </c>
      <c r="F157" s="875" t="s">
        <v>221</v>
      </c>
      <c r="G157" s="875" t="str">
        <f t="shared" si="25"/>
        <v>Euribor6M</v>
      </c>
      <c r="H157" s="874" t="str">
        <f t="shared" si="26"/>
        <v>EUR5F12Y_Quote</v>
      </c>
      <c r="I157" s="877">
        <v>0</v>
      </c>
      <c r="J157" s="43"/>
      <c r="L157" s="895" t="str">
        <f t="shared" si="23"/>
        <v>FwdSw</v>
      </c>
      <c r="M157" s="891" t="str">
        <f t="shared" si="24"/>
        <v>--</v>
      </c>
      <c r="N157" s="894" t="str">
        <f ca="1">IFERROR(_xll.qlRateHelperQuoteName(M157,Trigger),"--")</f>
        <v>--</v>
      </c>
      <c r="O157" s="893" t="str">
        <f ca="1">IFERROR(_xll.qlRateHelperQuoteValue($M157,Trigger),"--")</f>
        <v>--</v>
      </c>
      <c r="P157" s="970" t="b">
        <v>0</v>
      </c>
      <c r="Q157" s="891">
        <v>50</v>
      </c>
      <c r="R157" s="891">
        <v>1</v>
      </c>
      <c r="S157" s="890" t="str">
        <f ca="1">IFERROR(_xll.qlRateHelperEarliestDate(M157,Trigger),"--")</f>
        <v>--</v>
      </c>
      <c r="T157" s="890" t="str">
        <f ca="1">IFERROR(_xll.qlRateHelperPillarDate(M157,Trigger),"--")</f>
        <v>--</v>
      </c>
      <c r="V157" s="4" t="str">
        <f t="shared" ca="1" si="22"/>
        <v/>
      </c>
      <c r="W157" s="4" t="e">
        <f ca="1"/>
        <v>#NAME?</v>
      </c>
      <c r="X157" s="4" t="str">
        <f ca="1">IFERROR(_xll.qlRateHelperQuoteName(W157,Trigger),"")</f>
        <v/>
      </c>
      <c r="Y157" s="889" t="str">
        <f ca="1">IFERROR(_xll.qlRateHelperRate(W157,Trigger),"")</f>
        <v/>
      </c>
      <c r="Z157" s="888" t="str">
        <f ca="1">IF(ISERROR(_xll.qlSwapRateHelperSpread($W157)),IF(ISERROR(_xll.qlFuturesRateHelperConvexityAdjustment($W157)),"",_xll.qlFuturesRateHelperConvexityAdjustment($W157)),_xll.qlSwapRateHelperSpread($W157))</f>
        <v/>
      </c>
      <c r="AA157" s="5" t="str">
        <f ca="1">IFERROR(_xll.qlRateHelperEarliestDate(W157,Trigger),"")</f>
        <v/>
      </c>
      <c r="AB157" s="5" t="str">
        <f ca="1">IFERROR(_xll.qlRateHelperPillarDate(W157,Trigger),"")</f>
        <v/>
      </c>
      <c r="AC157" s="887" t="e">
        <f ca="1"/>
        <v>#NAME?</v>
      </c>
    </row>
    <row r="158" spans="1:29" x14ac:dyDescent="0.2">
      <c r="A158" s="874" t="s">
        <v>410</v>
      </c>
      <c r="B158" s="876" t="s">
        <v>43</v>
      </c>
      <c r="C158" s="875" t="s">
        <v>51</v>
      </c>
      <c r="D158" s="875" t="s">
        <v>323</v>
      </c>
      <c r="E158" s="875" t="s">
        <v>322</v>
      </c>
      <c r="F158" s="875" t="s">
        <v>221</v>
      </c>
      <c r="G158" s="875" t="str">
        <f t="shared" si="25"/>
        <v>Euribor6M</v>
      </c>
      <c r="H158" s="874" t="str">
        <f t="shared" si="26"/>
        <v>EUR5F13Y_Quote</v>
      </c>
      <c r="I158" s="877">
        <v>0</v>
      </c>
      <c r="J158" s="43"/>
      <c r="L158" s="895" t="str">
        <f t="shared" si="23"/>
        <v>FwdSw</v>
      </c>
      <c r="M158" s="891" t="str">
        <f t="shared" si="24"/>
        <v>--</v>
      </c>
      <c r="N158" s="894" t="str">
        <f ca="1">IFERROR(_xll.qlRateHelperQuoteName(M158,Trigger),"--")</f>
        <v>--</v>
      </c>
      <c r="O158" s="893" t="str">
        <f ca="1">IFERROR(_xll.qlRateHelperQuoteValue($M158,Trigger),"--")</f>
        <v>--</v>
      </c>
      <c r="P158" s="970" t="b">
        <v>0</v>
      </c>
      <c r="Q158" s="891">
        <v>50</v>
      </c>
      <c r="R158" s="891">
        <v>1</v>
      </c>
      <c r="S158" s="890" t="str">
        <f ca="1">IFERROR(_xll.qlRateHelperEarliestDate(M158,Trigger),"--")</f>
        <v>--</v>
      </c>
      <c r="T158" s="890" t="str">
        <f ca="1">IFERROR(_xll.qlRateHelperPillarDate(M158,Trigger),"--")</f>
        <v>--</v>
      </c>
      <c r="V158" s="4" t="str">
        <f t="shared" ca="1" si="22"/>
        <v/>
      </c>
      <c r="W158" s="4" t="e">
        <f ca="1"/>
        <v>#NAME?</v>
      </c>
      <c r="X158" s="4" t="str">
        <f ca="1">IFERROR(_xll.qlRateHelperQuoteName(W158,Trigger),"")</f>
        <v/>
      </c>
      <c r="Y158" s="889" t="str">
        <f ca="1">IFERROR(_xll.qlRateHelperRate(W158,Trigger),"")</f>
        <v/>
      </c>
      <c r="Z158" s="888" t="str">
        <f ca="1">IF(ISERROR(_xll.qlSwapRateHelperSpread($W158)),IF(ISERROR(_xll.qlFuturesRateHelperConvexityAdjustment($W158)),"",_xll.qlFuturesRateHelperConvexityAdjustment($W158)),_xll.qlSwapRateHelperSpread($W158))</f>
        <v/>
      </c>
      <c r="AA158" s="5" t="str">
        <f ca="1">IFERROR(_xll.qlRateHelperEarliestDate(W158,Trigger),"")</f>
        <v/>
      </c>
      <c r="AB158" s="5" t="str">
        <f ca="1">IFERROR(_xll.qlRateHelperPillarDate(W158,Trigger),"")</f>
        <v/>
      </c>
      <c r="AC158" s="887" t="e">
        <f ca="1"/>
        <v>#NAME?</v>
      </c>
    </row>
    <row r="159" spans="1:29" x14ac:dyDescent="0.2">
      <c r="A159" s="874" t="s">
        <v>410</v>
      </c>
      <c r="B159" s="876" t="s">
        <v>42</v>
      </c>
      <c r="C159" s="875" t="s">
        <v>51</v>
      </c>
      <c r="D159" s="875" t="s">
        <v>323</v>
      </c>
      <c r="E159" s="875" t="s">
        <v>322</v>
      </c>
      <c r="F159" s="875" t="s">
        <v>221</v>
      </c>
      <c r="G159" s="875" t="str">
        <f t="shared" si="25"/>
        <v>Euribor6M</v>
      </c>
      <c r="H159" s="874" t="str">
        <f t="shared" si="26"/>
        <v>EUR5F14Y_Quote</v>
      </c>
      <c r="I159" s="877">
        <v>0</v>
      </c>
      <c r="J159" s="43"/>
      <c r="L159" s="895" t="str">
        <f t="shared" si="23"/>
        <v>FwdSw</v>
      </c>
      <c r="M159" s="891" t="str">
        <f t="shared" si="24"/>
        <v>--</v>
      </c>
      <c r="N159" s="894" t="str">
        <f ca="1">IFERROR(_xll.qlRateHelperQuoteName(M159,Trigger),"--")</f>
        <v>--</v>
      </c>
      <c r="O159" s="893" t="str">
        <f ca="1">IFERROR(_xll.qlRateHelperQuoteValue($M159,Trigger),"--")</f>
        <v>--</v>
      </c>
      <c r="P159" s="970" t="b">
        <v>0</v>
      </c>
      <c r="Q159" s="891">
        <v>50</v>
      </c>
      <c r="R159" s="891">
        <v>1</v>
      </c>
      <c r="S159" s="890" t="str">
        <f ca="1">IFERROR(_xll.qlRateHelperEarliestDate(M159,Trigger),"--")</f>
        <v>--</v>
      </c>
      <c r="T159" s="890" t="str">
        <f ca="1">IFERROR(_xll.qlRateHelperPillarDate(M159,Trigger),"--")</f>
        <v>--</v>
      </c>
      <c r="V159" s="4" t="str">
        <f t="shared" ca="1" si="22"/>
        <v/>
      </c>
      <c r="W159" s="4" t="e">
        <f ca="1"/>
        <v>#NAME?</v>
      </c>
      <c r="X159" s="4" t="str">
        <f ca="1">IFERROR(_xll.qlRateHelperQuoteName(W159,Trigger),"")</f>
        <v/>
      </c>
      <c r="Y159" s="889" t="str">
        <f ca="1">IFERROR(_xll.qlRateHelperRate(W159,Trigger),"")</f>
        <v/>
      </c>
      <c r="Z159" s="888" t="str">
        <f ca="1">IF(ISERROR(_xll.qlSwapRateHelperSpread($W159)),IF(ISERROR(_xll.qlFuturesRateHelperConvexityAdjustment($W159)),"",_xll.qlFuturesRateHelperConvexityAdjustment($W159)),_xll.qlSwapRateHelperSpread($W159))</f>
        <v/>
      </c>
      <c r="AA159" s="5" t="str">
        <f ca="1">IFERROR(_xll.qlRateHelperEarliestDate(W159,Trigger),"")</f>
        <v/>
      </c>
      <c r="AB159" s="5" t="str">
        <f ca="1">IFERROR(_xll.qlRateHelperPillarDate(W159,Trigger),"")</f>
        <v/>
      </c>
      <c r="AC159" s="887" t="e">
        <f ca="1"/>
        <v>#NAME?</v>
      </c>
    </row>
    <row r="160" spans="1:29" x14ac:dyDescent="0.2">
      <c r="A160" s="874" t="s">
        <v>410</v>
      </c>
      <c r="B160" s="876" t="s">
        <v>41</v>
      </c>
      <c r="C160" s="875" t="s">
        <v>51</v>
      </c>
      <c r="D160" s="875" t="s">
        <v>323</v>
      </c>
      <c r="E160" s="875" t="s">
        <v>322</v>
      </c>
      <c r="F160" s="875" t="s">
        <v>221</v>
      </c>
      <c r="G160" s="875" t="str">
        <f t="shared" si="25"/>
        <v>Euribor6M</v>
      </c>
      <c r="H160" s="874" t="str">
        <f t="shared" si="26"/>
        <v>EUR5F15Y_Quote</v>
      </c>
      <c r="I160" s="877">
        <v>0</v>
      </c>
      <c r="J160" s="43"/>
      <c r="L160" s="895" t="str">
        <f t="shared" si="23"/>
        <v>FwdSw</v>
      </c>
      <c r="M160" s="891" t="str">
        <f t="shared" si="24"/>
        <v>--</v>
      </c>
      <c r="N160" s="894" t="str">
        <f ca="1">IFERROR(_xll.qlRateHelperQuoteName(M160,Trigger),"--")</f>
        <v>--</v>
      </c>
      <c r="O160" s="893" t="str">
        <f ca="1">IFERROR(_xll.qlRateHelperQuoteValue($M160,Trigger),"--")</f>
        <v>--</v>
      </c>
      <c r="P160" s="970" t="b">
        <v>0</v>
      </c>
      <c r="Q160" s="891">
        <v>50</v>
      </c>
      <c r="R160" s="891">
        <v>1</v>
      </c>
      <c r="S160" s="890" t="str">
        <f ca="1">IFERROR(_xll.qlRateHelperEarliestDate(M160,Trigger),"--")</f>
        <v>--</v>
      </c>
      <c r="T160" s="890" t="str">
        <f ca="1">IFERROR(_xll.qlRateHelperPillarDate(M160,Trigger),"--")</f>
        <v>--</v>
      </c>
      <c r="V160" s="4" t="str">
        <f t="shared" ca="1" si="22"/>
        <v/>
      </c>
      <c r="W160" s="4" t="e">
        <f ca="1"/>
        <v>#NAME?</v>
      </c>
      <c r="X160" s="4" t="str">
        <f ca="1">IFERROR(_xll.qlRateHelperQuoteName(W160,Trigger),"")</f>
        <v/>
      </c>
      <c r="Y160" s="889" t="str">
        <f ca="1">IFERROR(_xll.qlRateHelperRate(W160,Trigger),"")</f>
        <v/>
      </c>
      <c r="Z160" s="888" t="str">
        <f ca="1">IF(ISERROR(_xll.qlSwapRateHelperSpread($W160)),IF(ISERROR(_xll.qlFuturesRateHelperConvexityAdjustment($W160)),"",_xll.qlFuturesRateHelperConvexityAdjustment($W160)),_xll.qlSwapRateHelperSpread($W160))</f>
        <v/>
      </c>
      <c r="AA160" s="5" t="str">
        <f ca="1">IFERROR(_xll.qlRateHelperEarliestDate(W160,Trigger),"")</f>
        <v/>
      </c>
      <c r="AB160" s="5" t="str">
        <f ca="1">IFERROR(_xll.qlRateHelperPillarDate(W160,Trigger),"")</f>
        <v/>
      </c>
      <c r="AC160" s="887" t="e">
        <f ca="1"/>
        <v>#NAME?</v>
      </c>
    </row>
    <row r="161" spans="1:29" x14ac:dyDescent="0.2">
      <c r="A161" s="874" t="s">
        <v>410</v>
      </c>
      <c r="B161" s="876" t="s">
        <v>36</v>
      </c>
      <c r="C161" s="875" t="s">
        <v>51</v>
      </c>
      <c r="D161" s="875" t="s">
        <v>323</v>
      </c>
      <c r="E161" s="875" t="s">
        <v>322</v>
      </c>
      <c r="F161" s="875" t="s">
        <v>221</v>
      </c>
      <c r="G161" s="875" t="str">
        <f t="shared" si="25"/>
        <v>Euribor6M</v>
      </c>
      <c r="H161" s="874" t="str">
        <f t="shared" si="26"/>
        <v>EUR5F20Y_Quote</v>
      </c>
      <c r="I161" s="877">
        <v>0</v>
      </c>
      <c r="J161" s="43"/>
      <c r="L161" s="895" t="str">
        <f t="shared" si="23"/>
        <v>FwdSw</v>
      </c>
      <c r="M161" s="891" t="str">
        <f t="shared" si="24"/>
        <v>--</v>
      </c>
      <c r="N161" s="894" t="str">
        <f ca="1">IFERROR(_xll.qlRateHelperQuoteName(M161,Trigger),"--")</f>
        <v>--</v>
      </c>
      <c r="O161" s="893" t="str">
        <f ca="1">IFERROR(_xll.qlRateHelperQuoteValue($M161,Trigger),"--")</f>
        <v>--</v>
      </c>
      <c r="P161" s="970" t="b">
        <v>0</v>
      </c>
      <c r="Q161" s="891">
        <v>50</v>
      </c>
      <c r="R161" s="891">
        <v>1</v>
      </c>
      <c r="S161" s="890" t="str">
        <f ca="1">IFERROR(_xll.qlRateHelperEarliestDate(M161,Trigger),"--")</f>
        <v>--</v>
      </c>
      <c r="T161" s="890" t="str">
        <f ca="1">IFERROR(_xll.qlRateHelperPillarDate(M161,Trigger),"--")</f>
        <v>--</v>
      </c>
      <c r="V161" s="4" t="str">
        <f t="shared" ca="1" si="22"/>
        <v/>
      </c>
      <c r="W161" s="4" t="e">
        <f ca="1"/>
        <v>#NAME?</v>
      </c>
      <c r="X161" s="4" t="str">
        <f ca="1">IFERROR(_xll.qlRateHelperQuoteName(W161,Trigger),"")</f>
        <v/>
      </c>
      <c r="Y161" s="889" t="str">
        <f ca="1">IFERROR(_xll.qlRateHelperRate(W161,Trigger),"")</f>
        <v/>
      </c>
      <c r="Z161" s="888" t="str">
        <f ca="1">IF(ISERROR(_xll.qlSwapRateHelperSpread($W161)),IF(ISERROR(_xll.qlFuturesRateHelperConvexityAdjustment($W161)),"",_xll.qlFuturesRateHelperConvexityAdjustment($W161)),_xll.qlSwapRateHelperSpread($W161))</f>
        <v/>
      </c>
      <c r="AA161" s="5" t="str">
        <f ca="1">IFERROR(_xll.qlRateHelperEarliestDate(W161,Trigger),"")</f>
        <v/>
      </c>
      <c r="AB161" s="5" t="str">
        <f ca="1">IFERROR(_xll.qlRateHelperPillarDate(W161,Trigger),"")</f>
        <v/>
      </c>
      <c r="AC161" s="887" t="e">
        <f ca="1"/>
        <v>#NAME?</v>
      </c>
    </row>
    <row r="162" spans="1:29" x14ac:dyDescent="0.2">
      <c r="A162" s="874" t="s">
        <v>410</v>
      </c>
      <c r="B162" s="876" t="s">
        <v>31</v>
      </c>
      <c r="C162" s="875" t="s">
        <v>51</v>
      </c>
      <c r="D162" s="875" t="s">
        <v>323</v>
      </c>
      <c r="E162" s="875" t="s">
        <v>322</v>
      </c>
      <c r="F162" s="875" t="s">
        <v>221</v>
      </c>
      <c r="G162" s="875" t="str">
        <f t="shared" si="25"/>
        <v>Euribor6M</v>
      </c>
      <c r="H162" s="874" t="str">
        <f t="shared" si="26"/>
        <v>EUR5F25Y_Quote</v>
      </c>
      <c r="I162" s="877">
        <v>0</v>
      </c>
      <c r="J162" s="43"/>
      <c r="L162" s="895" t="str">
        <f t="shared" si="23"/>
        <v>FwdSw</v>
      </c>
      <c r="M162" s="891" t="str">
        <f t="shared" si="24"/>
        <v>--</v>
      </c>
      <c r="N162" s="894" t="str">
        <f ca="1">IFERROR(_xll.qlRateHelperQuoteName(M162,Trigger),"--")</f>
        <v>--</v>
      </c>
      <c r="O162" s="893" t="str">
        <f ca="1">IFERROR(_xll.qlRateHelperQuoteValue($M162,Trigger),"--")</f>
        <v>--</v>
      </c>
      <c r="P162" s="970" t="b">
        <v>0</v>
      </c>
      <c r="Q162" s="891">
        <v>50</v>
      </c>
      <c r="R162" s="891">
        <v>1</v>
      </c>
      <c r="S162" s="890" t="str">
        <f ca="1">IFERROR(_xll.qlRateHelperEarliestDate(M162,Trigger),"--")</f>
        <v>--</v>
      </c>
      <c r="T162" s="890" t="str">
        <f ca="1">IFERROR(_xll.qlRateHelperPillarDate(M162,Trigger),"--")</f>
        <v>--</v>
      </c>
      <c r="V162" s="4" t="str">
        <f t="shared" ca="1" si="22"/>
        <v/>
      </c>
      <c r="W162" s="4" t="e">
        <f ca="1"/>
        <v>#NAME?</v>
      </c>
      <c r="X162" s="4" t="str">
        <f ca="1">IFERROR(_xll.qlRateHelperQuoteName(W162,Trigger),"")</f>
        <v/>
      </c>
      <c r="Y162" s="889" t="str">
        <f ca="1">IFERROR(_xll.qlRateHelperRate(W162,Trigger),"")</f>
        <v/>
      </c>
      <c r="Z162" s="888" t="str">
        <f ca="1">IF(ISERROR(_xll.qlSwapRateHelperSpread($W162)),IF(ISERROR(_xll.qlFuturesRateHelperConvexityAdjustment($W162)),"",_xll.qlFuturesRateHelperConvexityAdjustment($W162)),_xll.qlSwapRateHelperSpread($W162))</f>
        <v/>
      </c>
      <c r="AA162" s="5" t="str">
        <f ca="1">IFERROR(_xll.qlRateHelperEarliestDate(W162,Trigger),"")</f>
        <v/>
      </c>
      <c r="AB162" s="5" t="str">
        <f ca="1">IFERROR(_xll.qlRateHelperPillarDate(W162,Trigger),"")</f>
        <v/>
      </c>
      <c r="AC162" s="887" t="e">
        <f ca="1"/>
        <v>#NAME?</v>
      </c>
    </row>
    <row r="163" spans="1:29" x14ac:dyDescent="0.2">
      <c r="A163" s="874" t="s">
        <v>410</v>
      </c>
      <c r="B163" s="876" t="s">
        <v>26</v>
      </c>
      <c r="C163" s="875" t="s">
        <v>51</v>
      </c>
      <c r="D163" s="875" t="s">
        <v>323</v>
      </c>
      <c r="E163" s="875" t="s">
        <v>322</v>
      </c>
      <c r="F163" s="875" t="s">
        <v>221</v>
      </c>
      <c r="G163" s="875" t="str">
        <f t="shared" si="25"/>
        <v>Euribor6M</v>
      </c>
      <c r="H163" s="874" t="str">
        <f t="shared" si="26"/>
        <v>EUR5F30Y_Quote</v>
      </c>
      <c r="I163" s="877">
        <v>0</v>
      </c>
      <c r="J163" s="43"/>
      <c r="L163" s="895" t="str">
        <f t="shared" si="23"/>
        <v>FwdSw</v>
      </c>
      <c r="M163" s="891" t="str">
        <f t="shared" si="24"/>
        <v>--</v>
      </c>
      <c r="N163" s="894" t="str">
        <f ca="1">IFERROR(_xll.qlRateHelperQuoteName(M163,Trigger),"--")</f>
        <v>--</v>
      </c>
      <c r="O163" s="893" t="str">
        <f ca="1">IFERROR(_xll.qlRateHelperQuoteValue($M163,Trigger),"--")</f>
        <v>--</v>
      </c>
      <c r="P163" s="970" t="b">
        <v>0</v>
      </c>
      <c r="Q163" s="891">
        <v>50</v>
      </c>
      <c r="R163" s="891">
        <v>1</v>
      </c>
      <c r="S163" s="890" t="str">
        <f ca="1">IFERROR(_xll.qlRateHelperEarliestDate(M163,Trigger),"--")</f>
        <v>--</v>
      </c>
      <c r="T163" s="890" t="str">
        <f ca="1">IFERROR(_xll.qlRateHelperPillarDate(M163,Trigger),"--")</f>
        <v>--</v>
      </c>
      <c r="V163" s="4" t="str">
        <f t="shared" ca="1" si="22"/>
        <v/>
      </c>
      <c r="W163" s="4" t="e">
        <f ca="1"/>
        <v>#NAME?</v>
      </c>
      <c r="X163" s="4" t="str">
        <f ca="1">IFERROR(_xll.qlRateHelperQuoteName(W163,Trigger),"")</f>
        <v/>
      </c>
      <c r="Y163" s="889" t="str">
        <f ca="1">IFERROR(_xll.qlRateHelperRate(W163,Trigger),"")</f>
        <v/>
      </c>
      <c r="Z163" s="888" t="str">
        <f ca="1">IF(ISERROR(_xll.qlSwapRateHelperSpread($W163)),IF(ISERROR(_xll.qlFuturesRateHelperConvexityAdjustment($W163)),"",_xll.qlFuturesRateHelperConvexityAdjustment($W163)),_xll.qlSwapRateHelperSpread($W163))</f>
        <v/>
      </c>
      <c r="AA163" s="5" t="str">
        <f ca="1">IFERROR(_xll.qlRateHelperEarliestDate(W163,Trigger),"")</f>
        <v/>
      </c>
      <c r="AB163" s="5" t="str">
        <f ca="1">IFERROR(_xll.qlRateHelperPillarDate(W163,Trigger),"")</f>
        <v/>
      </c>
      <c r="AC163" s="887" t="e">
        <f ca="1"/>
        <v>#NAME?</v>
      </c>
    </row>
    <row r="164" spans="1:29" x14ac:dyDescent="0.2">
      <c r="A164" s="897" t="s">
        <v>410</v>
      </c>
      <c r="B164" s="899" t="s">
        <v>58</v>
      </c>
      <c r="C164" s="898" t="s">
        <v>50</v>
      </c>
      <c r="D164" s="898" t="s">
        <v>323</v>
      </c>
      <c r="E164" s="898" t="s">
        <v>322</v>
      </c>
      <c r="F164" s="898" t="s">
        <v>221</v>
      </c>
      <c r="G164" s="898" t="str">
        <f t="shared" si="25"/>
        <v>Euribor6M</v>
      </c>
      <c r="H164" s="897" t="str">
        <f t="shared" si="26"/>
        <v>EUR6F1Y_Quote</v>
      </c>
      <c r="I164" s="896">
        <v>0</v>
      </c>
      <c r="J164" s="47"/>
      <c r="L164" s="895" t="str">
        <f t="shared" si="23"/>
        <v>FwdSw</v>
      </c>
      <c r="M164" s="891" t="str">
        <f t="shared" si="24"/>
        <v>--</v>
      </c>
      <c r="N164" s="894" t="str">
        <f ca="1">IFERROR(_xll.qlRateHelperQuoteName(M164,Trigger),"--")</f>
        <v>--</v>
      </c>
      <c r="O164" s="893" t="str">
        <f ca="1">IFERROR(_xll.qlRateHelperQuoteValue($M164,Trigger),"--")</f>
        <v>--</v>
      </c>
      <c r="P164" s="970" t="b">
        <v>0</v>
      </c>
      <c r="Q164" s="891">
        <v>50</v>
      </c>
      <c r="R164" s="891">
        <v>1</v>
      </c>
      <c r="S164" s="890" t="str">
        <f ca="1">IFERROR(_xll.qlRateHelperEarliestDate(M164,Trigger),"--")</f>
        <v>--</v>
      </c>
      <c r="T164" s="890" t="str">
        <f ca="1">IFERROR(_xll.qlRateHelperPillarDate(M164,Trigger),"--")</f>
        <v>--</v>
      </c>
      <c r="V164" s="4" t="str">
        <f t="shared" ca="1" si="22"/>
        <v/>
      </c>
      <c r="W164" s="4" t="e">
        <f ca="1"/>
        <v>#NAME?</v>
      </c>
      <c r="X164" s="4" t="str">
        <f ca="1">IFERROR(_xll.qlRateHelperQuoteName(W164,Trigger),"")</f>
        <v/>
      </c>
      <c r="Y164" s="889" t="str">
        <f ca="1">IFERROR(_xll.qlRateHelperRate(W164,Trigger),"")</f>
        <v/>
      </c>
      <c r="Z164" s="888" t="str">
        <f ca="1">IF(ISERROR(_xll.qlSwapRateHelperSpread($W164)),IF(ISERROR(_xll.qlFuturesRateHelperConvexityAdjustment($W164)),"",_xll.qlFuturesRateHelperConvexityAdjustment($W164)),_xll.qlSwapRateHelperSpread($W164))</f>
        <v/>
      </c>
      <c r="AA164" s="5" t="str">
        <f ca="1">IFERROR(_xll.qlRateHelperEarliestDate(W164,Trigger),"")</f>
        <v/>
      </c>
      <c r="AB164" s="5" t="str">
        <f ca="1">IFERROR(_xll.qlRateHelperPillarDate(W164,Trigger),"")</f>
        <v/>
      </c>
      <c r="AC164" s="887" t="e">
        <f ca="1"/>
        <v>#NAME?</v>
      </c>
    </row>
    <row r="165" spans="1:29" x14ac:dyDescent="0.2">
      <c r="A165" s="874" t="s">
        <v>410</v>
      </c>
      <c r="B165" s="876" t="s">
        <v>54</v>
      </c>
      <c r="C165" s="875" t="s">
        <v>50</v>
      </c>
      <c r="D165" s="875" t="s">
        <v>323</v>
      </c>
      <c r="E165" s="875" t="s">
        <v>322</v>
      </c>
      <c r="F165" s="875" t="s">
        <v>221</v>
      </c>
      <c r="G165" s="875" t="str">
        <f t="shared" si="25"/>
        <v>Euribor6M</v>
      </c>
      <c r="H165" s="874" t="str">
        <f t="shared" si="26"/>
        <v>EUR6F2Y_Quote</v>
      </c>
      <c r="I165" s="877">
        <v>0</v>
      </c>
      <c r="J165" s="43"/>
      <c r="L165" s="895" t="str">
        <f t="shared" si="23"/>
        <v>FwdSw</v>
      </c>
      <c r="M165" s="891" t="str">
        <f t="shared" si="24"/>
        <v>--</v>
      </c>
      <c r="N165" s="894" t="str">
        <f ca="1">IFERROR(_xll.qlRateHelperQuoteName(M165,Trigger),"--")</f>
        <v>--</v>
      </c>
      <c r="O165" s="893" t="str">
        <f ca="1">IFERROR(_xll.qlRateHelperQuoteValue($M165,Trigger),"--")</f>
        <v>--</v>
      </c>
      <c r="P165" s="970" t="b">
        <v>0</v>
      </c>
      <c r="Q165" s="891">
        <v>50</v>
      </c>
      <c r="R165" s="891">
        <v>1</v>
      </c>
      <c r="S165" s="890" t="str">
        <f ca="1">IFERROR(_xll.qlRateHelperEarliestDate(M165,Trigger),"--")</f>
        <v>--</v>
      </c>
      <c r="T165" s="890" t="str">
        <f ca="1">IFERROR(_xll.qlRateHelperPillarDate(M165,Trigger),"--")</f>
        <v>--</v>
      </c>
      <c r="V165" s="4" t="str">
        <f t="shared" ca="1" si="22"/>
        <v/>
      </c>
      <c r="W165" s="4" t="e">
        <f ca="1"/>
        <v>#NAME?</v>
      </c>
      <c r="X165" s="4" t="str">
        <f ca="1">IFERROR(_xll.qlRateHelperQuoteName(W165,Trigger),"")</f>
        <v/>
      </c>
      <c r="Y165" s="889" t="str">
        <f ca="1">IFERROR(_xll.qlRateHelperRate(W165,Trigger),"")</f>
        <v/>
      </c>
      <c r="Z165" s="888" t="str">
        <f ca="1">IF(ISERROR(_xll.qlSwapRateHelperSpread($W165)),IF(ISERROR(_xll.qlFuturesRateHelperConvexityAdjustment($W165)),"",_xll.qlFuturesRateHelperConvexityAdjustment($W165)),_xll.qlSwapRateHelperSpread($W165))</f>
        <v/>
      </c>
      <c r="AA165" s="5" t="str">
        <f ca="1">IFERROR(_xll.qlRateHelperEarliestDate(W165,Trigger),"")</f>
        <v/>
      </c>
      <c r="AB165" s="5" t="str">
        <f ca="1">IFERROR(_xll.qlRateHelperPillarDate(W165,Trigger),"")</f>
        <v/>
      </c>
      <c r="AC165" s="887" t="e">
        <f ca="1"/>
        <v>#NAME?</v>
      </c>
    </row>
    <row r="166" spans="1:29" x14ac:dyDescent="0.2">
      <c r="A166" s="874" t="s">
        <v>410</v>
      </c>
      <c r="B166" s="876" t="s">
        <v>53</v>
      </c>
      <c r="C166" s="875" t="s">
        <v>50</v>
      </c>
      <c r="D166" s="875" t="s">
        <v>323</v>
      </c>
      <c r="E166" s="875" t="s">
        <v>322</v>
      </c>
      <c r="F166" s="875" t="s">
        <v>221</v>
      </c>
      <c r="G166" s="875" t="str">
        <f t="shared" si="25"/>
        <v>Euribor6M</v>
      </c>
      <c r="H166" s="874" t="str">
        <f t="shared" si="26"/>
        <v>EUR6F3Y_Quote</v>
      </c>
      <c r="I166" s="877">
        <v>0</v>
      </c>
      <c r="J166" s="43"/>
      <c r="L166" s="895" t="str">
        <f t="shared" si="23"/>
        <v>FwdSw</v>
      </c>
      <c r="M166" s="891" t="str">
        <f t="shared" si="24"/>
        <v>--</v>
      </c>
      <c r="N166" s="894" t="str">
        <f ca="1">IFERROR(_xll.qlRateHelperQuoteName(M166,Trigger),"--")</f>
        <v>--</v>
      </c>
      <c r="O166" s="893" t="str">
        <f ca="1">IFERROR(_xll.qlRateHelperQuoteValue($M166,Trigger),"--")</f>
        <v>--</v>
      </c>
      <c r="P166" s="970" t="b">
        <v>0</v>
      </c>
      <c r="Q166" s="891">
        <v>50</v>
      </c>
      <c r="R166" s="891">
        <v>1</v>
      </c>
      <c r="S166" s="890" t="str">
        <f ca="1">IFERROR(_xll.qlRateHelperEarliestDate(M166,Trigger),"--")</f>
        <v>--</v>
      </c>
      <c r="T166" s="890" t="str">
        <f ca="1">IFERROR(_xll.qlRateHelperPillarDate(M166,Trigger),"--")</f>
        <v>--</v>
      </c>
      <c r="V166" s="4" t="str">
        <f t="shared" ca="1" si="22"/>
        <v/>
      </c>
      <c r="W166" s="4" t="e">
        <f ca="1"/>
        <v>#NAME?</v>
      </c>
      <c r="X166" s="4" t="str">
        <f ca="1">IFERROR(_xll.qlRateHelperQuoteName(W166,Trigger),"")</f>
        <v/>
      </c>
      <c r="Y166" s="889" t="str">
        <f ca="1">IFERROR(_xll.qlRateHelperRate(W166,Trigger),"")</f>
        <v/>
      </c>
      <c r="Z166" s="888" t="str">
        <f ca="1">IF(ISERROR(_xll.qlSwapRateHelperSpread($W166)),IF(ISERROR(_xll.qlFuturesRateHelperConvexityAdjustment($W166)),"",_xll.qlFuturesRateHelperConvexityAdjustment($W166)),_xll.qlSwapRateHelperSpread($W166))</f>
        <v/>
      </c>
      <c r="AA166" s="5" t="str">
        <f ca="1">IFERROR(_xll.qlRateHelperEarliestDate(W166,Trigger),"")</f>
        <v/>
      </c>
      <c r="AB166" s="5" t="str">
        <f ca="1">IFERROR(_xll.qlRateHelperPillarDate(W166,Trigger),"")</f>
        <v/>
      </c>
      <c r="AC166" s="887" t="e">
        <f ca="1"/>
        <v>#NAME?</v>
      </c>
    </row>
    <row r="167" spans="1:29" x14ac:dyDescent="0.2">
      <c r="A167" s="874" t="s">
        <v>410</v>
      </c>
      <c r="B167" s="876" t="s">
        <v>52</v>
      </c>
      <c r="C167" s="875" t="s">
        <v>50</v>
      </c>
      <c r="D167" s="875" t="s">
        <v>323</v>
      </c>
      <c r="E167" s="875" t="s">
        <v>322</v>
      </c>
      <c r="F167" s="875" t="s">
        <v>221</v>
      </c>
      <c r="G167" s="875" t="str">
        <f t="shared" si="25"/>
        <v>Euribor6M</v>
      </c>
      <c r="H167" s="874" t="str">
        <f t="shared" si="26"/>
        <v>EUR6F4Y_Quote</v>
      </c>
      <c r="I167" s="877">
        <v>0</v>
      </c>
      <c r="J167" s="43"/>
      <c r="L167" s="895" t="str">
        <f t="shared" si="23"/>
        <v>FwdSw</v>
      </c>
      <c r="M167" s="891" t="str">
        <f t="shared" si="24"/>
        <v>--</v>
      </c>
      <c r="N167" s="894" t="str">
        <f ca="1">IFERROR(_xll.qlRateHelperQuoteName(M167,Trigger),"--")</f>
        <v>--</v>
      </c>
      <c r="O167" s="893" t="str">
        <f ca="1">IFERROR(_xll.qlRateHelperQuoteValue($M167,Trigger),"--")</f>
        <v>--</v>
      </c>
      <c r="P167" s="970" t="b">
        <v>0</v>
      </c>
      <c r="Q167" s="891">
        <v>50</v>
      </c>
      <c r="R167" s="891">
        <v>1</v>
      </c>
      <c r="S167" s="890" t="str">
        <f ca="1">IFERROR(_xll.qlRateHelperEarliestDate(M167,Trigger),"--")</f>
        <v>--</v>
      </c>
      <c r="T167" s="890" t="str">
        <f ca="1">IFERROR(_xll.qlRateHelperPillarDate(M167,Trigger),"--")</f>
        <v>--</v>
      </c>
      <c r="V167" s="4" t="str">
        <f t="shared" ca="1" si="22"/>
        <v/>
      </c>
      <c r="W167" s="4" t="e">
        <f ca="1"/>
        <v>#NAME?</v>
      </c>
      <c r="X167" s="4" t="str">
        <f ca="1">IFERROR(_xll.qlRateHelperQuoteName(W167,Trigger),"")</f>
        <v/>
      </c>
      <c r="Y167" s="889" t="str">
        <f ca="1">IFERROR(_xll.qlRateHelperRate(W167,Trigger),"")</f>
        <v/>
      </c>
      <c r="Z167" s="888" t="str">
        <f ca="1">IF(ISERROR(_xll.qlSwapRateHelperSpread($W167)),IF(ISERROR(_xll.qlFuturesRateHelperConvexityAdjustment($W167)),"",_xll.qlFuturesRateHelperConvexityAdjustment($W167)),_xll.qlSwapRateHelperSpread($W167))</f>
        <v/>
      </c>
      <c r="AA167" s="5" t="str">
        <f ca="1">IFERROR(_xll.qlRateHelperEarliestDate(W167,Trigger),"")</f>
        <v/>
      </c>
      <c r="AB167" s="5" t="str">
        <f ca="1">IFERROR(_xll.qlRateHelperPillarDate(W167,Trigger),"")</f>
        <v/>
      </c>
      <c r="AC167" s="887" t="e">
        <f ca="1"/>
        <v>#NAME?</v>
      </c>
    </row>
    <row r="168" spans="1:29" x14ac:dyDescent="0.2">
      <c r="A168" s="874" t="s">
        <v>410</v>
      </c>
      <c r="B168" s="876" t="s">
        <v>51</v>
      </c>
      <c r="C168" s="875" t="s">
        <v>50</v>
      </c>
      <c r="D168" s="875" t="s">
        <v>323</v>
      </c>
      <c r="E168" s="875" t="s">
        <v>322</v>
      </c>
      <c r="F168" s="875" t="s">
        <v>221</v>
      </c>
      <c r="G168" s="875" t="str">
        <f t="shared" si="25"/>
        <v>Euribor6M</v>
      </c>
      <c r="H168" s="874" t="str">
        <f t="shared" si="26"/>
        <v>EUR6F5Y_Quote</v>
      </c>
      <c r="I168" s="877">
        <v>0</v>
      </c>
      <c r="J168" s="43"/>
      <c r="L168" s="895" t="str">
        <f t="shared" si="23"/>
        <v>FwdSw</v>
      </c>
      <c r="M168" s="891" t="str">
        <f t="shared" si="24"/>
        <v>--</v>
      </c>
      <c r="N168" s="894" t="str">
        <f ca="1">IFERROR(_xll.qlRateHelperQuoteName(M168,Trigger),"--")</f>
        <v>--</v>
      </c>
      <c r="O168" s="893" t="str">
        <f ca="1">IFERROR(_xll.qlRateHelperQuoteValue($M168,Trigger),"--")</f>
        <v>--</v>
      </c>
      <c r="P168" s="970" t="b">
        <v>0</v>
      </c>
      <c r="Q168" s="891">
        <v>50</v>
      </c>
      <c r="R168" s="891">
        <v>1</v>
      </c>
      <c r="S168" s="890" t="str">
        <f ca="1">IFERROR(_xll.qlRateHelperEarliestDate(M168,Trigger),"--")</f>
        <v>--</v>
      </c>
      <c r="T168" s="890" t="str">
        <f ca="1">IFERROR(_xll.qlRateHelperPillarDate(M168,Trigger),"--")</f>
        <v>--</v>
      </c>
      <c r="V168" s="4" t="str">
        <f t="shared" ca="1" si="22"/>
        <v/>
      </c>
      <c r="W168" s="4" t="e">
        <f ca="1"/>
        <v>#NAME?</v>
      </c>
      <c r="X168" s="4" t="str">
        <f ca="1">IFERROR(_xll.qlRateHelperQuoteName(W168,Trigger),"")</f>
        <v/>
      </c>
      <c r="Y168" s="889" t="str">
        <f ca="1">IFERROR(_xll.qlRateHelperRate(W168,Trigger),"")</f>
        <v/>
      </c>
      <c r="Z168" s="888" t="str">
        <f ca="1">IF(ISERROR(_xll.qlSwapRateHelperSpread($W168)),IF(ISERROR(_xll.qlFuturesRateHelperConvexityAdjustment($W168)),"",_xll.qlFuturesRateHelperConvexityAdjustment($W168)),_xll.qlSwapRateHelperSpread($W168))</f>
        <v/>
      </c>
      <c r="AA168" s="5" t="str">
        <f ca="1">IFERROR(_xll.qlRateHelperEarliestDate(W168,Trigger),"")</f>
        <v/>
      </c>
      <c r="AB168" s="5" t="str">
        <f ca="1">IFERROR(_xll.qlRateHelperPillarDate(W168,Trigger),"")</f>
        <v/>
      </c>
      <c r="AC168" s="887" t="e">
        <f ca="1"/>
        <v>#NAME?</v>
      </c>
    </row>
    <row r="169" spans="1:29" x14ac:dyDescent="0.2">
      <c r="A169" s="874" t="s">
        <v>410</v>
      </c>
      <c r="B169" s="876" t="s">
        <v>50</v>
      </c>
      <c r="C169" s="875" t="s">
        <v>50</v>
      </c>
      <c r="D169" s="875" t="s">
        <v>323</v>
      </c>
      <c r="E169" s="875" t="s">
        <v>322</v>
      </c>
      <c r="F169" s="875" t="s">
        <v>221</v>
      </c>
      <c r="G169" s="875" t="str">
        <f t="shared" si="25"/>
        <v>Euribor6M</v>
      </c>
      <c r="H169" s="874" t="str">
        <f t="shared" si="26"/>
        <v>EUR6F6Y_Quote</v>
      </c>
      <c r="I169" s="877">
        <v>0</v>
      </c>
      <c r="J169" s="43"/>
      <c r="L169" s="895" t="str">
        <f t="shared" si="23"/>
        <v>FwdSw</v>
      </c>
      <c r="M169" s="891" t="str">
        <f t="shared" si="24"/>
        <v>--</v>
      </c>
      <c r="N169" s="894" t="str">
        <f ca="1">IFERROR(_xll.qlRateHelperQuoteName(M169,Trigger),"--")</f>
        <v>--</v>
      </c>
      <c r="O169" s="893" t="str">
        <f ca="1">IFERROR(_xll.qlRateHelperQuoteValue($M169,Trigger),"--")</f>
        <v>--</v>
      </c>
      <c r="P169" s="970" t="b">
        <v>0</v>
      </c>
      <c r="Q169" s="891">
        <v>50</v>
      </c>
      <c r="R169" s="891">
        <v>1</v>
      </c>
      <c r="S169" s="890" t="str">
        <f ca="1">IFERROR(_xll.qlRateHelperEarliestDate(M169,Trigger),"--")</f>
        <v>--</v>
      </c>
      <c r="T169" s="890" t="str">
        <f ca="1">IFERROR(_xll.qlRateHelperPillarDate(M169,Trigger),"--")</f>
        <v>--</v>
      </c>
      <c r="V169" s="4" t="str">
        <f t="shared" ca="1" si="22"/>
        <v/>
      </c>
      <c r="W169" s="4" t="e">
        <f ca="1"/>
        <v>#NAME?</v>
      </c>
      <c r="X169" s="4" t="str">
        <f ca="1">IFERROR(_xll.qlRateHelperQuoteName(W169,Trigger),"")</f>
        <v/>
      </c>
      <c r="Y169" s="889" t="str">
        <f ca="1">IFERROR(_xll.qlRateHelperRate(W169,Trigger),"")</f>
        <v/>
      </c>
      <c r="Z169" s="888" t="str">
        <f ca="1">IF(ISERROR(_xll.qlSwapRateHelperSpread($W169)),IF(ISERROR(_xll.qlFuturesRateHelperConvexityAdjustment($W169)),"",_xll.qlFuturesRateHelperConvexityAdjustment($W169)),_xll.qlSwapRateHelperSpread($W169))</f>
        <v/>
      </c>
      <c r="AA169" s="5" t="str">
        <f ca="1">IFERROR(_xll.qlRateHelperEarliestDate(W169,Trigger),"")</f>
        <v/>
      </c>
      <c r="AB169" s="5" t="str">
        <f ca="1">IFERROR(_xll.qlRateHelperPillarDate(W169,Trigger),"")</f>
        <v/>
      </c>
      <c r="AC169" s="887" t="e">
        <f ca="1"/>
        <v>#NAME?</v>
      </c>
    </row>
    <row r="170" spans="1:29" x14ac:dyDescent="0.2">
      <c r="A170" s="874" t="s">
        <v>410</v>
      </c>
      <c r="B170" s="876" t="s">
        <v>49</v>
      </c>
      <c r="C170" s="875" t="s">
        <v>50</v>
      </c>
      <c r="D170" s="875" t="s">
        <v>323</v>
      </c>
      <c r="E170" s="875" t="s">
        <v>322</v>
      </c>
      <c r="F170" s="875" t="s">
        <v>221</v>
      </c>
      <c r="G170" s="875" t="str">
        <f t="shared" si="25"/>
        <v>Euribor6M</v>
      </c>
      <c r="H170" s="874" t="str">
        <f t="shared" si="26"/>
        <v>EUR6F7Y_Quote</v>
      </c>
      <c r="I170" s="877">
        <v>0</v>
      </c>
      <c r="J170" s="43"/>
      <c r="L170" s="895" t="str">
        <f t="shared" si="23"/>
        <v>FwdSw</v>
      </c>
      <c r="M170" s="891" t="str">
        <f t="shared" si="24"/>
        <v>--</v>
      </c>
      <c r="N170" s="894" t="str">
        <f ca="1">IFERROR(_xll.qlRateHelperQuoteName(M170,Trigger),"--")</f>
        <v>--</v>
      </c>
      <c r="O170" s="893" t="str">
        <f ca="1">IFERROR(_xll.qlRateHelperQuoteValue($M170,Trigger),"--")</f>
        <v>--</v>
      </c>
      <c r="P170" s="970" t="b">
        <v>0</v>
      </c>
      <c r="Q170" s="891">
        <v>50</v>
      </c>
      <c r="R170" s="891">
        <v>1</v>
      </c>
      <c r="S170" s="890" t="str">
        <f ca="1">IFERROR(_xll.qlRateHelperEarliestDate(M170,Trigger),"--")</f>
        <v>--</v>
      </c>
      <c r="T170" s="890" t="str">
        <f ca="1">IFERROR(_xll.qlRateHelperPillarDate(M170,Trigger),"--")</f>
        <v>--</v>
      </c>
      <c r="V170" s="4" t="str">
        <f t="shared" ca="1" si="22"/>
        <v/>
      </c>
      <c r="W170" s="4" t="e">
        <f ca="1"/>
        <v>#NAME?</v>
      </c>
      <c r="X170" s="4" t="str">
        <f ca="1">IFERROR(_xll.qlRateHelperQuoteName(W170,Trigger),"")</f>
        <v/>
      </c>
      <c r="Y170" s="889" t="str">
        <f ca="1">IFERROR(_xll.qlRateHelperRate(W170,Trigger),"")</f>
        <v/>
      </c>
      <c r="Z170" s="888" t="str">
        <f ca="1">IF(ISERROR(_xll.qlSwapRateHelperSpread($W170)),IF(ISERROR(_xll.qlFuturesRateHelperConvexityAdjustment($W170)),"",_xll.qlFuturesRateHelperConvexityAdjustment($W170)),_xll.qlSwapRateHelperSpread($W170))</f>
        <v/>
      </c>
      <c r="AA170" s="5" t="str">
        <f ca="1">IFERROR(_xll.qlRateHelperEarliestDate(W170,Trigger),"")</f>
        <v/>
      </c>
      <c r="AB170" s="5" t="str">
        <f ca="1">IFERROR(_xll.qlRateHelperPillarDate(W170,Trigger),"")</f>
        <v/>
      </c>
      <c r="AC170" s="887" t="e">
        <f ca="1"/>
        <v>#NAME?</v>
      </c>
    </row>
    <row r="171" spans="1:29" x14ac:dyDescent="0.2">
      <c r="A171" s="874" t="s">
        <v>410</v>
      </c>
      <c r="B171" s="876" t="s">
        <v>48</v>
      </c>
      <c r="C171" s="875" t="s">
        <v>50</v>
      </c>
      <c r="D171" s="875" t="s">
        <v>323</v>
      </c>
      <c r="E171" s="875" t="s">
        <v>322</v>
      </c>
      <c r="F171" s="875" t="s">
        <v>221</v>
      </c>
      <c r="G171" s="875" t="str">
        <f t="shared" si="25"/>
        <v>Euribor6M</v>
      </c>
      <c r="H171" s="874" t="str">
        <f t="shared" si="26"/>
        <v>EUR6F8Y_Quote</v>
      </c>
      <c r="I171" s="877">
        <v>0</v>
      </c>
      <c r="J171" s="43"/>
      <c r="L171" s="895" t="str">
        <f t="shared" si="23"/>
        <v>FwdSw</v>
      </c>
      <c r="M171" s="891" t="str">
        <f t="shared" si="24"/>
        <v>--</v>
      </c>
      <c r="N171" s="894" t="str">
        <f ca="1">IFERROR(_xll.qlRateHelperQuoteName(M171,Trigger),"--")</f>
        <v>--</v>
      </c>
      <c r="O171" s="893" t="str">
        <f ca="1">IFERROR(_xll.qlRateHelperQuoteValue($M171,Trigger),"--")</f>
        <v>--</v>
      </c>
      <c r="P171" s="970" t="b">
        <v>0</v>
      </c>
      <c r="Q171" s="891">
        <v>50</v>
      </c>
      <c r="R171" s="891">
        <v>1</v>
      </c>
      <c r="S171" s="890" t="str">
        <f ca="1">IFERROR(_xll.qlRateHelperEarliestDate(M171,Trigger),"--")</f>
        <v>--</v>
      </c>
      <c r="T171" s="890" t="str">
        <f ca="1">IFERROR(_xll.qlRateHelperPillarDate(M171,Trigger),"--")</f>
        <v>--</v>
      </c>
      <c r="V171" s="4" t="str">
        <f t="shared" ca="1" si="22"/>
        <v/>
      </c>
      <c r="W171" s="4" t="e">
        <f ca="1"/>
        <v>#NAME?</v>
      </c>
      <c r="X171" s="4" t="str">
        <f ca="1">IFERROR(_xll.qlRateHelperQuoteName(W171,Trigger),"")</f>
        <v/>
      </c>
      <c r="Y171" s="889" t="str">
        <f ca="1">IFERROR(_xll.qlRateHelperRate(W171,Trigger),"")</f>
        <v/>
      </c>
      <c r="Z171" s="888" t="str">
        <f ca="1">IF(ISERROR(_xll.qlSwapRateHelperSpread($W171)),IF(ISERROR(_xll.qlFuturesRateHelperConvexityAdjustment($W171)),"",_xll.qlFuturesRateHelperConvexityAdjustment($W171)),_xll.qlSwapRateHelperSpread($W171))</f>
        <v/>
      </c>
      <c r="AA171" s="5" t="str">
        <f ca="1">IFERROR(_xll.qlRateHelperEarliestDate(W171,Trigger),"")</f>
        <v/>
      </c>
      <c r="AB171" s="5" t="str">
        <f ca="1">IFERROR(_xll.qlRateHelperPillarDate(W171,Trigger),"")</f>
        <v/>
      </c>
      <c r="AC171" s="887" t="e">
        <f ca="1"/>
        <v>#NAME?</v>
      </c>
    </row>
    <row r="172" spans="1:29" x14ac:dyDescent="0.2">
      <c r="A172" s="874" t="s">
        <v>410</v>
      </c>
      <c r="B172" s="876" t="s">
        <v>47</v>
      </c>
      <c r="C172" s="875" t="s">
        <v>50</v>
      </c>
      <c r="D172" s="875" t="s">
        <v>323</v>
      </c>
      <c r="E172" s="875" t="s">
        <v>322</v>
      </c>
      <c r="F172" s="875" t="s">
        <v>221</v>
      </c>
      <c r="G172" s="875" t="str">
        <f t="shared" si="25"/>
        <v>Euribor6M</v>
      </c>
      <c r="H172" s="874" t="str">
        <f t="shared" si="26"/>
        <v>EUR6F9Y_Quote</v>
      </c>
      <c r="I172" s="877">
        <v>0</v>
      </c>
      <c r="J172" s="43"/>
      <c r="L172" s="895" t="str">
        <f t="shared" si="23"/>
        <v>FwdSw</v>
      </c>
      <c r="M172" s="891" t="str">
        <f t="shared" si="24"/>
        <v>--</v>
      </c>
      <c r="N172" s="894" t="str">
        <f ca="1">IFERROR(_xll.qlRateHelperQuoteName(M172,Trigger),"--")</f>
        <v>--</v>
      </c>
      <c r="O172" s="893" t="str">
        <f ca="1">IFERROR(_xll.qlRateHelperQuoteValue($M172,Trigger),"--")</f>
        <v>--</v>
      </c>
      <c r="P172" s="970" t="b">
        <v>0</v>
      </c>
      <c r="Q172" s="891">
        <v>50</v>
      </c>
      <c r="R172" s="891">
        <v>1</v>
      </c>
      <c r="S172" s="890" t="str">
        <f ca="1">IFERROR(_xll.qlRateHelperEarliestDate(M172,Trigger),"--")</f>
        <v>--</v>
      </c>
      <c r="T172" s="890" t="str">
        <f ca="1">IFERROR(_xll.qlRateHelperPillarDate(M172,Trigger),"--")</f>
        <v>--</v>
      </c>
      <c r="V172" s="4" t="str">
        <f t="shared" ca="1" si="22"/>
        <v/>
      </c>
      <c r="W172" s="4" t="e">
        <f ca="1"/>
        <v>#NAME?</v>
      </c>
      <c r="X172" s="4" t="str">
        <f ca="1">IFERROR(_xll.qlRateHelperQuoteName(W172,Trigger),"")</f>
        <v/>
      </c>
      <c r="Y172" s="889" t="str">
        <f ca="1">IFERROR(_xll.qlRateHelperRate(W172,Trigger),"")</f>
        <v/>
      </c>
      <c r="Z172" s="888" t="str">
        <f ca="1">IF(ISERROR(_xll.qlSwapRateHelperSpread($W172)),IF(ISERROR(_xll.qlFuturesRateHelperConvexityAdjustment($W172)),"",_xll.qlFuturesRateHelperConvexityAdjustment($W172)),_xll.qlSwapRateHelperSpread($W172))</f>
        <v/>
      </c>
      <c r="AA172" s="5" t="str">
        <f ca="1">IFERROR(_xll.qlRateHelperEarliestDate(W172,Trigger),"")</f>
        <v/>
      </c>
      <c r="AB172" s="5" t="str">
        <f ca="1">IFERROR(_xll.qlRateHelperPillarDate(W172,Trigger),"")</f>
        <v/>
      </c>
      <c r="AC172" s="887" t="e">
        <f ca="1"/>
        <v>#NAME?</v>
      </c>
    </row>
    <row r="173" spans="1:29" x14ac:dyDescent="0.2">
      <c r="A173" s="874" t="s">
        <v>410</v>
      </c>
      <c r="B173" s="876" t="s">
        <v>46</v>
      </c>
      <c r="C173" s="875" t="s">
        <v>50</v>
      </c>
      <c r="D173" s="875" t="s">
        <v>323</v>
      </c>
      <c r="E173" s="875" t="s">
        <v>322</v>
      </c>
      <c r="F173" s="875" t="s">
        <v>221</v>
      </c>
      <c r="G173" s="875" t="str">
        <f t="shared" si="25"/>
        <v>Euribor6M</v>
      </c>
      <c r="H173" s="874" t="str">
        <f t="shared" si="26"/>
        <v>EUR6F10Y_Quote</v>
      </c>
      <c r="I173" s="877">
        <v>0</v>
      </c>
      <c r="J173" s="43"/>
      <c r="L173" s="895" t="str">
        <f t="shared" si="23"/>
        <v>FwdSw</v>
      </c>
      <c r="M173" s="891" t="str">
        <f t="shared" si="24"/>
        <v>--</v>
      </c>
      <c r="N173" s="894" t="str">
        <f ca="1">IFERROR(_xll.qlRateHelperQuoteName(M173,Trigger),"--")</f>
        <v>--</v>
      </c>
      <c r="O173" s="893" t="str">
        <f ca="1">IFERROR(_xll.qlRateHelperQuoteValue($M173,Trigger),"--")</f>
        <v>--</v>
      </c>
      <c r="P173" s="970" t="b">
        <v>0</v>
      </c>
      <c r="Q173" s="891">
        <v>50</v>
      </c>
      <c r="R173" s="891">
        <v>1</v>
      </c>
      <c r="S173" s="890" t="str">
        <f ca="1">IFERROR(_xll.qlRateHelperEarliestDate(M173,Trigger),"--")</f>
        <v>--</v>
      </c>
      <c r="T173" s="890" t="str">
        <f ca="1">IFERROR(_xll.qlRateHelperPillarDate(M173,Trigger),"--")</f>
        <v>--</v>
      </c>
      <c r="V173" s="4" t="str">
        <f t="shared" ca="1" si="22"/>
        <v/>
      </c>
      <c r="W173" s="4" t="e">
        <f ca="1"/>
        <v>#NAME?</v>
      </c>
      <c r="X173" s="4" t="str">
        <f ca="1">IFERROR(_xll.qlRateHelperQuoteName(W173,Trigger),"")</f>
        <v/>
      </c>
      <c r="Y173" s="889" t="str">
        <f ca="1">IFERROR(_xll.qlRateHelperRate(W173,Trigger),"")</f>
        <v/>
      </c>
      <c r="Z173" s="888" t="str">
        <f ca="1">IF(ISERROR(_xll.qlSwapRateHelperSpread($W173)),IF(ISERROR(_xll.qlFuturesRateHelperConvexityAdjustment($W173)),"",_xll.qlFuturesRateHelperConvexityAdjustment($W173)),_xll.qlSwapRateHelperSpread($W173))</f>
        <v/>
      </c>
      <c r="AA173" s="5" t="str">
        <f ca="1">IFERROR(_xll.qlRateHelperEarliestDate(W173,Trigger),"")</f>
        <v/>
      </c>
      <c r="AB173" s="5" t="str">
        <f ca="1">IFERROR(_xll.qlRateHelperPillarDate(W173,Trigger),"")</f>
        <v/>
      </c>
      <c r="AC173" s="887" t="e">
        <f ca="1"/>
        <v>#NAME?</v>
      </c>
    </row>
    <row r="174" spans="1:29" x14ac:dyDescent="0.2">
      <c r="A174" s="874" t="s">
        <v>410</v>
      </c>
      <c r="B174" s="876" t="s">
        <v>45</v>
      </c>
      <c r="C174" s="875" t="s">
        <v>50</v>
      </c>
      <c r="D174" s="875" t="s">
        <v>323</v>
      </c>
      <c r="E174" s="875" t="s">
        <v>322</v>
      </c>
      <c r="F174" s="875" t="s">
        <v>221</v>
      </c>
      <c r="G174" s="875" t="str">
        <f t="shared" si="25"/>
        <v>Euribor6M</v>
      </c>
      <c r="H174" s="874" t="str">
        <f t="shared" si="26"/>
        <v>EUR6F11Y_Quote</v>
      </c>
      <c r="I174" s="877">
        <v>0</v>
      </c>
      <c r="J174" s="43"/>
      <c r="L174" s="895" t="str">
        <f t="shared" si="23"/>
        <v>FwdSw</v>
      </c>
      <c r="M174" s="891" t="str">
        <f t="shared" si="24"/>
        <v>--</v>
      </c>
      <c r="N174" s="894" t="str">
        <f ca="1">IFERROR(_xll.qlRateHelperQuoteName(M174,Trigger),"--")</f>
        <v>--</v>
      </c>
      <c r="O174" s="893" t="str">
        <f ca="1">IFERROR(_xll.qlRateHelperQuoteValue($M174,Trigger),"--")</f>
        <v>--</v>
      </c>
      <c r="P174" s="970" t="b">
        <v>0</v>
      </c>
      <c r="Q174" s="891">
        <v>50</v>
      </c>
      <c r="R174" s="891">
        <v>1</v>
      </c>
      <c r="S174" s="890" t="str">
        <f ca="1">IFERROR(_xll.qlRateHelperEarliestDate(M174,Trigger),"--")</f>
        <v>--</v>
      </c>
      <c r="T174" s="890" t="str">
        <f ca="1">IFERROR(_xll.qlRateHelperPillarDate(M174,Trigger),"--")</f>
        <v>--</v>
      </c>
      <c r="V174" s="4" t="str">
        <f t="shared" ca="1" si="22"/>
        <v/>
      </c>
      <c r="W174" s="4" t="e">
        <f ca="1"/>
        <v>#NAME?</v>
      </c>
      <c r="X174" s="4" t="str">
        <f ca="1">IFERROR(_xll.qlRateHelperQuoteName(W174,Trigger),"")</f>
        <v/>
      </c>
      <c r="Y174" s="889" t="str">
        <f ca="1">IFERROR(_xll.qlRateHelperRate(W174,Trigger),"")</f>
        <v/>
      </c>
      <c r="Z174" s="888" t="str">
        <f ca="1">IF(ISERROR(_xll.qlSwapRateHelperSpread($W174)),IF(ISERROR(_xll.qlFuturesRateHelperConvexityAdjustment($W174)),"",_xll.qlFuturesRateHelperConvexityAdjustment($W174)),_xll.qlSwapRateHelperSpread($W174))</f>
        <v/>
      </c>
      <c r="AA174" s="5" t="str">
        <f ca="1">IFERROR(_xll.qlRateHelperEarliestDate(W174,Trigger),"")</f>
        <v/>
      </c>
      <c r="AB174" s="5" t="str">
        <f ca="1">IFERROR(_xll.qlRateHelperPillarDate(W174,Trigger),"")</f>
        <v/>
      </c>
      <c r="AC174" s="887" t="e">
        <f ca="1"/>
        <v>#NAME?</v>
      </c>
    </row>
    <row r="175" spans="1:29" x14ac:dyDescent="0.2">
      <c r="A175" s="874" t="s">
        <v>410</v>
      </c>
      <c r="B175" s="876" t="s">
        <v>44</v>
      </c>
      <c r="C175" s="875" t="s">
        <v>50</v>
      </c>
      <c r="D175" s="875" t="s">
        <v>323</v>
      </c>
      <c r="E175" s="875" t="s">
        <v>322</v>
      </c>
      <c r="F175" s="875" t="s">
        <v>221</v>
      </c>
      <c r="G175" s="875" t="str">
        <f t="shared" si="25"/>
        <v>Euribor6M</v>
      </c>
      <c r="H175" s="874" t="str">
        <f t="shared" si="26"/>
        <v>EUR6F12Y_Quote</v>
      </c>
      <c r="I175" s="877">
        <v>0</v>
      </c>
      <c r="J175" s="43"/>
      <c r="L175" s="895" t="str">
        <f t="shared" si="23"/>
        <v>FwdSw</v>
      </c>
      <c r="M175" s="891" t="str">
        <f t="shared" si="24"/>
        <v>--</v>
      </c>
      <c r="N175" s="894" t="str">
        <f ca="1">IFERROR(_xll.qlRateHelperQuoteName(M175,Trigger),"--")</f>
        <v>--</v>
      </c>
      <c r="O175" s="893" t="str">
        <f ca="1">IFERROR(_xll.qlRateHelperQuoteValue($M175,Trigger),"--")</f>
        <v>--</v>
      </c>
      <c r="P175" s="970" t="b">
        <v>0</v>
      </c>
      <c r="Q175" s="891">
        <v>50</v>
      </c>
      <c r="R175" s="891">
        <v>1</v>
      </c>
      <c r="S175" s="890" t="str">
        <f ca="1">IFERROR(_xll.qlRateHelperEarliestDate(M175,Trigger),"--")</f>
        <v>--</v>
      </c>
      <c r="T175" s="890" t="str">
        <f ca="1">IFERROR(_xll.qlRateHelperPillarDate(M175,Trigger),"--")</f>
        <v>--</v>
      </c>
      <c r="V175" s="4" t="str">
        <f t="shared" ca="1" si="22"/>
        <v/>
      </c>
      <c r="W175" s="4" t="e">
        <f ca="1"/>
        <v>#NAME?</v>
      </c>
      <c r="X175" s="4" t="str">
        <f ca="1">IFERROR(_xll.qlRateHelperQuoteName(W175,Trigger),"")</f>
        <v/>
      </c>
      <c r="Y175" s="889" t="str">
        <f ca="1">IFERROR(_xll.qlRateHelperRate(W175,Trigger),"")</f>
        <v/>
      </c>
      <c r="Z175" s="888" t="str">
        <f ca="1">IF(ISERROR(_xll.qlSwapRateHelperSpread($W175)),IF(ISERROR(_xll.qlFuturesRateHelperConvexityAdjustment($W175)),"",_xll.qlFuturesRateHelperConvexityAdjustment($W175)),_xll.qlSwapRateHelperSpread($W175))</f>
        <v/>
      </c>
      <c r="AA175" s="5" t="str">
        <f ca="1">IFERROR(_xll.qlRateHelperEarliestDate(W175,Trigger),"")</f>
        <v/>
      </c>
      <c r="AB175" s="5" t="str">
        <f ca="1">IFERROR(_xll.qlRateHelperPillarDate(W175,Trigger),"")</f>
        <v/>
      </c>
      <c r="AC175" s="887" t="e">
        <f ca="1"/>
        <v>#NAME?</v>
      </c>
    </row>
    <row r="176" spans="1:29" x14ac:dyDescent="0.2">
      <c r="A176" s="874" t="s">
        <v>410</v>
      </c>
      <c r="B176" s="876" t="s">
        <v>43</v>
      </c>
      <c r="C176" s="875" t="s">
        <v>50</v>
      </c>
      <c r="D176" s="875" t="s">
        <v>323</v>
      </c>
      <c r="E176" s="875" t="s">
        <v>322</v>
      </c>
      <c r="F176" s="875" t="s">
        <v>221</v>
      </c>
      <c r="G176" s="875" t="str">
        <f t="shared" si="25"/>
        <v>Euribor6M</v>
      </c>
      <c r="H176" s="874" t="str">
        <f t="shared" si="26"/>
        <v>EUR6F13Y_Quote</v>
      </c>
      <c r="I176" s="877">
        <v>0</v>
      </c>
      <c r="J176" s="43"/>
      <c r="L176" s="895" t="str">
        <f t="shared" si="23"/>
        <v>FwdSw</v>
      </c>
      <c r="M176" s="891" t="str">
        <f t="shared" si="24"/>
        <v>--</v>
      </c>
      <c r="N176" s="894" t="str">
        <f ca="1">IFERROR(_xll.qlRateHelperQuoteName(M176,Trigger),"--")</f>
        <v>--</v>
      </c>
      <c r="O176" s="893" t="str">
        <f ca="1">IFERROR(_xll.qlRateHelperQuoteValue($M176,Trigger),"--")</f>
        <v>--</v>
      </c>
      <c r="P176" s="970" t="b">
        <v>0</v>
      </c>
      <c r="Q176" s="891">
        <v>50</v>
      </c>
      <c r="R176" s="891">
        <v>1</v>
      </c>
      <c r="S176" s="890" t="str">
        <f ca="1">IFERROR(_xll.qlRateHelperEarliestDate(M176,Trigger),"--")</f>
        <v>--</v>
      </c>
      <c r="T176" s="890" t="str">
        <f ca="1">IFERROR(_xll.qlRateHelperPillarDate(M176,Trigger),"--")</f>
        <v>--</v>
      </c>
      <c r="V176" s="4" t="str">
        <f t="shared" ca="1" si="22"/>
        <v/>
      </c>
      <c r="W176" s="4" t="e">
        <f ca="1"/>
        <v>#NAME?</v>
      </c>
      <c r="X176" s="4" t="str">
        <f ca="1">IFERROR(_xll.qlRateHelperQuoteName(W176,Trigger),"")</f>
        <v/>
      </c>
      <c r="Y176" s="889" t="str">
        <f ca="1">IFERROR(_xll.qlRateHelperRate(W176,Trigger),"")</f>
        <v/>
      </c>
      <c r="Z176" s="888" t="str">
        <f ca="1">IF(ISERROR(_xll.qlSwapRateHelperSpread($W176)),IF(ISERROR(_xll.qlFuturesRateHelperConvexityAdjustment($W176)),"",_xll.qlFuturesRateHelperConvexityAdjustment($W176)),_xll.qlSwapRateHelperSpread($W176))</f>
        <v/>
      </c>
      <c r="AA176" s="5" t="str">
        <f ca="1">IFERROR(_xll.qlRateHelperEarliestDate(W176,Trigger),"")</f>
        <v/>
      </c>
      <c r="AB176" s="5" t="str">
        <f ca="1">IFERROR(_xll.qlRateHelperPillarDate(W176,Trigger),"")</f>
        <v/>
      </c>
      <c r="AC176" s="887" t="e">
        <f ca="1"/>
        <v>#NAME?</v>
      </c>
    </row>
    <row r="177" spans="1:29" x14ac:dyDescent="0.2">
      <c r="A177" s="874" t="s">
        <v>410</v>
      </c>
      <c r="B177" s="876" t="s">
        <v>42</v>
      </c>
      <c r="C177" s="875" t="s">
        <v>50</v>
      </c>
      <c r="D177" s="875" t="s">
        <v>323</v>
      </c>
      <c r="E177" s="875" t="s">
        <v>322</v>
      </c>
      <c r="F177" s="875" t="s">
        <v>221</v>
      </c>
      <c r="G177" s="875" t="str">
        <f t="shared" si="25"/>
        <v>Euribor6M</v>
      </c>
      <c r="H177" s="874" t="str">
        <f t="shared" si="26"/>
        <v>EUR6F14Y_Quote</v>
      </c>
      <c r="I177" s="877">
        <v>0</v>
      </c>
      <c r="J177" s="43"/>
      <c r="L177" s="895" t="str">
        <f t="shared" si="23"/>
        <v>FwdSw</v>
      </c>
      <c r="M177" s="891" t="str">
        <f t="shared" si="24"/>
        <v>--</v>
      </c>
      <c r="N177" s="894" t="str">
        <f ca="1">IFERROR(_xll.qlRateHelperQuoteName(M177,Trigger),"--")</f>
        <v>--</v>
      </c>
      <c r="O177" s="893" t="str">
        <f ca="1">IFERROR(_xll.qlRateHelperQuoteValue($M177,Trigger),"--")</f>
        <v>--</v>
      </c>
      <c r="P177" s="970" t="b">
        <v>0</v>
      </c>
      <c r="Q177" s="891">
        <v>50</v>
      </c>
      <c r="R177" s="891">
        <v>1</v>
      </c>
      <c r="S177" s="890" t="str">
        <f ca="1">IFERROR(_xll.qlRateHelperEarliestDate(M177,Trigger),"--")</f>
        <v>--</v>
      </c>
      <c r="T177" s="890" t="str">
        <f ca="1">IFERROR(_xll.qlRateHelperPillarDate(M177,Trigger),"--")</f>
        <v>--</v>
      </c>
      <c r="V177" s="4" t="str">
        <f t="shared" ca="1" si="22"/>
        <v/>
      </c>
      <c r="W177" s="4" t="e">
        <f ca="1"/>
        <v>#NAME?</v>
      </c>
      <c r="X177" s="4" t="str">
        <f ca="1">IFERROR(_xll.qlRateHelperQuoteName(W177,Trigger),"")</f>
        <v/>
      </c>
      <c r="Y177" s="889" t="str">
        <f ca="1">IFERROR(_xll.qlRateHelperRate(W177,Trigger),"")</f>
        <v/>
      </c>
      <c r="Z177" s="888" t="str">
        <f ca="1">IF(ISERROR(_xll.qlSwapRateHelperSpread($W177)),IF(ISERROR(_xll.qlFuturesRateHelperConvexityAdjustment($W177)),"",_xll.qlFuturesRateHelperConvexityAdjustment($W177)),_xll.qlSwapRateHelperSpread($W177))</f>
        <v/>
      </c>
      <c r="AA177" s="5" t="str">
        <f ca="1">IFERROR(_xll.qlRateHelperEarliestDate(W177,Trigger),"")</f>
        <v/>
      </c>
      <c r="AB177" s="5" t="str">
        <f ca="1">IFERROR(_xll.qlRateHelperPillarDate(W177,Trigger),"")</f>
        <v/>
      </c>
      <c r="AC177" s="887" t="e">
        <f ca="1"/>
        <v>#NAME?</v>
      </c>
    </row>
    <row r="178" spans="1:29" x14ac:dyDescent="0.2">
      <c r="A178" s="874" t="s">
        <v>410</v>
      </c>
      <c r="B178" s="876" t="s">
        <v>41</v>
      </c>
      <c r="C178" s="875" t="s">
        <v>50</v>
      </c>
      <c r="D178" s="875" t="s">
        <v>323</v>
      </c>
      <c r="E178" s="875" t="s">
        <v>322</v>
      </c>
      <c r="F178" s="875" t="s">
        <v>221</v>
      </c>
      <c r="G178" s="875" t="str">
        <f t="shared" si="25"/>
        <v>Euribor6M</v>
      </c>
      <c r="H178" s="874" t="str">
        <f t="shared" si="26"/>
        <v>EUR6F15Y_Quote</v>
      </c>
      <c r="I178" s="877">
        <v>0</v>
      </c>
      <c r="J178" s="43"/>
      <c r="L178" s="895" t="str">
        <f t="shared" si="23"/>
        <v>FwdSw</v>
      </c>
      <c r="M178" s="891" t="str">
        <f t="shared" si="24"/>
        <v>--</v>
      </c>
      <c r="N178" s="894" t="str">
        <f ca="1">IFERROR(_xll.qlRateHelperQuoteName(M178,Trigger),"--")</f>
        <v>--</v>
      </c>
      <c r="O178" s="893" t="str">
        <f ca="1">IFERROR(_xll.qlRateHelperQuoteValue($M178,Trigger),"--")</f>
        <v>--</v>
      </c>
      <c r="P178" s="970" t="b">
        <v>0</v>
      </c>
      <c r="Q178" s="891">
        <v>50</v>
      </c>
      <c r="R178" s="891">
        <v>1</v>
      </c>
      <c r="S178" s="890" t="str">
        <f ca="1">IFERROR(_xll.qlRateHelperEarliestDate(M178,Trigger),"--")</f>
        <v>--</v>
      </c>
      <c r="T178" s="890" t="str">
        <f ca="1">IFERROR(_xll.qlRateHelperPillarDate(M178,Trigger),"--")</f>
        <v>--</v>
      </c>
      <c r="V178" s="4" t="str">
        <f t="shared" ca="1" si="22"/>
        <v/>
      </c>
      <c r="W178" s="4" t="e">
        <f ca="1"/>
        <v>#NAME?</v>
      </c>
      <c r="X178" s="4" t="str">
        <f ca="1">IFERROR(_xll.qlRateHelperQuoteName(W178,Trigger),"")</f>
        <v/>
      </c>
      <c r="Y178" s="889" t="str">
        <f ca="1">IFERROR(_xll.qlRateHelperRate(W178,Trigger),"")</f>
        <v/>
      </c>
      <c r="Z178" s="888" t="str">
        <f ca="1">IF(ISERROR(_xll.qlSwapRateHelperSpread($W178)),IF(ISERROR(_xll.qlFuturesRateHelperConvexityAdjustment($W178)),"",_xll.qlFuturesRateHelperConvexityAdjustment($W178)),_xll.qlSwapRateHelperSpread($W178))</f>
        <v/>
      </c>
      <c r="AA178" s="5" t="str">
        <f ca="1">IFERROR(_xll.qlRateHelperEarliestDate(W178,Trigger),"")</f>
        <v/>
      </c>
      <c r="AB178" s="5" t="str">
        <f ca="1">IFERROR(_xll.qlRateHelperPillarDate(W178,Trigger),"")</f>
        <v/>
      </c>
      <c r="AC178" s="887" t="e">
        <f ca="1"/>
        <v>#NAME?</v>
      </c>
    </row>
    <row r="179" spans="1:29" x14ac:dyDescent="0.2">
      <c r="A179" s="874" t="s">
        <v>410</v>
      </c>
      <c r="B179" s="876" t="s">
        <v>36</v>
      </c>
      <c r="C179" s="875" t="s">
        <v>50</v>
      </c>
      <c r="D179" s="875" t="s">
        <v>323</v>
      </c>
      <c r="E179" s="875" t="s">
        <v>322</v>
      </c>
      <c r="F179" s="875" t="s">
        <v>221</v>
      </c>
      <c r="G179" s="875" t="str">
        <f t="shared" si="25"/>
        <v>Euribor6M</v>
      </c>
      <c r="H179" s="874" t="str">
        <f t="shared" si="26"/>
        <v>EUR6F20Y_Quote</v>
      </c>
      <c r="I179" s="877">
        <v>0</v>
      </c>
      <c r="J179" s="43"/>
      <c r="L179" s="895" t="str">
        <f t="shared" si="23"/>
        <v>FwdSw</v>
      </c>
      <c r="M179" s="891" t="str">
        <f t="shared" si="24"/>
        <v>--</v>
      </c>
      <c r="N179" s="894" t="str">
        <f ca="1">IFERROR(_xll.qlRateHelperQuoteName(M179,Trigger),"--")</f>
        <v>--</v>
      </c>
      <c r="O179" s="893" t="str">
        <f ca="1">IFERROR(_xll.qlRateHelperQuoteValue($M179,Trigger),"--")</f>
        <v>--</v>
      </c>
      <c r="P179" s="970" t="b">
        <v>0</v>
      </c>
      <c r="Q179" s="891">
        <v>50</v>
      </c>
      <c r="R179" s="891">
        <v>1</v>
      </c>
      <c r="S179" s="890" t="str">
        <f ca="1">IFERROR(_xll.qlRateHelperEarliestDate(M179,Trigger),"--")</f>
        <v>--</v>
      </c>
      <c r="T179" s="890" t="str">
        <f ca="1">IFERROR(_xll.qlRateHelperPillarDate(M179,Trigger),"--")</f>
        <v>--</v>
      </c>
      <c r="V179" s="4" t="str">
        <f t="shared" ca="1" si="22"/>
        <v/>
      </c>
      <c r="W179" s="4" t="e">
        <f ca="1"/>
        <v>#NAME?</v>
      </c>
      <c r="X179" s="4" t="str">
        <f ca="1">IFERROR(_xll.qlRateHelperQuoteName(W179,Trigger),"")</f>
        <v/>
      </c>
      <c r="Y179" s="889" t="str">
        <f ca="1">IFERROR(_xll.qlRateHelperRate(W179,Trigger),"")</f>
        <v/>
      </c>
      <c r="Z179" s="888" t="str">
        <f ca="1">IF(ISERROR(_xll.qlSwapRateHelperSpread($W179)),IF(ISERROR(_xll.qlFuturesRateHelperConvexityAdjustment($W179)),"",_xll.qlFuturesRateHelperConvexityAdjustment($W179)),_xll.qlSwapRateHelperSpread($W179))</f>
        <v/>
      </c>
      <c r="AA179" s="5" t="str">
        <f ca="1">IFERROR(_xll.qlRateHelperEarliestDate(W179,Trigger),"")</f>
        <v/>
      </c>
      <c r="AB179" s="5" t="str">
        <f ca="1">IFERROR(_xll.qlRateHelperPillarDate(W179,Trigger),"")</f>
        <v/>
      </c>
      <c r="AC179" s="887" t="e">
        <f ca="1"/>
        <v>#NAME?</v>
      </c>
    </row>
    <row r="180" spans="1:29" x14ac:dyDescent="0.2">
      <c r="A180" s="874" t="s">
        <v>410</v>
      </c>
      <c r="B180" s="876" t="s">
        <v>31</v>
      </c>
      <c r="C180" s="875" t="s">
        <v>50</v>
      </c>
      <c r="D180" s="875" t="s">
        <v>323</v>
      </c>
      <c r="E180" s="875" t="s">
        <v>322</v>
      </c>
      <c r="F180" s="875" t="s">
        <v>221</v>
      </c>
      <c r="G180" s="875" t="str">
        <f t="shared" si="25"/>
        <v>Euribor6M</v>
      </c>
      <c r="H180" s="874" t="str">
        <f t="shared" si="26"/>
        <v>EUR6F25Y_Quote</v>
      </c>
      <c r="I180" s="877">
        <v>0</v>
      </c>
      <c r="J180" s="43"/>
      <c r="L180" s="895" t="str">
        <f t="shared" si="23"/>
        <v>FwdSw</v>
      </c>
      <c r="M180" s="891" t="str">
        <f t="shared" si="24"/>
        <v>--</v>
      </c>
      <c r="N180" s="894" t="str">
        <f ca="1">IFERROR(_xll.qlRateHelperQuoteName(M180,Trigger),"--")</f>
        <v>--</v>
      </c>
      <c r="O180" s="893" t="str">
        <f ca="1">IFERROR(_xll.qlRateHelperQuoteValue($M180,Trigger),"--")</f>
        <v>--</v>
      </c>
      <c r="P180" s="970" t="b">
        <v>0</v>
      </c>
      <c r="Q180" s="891">
        <v>50</v>
      </c>
      <c r="R180" s="891">
        <v>1</v>
      </c>
      <c r="S180" s="890" t="str">
        <f ca="1">IFERROR(_xll.qlRateHelperEarliestDate(M180,Trigger),"--")</f>
        <v>--</v>
      </c>
      <c r="T180" s="890" t="str">
        <f ca="1">IFERROR(_xll.qlRateHelperPillarDate(M180,Trigger),"--")</f>
        <v>--</v>
      </c>
      <c r="V180" s="4" t="str">
        <f t="shared" ca="1" si="22"/>
        <v/>
      </c>
      <c r="W180" s="4" t="e">
        <f ca="1"/>
        <v>#NAME?</v>
      </c>
      <c r="X180" s="4" t="str">
        <f ca="1">IFERROR(_xll.qlRateHelperQuoteName(W180,Trigger),"")</f>
        <v/>
      </c>
      <c r="Y180" s="889" t="str">
        <f ca="1">IFERROR(_xll.qlRateHelperRate(W180,Trigger),"")</f>
        <v/>
      </c>
      <c r="Z180" s="888" t="str">
        <f ca="1">IF(ISERROR(_xll.qlSwapRateHelperSpread($W180)),IF(ISERROR(_xll.qlFuturesRateHelperConvexityAdjustment($W180)),"",_xll.qlFuturesRateHelperConvexityAdjustment($W180)),_xll.qlSwapRateHelperSpread($W180))</f>
        <v/>
      </c>
      <c r="AA180" s="5" t="str">
        <f ca="1">IFERROR(_xll.qlRateHelperEarliestDate(W180,Trigger),"")</f>
        <v/>
      </c>
      <c r="AB180" s="5" t="str">
        <f ca="1">IFERROR(_xll.qlRateHelperPillarDate(W180,Trigger),"")</f>
        <v/>
      </c>
      <c r="AC180" s="887" t="e">
        <f ca="1"/>
        <v>#NAME?</v>
      </c>
    </row>
    <row r="181" spans="1:29" x14ac:dyDescent="0.2">
      <c r="A181" s="870" t="s">
        <v>410</v>
      </c>
      <c r="B181" s="872" t="s">
        <v>26</v>
      </c>
      <c r="C181" s="871" t="s">
        <v>50</v>
      </c>
      <c r="D181" s="871" t="s">
        <v>323</v>
      </c>
      <c r="E181" s="871" t="s">
        <v>322</v>
      </c>
      <c r="F181" s="871" t="s">
        <v>221</v>
      </c>
      <c r="G181" s="871" t="str">
        <f t="shared" si="25"/>
        <v>Euribor6M</v>
      </c>
      <c r="H181" s="870" t="str">
        <f t="shared" si="26"/>
        <v>EUR6F30Y_Quote</v>
      </c>
      <c r="I181" s="985">
        <v>0</v>
      </c>
      <c r="J181" s="38"/>
      <c r="L181" s="895" t="str">
        <f t="shared" si="23"/>
        <v>FwdSw</v>
      </c>
      <c r="M181" s="891" t="str">
        <f t="shared" si="24"/>
        <v>--</v>
      </c>
      <c r="N181" s="894" t="str">
        <f ca="1">IFERROR(_xll.qlRateHelperQuoteName(M181,Trigger),"--")</f>
        <v>--</v>
      </c>
      <c r="O181" s="893" t="str">
        <f ca="1">IFERROR(_xll.qlRateHelperQuoteValue($M181,Trigger),"--")</f>
        <v>--</v>
      </c>
      <c r="P181" s="970" t="b">
        <v>0</v>
      </c>
      <c r="Q181" s="891">
        <v>50</v>
      </c>
      <c r="R181" s="891">
        <v>1</v>
      </c>
      <c r="S181" s="890" t="str">
        <f ca="1">IFERROR(_xll.qlRateHelperEarliestDate(M181,Trigger),"--")</f>
        <v>--</v>
      </c>
      <c r="T181" s="890" t="str">
        <f ca="1">IFERROR(_xll.qlRateHelperPillarDate(M181,Trigger),"--")</f>
        <v>--</v>
      </c>
      <c r="V181" s="4" t="str">
        <f t="shared" ca="1" si="22"/>
        <v/>
      </c>
      <c r="W181" s="4" t="e">
        <f ca="1"/>
        <v>#NAME?</v>
      </c>
      <c r="X181" s="4" t="str">
        <f ca="1">IFERROR(_xll.qlRateHelperQuoteName(W181,Trigger),"")</f>
        <v/>
      </c>
      <c r="Y181" s="889" t="str">
        <f ca="1">IFERROR(_xll.qlRateHelperRate(W181,Trigger),"")</f>
        <v/>
      </c>
      <c r="Z181" s="888" t="str">
        <f ca="1">IF(ISERROR(_xll.qlSwapRateHelperSpread($W181)),IF(ISERROR(_xll.qlFuturesRateHelperConvexityAdjustment($W181)),"",_xll.qlFuturesRateHelperConvexityAdjustment($W181)),_xll.qlSwapRateHelperSpread($W181))</f>
        <v/>
      </c>
      <c r="AA181" s="5" t="str">
        <f ca="1">IFERROR(_xll.qlRateHelperEarliestDate(W181,Trigger),"")</f>
        <v/>
      </c>
      <c r="AB181" s="5" t="str">
        <f ca="1">IFERROR(_xll.qlRateHelperPillarDate(W181,Trigger),"")</f>
        <v/>
      </c>
      <c r="AC181" s="887" t="e">
        <f ca="1"/>
        <v>#NAME?</v>
      </c>
    </row>
    <row r="182" spans="1:29" x14ac:dyDescent="0.2">
      <c r="A182" s="874" t="s">
        <v>410</v>
      </c>
      <c r="B182" s="876" t="s">
        <v>58</v>
      </c>
      <c r="C182" s="875" t="s">
        <v>49</v>
      </c>
      <c r="D182" s="875" t="s">
        <v>323</v>
      </c>
      <c r="E182" s="875" t="s">
        <v>322</v>
      </c>
      <c r="F182" s="875" t="s">
        <v>221</v>
      </c>
      <c r="G182" s="875" t="str">
        <f t="shared" si="25"/>
        <v>Euribor6M</v>
      </c>
      <c r="H182" s="874" t="str">
        <f t="shared" si="26"/>
        <v>EUR7F1Y_Quote</v>
      </c>
      <c r="I182" s="877">
        <v>0</v>
      </c>
      <c r="J182" s="43"/>
      <c r="L182" s="895" t="str">
        <f t="shared" si="23"/>
        <v>FwdSw</v>
      </c>
      <c r="M182" s="891" t="str">
        <f t="shared" si="24"/>
        <v>--</v>
      </c>
      <c r="N182" s="894" t="str">
        <f ca="1">IFERROR(_xll.qlRateHelperQuoteName(M182,Trigger),"--")</f>
        <v>--</v>
      </c>
      <c r="O182" s="893" t="str">
        <f ca="1">IFERROR(_xll.qlRateHelperQuoteValue($M182,Trigger),"--")</f>
        <v>--</v>
      </c>
      <c r="P182" s="970" t="b">
        <v>0</v>
      </c>
      <c r="Q182" s="891">
        <v>50</v>
      </c>
      <c r="R182" s="891">
        <v>1</v>
      </c>
      <c r="S182" s="890" t="str">
        <f ca="1">IFERROR(_xll.qlRateHelperEarliestDate(M182,Trigger),"--")</f>
        <v>--</v>
      </c>
      <c r="T182" s="890" t="str">
        <f ca="1">IFERROR(_xll.qlRateHelperPillarDate(M182,Trigger),"--")</f>
        <v>--</v>
      </c>
      <c r="V182" s="4" t="str">
        <f t="shared" ca="1" si="22"/>
        <v/>
      </c>
      <c r="W182" s="4" t="e">
        <f ca="1"/>
        <v>#NAME?</v>
      </c>
      <c r="X182" s="4" t="str">
        <f ca="1">IFERROR(_xll.qlRateHelperQuoteName(W182,Trigger),"")</f>
        <v/>
      </c>
      <c r="Y182" s="889" t="str">
        <f ca="1">IFERROR(_xll.qlRateHelperRate(W182,Trigger),"")</f>
        <v/>
      </c>
      <c r="Z182" s="888" t="str">
        <f ca="1">IF(ISERROR(_xll.qlSwapRateHelperSpread($W182)),IF(ISERROR(_xll.qlFuturesRateHelperConvexityAdjustment($W182)),"",_xll.qlFuturesRateHelperConvexityAdjustment($W182)),_xll.qlSwapRateHelperSpread($W182))</f>
        <v/>
      </c>
      <c r="AA182" s="5" t="str">
        <f ca="1">IFERROR(_xll.qlRateHelperEarliestDate(W182,Trigger),"")</f>
        <v/>
      </c>
      <c r="AB182" s="5" t="str">
        <f ca="1">IFERROR(_xll.qlRateHelperPillarDate(W182,Trigger),"")</f>
        <v/>
      </c>
      <c r="AC182" s="887" t="e">
        <f ca="1"/>
        <v>#NAME?</v>
      </c>
    </row>
    <row r="183" spans="1:29" x14ac:dyDescent="0.2">
      <c r="A183" s="874" t="s">
        <v>410</v>
      </c>
      <c r="B183" s="876" t="s">
        <v>54</v>
      </c>
      <c r="C183" s="875" t="s">
        <v>49</v>
      </c>
      <c r="D183" s="875" t="s">
        <v>323</v>
      </c>
      <c r="E183" s="875" t="s">
        <v>322</v>
      </c>
      <c r="F183" s="875" t="s">
        <v>221</v>
      </c>
      <c r="G183" s="875" t="str">
        <f t="shared" si="25"/>
        <v>Euribor6M</v>
      </c>
      <c r="H183" s="874" t="str">
        <f t="shared" si="26"/>
        <v>EUR7F2Y_Quote</v>
      </c>
      <c r="I183" s="877">
        <v>0</v>
      </c>
      <c r="J183" s="43"/>
      <c r="L183" s="895" t="str">
        <f t="shared" si="23"/>
        <v>FwdSw</v>
      </c>
      <c r="M183" s="891" t="str">
        <f t="shared" si="24"/>
        <v>--</v>
      </c>
      <c r="N183" s="894" t="str">
        <f ca="1">IFERROR(_xll.qlRateHelperQuoteName(M183,Trigger),"--")</f>
        <v>--</v>
      </c>
      <c r="O183" s="893" t="str">
        <f ca="1">IFERROR(_xll.qlRateHelperQuoteValue($M183,Trigger),"--")</f>
        <v>--</v>
      </c>
      <c r="P183" s="970" t="b">
        <v>0</v>
      </c>
      <c r="Q183" s="891">
        <v>50</v>
      </c>
      <c r="R183" s="891">
        <v>1</v>
      </c>
      <c r="S183" s="890" t="str">
        <f ca="1">IFERROR(_xll.qlRateHelperEarliestDate(M183,Trigger),"--")</f>
        <v>--</v>
      </c>
      <c r="T183" s="890" t="str">
        <f ca="1">IFERROR(_xll.qlRateHelperPillarDate(M183,Trigger),"--")</f>
        <v>--</v>
      </c>
      <c r="V183" s="4" t="str">
        <f t="shared" ca="1" si="22"/>
        <v/>
      </c>
      <c r="W183" s="4" t="e">
        <f ca="1"/>
        <v>#NAME?</v>
      </c>
      <c r="X183" s="4" t="str">
        <f ca="1">IFERROR(_xll.qlRateHelperQuoteName(W183,Trigger),"")</f>
        <v/>
      </c>
      <c r="Y183" s="889" t="str">
        <f ca="1">IFERROR(_xll.qlRateHelperRate(W183,Trigger),"")</f>
        <v/>
      </c>
      <c r="Z183" s="888" t="str">
        <f ca="1">IF(ISERROR(_xll.qlSwapRateHelperSpread($W183)),IF(ISERROR(_xll.qlFuturesRateHelperConvexityAdjustment($W183)),"",_xll.qlFuturesRateHelperConvexityAdjustment($W183)),_xll.qlSwapRateHelperSpread($W183))</f>
        <v/>
      </c>
      <c r="AA183" s="5" t="str">
        <f ca="1">IFERROR(_xll.qlRateHelperEarliestDate(W183,Trigger),"")</f>
        <v/>
      </c>
      <c r="AB183" s="5" t="str">
        <f ca="1">IFERROR(_xll.qlRateHelperPillarDate(W183,Trigger),"")</f>
        <v/>
      </c>
      <c r="AC183" s="887" t="e">
        <f ca="1"/>
        <v>#NAME?</v>
      </c>
    </row>
    <row r="184" spans="1:29" x14ac:dyDescent="0.2">
      <c r="A184" s="874" t="s">
        <v>410</v>
      </c>
      <c r="B184" s="876" t="s">
        <v>53</v>
      </c>
      <c r="C184" s="875" t="s">
        <v>49</v>
      </c>
      <c r="D184" s="875" t="s">
        <v>323</v>
      </c>
      <c r="E184" s="875" t="s">
        <v>322</v>
      </c>
      <c r="F184" s="875" t="s">
        <v>221</v>
      </c>
      <c r="G184" s="875" t="str">
        <f t="shared" si="25"/>
        <v>Euribor6M</v>
      </c>
      <c r="H184" s="874" t="str">
        <f t="shared" si="26"/>
        <v>EUR7F3Y_Quote</v>
      </c>
      <c r="I184" s="877">
        <v>0</v>
      </c>
      <c r="J184" s="43"/>
      <c r="L184" s="895" t="str">
        <f t="shared" si="23"/>
        <v>FwdSw</v>
      </c>
      <c r="M184" s="891" t="str">
        <f t="shared" si="24"/>
        <v>--</v>
      </c>
      <c r="N184" s="894" t="str">
        <f ca="1">IFERROR(_xll.qlRateHelperQuoteName(M184,Trigger),"--")</f>
        <v>--</v>
      </c>
      <c r="O184" s="893" t="str">
        <f ca="1">IFERROR(_xll.qlRateHelperQuoteValue($M184,Trigger),"--")</f>
        <v>--</v>
      </c>
      <c r="P184" s="970" t="b">
        <v>0</v>
      </c>
      <c r="Q184" s="891">
        <v>50</v>
      </c>
      <c r="R184" s="891">
        <v>1</v>
      </c>
      <c r="S184" s="890" t="str">
        <f ca="1">IFERROR(_xll.qlRateHelperEarliestDate(M184,Trigger),"--")</f>
        <v>--</v>
      </c>
      <c r="T184" s="890" t="str">
        <f ca="1">IFERROR(_xll.qlRateHelperPillarDate(M184,Trigger),"--")</f>
        <v>--</v>
      </c>
      <c r="V184" s="4" t="str">
        <f t="shared" ca="1" si="22"/>
        <v/>
      </c>
      <c r="W184" s="4" t="e">
        <f ca="1"/>
        <v>#NAME?</v>
      </c>
      <c r="X184" s="4" t="str">
        <f ca="1">IFERROR(_xll.qlRateHelperQuoteName(W184,Trigger),"")</f>
        <v/>
      </c>
      <c r="Y184" s="889" t="str">
        <f ca="1">IFERROR(_xll.qlRateHelperRate(W184,Trigger),"")</f>
        <v/>
      </c>
      <c r="Z184" s="888" t="str">
        <f ca="1">IF(ISERROR(_xll.qlSwapRateHelperSpread($W184)),IF(ISERROR(_xll.qlFuturesRateHelperConvexityAdjustment($W184)),"",_xll.qlFuturesRateHelperConvexityAdjustment($W184)),_xll.qlSwapRateHelperSpread($W184))</f>
        <v/>
      </c>
      <c r="AA184" s="5" t="str">
        <f ca="1">IFERROR(_xll.qlRateHelperEarliestDate(W184,Trigger),"")</f>
        <v/>
      </c>
      <c r="AB184" s="5" t="str">
        <f ca="1">IFERROR(_xll.qlRateHelperPillarDate(W184,Trigger),"")</f>
        <v/>
      </c>
      <c r="AC184" s="887" t="e">
        <f ca="1"/>
        <v>#NAME?</v>
      </c>
    </row>
    <row r="185" spans="1:29" x14ac:dyDescent="0.2">
      <c r="A185" s="874" t="s">
        <v>410</v>
      </c>
      <c r="B185" s="876" t="s">
        <v>52</v>
      </c>
      <c r="C185" s="875" t="s">
        <v>49</v>
      </c>
      <c r="D185" s="875" t="s">
        <v>323</v>
      </c>
      <c r="E185" s="875" t="s">
        <v>322</v>
      </c>
      <c r="F185" s="875" t="s">
        <v>221</v>
      </c>
      <c r="G185" s="875" t="str">
        <f t="shared" si="25"/>
        <v>Euribor6M</v>
      </c>
      <c r="H185" s="874" t="str">
        <f t="shared" si="26"/>
        <v>EUR7F4Y_Quote</v>
      </c>
      <c r="I185" s="877">
        <v>0</v>
      </c>
      <c r="J185" s="43"/>
      <c r="L185" s="895" t="str">
        <f t="shared" si="23"/>
        <v>FwdSw</v>
      </c>
      <c r="M185" s="891" t="str">
        <f t="shared" si="24"/>
        <v>--</v>
      </c>
      <c r="N185" s="894" t="str">
        <f ca="1">IFERROR(_xll.qlRateHelperQuoteName(M185,Trigger),"--")</f>
        <v>--</v>
      </c>
      <c r="O185" s="893" t="str">
        <f ca="1">IFERROR(_xll.qlRateHelperQuoteValue($M185,Trigger),"--")</f>
        <v>--</v>
      </c>
      <c r="P185" s="970" t="b">
        <v>0</v>
      </c>
      <c r="Q185" s="891">
        <v>50</v>
      </c>
      <c r="R185" s="891">
        <v>1</v>
      </c>
      <c r="S185" s="890" t="str">
        <f ca="1">IFERROR(_xll.qlRateHelperEarliestDate(M185,Trigger),"--")</f>
        <v>--</v>
      </c>
      <c r="T185" s="890" t="str">
        <f ca="1">IFERROR(_xll.qlRateHelperPillarDate(M185,Trigger),"--")</f>
        <v>--</v>
      </c>
      <c r="V185" s="4" t="str">
        <f t="shared" ca="1" si="22"/>
        <v/>
      </c>
      <c r="W185" s="4" t="e">
        <f ca="1"/>
        <v>#NAME?</v>
      </c>
      <c r="X185" s="4" t="str">
        <f ca="1">IFERROR(_xll.qlRateHelperQuoteName(W185,Trigger),"")</f>
        <v/>
      </c>
      <c r="Y185" s="889" t="str">
        <f ca="1">IFERROR(_xll.qlRateHelperRate(W185,Trigger),"")</f>
        <v/>
      </c>
      <c r="Z185" s="888" t="str">
        <f ca="1">IF(ISERROR(_xll.qlSwapRateHelperSpread($W185)),IF(ISERROR(_xll.qlFuturesRateHelperConvexityAdjustment($W185)),"",_xll.qlFuturesRateHelperConvexityAdjustment($W185)),_xll.qlSwapRateHelperSpread($W185))</f>
        <v/>
      </c>
      <c r="AA185" s="5" t="str">
        <f ca="1">IFERROR(_xll.qlRateHelperEarliestDate(W185,Trigger),"")</f>
        <v/>
      </c>
      <c r="AB185" s="5" t="str">
        <f ca="1">IFERROR(_xll.qlRateHelperPillarDate(W185,Trigger),"")</f>
        <v/>
      </c>
      <c r="AC185" s="887" t="e">
        <f ca="1"/>
        <v>#NAME?</v>
      </c>
    </row>
    <row r="186" spans="1:29" x14ac:dyDescent="0.2">
      <c r="A186" s="874" t="s">
        <v>410</v>
      </c>
      <c r="B186" s="876" t="s">
        <v>51</v>
      </c>
      <c r="C186" s="875" t="s">
        <v>49</v>
      </c>
      <c r="D186" s="875" t="s">
        <v>323</v>
      </c>
      <c r="E186" s="875" t="s">
        <v>322</v>
      </c>
      <c r="F186" s="875" t="s">
        <v>221</v>
      </c>
      <c r="G186" s="875" t="str">
        <f t="shared" si="25"/>
        <v>Euribor6M</v>
      </c>
      <c r="H186" s="874" t="str">
        <f t="shared" si="26"/>
        <v>EUR7F5Y_Quote</v>
      </c>
      <c r="I186" s="877">
        <v>0</v>
      </c>
      <c r="J186" s="43"/>
      <c r="L186" s="895" t="str">
        <f t="shared" si="23"/>
        <v>FwdSw</v>
      </c>
      <c r="M186" s="891" t="str">
        <f t="shared" si="24"/>
        <v>--</v>
      </c>
      <c r="N186" s="894" t="str">
        <f ca="1">IFERROR(_xll.qlRateHelperQuoteName(M186,Trigger),"--")</f>
        <v>--</v>
      </c>
      <c r="O186" s="893" t="str">
        <f ca="1">IFERROR(_xll.qlRateHelperQuoteValue($M186,Trigger),"--")</f>
        <v>--</v>
      </c>
      <c r="P186" s="970" t="b">
        <v>0</v>
      </c>
      <c r="Q186" s="891">
        <v>50</v>
      </c>
      <c r="R186" s="891">
        <v>1</v>
      </c>
      <c r="S186" s="890" t="str">
        <f ca="1">IFERROR(_xll.qlRateHelperEarliestDate(M186,Trigger),"--")</f>
        <v>--</v>
      </c>
      <c r="T186" s="890" t="str">
        <f ca="1">IFERROR(_xll.qlRateHelperPillarDate(M186,Trigger),"--")</f>
        <v>--</v>
      </c>
      <c r="V186" s="4" t="str">
        <f t="shared" ca="1" si="22"/>
        <v/>
      </c>
      <c r="W186" s="4" t="e">
        <f ca="1"/>
        <v>#NAME?</v>
      </c>
      <c r="X186" s="4" t="str">
        <f ca="1">IFERROR(_xll.qlRateHelperQuoteName(W186,Trigger),"")</f>
        <v/>
      </c>
      <c r="Y186" s="889" t="str">
        <f ca="1">IFERROR(_xll.qlRateHelperRate(W186,Trigger),"")</f>
        <v/>
      </c>
      <c r="Z186" s="888" t="str">
        <f ca="1">IF(ISERROR(_xll.qlSwapRateHelperSpread($W186)),IF(ISERROR(_xll.qlFuturesRateHelperConvexityAdjustment($W186)),"",_xll.qlFuturesRateHelperConvexityAdjustment($W186)),_xll.qlSwapRateHelperSpread($W186))</f>
        <v/>
      </c>
      <c r="AA186" s="5" t="str">
        <f ca="1">IFERROR(_xll.qlRateHelperEarliestDate(W186,Trigger),"")</f>
        <v/>
      </c>
      <c r="AB186" s="5" t="str">
        <f ca="1">IFERROR(_xll.qlRateHelperPillarDate(W186,Trigger),"")</f>
        <v/>
      </c>
      <c r="AC186" s="887" t="e">
        <f ca="1"/>
        <v>#NAME?</v>
      </c>
    </row>
    <row r="187" spans="1:29" x14ac:dyDescent="0.2">
      <c r="A187" s="874" t="s">
        <v>410</v>
      </c>
      <c r="B187" s="876" t="s">
        <v>50</v>
      </c>
      <c r="C187" s="875" t="s">
        <v>49</v>
      </c>
      <c r="D187" s="875" t="s">
        <v>323</v>
      </c>
      <c r="E187" s="875" t="s">
        <v>322</v>
      </c>
      <c r="F187" s="875" t="s">
        <v>221</v>
      </c>
      <c r="G187" s="875" t="str">
        <f t="shared" si="25"/>
        <v>Euribor6M</v>
      </c>
      <c r="H187" s="874" t="str">
        <f t="shared" si="26"/>
        <v>EUR7F6Y_Quote</v>
      </c>
      <c r="I187" s="877">
        <v>0</v>
      </c>
      <c r="J187" s="43"/>
      <c r="L187" s="895" t="str">
        <f t="shared" si="23"/>
        <v>FwdSw</v>
      </c>
      <c r="M187" s="891" t="str">
        <f t="shared" si="24"/>
        <v>--</v>
      </c>
      <c r="N187" s="894" t="str">
        <f ca="1">IFERROR(_xll.qlRateHelperQuoteName(M187,Trigger),"--")</f>
        <v>--</v>
      </c>
      <c r="O187" s="893" t="str">
        <f ca="1">IFERROR(_xll.qlRateHelperQuoteValue($M187,Trigger),"--")</f>
        <v>--</v>
      </c>
      <c r="P187" s="970" t="b">
        <v>0</v>
      </c>
      <c r="Q187" s="891">
        <v>50</v>
      </c>
      <c r="R187" s="891">
        <v>1</v>
      </c>
      <c r="S187" s="890" t="str">
        <f ca="1">IFERROR(_xll.qlRateHelperEarliestDate(M187,Trigger),"--")</f>
        <v>--</v>
      </c>
      <c r="T187" s="890" t="str">
        <f ca="1">IFERROR(_xll.qlRateHelperPillarDate(M187,Trigger),"--")</f>
        <v>--</v>
      </c>
      <c r="V187" s="4" t="str">
        <f t="shared" ca="1" si="22"/>
        <v/>
      </c>
      <c r="W187" s="4" t="e">
        <f ca="1"/>
        <v>#NAME?</v>
      </c>
      <c r="X187" s="4" t="str">
        <f ca="1">IFERROR(_xll.qlRateHelperQuoteName(W187,Trigger),"")</f>
        <v/>
      </c>
      <c r="Y187" s="889" t="str">
        <f ca="1">IFERROR(_xll.qlRateHelperRate(W187,Trigger),"")</f>
        <v/>
      </c>
      <c r="Z187" s="888" t="str">
        <f ca="1">IF(ISERROR(_xll.qlSwapRateHelperSpread($W187)),IF(ISERROR(_xll.qlFuturesRateHelperConvexityAdjustment($W187)),"",_xll.qlFuturesRateHelperConvexityAdjustment($W187)),_xll.qlSwapRateHelperSpread($W187))</f>
        <v/>
      </c>
      <c r="AA187" s="5" t="str">
        <f ca="1">IFERROR(_xll.qlRateHelperEarliestDate(W187,Trigger),"")</f>
        <v/>
      </c>
      <c r="AB187" s="5" t="str">
        <f ca="1">IFERROR(_xll.qlRateHelperPillarDate(W187,Trigger),"")</f>
        <v/>
      </c>
      <c r="AC187" s="887" t="e">
        <f ca="1"/>
        <v>#NAME?</v>
      </c>
    </row>
    <row r="188" spans="1:29" x14ac:dyDescent="0.2">
      <c r="A188" s="874" t="s">
        <v>410</v>
      </c>
      <c r="B188" s="876" t="s">
        <v>49</v>
      </c>
      <c r="C188" s="875" t="s">
        <v>49</v>
      </c>
      <c r="D188" s="875" t="s">
        <v>323</v>
      </c>
      <c r="E188" s="875" t="s">
        <v>322</v>
      </c>
      <c r="F188" s="875" t="s">
        <v>221</v>
      </c>
      <c r="G188" s="875" t="str">
        <f t="shared" si="25"/>
        <v>Euribor6M</v>
      </c>
      <c r="H188" s="874" t="str">
        <f t="shared" si="26"/>
        <v>EUR7F7Y_Quote</v>
      </c>
      <c r="I188" s="877">
        <v>0</v>
      </c>
      <c r="J188" s="43"/>
      <c r="L188" s="895" t="str">
        <f t="shared" si="23"/>
        <v>FwdSw</v>
      </c>
      <c r="M188" s="891" t="str">
        <f t="shared" si="24"/>
        <v>--</v>
      </c>
      <c r="N188" s="894" t="str">
        <f ca="1">IFERROR(_xll.qlRateHelperQuoteName(M188,Trigger),"--")</f>
        <v>--</v>
      </c>
      <c r="O188" s="893" t="str">
        <f ca="1">IFERROR(_xll.qlRateHelperQuoteValue($M188,Trigger),"--")</f>
        <v>--</v>
      </c>
      <c r="P188" s="970" t="b">
        <v>0</v>
      </c>
      <c r="Q188" s="891">
        <v>50</v>
      </c>
      <c r="R188" s="891">
        <v>1</v>
      </c>
      <c r="S188" s="890" t="str">
        <f ca="1">IFERROR(_xll.qlRateHelperEarliestDate(M188,Trigger),"--")</f>
        <v>--</v>
      </c>
      <c r="T188" s="890" t="str">
        <f ca="1">IFERROR(_xll.qlRateHelperPillarDate(M188,Trigger),"--")</f>
        <v>--</v>
      </c>
      <c r="V188" s="4" t="str">
        <f t="shared" ca="1" si="22"/>
        <v/>
      </c>
      <c r="W188" s="4" t="e">
        <f ca="1"/>
        <v>#NAME?</v>
      </c>
      <c r="X188" s="4" t="str">
        <f ca="1">IFERROR(_xll.qlRateHelperQuoteName(W188,Trigger),"")</f>
        <v/>
      </c>
      <c r="Y188" s="889" t="str">
        <f ca="1">IFERROR(_xll.qlRateHelperRate(W188,Trigger),"")</f>
        <v/>
      </c>
      <c r="Z188" s="888" t="str">
        <f ca="1">IF(ISERROR(_xll.qlSwapRateHelperSpread($W188)),IF(ISERROR(_xll.qlFuturesRateHelperConvexityAdjustment($W188)),"",_xll.qlFuturesRateHelperConvexityAdjustment($W188)),_xll.qlSwapRateHelperSpread($W188))</f>
        <v/>
      </c>
      <c r="AA188" s="5" t="str">
        <f ca="1">IFERROR(_xll.qlRateHelperEarliestDate(W188,Trigger),"")</f>
        <v/>
      </c>
      <c r="AB188" s="5" t="str">
        <f ca="1">IFERROR(_xll.qlRateHelperPillarDate(W188,Trigger),"")</f>
        <v/>
      </c>
      <c r="AC188" s="887" t="e">
        <f ca="1"/>
        <v>#NAME?</v>
      </c>
    </row>
    <row r="189" spans="1:29" x14ac:dyDescent="0.2">
      <c r="A189" s="874" t="s">
        <v>410</v>
      </c>
      <c r="B189" s="876" t="s">
        <v>48</v>
      </c>
      <c r="C189" s="875" t="s">
        <v>49</v>
      </c>
      <c r="D189" s="875" t="s">
        <v>323</v>
      </c>
      <c r="E189" s="875" t="s">
        <v>322</v>
      </c>
      <c r="F189" s="875" t="s">
        <v>221</v>
      </c>
      <c r="G189" s="875" t="str">
        <f t="shared" si="25"/>
        <v>Euribor6M</v>
      </c>
      <c r="H189" s="874" t="str">
        <f t="shared" si="26"/>
        <v>EUR7F8Y_Quote</v>
      </c>
      <c r="I189" s="877">
        <v>0</v>
      </c>
      <c r="J189" s="43"/>
      <c r="L189" s="895" t="str">
        <f t="shared" si="23"/>
        <v>FwdSw</v>
      </c>
      <c r="M189" s="891" t="str">
        <f t="shared" si="24"/>
        <v>--</v>
      </c>
      <c r="N189" s="894" t="str">
        <f ca="1">IFERROR(_xll.qlRateHelperQuoteName(M189,Trigger),"--")</f>
        <v>--</v>
      </c>
      <c r="O189" s="893" t="str">
        <f ca="1">IFERROR(_xll.qlRateHelperQuoteValue($M189,Trigger),"--")</f>
        <v>--</v>
      </c>
      <c r="P189" s="970" t="b">
        <v>0</v>
      </c>
      <c r="Q189" s="891">
        <v>50</v>
      </c>
      <c r="R189" s="891">
        <v>1</v>
      </c>
      <c r="S189" s="890" t="str">
        <f ca="1">IFERROR(_xll.qlRateHelperEarliestDate(M189,Trigger),"--")</f>
        <v>--</v>
      </c>
      <c r="T189" s="890" t="str">
        <f ca="1">IFERROR(_xll.qlRateHelperPillarDate(M189,Trigger),"--")</f>
        <v>--</v>
      </c>
      <c r="V189" s="4" t="str">
        <f t="shared" ca="1" si="22"/>
        <v/>
      </c>
      <c r="W189" s="4" t="e">
        <f ca="1"/>
        <v>#NAME?</v>
      </c>
      <c r="X189" s="4" t="str">
        <f ca="1">IFERROR(_xll.qlRateHelperQuoteName(W189,Trigger),"")</f>
        <v/>
      </c>
      <c r="Y189" s="889" t="str">
        <f ca="1">IFERROR(_xll.qlRateHelperRate(W189,Trigger),"")</f>
        <v/>
      </c>
      <c r="Z189" s="888" t="str">
        <f ca="1">IF(ISERROR(_xll.qlSwapRateHelperSpread($W189)),IF(ISERROR(_xll.qlFuturesRateHelperConvexityAdjustment($W189)),"",_xll.qlFuturesRateHelperConvexityAdjustment($W189)),_xll.qlSwapRateHelperSpread($W189))</f>
        <v/>
      </c>
      <c r="AA189" s="5" t="str">
        <f ca="1">IFERROR(_xll.qlRateHelperEarliestDate(W189,Trigger),"")</f>
        <v/>
      </c>
      <c r="AB189" s="5" t="str">
        <f ca="1">IFERROR(_xll.qlRateHelperPillarDate(W189,Trigger),"")</f>
        <v/>
      </c>
      <c r="AC189" s="887" t="e">
        <f ca="1"/>
        <v>#NAME?</v>
      </c>
    </row>
    <row r="190" spans="1:29" x14ac:dyDescent="0.2">
      <c r="A190" s="874" t="s">
        <v>410</v>
      </c>
      <c r="B190" s="876" t="s">
        <v>47</v>
      </c>
      <c r="C190" s="875" t="s">
        <v>49</v>
      </c>
      <c r="D190" s="875" t="s">
        <v>323</v>
      </c>
      <c r="E190" s="875" t="s">
        <v>322</v>
      </c>
      <c r="F190" s="875" t="s">
        <v>221</v>
      </c>
      <c r="G190" s="875" t="str">
        <f t="shared" si="25"/>
        <v>Euribor6M</v>
      </c>
      <c r="H190" s="874" t="str">
        <f t="shared" si="26"/>
        <v>EUR7F9Y_Quote</v>
      </c>
      <c r="I190" s="877">
        <v>0</v>
      </c>
      <c r="J190" s="43"/>
      <c r="L190" s="895" t="str">
        <f t="shared" si="23"/>
        <v>FwdSw</v>
      </c>
      <c r="M190" s="891" t="str">
        <f t="shared" si="24"/>
        <v>--</v>
      </c>
      <c r="N190" s="894" t="str">
        <f ca="1">IFERROR(_xll.qlRateHelperQuoteName(M190,Trigger),"--")</f>
        <v>--</v>
      </c>
      <c r="O190" s="893" t="str">
        <f ca="1">IFERROR(_xll.qlRateHelperQuoteValue($M190,Trigger),"--")</f>
        <v>--</v>
      </c>
      <c r="P190" s="970" t="b">
        <v>0</v>
      </c>
      <c r="Q190" s="891">
        <v>50</v>
      </c>
      <c r="R190" s="891">
        <v>1</v>
      </c>
      <c r="S190" s="890" t="str">
        <f ca="1">IFERROR(_xll.qlRateHelperEarliestDate(M190,Trigger),"--")</f>
        <v>--</v>
      </c>
      <c r="T190" s="890" t="str">
        <f ca="1">IFERROR(_xll.qlRateHelperPillarDate(M190,Trigger),"--")</f>
        <v>--</v>
      </c>
      <c r="V190" s="4" t="str">
        <f t="shared" ca="1" si="22"/>
        <v/>
      </c>
      <c r="W190" s="4" t="e">
        <f ca="1"/>
        <v>#NAME?</v>
      </c>
      <c r="X190" s="4" t="str">
        <f ca="1">IFERROR(_xll.qlRateHelperQuoteName(W190,Trigger),"")</f>
        <v/>
      </c>
      <c r="Y190" s="889" t="str">
        <f ca="1">IFERROR(_xll.qlRateHelperRate(W190,Trigger),"")</f>
        <v/>
      </c>
      <c r="Z190" s="888" t="str">
        <f ca="1">IF(ISERROR(_xll.qlSwapRateHelperSpread($W190)),IF(ISERROR(_xll.qlFuturesRateHelperConvexityAdjustment($W190)),"",_xll.qlFuturesRateHelperConvexityAdjustment($W190)),_xll.qlSwapRateHelperSpread($W190))</f>
        <v/>
      </c>
      <c r="AA190" s="5" t="str">
        <f ca="1">IFERROR(_xll.qlRateHelperEarliestDate(W190,Trigger),"")</f>
        <v/>
      </c>
      <c r="AB190" s="5" t="str">
        <f ca="1">IFERROR(_xll.qlRateHelperPillarDate(W190,Trigger),"")</f>
        <v/>
      </c>
      <c r="AC190" s="887" t="e">
        <f ca="1"/>
        <v>#NAME?</v>
      </c>
    </row>
    <row r="191" spans="1:29" x14ac:dyDescent="0.2">
      <c r="A191" s="874" t="s">
        <v>410</v>
      </c>
      <c r="B191" s="876" t="s">
        <v>46</v>
      </c>
      <c r="C191" s="875" t="s">
        <v>49</v>
      </c>
      <c r="D191" s="875" t="s">
        <v>323</v>
      </c>
      <c r="E191" s="875" t="s">
        <v>322</v>
      </c>
      <c r="F191" s="875" t="s">
        <v>221</v>
      </c>
      <c r="G191" s="875" t="str">
        <f t="shared" si="25"/>
        <v>Euribor6M</v>
      </c>
      <c r="H191" s="874" t="str">
        <f t="shared" si="26"/>
        <v>EUR7F10Y_Quote</v>
      </c>
      <c r="I191" s="877">
        <v>0</v>
      </c>
      <c r="J191" s="43"/>
      <c r="L191" s="895" t="str">
        <f t="shared" si="23"/>
        <v>FwdSw</v>
      </c>
      <c r="M191" s="891" t="str">
        <f t="shared" si="24"/>
        <v>--</v>
      </c>
      <c r="N191" s="894" t="str">
        <f ca="1">IFERROR(_xll.qlRateHelperQuoteName(M191,Trigger),"--")</f>
        <v>--</v>
      </c>
      <c r="O191" s="893" t="str">
        <f ca="1">IFERROR(_xll.qlRateHelperQuoteValue($M191,Trigger),"--")</f>
        <v>--</v>
      </c>
      <c r="P191" s="970" t="b">
        <v>0</v>
      </c>
      <c r="Q191" s="891">
        <v>50</v>
      </c>
      <c r="R191" s="891">
        <v>1</v>
      </c>
      <c r="S191" s="890" t="str">
        <f ca="1">IFERROR(_xll.qlRateHelperEarliestDate(M191,Trigger),"--")</f>
        <v>--</v>
      </c>
      <c r="T191" s="890" t="str">
        <f ca="1">IFERROR(_xll.qlRateHelperPillarDate(M191,Trigger),"--")</f>
        <v>--</v>
      </c>
      <c r="V191" s="4" t="str">
        <f t="shared" ca="1" si="22"/>
        <v/>
      </c>
      <c r="W191" s="4" t="e">
        <f ca="1"/>
        <v>#NAME?</v>
      </c>
      <c r="X191" s="4" t="str">
        <f ca="1">IFERROR(_xll.qlRateHelperQuoteName(W191,Trigger),"")</f>
        <v/>
      </c>
      <c r="Y191" s="889" t="str">
        <f ca="1">IFERROR(_xll.qlRateHelperRate(W191,Trigger),"")</f>
        <v/>
      </c>
      <c r="Z191" s="888" t="str">
        <f ca="1">IF(ISERROR(_xll.qlSwapRateHelperSpread($W191)),IF(ISERROR(_xll.qlFuturesRateHelperConvexityAdjustment($W191)),"",_xll.qlFuturesRateHelperConvexityAdjustment($W191)),_xll.qlSwapRateHelperSpread($W191))</f>
        <v/>
      </c>
      <c r="AA191" s="5" t="str">
        <f ca="1">IFERROR(_xll.qlRateHelperEarliestDate(W191,Trigger),"")</f>
        <v/>
      </c>
      <c r="AB191" s="5" t="str">
        <f ca="1">IFERROR(_xll.qlRateHelperPillarDate(W191,Trigger),"")</f>
        <v/>
      </c>
      <c r="AC191" s="887" t="e">
        <f ca="1"/>
        <v>#NAME?</v>
      </c>
    </row>
    <row r="192" spans="1:29" x14ac:dyDescent="0.2">
      <c r="A192" s="874" t="s">
        <v>410</v>
      </c>
      <c r="B192" s="876" t="s">
        <v>45</v>
      </c>
      <c r="C192" s="875" t="s">
        <v>49</v>
      </c>
      <c r="D192" s="875" t="s">
        <v>323</v>
      </c>
      <c r="E192" s="875" t="s">
        <v>322</v>
      </c>
      <c r="F192" s="875" t="s">
        <v>221</v>
      </c>
      <c r="G192" s="875" t="str">
        <f t="shared" si="25"/>
        <v>Euribor6M</v>
      </c>
      <c r="H192" s="874" t="str">
        <f t="shared" si="26"/>
        <v>EUR7F11Y_Quote</v>
      </c>
      <c r="I192" s="877">
        <v>0</v>
      </c>
      <c r="J192" s="43"/>
      <c r="L192" s="895" t="str">
        <f t="shared" si="23"/>
        <v>FwdSw</v>
      </c>
      <c r="M192" s="891" t="str">
        <f t="shared" si="24"/>
        <v>--</v>
      </c>
      <c r="N192" s="894" t="str">
        <f ca="1">IFERROR(_xll.qlRateHelperQuoteName(M192,Trigger),"--")</f>
        <v>--</v>
      </c>
      <c r="O192" s="893" t="str">
        <f ca="1">IFERROR(_xll.qlRateHelperQuoteValue($M192,Trigger),"--")</f>
        <v>--</v>
      </c>
      <c r="P192" s="970" t="b">
        <v>0</v>
      </c>
      <c r="Q192" s="891">
        <v>50</v>
      </c>
      <c r="R192" s="891">
        <v>1</v>
      </c>
      <c r="S192" s="890" t="str">
        <f ca="1">IFERROR(_xll.qlRateHelperEarliestDate(M192,Trigger),"--")</f>
        <v>--</v>
      </c>
      <c r="T192" s="890" t="str">
        <f ca="1">IFERROR(_xll.qlRateHelperPillarDate(M192,Trigger),"--")</f>
        <v>--</v>
      </c>
      <c r="V192" s="4" t="str">
        <f t="shared" ca="1" si="22"/>
        <v/>
      </c>
      <c r="W192" s="4" t="e">
        <f ca="1"/>
        <v>#NAME?</v>
      </c>
      <c r="X192" s="4" t="str">
        <f ca="1">IFERROR(_xll.qlRateHelperQuoteName(W192,Trigger),"")</f>
        <v/>
      </c>
      <c r="Y192" s="889" t="str">
        <f ca="1">IFERROR(_xll.qlRateHelperRate(W192,Trigger),"")</f>
        <v/>
      </c>
      <c r="Z192" s="888" t="str">
        <f ca="1">IF(ISERROR(_xll.qlSwapRateHelperSpread($W192)),IF(ISERROR(_xll.qlFuturesRateHelperConvexityAdjustment($W192)),"",_xll.qlFuturesRateHelperConvexityAdjustment($W192)),_xll.qlSwapRateHelperSpread($W192))</f>
        <v/>
      </c>
      <c r="AA192" s="5" t="str">
        <f ca="1">IFERROR(_xll.qlRateHelperEarliestDate(W192,Trigger),"")</f>
        <v/>
      </c>
      <c r="AB192" s="5" t="str">
        <f ca="1">IFERROR(_xll.qlRateHelperPillarDate(W192,Trigger),"")</f>
        <v/>
      </c>
      <c r="AC192" s="887" t="e">
        <f ca="1"/>
        <v>#NAME?</v>
      </c>
    </row>
    <row r="193" spans="1:29" x14ac:dyDescent="0.2">
      <c r="A193" s="874" t="s">
        <v>410</v>
      </c>
      <c r="B193" s="876" t="s">
        <v>44</v>
      </c>
      <c r="C193" s="875" t="s">
        <v>49</v>
      </c>
      <c r="D193" s="875" t="s">
        <v>323</v>
      </c>
      <c r="E193" s="875" t="s">
        <v>322</v>
      </c>
      <c r="F193" s="875" t="s">
        <v>221</v>
      </c>
      <c r="G193" s="875" t="str">
        <f t="shared" si="25"/>
        <v>Euribor6M</v>
      </c>
      <c r="H193" s="874" t="str">
        <f t="shared" si="26"/>
        <v>EUR7F12Y_Quote</v>
      </c>
      <c r="I193" s="877">
        <v>0</v>
      </c>
      <c r="J193" s="43"/>
      <c r="L193" s="895" t="str">
        <f t="shared" si="23"/>
        <v>FwdSw</v>
      </c>
      <c r="M193" s="891" t="str">
        <f t="shared" si="24"/>
        <v>--</v>
      </c>
      <c r="N193" s="894" t="str">
        <f ca="1">IFERROR(_xll.qlRateHelperQuoteName(M193,Trigger),"--")</f>
        <v>--</v>
      </c>
      <c r="O193" s="893" t="str">
        <f ca="1">IFERROR(_xll.qlRateHelperQuoteValue($M193,Trigger),"--")</f>
        <v>--</v>
      </c>
      <c r="P193" s="970" t="b">
        <v>0</v>
      </c>
      <c r="Q193" s="891">
        <v>50</v>
      </c>
      <c r="R193" s="891">
        <v>1</v>
      </c>
      <c r="S193" s="890" t="str">
        <f ca="1">IFERROR(_xll.qlRateHelperEarliestDate(M193,Trigger),"--")</f>
        <v>--</v>
      </c>
      <c r="T193" s="890" t="str">
        <f ca="1">IFERROR(_xll.qlRateHelperPillarDate(M193,Trigger),"--")</f>
        <v>--</v>
      </c>
      <c r="V193" s="4" t="str">
        <f t="shared" ca="1" si="22"/>
        <v/>
      </c>
      <c r="W193" s="4" t="e">
        <f ca="1"/>
        <v>#NAME?</v>
      </c>
      <c r="X193" s="4" t="str">
        <f ca="1">IFERROR(_xll.qlRateHelperQuoteName(W193,Trigger),"")</f>
        <v/>
      </c>
      <c r="Y193" s="889" t="str">
        <f ca="1">IFERROR(_xll.qlRateHelperRate(W193,Trigger),"")</f>
        <v/>
      </c>
      <c r="Z193" s="888" t="str">
        <f ca="1">IF(ISERROR(_xll.qlSwapRateHelperSpread($W193)),IF(ISERROR(_xll.qlFuturesRateHelperConvexityAdjustment($W193)),"",_xll.qlFuturesRateHelperConvexityAdjustment($W193)),_xll.qlSwapRateHelperSpread($W193))</f>
        <v/>
      </c>
      <c r="AA193" s="5" t="str">
        <f ca="1">IFERROR(_xll.qlRateHelperEarliestDate(W193,Trigger),"")</f>
        <v/>
      </c>
      <c r="AB193" s="5" t="str">
        <f ca="1">IFERROR(_xll.qlRateHelperPillarDate(W193,Trigger),"")</f>
        <v/>
      </c>
      <c r="AC193" s="887" t="e">
        <f ca="1"/>
        <v>#NAME?</v>
      </c>
    </row>
    <row r="194" spans="1:29" x14ac:dyDescent="0.2">
      <c r="A194" s="874" t="s">
        <v>410</v>
      </c>
      <c r="B194" s="876" t="s">
        <v>43</v>
      </c>
      <c r="C194" s="875" t="s">
        <v>49</v>
      </c>
      <c r="D194" s="875" t="s">
        <v>323</v>
      </c>
      <c r="E194" s="875" t="s">
        <v>322</v>
      </c>
      <c r="F194" s="875" t="s">
        <v>221</v>
      </c>
      <c r="G194" s="875" t="str">
        <f t="shared" si="25"/>
        <v>Euribor6M</v>
      </c>
      <c r="H194" s="874" t="str">
        <f t="shared" si="26"/>
        <v>EUR7F13Y_Quote</v>
      </c>
      <c r="I194" s="877">
        <v>0</v>
      </c>
      <c r="J194" s="43"/>
      <c r="L194" s="895" t="str">
        <f t="shared" si="23"/>
        <v>FwdSw</v>
      </c>
      <c r="M194" s="891" t="str">
        <f t="shared" si="24"/>
        <v>--</v>
      </c>
      <c r="N194" s="894" t="str">
        <f ca="1">IFERROR(_xll.qlRateHelperQuoteName(M194,Trigger),"--")</f>
        <v>--</v>
      </c>
      <c r="O194" s="893" t="str">
        <f ca="1">IFERROR(_xll.qlRateHelperQuoteValue($M194,Trigger),"--")</f>
        <v>--</v>
      </c>
      <c r="P194" s="970" t="b">
        <v>0</v>
      </c>
      <c r="Q194" s="891">
        <v>50</v>
      </c>
      <c r="R194" s="891">
        <v>1</v>
      </c>
      <c r="S194" s="890" t="str">
        <f ca="1">IFERROR(_xll.qlRateHelperEarliestDate(M194,Trigger),"--")</f>
        <v>--</v>
      </c>
      <c r="T194" s="890" t="str">
        <f ca="1">IFERROR(_xll.qlRateHelperPillarDate(M194,Trigger),"--")</f>
        <v>--</v>
      </c>
      <c r="V194" s="4" t="str">
        <f t="shared" ca="1" si="22"/>
        <v/>
      </c>
      <c r="W194" s="4" t="e">
        <f ca="1"/>
        <v>#NAME?</v>
      </c>
      <c r="X194" s="4" t="str">
        <f ca="1">IFERROR(_xll.qlRateHelperQuoteName(W194,Trigger),"")</f>
        <v/>
      </c>
      <c r="Y194" s="889" t="str">
        <f ca="1">IFERROR(_xll.qlRateHelperRate(W194,Trigger),"")</f>
        <v/>
      </c>
      <c r="Z194" s="888" t="str">
        <f ca="1">IF(ISERROR(_xll.qlSwapRateHelperSpread($W194)),IF(ISERROR(_xll.qlFuturesRateHelperConvexityAdjustment($W194)),"",_xll.qlFuturesRateHelperConvexityAdjustment($W194)),_xll.qlSwapRateHelperSpread($W194))</f>
        <v/>
      </c>
      <c r="AA194" s="5" t="str">
        <f ca="1">IFERROR(_xll.qlRateHelperEarliestDate(W194,Trigger),"")</f>
        <v/>
      </c>
      <c r="AB194" s="5" t="str">
        <f ca="1">IFERROR(_xll.qlRateHelperPillarDate(W194,Trigger),"")</f>
        <v/>
      </c>
      <c r="AC194" s="887" t="e">
        <f ca="1"/>
        <v>#NAME?</v>
      </c>
    </row>
    <row r="195" spans="1:29" x14ac:dyDescent="0.2">
      <c r="A195" s="874" t="s">
        <v>410</v>
      </c>
      <c r="B195" s="876" t="s">
        <v>42</v>
      </c>
      <c r="C195" s="875" t="s">
        <v>49</v>
      </c>
      <c r="D195" s="875" t="s">
        <v>323</v>
      </c>
      <c r="E195" s="875" t="s">
        <v>322</v>
      </c>
      <c r="F195" s="875" t="s">
        <v>221</v>
      </c>
      <c r="G195" s="875" t="str">
        <f t="shared" si="25"/>
        <v>Euribor6M</v>
      </c>
      <c r="H195" s="874" t="str">
        <f t="shared" si="26"/>
        <v>EUR7F14Y_Quote</v>
      </c>
      <c r="I195" s="877">
        <v>0</v>
      </c>
      <c r="J195" s="43"/>
      <c r="L195" s="895" t="str">
        <f t="shared" si="23"/>
        <v>FwdSw</v>
      </c>
      <c r="M195" s="891" t="str">
        <f t="shared" si="24"/>
        <v>--</v>
      </c>
      <c r="N195" s="894" t="str">
        <f ca="1">IFERROR(_xll.qlRateHelperQuoteName(M195,Trigger),"--")</f>
        <v>--</v>
      </c>
      <c r="O195" s="893" t="str">
        <f ca="1">IFERROR(_xll.qlRateHelperQuoteValue($M195,Trigger),"--")</f>
        <v>--</v>
      </c>
      <c r="P195" s="970" t="b">
        <v>0</v>
      </c>
      <c r="Q195" s="891">
        <v>50</v>
      </c>
      <c r="R195" s="891">
        <v>1</v>
      </c>
      <c r="S195" s="890" t="str">
        <f ca="1">IFERROR(_xll.qlRateHelperEarliestDate(M195,Trigger),"--")</f>
        <v>--</v>
      </c>
      <c r="T195" s="890" t="str">
        <f ca="1">IFERROR(_xll.qlRateHelperPillarDate(M195,Trigger),"--")</f>
        <v>--</v>
      </c>
      <c r="V195" s="4" t="str">
        <f t="shared" ref="V195:V258" ca="1" si="27">IFERROR(INDEX($L$3:$L$391,MATCH(X195,$N$3:$N$391,0),1),"")</f>
        <v/>
      </c>
      <c r="W195" s="4" t="e">
        <f ca="1"/>
        <v>#NAME?</v>
      </c>
      <c r="X195" s="4" t="str">
        <f ca="1">IFERROR(_xll.qlRateHelperQuoteName(W195,Trigger),"")</f>
        <v/>
      </c>
      <c r="Y195" s="889" t="str">
        <f ca="1">IFERROR(_xll.qlRateHelperRate(W195,Trigger),"")</f>
        <v/>
      </c>
      <c r="Z195" s="888" t="str">
        <f ca="1">IF(ISERROR(_xll.qlSwapRateHelperSpread($W195)),IF(ISERROR(_xll.qlFuturesRateHelperConvexityAdjustment($W195)),"",_xll.qlFuturesRateHelperConvexityAdjustment($W195)),_xll.qlSwapRateHelperSpread($W195))</f>
        <v/>
      </c>
      <c r="AA195" s="5" t="str">
        <f ca="1">IFERROR(_xll.qlRateHelperEarliestDate(W195,Trigger),"")</f>
        <v/>
      </c>
      <c r="AB195" s="5" t="str">
        <f ca="1">IFERROR(_xll.qlRateHelperPillarDate(W195,Trigger),"")</f>
        <v/>
      </c>
      <c r="AC195" s="887" t="e">
        <f ca="1"/>
        <v>#NAME?</v>
      </c>
    </row>
    <row r="196" spans="1:29" x14ac:dyDescent="0.2">
      <c r="A196" s="874" t="s">
        <v>410</v>
      </c>
      <c r="B196" s="876" t="s">
        <v>41</v>
      </c>
      <c r="C196" s="875" t="s">
        <v>49</v>
      </c>
      <c r="D196" s="875" t="s">
        <v>323</v>
      </c>
      <c r="E196" s="875" t="s">
        <v>322</v>
      </c>
      <c r="F196" s="875" t="s">
        <v>221</v>
      </c>
      <c r="G196" s="875" t="str">
        <f t="shared" si="25"/>
        <v>Euribor6M</v>
      </c>
      <c r="H196" s="874" t="str">
        <f t="shared" si="26"/>
        <v>EUR7F15Y_Quote</v>
      </c>
      <c r="I196" s="877">
        <v>0</v>
      </c>
      <c r="J196" s="43"/>
      <c r="L196" s="895" t="str">
        <f t="shared" ref="L196:L259" si="28">A202</f>
        <v>FwdSw</v>
      </c>
      <c r="M196" s="891" t="str">
        <f t="shared" ref="M196:M259" si="29">IF(ISBLANK(J202),"--",J202)</f>
        <v>--</v>
      </c>
      <c r="N196" s="894" t="str">
        <f ca="1">IFERROR(_xll.qlRateHelperQuoteName(M196,Trigger),"--")</f>
        <v>--</v>
      </c>
      <c r="O196" s="893" t="str">
        <f ca="1">IFERROR(_xll.qlRateHelperQuoteValue($M196,Trigger),"--")</f>
        <v>--</v>
      </c>
      <c r="P196" s="970" t="b">
        <v>0</v>
      </c>
      <c r="Q196" s="891">
        <v>50</v>
      </c>
      <c r="R196" s="891">
        <v>1</v>
      </c>
      <c r="S196" s="890" t="str">
        <f ca="1">IFERROR(_xll.qlRateHelperEarliestDate(M196,Trigger),"--")</f>
        <v>--</v>
      </c>
      <c r="T196" s="890" t="str">
        <f ca="1">IFERROR(_xll.qlRateHelperPillarDate(M196,Trigger),"--")</f>
        <v>--</v>
      </c>
      <c r="V196" s="4" t="str">
        <f t="shared" ca="1" si="27"/>
        <v/>
      </c>
      <c r="W196" s="4" t="e">
        <f ca="1"/>
        <v>#NAME?</v>
      </c>
      <c r="X196" s="4" t="str">
        <f ca="1">IFERROR(_xll.qlRateHelperQuoteName(W196,Trigger),"")</f>
        <v/>
      </c>
      <c r="Y196" s="889" t="str">
        <f ca="1">IFERROR(_xll.qlRateHelperRate(W196,Trigger),"")</f>
        <v/>
      </c>
      <c r="Z196" s="888" t="str">
        <f ca="1">IF(ISERROR(_xll.qlSwapRateHelperSpread($W196)),IF(ISERROR(_xll.qlFuturesRateHelperConvexityAdjustment($W196)),"",_xll.qlFuturesRateHelperConvexityAdjustment($W196)),_xll.qlSwapRateHelperSpread($W196))</f>
        <v/>
      </c>
      <c r="AA196" s="5" t="str">
        <f ca="1">IFERROR(_xll.qlRateHelperEarliestDate(W196,Trigger),"")</f>
        <v/>
      </c>
      <c r="AB196" s="5" t="str">
        <f ca="1">IFERROR(_xll.qlRateHelperPillarDate(W196,Trigger),"")</f>
        <v/>
      </c>
      <c r="AC196" s="887" t="e">
        <f ca="1"/>
        <v>#NAME?</v>
      </c>
    </row>
    <row r="197" spans="1:29" x14ac:dyDescent="0.2">
      <c r="A197" s="874" t="s">
        <v>410</v>
      </c>
      <c r="B197" s="876" t="s">
        <v>36</v>
      </c>
      <c r="C197" s="875" t="s">
        <v>49</v>
      </c>
      <c r="D197" s="875" t="s">
        <v>323</v>
      </c>
      <c r="E197" s="875" t="s">
        <v>322</v>
      </c>
      <c r="F197" s="875" t="s">
        <v>221</v>
      </c>
      <c r="G197" s="875" t="str">
        <f t="shared" si="25"/>
        <v>Euribor6M</v>
      </c>
      <c r="H197" s="874" t="str">
        <f t="shared" si="26"/>
        <v>EUR7F20Y_Quote</v>
      </c>
      <c r="I197" s="877">
        <v>0</v>
      </c>
      <c r="J197" s="43"/>
      <c r="L197" s="895" t="str">
        <f t="shared" si="28"/>
        <v>FwdSw</v>
      </c>
      <c r="M197" s="891" t="str">
        <f t="shared" si="29"/>
        <v>--</v>
      </c>
      <c r="N197" s="894" t="str">
        <f ca="1">IFERROR(_xll.qlRateHelperQuoteName(M197,Trigger),"--")</f>
        <v>--</v>
      </c>
      <c r="O197" s="893" t="str">
        <f ca="1">IFERROR(_xll.qlRateHelperQuoteValue($M197,Trigger),"--")</f>
        <v>--</v>
      </c>
      <c r="P197" s="970" t="b">
        <v>0</v>
      </c>
      <c r="Q197" s="891">
        <v>50</v>
      </c>
      <c r="R197" s="891">
        <v>1</v>
      </c>
      <c r="S197" s="890" t="str">
        <f ca="1">IFERROR(_xll.qlRateHelperEarliestDate(M197,Trigger),"--")</f>
        <v>--</v>
      </c>
      <c r="T197" s="890" t="str">
        <f ca="1">IFERROR(_xll.qlRateHelperPillarDate(M197,Trigger),"--")</f>
        <v>--</v>
      </c>
      <c r="V197" s="4" t="str">
        <f t="shared" ca="1" si="27"/>
        <v/>
      </c>
      <c r="W197" s="4" t="e">
        <f ca="1"/>
        <v>#NAME?</v>
      </c>
      <c r="X197" s="4" t="str">
        <f ca="1">IFERROR(_xll.qlRateHelperQuoteName(W197,Trigger),"")</f>
        <v/>
      </c>
      <c r="Y197" s="889" t="str">
        <f ca="1">IFERROR(_xll.qlRateHelperRate(W197,Trigger),"")</f>
        <v/>
      </c>
      <c r="Z197" s="888" t="str">
        <f ca="1">IF(ISERROR(_xll.qlSwapRateHelperSpread($W197)),IF(ISERROR(_xll.qlFuturesRateHelperConvexityAdjustment($W197)),"",_xll.qlFuturesRateHelperConvexityAdjustment($W197)),_xll.qlSwapRateHelperSpread($W197))</f>
        <v/>
      </c>
      <c r="AA197" s="5" t="str">
        <f ca="1">IFERROR(_xll.qlRateHelperEarliestDate(W197,Trigger),"")</f>
        <v/>
      </c>
      <c r="AB197" s="5" t="str">
        <f ca="1">IFERROR(_xll.qlRateHelperPillarDate(W197,Trigger),"")</f>
        <v/>
      </c>
      <c r="AC197" s="887" t="e">
        <f ca="1"/>
        <v>#NAME?</v>
      </c>
    </row>
    <row r="198" spans="1:29" x14ac:dyDescent="0.2">
      <c r="A198" s="874" t="s">
        <v>410</v>
      </c>
      <c r="B198" s="876" t="s">
        <v>31</v>
      </c>
      <c r="C198" s="875" t="s">
        <v>49</v>
      </c>
      <c r="D198" s="875" t="s">
        <v>323</v>
      </c>
      <c r="E198" s="875" t="s">
        <v>322</v>
      </c>
      <c r="F198" s="875" t="s">
        <v>221</v>
      </c>
      <c r="G198" s="875" t="str">
        <f t="shared" si="25"/>
        <v>Euribor6M</v>
      </c>
      <c r="H198" s="874" t="str">
        <f t="shared" si="26"/>
        <v>EUR7F25Y_Quote</v>
      </c>
      <c r="I198" s="877">
        <v>0</v>
      </c>
      <c r="J198" s="43"/>
      <c r="L198" s="895" t="str">
        <f t="shared" si="28"/>
        <v>FwdSw</v>
      </c>
      <c r="M198" s="891" t="str">
        <f t="shared" si="29"/>
        <v>--</v>
      </c>
      <c r="N198" s="894" t="str">
        <f ca="1">IFERROR(_xll.qlRateHelperQuoteName(M198,Trigger),"--")</f>
        <v>--</v>
      </c>
      <c r="O198" s="893" t="str">
        <f ca="1">IFERROR(_xll.qlRateHelperQuoteValue($M198,Trigger),"--")</f>
        <v>--</v>
      </c>
      <c r="P198" s="970" t="b">
        <v>0</v>
      </c>
      <c r="Q198" s="891">
        <v>50</v>
      </c>
      <c r="R198" s="891">
        <v>1</v>
      </c>
      <c r="S198" s="890" t="str">
        <f ca="1">IFERROR(_xll.qlRateHelperEarliestDate(M198,Trigger),"--")</f>
        <v>--</v>
      </c>
      <c r="T198" s="890" t="str">
        <f ca="1">IFERROR(_xll.qlRateHelperPillarDate(M198,Trigger),"--")</f>
        <v>--</v>
      </c>
      <c r="V198" s="4" t="str">
        <f t="shared" ca="1" si="27"/>
        <v/>
      </c>
      <c r="W198" s="4" t="e">
        <f ca="1"/>
        <v>#NAME?</v>
      </c>
      <c r="X198" s="4" t="str">
        <f ca="1">IFERROR(_xll.qlRateHelperQuoteName(W198,Trigger),"")</f>
        <v/>
      </c>
      <c r="Y198" s="889" t="str">
        <f ca="1">IFERROR(_xll.qlRateHelperRate(W198,Trigger),"")</f>
        <v/>
      </c>
      <c r="Z198" s="888" t="str">
        <f ca="1">IF(ISERROR(_xll.qlSwapRateHelperSpread($W198)),IF(ISERROR(_xll.qlFuturesRateHelperConvexityAdjustment($W198)),"",_xll.qlFuturesRateHelperConvexityAdjustment($W198)),_xll.qlSwapRateHelperSpread($W198))</f>
        <v/>
      </c>
      <c r="AA198" s="5" t="str">
        <f ca="1">IFERROR(_xll.qlRateHelperEarliestDate(W198,Trigger),"")</f>
        <v/>
      </c>
      <c r="AB198" s="5" t="str">
        <f ca="1">IFERROR(_xll.qlRateHelperPillarDate(W198,Trigger),"")</f>
        <v/>
      </c>
      <c r="AC198" s="887" t="e">
        <f ca="1"/>
        <v>#NAME?</v>
      </c>
    </row>
    <row r="199" spans="1:29" x14ac:dyDescent="0.2">
      <c r="A199" s="874" t="s">
        <v>410</v>
      </c>
      <c r="B199" s="876" t="s">
        <v>26</v>
      </c>
      <c r="C199" s="875" t="s">
        <v>49</v>
      </c>
      <c r="D199" s="875" t="s">
        <v>323</v>
      </c>
      <c r="E199" s="875" t="s">
        <v>322</v>
      </c>
      <c r="F199" s="875" t="s">
        <v>221</v>
      </c>
      <c r="G199" s="875" t="str">
        <f t="shared" si="25"/>
        <v>Euribor6M</v>
      </c>
      <c r="H199" s="874" t="str">
        <f t="shared" si="26"/>
        <v>EUR7F30Y_Quote</v>
      </c>
      <c r="I199" s="877">
        <v>0</v>
      </c>
      <c r="J199" s="43"/>
      <c r="L199" s="895" t="str">
        <f t="shared" si="28"/>
        <v>FwdSw</v>
      </c>
      <c r="M199" s="891" t="str">
        <f t="shared" si="29"/>
        <v>--</v>
      </c>
      <c r="N199" s="894" t="str">
        <f ca="1">IFERROR(_xll.qlRateHelperQuoteName(M199,Trigger),"--")</f>
        <v>--</v>
      </c>
      <c r="O199" s="893" t="str">
        <f ca="1">IFERROR(_xll.qlRateHelperQuoteValue($M199,Trigger),"--")</f>
        <v>--</v>
      </c>
      <c r="P199" s="970" t="b">
        <v>0</v>
      </c>
      <c r="Q199" s="891">
        <v>50</v>
      </c>
      <c r="R199" s="891">
        <v>1</v>
      </c>
      <c r="S199" s="890" t="str">
        <f ca="1">IFERROR(_xll.qlRateHelperEarliestDate(M199,Trigger),"--")</f>
        <v>--</v>
      </c>
      <c r="T199" s="890" t="str">
        <f ca="1">IFERROR(_xll.qlRateHelperPillarDate(M199,Trigger),"--")</f>
        <v>--</v>
      </c>
      <c r="V199" s="4" t="str">
        <f t="shared" ca="1" si="27"/>
        <v/>
      </c>
      <c r="W199" s="4" t="e">
        <f ca="1"/>
        <v>#NAME?</v>
      </c>
      <c r="X199" s="4" t="str">
        <f ca="1">IFERROR(_xll.qlRateHelperQuoteName(W199,Trigger),"")</f>
        <v/>
      </c>
      <c r="Y199" s="889" t="str">
        <f ca="1">IFERROR(_xll.qlRateHelperRate(W199,Trigger),"")</f>
        <v/>
      </c>
      <c r="Z199" s="888" t="str">
        <f ca="1">IF(ISERROR(_xll.qlSwapRateHelperSpread($W199)),IF(ISERROR(_xll.qlFuturesRateHelperConvexityAdjustment($W199)),"",_xll.qlFuturesRateHelperConvexityAdjustment($W199)),_xll.qlSwapRateHelperSpread($W199))</f>
        <v/>
      </c>
      <c r="AA199" s="5" t="str">
        <f ca="1">IFERROR(_xll.qlRateHelperEarliestDate(W199,Trigger),"")</f>
        <v/>
      </c>
      <c r="AB199" s="5" t="str">
        <f ca="1">IFERROR(_xll.qlRateHelperPillarDate(W199,Trigger),"")</f>
        <v/>
      </c>
      <c r="AC199" s="887" t="e">
        <f ca="1"/>
        <v>#NAME?</v>
      </c>
    </row>
    <row r="200" spans="1:29" x14ac:dyDescent="0.2">
      <c r="A200" s="897" t="s">
        <v>410</v>
      </c>
      <c r="B200" s="899" t="s">
        <v>58</v>
      </c>
      <c r="C200" s="898" t="s">
        <v>48</v>
      </c>
      <c r="D200" s="898" t="s">
        <v>323</v>
      </c>
      <c r="E200" s="898" t="s">
        <v>322</v>
      </c>
      <c r="F200" s="898" t="s">
        <v>221</v>
      </c>
      <c r="G200" s="898" t="str">
        <f t="shared" si="25"/>
        <v>Euribor6M</v>
      </c>
      <c r="H200" s="897" t="str">
        <f t="shared" si="26"/>
        <v>EUR8F1Y_Quote</v>
      </c>
      <c r="I200" s="896">
        <v>0</v>
      </c>
      <c r="J200" s="47"/>
      <c r="L200" s="895" t="str">
        <f t="shared" si="28"/>
        <v>FwdSw</v>
      </c>
      <c r="M200" s="891" t="str">
        <f t="shared" si="29"/>
        <v>--</v>
      </c>
      <c r="N200" s="894" t="str">
        <f ca="1">IFERROR(_xll.qlRateHelperQuoteName(M200,Trigger),"--")</f>
        <v>--</v>
      </c>
      <c r="O200" s="893" t="str">
        <f ca="1">IFERROR(_xll.qlRateHelperQuoteValue($M200,Trigger),"--")</f>
        <v>--</v>
      </c>
      <c r="P200" s="970" t="b">
        <v>0</v>
      </c>
      <c r="Q200" s="891">
        <v>50</v>
      </c>
      <c r="R200" s="891">
        <v>1</v>
      </c>
      <c r="S200" s="890" t="str">
        <f ca="1">IFERROR(_xll.qlRateHelperEarliestDate(M200,Trigger),"--")</f>
        <v>--</v>
      </c>
      <c r="T200" s="890" t="str">
        <f ca="1">IFERROR(_xll.qlRateHelperPillarDate(M200,Trigger),"--")</f>
        <v>--</v>
      </c>
      <c r="V200" s="4" t="str">
        <f t="shared" ca="1" si="27"/>
        <v/>
      </c>
      <c r="W200" s="4" t="e">
        <f ca="1"/>
        <v>#NAME?</v>
      </c>
      <c r="X200" s="4" t="str">
        <f ca="1">IFERROR(_xll.qlRateHelperQuoteName(W200,Trigger),"")</f>
        <v/>
      </c>
      <c r="Y200" s="889" t="str">
        <f ca="1">IFERROR(_xll.qlRateHelperRate(W200,Trigger),"")</f>
        <v/>
      </c>
      <c r="Z200" s="888" t="str">
        <f ca="1">IF(ISERROR(_xll.qlSwapRateHelperSpread($W200)),IF(ISERROR(_xll.qlFuturesRateHelperConvexityAdjustment($W200)),"",_xll.qlFuturesRateHelperConvexityAdjustment($W200)),_xll.qlSwapRateHelperSpread($W200))</f>
        <v/>
      </c>
      <c r="AA200" s="5" t="str">
        <f ca="1">IFERROR(_xll.qlRateHelperEarliestDate(W200,Trigger),"")</f>
        <v/>
      </c>
      <c r="AB200" s="5" t="str">
        <f ca="1">IFERROR(_xll.qlRateHelperPillarDate(W200,Trigger),"")</f>
        <v/>
      </c>
      <c r="AC200" s="887" t="e">
        <f ca="1"/>
        <v>#NAME?</v>
      </c>
    </row>
    <row r="201" spans="1:29" x14ac:dyDescent="0.2">
      <c r="A201" s="874" t="s">
        <v>410</v>
      </c>
      <c r="B201" s="876" t="s">
        <v>54</v>
      </c>
      <c r="C201" s="875" t="s">
        <v>48</v>
      </c>
      <c r="D201" s="875" t="s">
        <v>323</v>
      </c>
      <c r="E201" s="875" t="s">
        <v>322</v>
      </c>
      <c r="F201" s="875" t="s">
        <v>221</v>
      </c>
      <c r="G201" s="875" t="str">
        <f t="shared" si="25"/>
        <v>Euribor6M</v>
      </c>
      <c r="H201" s="874" t="str">
        <f t="shared" si="26"/>
        <v>EUR8F2Y_Quote</v>
      </c>
      <c r="I201" s="877">
        <v>0</v>
      </c>
      <c r="J201" s="43"/>
      <c r="L201" s="895" t="str">
        <f t="shared" si="28"/>
        <v>FwdSw</v>
      </c>
      <c r="M201" s="891" t="str">
        <f t="shared" si="29"/>
        <v>--</v>
      </c>
      <c r="N201" s="894" t="str">
        <f ca="1">IFERROR(_xll.qlRateHelperQuoteName(M201,Trigger),"--")</f>
        <v>--</v>
      </c>
      <c r="O201" s="893" t="str">
        <f ca="1">IFERROR(_xll.qlRateHelperQuoteValue($M201,Trigger),"--")</f>
        <v>--</v>
      </c>
      <c r="P201" s="970" t="b">
        <v>0</v>
      </c>
      <c r="Q201" s="891">
        <v>50</v>
      </c>
      <c r="R201" s="891">
        <v>1</v>
      </c>
      <c r="S201" s="890" t="str">
        <f ca="1">IFERROR(_xll.qlRateHelperEarliestDate(M201,Trigger),"--")</f>
        <v>--</v>
      </c>
      <c r="T201" s="890" t="str">
        <f ca="1">IFERROR(_xll.qlRateHelperPillarDate(M201,Trigger),"--")</f>
        <v>--</v>
      </c>
      <c r="V201" s="4" t="str">
        <f t="shared" ca="1" si="27"/>
        <v/>
      </c>
      <c r="W201" s="4" t="e">
        <f ca="1"/>
        <v>#NAME?</v>
      </c>
      <c r="X201" s="4" t="str">
        <f ca="1">IFERROR(_xll.qlRateHelperQuoteName(W201,Trigger),"")</f>
        <v/>
      </c>
      <c r="Y201" s="889" t="str">
        <f ca="1">IFERROR(_xll.qlRateHelperRate(W201,Trigger),"")</f>
        <v/>
      </c>
      <c r="Z201" s="888" t="str">
        <f ca="1">IF(ISERROR(_xll.qlSwapRateHelperSpread($W201)),IF(ISERROR(_xll.qlFuturesRateHelperConvexityAdjustment($W201)),"",_xll.qlFuturesRateHelperConvexityAdjustment($W201)),_xll.qlSwapRateHelperSpread($W201))</f>
        <v/>
      </c>
      <c r="AA201" s="5" t="str">
        <f ca="1">IFERROR(_xll.qlRateHelperEarliestDate(W201,Trigger),"")</f>
        <v/>
      </c>
      <c r="AB201" s="5" t="str">
        <f ca="1">IFERROR(_xll.qlRateHelperPillarDate(W201,Trigger),"")</f>
        <v/>
      </c>
      <c r="AC201" s="887" t="e">
        <f ca="1"/>
        <v>#NAME?</v>
      </c>
    </row>
    <row r="202" spans="1:29" x14ac:dyDescent="0.2">
      <c r="A202" s="874" t="s">
        <v>410</v>
      </c>
      <c r="B202" s="876" t="s">
        <v>53</v>
      </c>
      <c r="C202" s="875" t="s">
        <v>48</v>
      </c>
      <c r="D202" s="875" t="s">
        <v>323</v>
      </c>
      <c r="E202" s="875" t="s">
        <v>322</v>
      </c>
      <c r="F202" s="875" t="s">
        <v>221</v>
      </c>
      <c r="G202" s="875" t="str">
        <f t="shared" ref="G202:G265" si="30">PROPER(Currency)&amp;FamilyName&amp;Tenor</f>
        <v>Euribor6M</v>
      </c>
      <c r="H202" s="874" t="str">
        <f t="shared" ref="H202:H265" si="31">Currency&amp;SUBSTITUTE(C202,"Y","F")&amp;B202&amp;QuoteSuffix</f>
        <v>EUR8F3Y_Quote</v>
      </c>
      <c r="I202" s="877">
        <v>0</v>
      </c>
      <c r="J202" s="43"/>
      <c r="L202" s="895" t="str">
        <f t="shared" si="28"/>
        <v>FwdSw</v>
      </c>
      <c r="M202" s="891" t="str">
        <f t="shared" si="29"/>
        <v>--</v>
      </c>
      <c r="N202" s="894" t="str">
        <f ca="1">IFERROR(_xll.qlRateHelperQuoteName(M202,Trigger),"--")</f>
        <v>--</v>
      </c>
      <c r="O202" s="893" t="str">
        <f ca="1">IFERROR(_xll.qlRateHelperQuoteValue($M202,Trigger),"--")</f>
        <v>--</v>
      </c>
      <c r="P202" s="970" t="b">
        <v>0</v>
      </c>
      <c r="Q202" s="891">
        <v>50</v>
      </c>
      <c r="R202" s="891">
        <v>1</v>
      </c>
      <c r="S202" s="890" t="str">
        <f ca="1">IFERROR(_xll.qlRateHelperEarliestDate(M202,Trigger),"--")</f>
        <v>--</v>
      </c>
      <c r="T202" s="890" t="str">
        <f ca="1">IFERROR(_xll.qlRateHelperPillarDate(M202,Trigger),"--")</f>
        <v>--</v>
      </c>
      <c r="V202" s="4" t="str">
        <f t="shared" ca="1" si="27"/>
        <v/>
      </c>
      <c r="W202" s="4" t="e">
        <f ca="1"/>
        <v>#NAME?</v>
      </c>
      <c r="X202" s="4" t="str">
        <f ca="1">IFERROR(_xll.qlRateHelperQuoteName(W202,Trigger),"")</f>
        <v/>
      </c>
      <c r="Y202" s="889" t="str">
        <f ca="1">IFERROR(_xll.qlRateHelperRate(W202,Trigger),"")</f>
        <v/>
      </c>
      <c r="Z202" s="888" t="str">
        <f ca="1">IF(ISERROR(_xll.qlSwapRateHelperSpread($W202)),IF(ISERROR(_xll.qlFuturesRateHelperConvexityAdjustment($W202)),"",_xll.qlFuturesRateHelperConvexityAdjustment($W202)),_xll.qlSwapRateHelperSpread($W202))</f>
        <v/>
      </c>
      <c r="AA202" s="5" t="str">
        <f ca="1">IFERROR(_xll.qlRateHelperEarliestDate(W202,Trigger),"")</f>
        <v/>
      </c>
      <c r="AB202" s="5" t="str">
        <f ca="1">IFERROR(_xll.qlRateHelperPillarDate(W202,Trigger),"")</f>
        <v/>
      </c>
      <c r="AC202" s="887" t="e">
        <f ca="1"/>
        <v>#NAME?</v>
      </c>
    </row>
    <row r="203" spans="1:29" x14ac:dyDescent="0.2">
      <c r="A203" s="874" t="s">
        <v>410</v>
      </c>
      <c r="B203" s="876" t="s">
        <v>52</v>
      </c>
      <c r="C203" s="875" t="s">
        <v>48</v>
      </c>
      <c r="D203" s="875" t="s">
        <v>323</v>
      </c>
      <c r="E203" s="875" t="s">
        <v>322</v>
      </c>
      <c r="F203" s="875" t="s">
        <v>221</v>
      </c>
      <c r="G203" s="875" t="str">
        <f t="shared" si="30"/>
        <v>Euribor6M</v>
      </c>
      <c r="H203" s="874" t="str">
        <f t="shared" si="31"/>
        <v>EUR8F4Y_Quote</v>
      </c>
      <c r="I203" s="877">
        <v>0</v>
      </c>
      <c r="J203" s="43"/>
      <c r="L203" s="895" t="str">
        <f t="shared" si="28"/>
        <v>FwdSw</v>
      </c>
      <c r="M203" s="891" t="str">
        <f t="shared" si="29"/>
        <v>--</v>
      </c>
      <c r="N203" s="894" t="str">
        <f ca="1">IFERROR(_xll.qlRateHelperQuoteName(M203,Trigger),"--")</f>
        <v>--</v>
      </c>
      <c r="O203" s="893" t="str">
        <f ca="1">IFERROR(_xll.qlRateHelperQuoteValue($M203,Trigger),"--")</f>
        <v>--</v>
      </c>
      <c r="P203" s="970" t="b">
        <v>0</v>
      </c>
      <c r="Q203" s="891">
        <v>50</v>
      </c>
      <c r="R203" s="891">
        <v>1</v>
      </c>
      <c r="S203" s="890" t="str">
        <f ca="1">IFERROR(_xll.qlRateHelperEarliestDate(M203,Trigger),"--")</f>
        <v>--</v>
      </c>
      <c r="T203" s="890" t="str">
        <f ca="1">IFERROR(_xll.qlRateHelperPillarDate(M203,Trigger),"--")</f>
        <v>--</v>
      </c>
      <c r="V203" s="4" t="str">
        <f t="shared" ca="1" si="27"/>
        <v/>
      </c>
      <c r="W203" s="4" t="e">
        <f ca="1"/>
        <v>#NAME?</v>
      </c>
      <c r="X203" s="4" t="str">
        <f ca="1">IFERROR(_xll.qlRateHelperQuoteName(W203,Trigger),"")</f>
        <v/>
      </c>
      <c r="Y203" s="889" t="str">
        <f ca="1">IFERROR(_xll.qlRateHelperRate(W203,Trigger),"")</f>
        <v/>
      </c>
      <c r="Z203" s="888" t="str">
        <f ca="1">IF(ISERROR(_xll.qlSwapRateHelperSpread($W203)),IF(ISERROR(_xll.qlFuturesRateHelperConvexityAdjustment($W203)),"",_xll.qlFuturesRateHelperConvexityAdjustment($W203)),_xll.qlSwapRateHelperSpread($W203))</f>
        <v/>
      </c>
      <c r="AA203" s="5" t="str">
        <f ca="1">IFERROR(_xll.qlRateHelperEarliestDate(W203,Trigger),"")</f>
        <v/>
      </c>
      <c r="AB203" s="5" t="str">
        <f ca="1">IFERROR(_xll.qlRateHelperPillarDate(W203,Trigger),"")</f>
        <v/>
      </c>
      <c r="AC203" s="887" t="e">
        <f ca="1"/>
        <v>#NAME?</v>
      </c>
    </row>
    <row r="204" spans="1:29" x14ac:dyDescent="0.2">
      <c r="A204" s="874" t="s">
        <v>410</v>
      </c>
      <c r="B204" s="876" t="s">
        <v>51</v>
      </c>
      <c r="C204" s="875" t="s">
        <v>48</v>
      </c>
      <c r="D204" s="875" t="s">
        <v>323</v>
      </c>
      <c r="E204" s="875" t="s">
        <v>322</v>
      </c>
      <c r="F204" s="875" t="s">
        <v>221</v>
      </c>
      <c r="G204" s="875" t="str">
        <f t="shared" si="30"/>
        <v>Euribor6M</v>
      </c>
      <c r="H204" s="874" t="str">
        <f t="shared" si="31"/>
        <v>EUR8F5Y_Quote</v>
      </c>
      <c r="I204" s="877">
        <v>0</v>
      </c>
      <c r="J204" s="43"/>
      <c r="L204" s="895" t="str">
        <f t="shared" si="28"/>
        <v>FwdSw</v>
      </c>
      <c r="M204" s="891" t="str">
        <f t="shared" si="29"/>
        <v>--</v>
      </c>
      <c r="N204" s="894" t="str">
        <f ca="1">IFERROR(_xll.qlRateHelperQuoteName(M204,Trigger),"--")</f>
        <v>--</v>
      </c>
      <c r="O204" s="893" t="str">
        <f ca="1">IFERROR(_xll.qlRateHelperQuoteValue($M204,Trigger),"--")</f>
        <v>--</v>
      </c>
      <c r="P204" s="970" t="b">
        <v>0</v>
      </c>
      <c r="Q204" s="891">
        <v>50</v>
      </c>
      <c r="R204" s="891">
        <v>1</v>
      </c>
      <c r="S204" s="890" t="str">
        <f ca="1">IFERROR(_xll.qlRateHelperEarliestDate(M204,Trigger),"--")</f>
        <v>--</v>
      </c>
      <c r="T204" s="890" t="str">
        <f ca="1">IFERROR(_xll.qlRateHelperPillarDate(M204,Trigger),"--")</f>
        <v>--</v>
      </c>
      <c r="V204" s="4" t="str">
        <f t="shared" ca="1" si="27"/>
        <v/>
      </c>
      <c r="W204" s="4" t="e">
        <f ca="1"/>
        <v>#NAME?</v>
      </c>
      <c r="X204" s="4" t="str">
        <f ca="1">IFERROR(_xll.qlRateHelperQuoteName(W204,Trigger),"")</f>
        <v/>
      </c>
      <c r="Y204" s="889" t="str">
        <f ca="1">IFERROR(_xll.qlRateHelperRate(W204,Trigger),"")</f>
        <v/>
      </c>
      <c r="Z204" s="888" t="str">
        <f ca="1">IF(ISERROR(_xll.qlSwapRateHelperSpread($W204)),IF(ISERROR(_xll.qlFuturesRateHelperConvexityAdjustment($W204)),"",_xll.qlFuturesRateHelperConvexityAdjustment($W204)),_xll.qlSwapRateHelperSpread($W204))</f>
        <v/>
      </c>
      <c r="AA204" s="5" t="str">
        <f ca="1">IFERROR(_xll.qlRateHelperEarliestDate(W204,Trigger),"")</f>
        <v/>
      </c>
      <c r="AB204" s="5" t="str">
        <f ca="1">IFERROR(_xll.qlRateHelperPillarDate(W204,Trigger),"")</f>
        <v/>
      </c>
      <c r="AC204" s="887" t="e">
        <f ca="1"/>
        <v>#NAME?</v>
      </c>
    </row>
    <row r="205" spans="1:29" x14ac:dyDescent="0.2">
      <c r="A205" s="874" t="s">
        <v>410</v>
      </c>
      <c r="B205" s="876" t="s">
        <v>50</v>
      </c>
      <c r="C205" s="875" t="s">
        <v>48</v>
      </c>
      <c r="D205" s="875" t="s">
        <v>323</v>
      </c>
      <c r="E205" s="875" t="s">
        <v>322</v>
      </c>
      <c r="F205" s="875" t="s">
        <v>221</v>
      </c>
      <c r="G205" s="875" t="str">
        <f t="shared" si="30"/>
        <v>Euribor6M</v>
      </c>
      <c r="H205" s="874" t="str">
        <f t="shared" si="31"/>
        <v>EUR8F6Y_Quote</v>
      </c>
      <c r="I205" s="877">
        <v>0</v>
      </c>
      <c r="J205" s="43"/>
      <c r="L205" s="895" t="str">
        <f t="shared" si="28"/>
        <v>FwdSw</v>
      </c>
      <c r="M205" s="891" t="str">
        <f t="shared" si="29"/>
        <v>--</v>
      </c>
      <c r="N205" s="894" t="str">
        <f ca="1">IFERROR(_xll.qlRateHelperQuoteName(M205,Trigger),"--")</f>
        <v>--</v>
      </c>
      <c r="O205" s="893" t="str">
        <f ca="1">IFERROR(_xll.qlRateHelperQuoteValue($M205,Trigger),"--")</f>
        <v>--</v>
      </c>
      <c r="P205" s="970" t="b">
        <v>0</v>
      </c>
      <c r="Q205" s="891">
        <v>50</v>
      </c>
      <c r="R205" s="891">
        <v>1</v>
      </c>
      <c r="S205" s="890" t="str">
        <f ca="1">IFERROR(_xll.qlRateHelperEarliestDate(M205,Trigger),"--")</f>
        <v>--</v>
      </c>
      <c r="T205" s="890" t="str">
        <f ca="1">IFERROR(_xll.qlRateHelperPillarDate(M205,Trigger),"--")</f>
        <v>--</v>
      </c>
      <c r="V205" s="4" t="str">
        <f t="shared" ca="1" si="27"/>
        <v/>
      </c>
      <c r="W205" s="4" t="e">
        <f ca="1"/>
        <v>#NAME?</v>
      </c>
      <c r="X205" s="4" t="str">
        <f ca="1">IFERROR(_xll.qlRateHelperQuoteName(W205,Trigger),"")</f>
        <v/>
      </c>
      <c r="Y205" s="889" t="str">
        <f ca="1">IFERROR(_xll.qlRateHelperRate(W205,Trigger),"")</f>
        <v/>
      </c>
      <c r="Z205" s="888" t="str">
        <f ca="1">IF(ISERROR(_xll.qlSwapRateHelperSpread($W205)),IF(ISERROR(_xll.qlFuturesRateHelperConvexityAdjustment($W205)),"",_xll.qlFuturesRateHelperConvexityAdjustment($W205)),_xll.qlSwapRateHelperSpread($W205))</f>
        <v/>
      </c>
      <c r="AA205" s="5" t="str">
        <f ca="1">IFERROR(_xll.qlRateHelperEarliestDate(W205,Trigger),"")</f>
        <v/>
      </c>
      <c r="AB205" s="5" t="str">
        <f ca="1">IFERROR(_xll.qlRateHelperPillarDate(W205,Trigger),"")</f>
        <v/>
      </c>
      <c r="AC205" s="887" t="e">
        <f ca="1"/>
        <v>#NAME?</v>
      </c>
    </row>
    <row r="206" spans="1:29" x14ac:dyDescent="0.2">
      <c r="A206" s="874" t="s">
        <v>410</v>
      </c>
      <c r="B206" s="876" t="s">
        <v>49</v>
      </c>
      <c r="C206" s="875" t="s">
        <v>48</v>
      </c>
      <c r="D206" s="875" t="s">
        <v>323</v>
      </c>
      <c r="E206" s="875" t="s">
        <v>322</v>
      </c>
      <c r="F206" s="875" t="s">
        <v>221</v>
      </c>
      <c r="G206" s="875" t="str">
        <f t="shared" si="30"/>
        <v>Euribor6M</v>
      </c>
      <c r="H206" s="874" t="str">
        <f t="shared" si="31"/>
        <v>EUR8F7Y_Quote</v>
      </c>
      <c r="I206" s="877">
        <v>0</v>
      </c>
      <c r="J206" s="43"/>
      <c r="L206" s="895" t="str">
        <f t="shared" si="28"/>
        <v>FwdSw</v>
      </c>
      <c r="M206" s="891" t="str">
        <f t="shared" si="29"/>
        <v>--</v>
      </c>
      <c r="N206" s="894" t="str">
        <f ca="1">IFERROR(_xll.qlRateHelperQuoteName(M206,Trigger),"--")</f>
        <v>--</v>
      </c>
      <c r="O206" s="893" t="str">
        <f ca="1">IFERROR(_xll.qlRateHelperQuoteValue($M206,Trigger),"--")</f>
        <v>--</v>
      </c>
      <c r="P206" s="970" t="b">
        <v>0</v>
      </c>
      <c r="Q206" s="891">
        <v>50</v>
      </c>
      <c r="R206" s="891">
        <v>1</v>
      </c>
      <c r="S206" s="890" t="str">
        <f ca="1">IFERROR(_xll.qlRateHelperEarliestDate(M206,Trigger),"--")</f>
        <v>--</v>
      </c>
      <c r="T206" s="890" t="str">
        <f ca="1">IFERROR(_xll.qlRateHelperPillarDate(M206,Trigger),"--")</f>
        <v>--</v>
      </c>
      <c r="V206" s="4" t="str">
        <f t="shared" ca="1" si="27"/>
        <v/>
      </c>
      <c r="W206" s="4" t="e">
        <f ca="1"/>
        <v>#NAME?</v>
      </c>
      <c r="X206" s="4" t="str">
        <f ca="1">IFERROR(_xll.qlRateHelperQuoteName(W206,Trigger),"")</f>
        <v/>
      </c>
      <c r="Y206" s="889" t="str">
        <f ca="1">IFERROR(_xll.qlRateHelperRate(W206,Trigger),"")</f>
        <v/>
      </c>
      <c r="Z206" s="888" t="str">
        <f ca="1">IF(ISERROR(_xll.qlSwapRateHelperSpread($W206)),IF(ISERROR(_xll.qlFuturesRateHelperConvexityAdjustment($W206)),"",_xll.qlFuturesRateHelperConvexityAdjustment($W206)),_xll.qlSwapRateHelperSpread($W206))</f>
        <v/>
      </c>
      <c r="AA206" s="5" t="str">
        <f ca="1">IFERROR(_xll.qlRateHelperEarliestDate(W206,Trigger),"")</f>
        <v/>
      </c>
      <c r="AB206" s="5" t="str">
        <f ca="1">IFERROR(_xll.qlRateHelperPillarDate(W206,Trigger),"")</f>
        <v/>
      </c>
      <c r="AC206" s="887" t="e">
        <f ca="1"/>
        <v>#NAME?</v>
      </c>
    </row>
    <row r="207" spans="1:29" x14ac:dyDescent="0.2">
      <c r="A207" s="874" t="s">
        <v>410</v>
      </c>
      <c r="B207" s="876" t="s">
        <v>48</v>
      </c>
      <c r="C207" s="875" t="s">
        <v>48</v>
      </c>
      <c r="D207" s="875" t="s">
        <v>323</v>
      </c>
      <c r="E207" s="875" t="s">
        <v>322</v>
      </c>
      <c r="F207" s="875" t="s">
        <v>221</v>
      </c>
      <c r="G207" s="875" t="str">
        <f t="shared" si="30"/>
        <v>Euribor6M</v>
      </c>
      <c r="H207" s="874" t="str">
        <f t="shared" si="31"/>
        <v>EUR8F8Y_Quote</v>
      </c>
      <c r="I207" s="877">
        <v>0</v>
      </c>
      <c r="J207" s="43"/>
      <c r="L207" s="895" t="str">
        <f t="shared" si="28"/>
        <v>FwdSw</v>
      </c>
      <c r="M207" s="891" t="str">
        <f t="shared" si="29"/>
        <v>--</v>
      </c>
      <c r="N207" s="894" t="str">
        <f ca="1">IFERROR(_xll.qlRateHelperQuoteName(M207,Trigger),"--")</f>
        <v>--</v>
      </c>
      <c r="O207" s="893" t="str">
        <f ca="1">IFERROR(_xll.qlRateHelperQuoteValue($M207,Trigger),"--")</f>
        <v>--</v>
      </c>
      <c r="P207" s="970" t="b">
        <v>0</v>
      </c>
      <c r="Q207" s="891">
        <v>50</v>
      </c>
      <c r="R207" s="891">
        <v>1</v>
      </c>
      <c r="S207" s="890" t="str">
        <f ca="1">IFERROR(_xll.qlRateHelperEarliestDate(M207,Trigger),"--")</f>
        <v>--</v>
      </c>
      <c r="T207" s="890" t="str">
        <f ca="1">IFERROR(_xll.qlRateHelperPillarDate(M207,Trigger),"--")</f>
        <v>--</v>
      </c>
      <c r="V207" s="4" t="str">
        <f t="shared" ca="1" si="27"/>
        <v/>
      </c>
      <c r="W207" s="4" t="e">
        <f ca="1"/>
        <v>#NAME?</v>
      </c>
      <c r="X207" s="4" t="str">
        <f ca="1">IFERROR(_xll.qlRateHelperQuoteName(W207,Trigger),"")</f>
        <v/>
      </c>
      <c r="Y207" s="889" t="str">
        <f ca="1">IFERROR(_xll.qlRateHelperRate(W207,Trigger),"")</f>
        <v/>
      </c>
      <c r="Z207" s="888" t="str">
        <f ca="1">IF(ISERROR(_xll.qlSwapRateHelperSpread($W207)),IF(ISERROR(_xll.qlFuturesRateHelperConvexityAdjustment($W207)),"",_xll.qlFuturesRateHelperConvexityAdjustment($W207)),_xll.qlSwapRateHelperSpread($W207))</f>
        <v/>
      </c>
      <c r="AA207" s="5" t="str">
        <f ca="1">IFERROR(_xll.qlRateHelperEarliestDate(W207,Trigger),"")</f>
        <v/>
      </c>
      <c r="AB207" s="5" t="str">
        <f ca="1">IFERROR(_xll.qlRateHelperPillarDate(W207,Trigger),"")</f>
        <v/>
      </c>
      <c r="AC207" s="887" t="e">
        <f ca="1"/>
        <v>#NAME?</v>
      </c>
    </row>
    <row r="208" spans="1:29" x14ac:dyDescent="0.2">
      <c r="A208" s="874" t="s">
        <v>410</v>
      </c>
      <c r="B208" s="876" t="s">
        <v>47</v>
      </c>
      <c r="C208" s="875" t="s">
        <v>48</v>
      </c>
      <c r="D208" s="875" t="s">
        <v>323</v>
      </c>
      <c r="E208" s="875" t="s">
        <v>322</v>
      </c>
      <c r="F208" s="875" t="s">
        <v>221</v>
      </c>
      <c r="G208" s="875" t="str">
        <f t="shared" si="30"/>
        <v>Euribor6M</v>
      </c>
      <c r="H208" s="874" t="str">
        <f t="shared" si="31"/>
        <v>EUR8F9Y_Quote</v>
      </c>
      <c r="I208" s="877">
        <v>0</v>
      </c>
      <c r="J208" s="43"/>
      <c r="L208" s="895" t="str">
        <f t="shared" si="28"/>
        <v>FwdSw</v>
      </c>
      <c r="M208" s="891" t="str">
        <f t="shared" si="29"/>
        <v>--</v>
      </c>
      <c r="N208" s="894" t="str">
        <f ca="1">IFERROR(_xll.qlRateHelperQuoteName(M208,Trigger),"--")</f>
        <v>--</v>
      </c>
      <c r="O208" s="893" t="str">
        <f ca="1">IFERROR(_xll.qlRateHelperQuoteValue($M208,Trigger),"--")</f>
        <v>--</v>
      </c>
      <c r="P208" s="970" t="b">
        <v>0</v>
      </c>
      <c r="Q208" s="891">
        <v>50</v>
      </c>
      <c r="R208" s="891">
        <v>1</v>
      </c>
      <c r="S208" s="890" t="str">
        <f ca="1">IFERROR(_xll.qlRateHelperEarliestDate(M208,Trigger),"--")</f>
        <v>--</v>
      </c>
      <c r="T208" s="890" t="str">
        <f ca="1">IFERROR(_xll.qlRateHelperPillarDate(M208,Trigger),"--")</f>
        <v>--</v>
      </c>
      <c r="V208" s="4" t="str">
        <f t="shared" ca="1" si="27"/>
        <v/>
      </c>
      <c r="W208" s="4" t="e">
        <f ca="1"/>
        <v>#NAME?</v>
      </c>
      <c r="X208" s="4" t="str">
        <f ca="1">IFERROR(_xll.qlRateHelperQuoteName(W208,Trigger),"")</f>
        <v/>
      </c>
      <c r="Y208" s="889" t="str">
        <f ca="1">IFERROR(_xll.qlRateHelperRate(W208,Trigger),"")</f>
        <v/>
      </c>
      <c r="Z208" s="888" t="str">
        <f ca="1">IF(ISERROR(_xll.qlSwapRateHelperSpread($W208)),IF(ISERROR(_xll.qlFuturesRateHelperConvexityAdjustment($W208)),"",_xll.qlFuturesRateHelperConvexityAdjustment($W208)),_xll.qlSwapRateHelperSpread($W208))</f>
        <v/>
      </c>
      <c r="AA208" s="5" t="str">
        <f ca="1">IFERROR(_xll.qlRateHelperEarliestDate(W208,Trigger),"")</f>
        <v/>
      </c>
      <c r="AB208" s="5" t="str">
        <f ca="1">IFERROR(_xll.qlRateHelperPillarDate(W208,Trigger),"")</f>
        <v/>
      </c>
      <c r="AC208" s="887" t="e">
        <f ca="1"/>
        <v>#NAME?</v>
      </c>
    </row>
    <row r="209" spans="1:29" x14ac:dyDescent="0.2">
      <c r="A209" s="874" t="s">
        <v>410</v>
      </c>
      <c r="B209" s="876" t="s">
        <v>46</v>
      </c>
      <c r="C209" s="875" t="s">
        <v>48</v>
      </c>
      <c r="D209" s="875" t="s">
        <v>323</v>
      </c>
      <c r="E209" s="875" t="s">
        <v>322</v>
      </c>
      <c r="F209" s="875" t="s">
        <v>221</v>
      </c>
      <c r="G209" s="875" t="str">
        <f t="shared" si="30"/>
        <v>Euribor6M</v>
      </c>
      <c r="H209" s="874" t="str">
        <f t="shared" si="31"/>
        <v>EUR8F10Y_Quote</v>
      </c>
      <c r="I209" s="877">
        <v>0</v>
      </c>
      <c r="J209" s="43"/>
      <c r="L209" s="895" t="str">
        <f t="shared" si="28"/>
        <v>FwdSw</v>
      </c>
      <c r="M209" s="891" t="str">
        <f t="shared" si="29"/>
        <v>--</v>
      </c>
      <c r="N209" s="894" t="str">
        <f ca="1">IFERROR(_xll.qlRateHelperQuoteName(M209,Trigger),"--")</f>
        <v>--</v>
      </c>
      <c r="O209" s="893" t="str">
        <f ca="1">IFERROR(_xll.qlRateHelperQuoteValue($M209,Trigger),"--")</f>
        <v>--</v>
      </c>
      <c r="P209" s="970" t="b">
        <v>0</v>
      </c>
      <c r="Q209" s="891">
        <v>50</v>
      </c>
      <c r="R209" s="891">
        <v>1</v>
      </c>
      <c r="S209" s="890" t="str">
        <f ca="1">IFERROR(_xll.qlRateHelperEarliestDate(M209,Trigger),"--")</f>
        <v>--</v>
      </c>
      <c r="T209" s="890" t="str">
        <f ca="1">IFERROR(_xll.qlRateHelperPillarDate(M209,Trigger),"--")</f>
        <v>--</v>
      </c>
      <c r="V209" s="4" t="str">
        <f t="shared" ca="1" si="27"/>
        <v/>
      </c>
      <c r="W209" s="4" t="e">
        <f ca="1"/>
        <v>#NAME?</v>
      </c>
      <c r="X209" s="4" t="str">
        <f ca="1">IFERROR(_xll.qlRateHelperQuoteName(W209,Trigger),"")</f>
        <v/>
      </c>
      <c r="Y209" s="889" t="str">
        <f ca="1">IFERROR(_xll.qlRateHelperRate(W209,Trigger),"")</f>
        <v/>
      </c>
      <c r="Z209" s="888" t="str">
        <f ca="1">IF(ISERROR(_xll.qlSwapRateHelperSpread($W209)),IF(ISERROR(_xll.qlFuturesRateHelperConvexityAdjustment($W209)),"",_xll.qlFuturesRateHelperConvexityAdjustment($W209)),_xll.qlSwapRateHelperSpread($W209))</f>
        <v/>
      </c>
      <c r="AA209" s="5" t="str">
        <f ca="1">IFERROR(_xll.qlRateHelperEarliestDate(W209,Trigger),"")</f>
        <v/>
      </c>
      <c r="AB209" s="5" t="str">
        <f ca="1">IFERROR(_xll.qlRateHelperPillarDate(W209,Trigger),"")</f>
        <v/>
      </c>
      <c r="AC209" s="887" t="e">
        <f ca="1"/>
        <v>#NAME?</v>
      </c>
    </row>
    <row r="210" spans="1:29" x14ac:dyDescent="0.2">
      <c r="A210" s="874" t="s">
        <v>410</v>
      </c>
      <c r="B210" s="876" t="s">
        <v>45</v>
      </c>
      <c r="C210" s="875" t="s">
        <v>48</v>
      </c>
      <c r="D210" s="875" t="s">
        <v>323</v>
      </c>
      <c r="E210" s="875" t="s">
        <v>322</v>
      </c>
      <c r="F210" s="875" t="s">
        <v>221</v>
      </c>
      <c r="G210" s="875" t="str">
        <f t="shared" si="30"/>
        <v>Euribor6M</v>
      </c>
      <c r="H210" s="874" t="str">
        <f t="shared" si="31"/>
        <v>EUR8F11Y_Quote</v>
      </c>
      <c r="I210" s="877">
        <v>0</v>
      </c>
      <c r="J210" s="43"/>
      <c r="L210" s="895" t="str">
        <f t="shared" si="28"/>
        <v>FwdSw</v>
      </c>
      <c r="M210" s="891" t="str">
        <f t="shared" si="29"/>
        <v>--</v>
      </c>
      <c r="N210" s="894" t="str">
        <f ca="1">IFERROR(_xll.qlRateHelperQuoteName(M210,Trigger),"--")</f>
        <v>--</v>
      </c>
      <c r="O210" s="893" t="str">
        <f ca="1">IFERROR(_xll.qlRateHelperQuoteValue($M210,Trigger),"--")</f>
        <v>--</v>
      </c>
      <c r="P210" s="970" t="b">
        <v>0</v>
      </c>
      <c r="Q210" s="891">
        <v>50</v>
      </c>
      <c r="R210" s="891">
        <v>1</v>
      </c>
      <c r="S210" s="890" t="str">
        <f ca="1">IFERROR(_xll.qlRateHelperEarliestDate(M210,Trigger),"--")</f>
        <v>--</v>
      </c>
      <c r="T210" s="890" t="str">
        <f ca="1">IFERROR(_xll.qlRateHelperPillarDate(M210,Trigger),"--")</f>
        <v>--</v>
      </c>
      <c r="V210" s="4" t="str">
        <f t="shared" ca="1" si="27"/>
        <v/>
      </c>
      <c r="W210" s="4" t="e">
        <f ca="1"/>
        <v>#NAME?</v>
      </c>
      <c r="X210" s="4" t="str">
        <f ca="1">IFERROR(_xll.qlRateHelperQuoteName(W210,Trigger),"")</f>
        <v/>
      </c>
      <c r="Y210" s="889" t="str">
        <f ca="1">IFERROR(_xll.qlRateHelperRate(W210,Trigger),"")</f>
        <v/>
      </c>
      <c r="Z210" s="888" t="str">
        <f ca="1">IF(ISERROR(_xll.qlSwapRateHelperSpread($W210)),IF(ISERROR(_xll.qlFuturesRateHelperConvexityAdjustment($W210)),"",_xll.qlFuturesRateHelperConvexityAdjustment($W210)),_xll.qlSwapRateHelperSpread($W210))</f>
        <v/>
      </c>
      <c r="AA210" s="5" t="str">
        <f ca="1">IFERROR(_xll.qlRateHelperEarliestDate(W210,Trigger),"")</f>
        <v/>
      </c>
      <c r="AB210" s="5" t="str">
        <f ca="1">IFERROR(_xll.qlRateHelperPillarDate(W210,Trigger),"")</f>
        <v/>
      </c>
      <c r="AC210" s="887" t="e">
        <f ca="1"/>
        <v>#NAME?</v>
      </c>
    </row>
    <row r="211" spans="1:29" x14ac:dyDescent="0.2">
      <c r="A211" s="874" t="s">
        <v>410</v>
      </c>
      <c r="B211" s="876" t="s">
        <v>44</v>
      </c>
      <c r="C211" s="875" t="s">
        <v>48</v>
      </c>
      <c r="D211" s="875" t="s">
        <v>323</v>
      </c>
      <c r="E211" s="875" t="s">
        <v>322</v>
      </c>
      <c r="F211" s="875" t="s">
        <v>221</v>
      </c>
      <c r="G211" s="875" t="str">
        <f t="shared" si="30"/>
        <v>Euribor6M</v>
      </c>
      <c r="H211" s="874" t="str">
        <f t="shared" si="31"/>
        <v>EUR8F12Y_Quote</v>
      </c>
      <c r="I211" s="877">
        <v>0</v>
      </c>
      <c r="J211" s="43"/>
      <c r="L211" s="895" t="str">
        <f t="shared" si="28"/>
        <v>FwdSw</v>
      </c>
      <c r="M211" s="891" t="str">
        <f t="shared" si="29"/>
        <v>--</v>
      </c>
      <c r="N211" s="894" t="str">
        <f ca="1">IFERROR(_xll.qlRateHelperQuoteName(M211,Trigger),"--")</f>
        <v>--</v>
      </c>
      <c r="O211" s="893" t="str">
        <f ca="1">IFERROR(_xll.qlRateHelperQuoteValue($M211,Trigger),"--")</f>
        <v>--</v>
      </c>
      <c r="P211" s="970" t="b">
        <v>0</v>
      </c>
      <c r="Q211" s="891">
        <v>50</v>
      </c>
      <c r="R211" s="891">
        <v>1</v>
      </c>
      <c r="S211" s="890" t="str">
        <f ca="1">IFERROR(_xll.qlRateHelperEarliestDate(M211,Trigger),"--")</f>
        <v>--</v>
      </c>
      <c r="T211" s="890" t="str">
        <f ca="1">IFERROR(_xll.qlRateHelperPillarDate(M211,Trigger),"--")</f>
        <v>--</v>
      </c>
      <c r="V211" s="4" t="str">
        <f t="shared" ca="1" si="27"/>
        <v/>
      </c>
      <c r="W211" s="4" t="e">
        <f ca="1"/>
        <v>#NAME?</v>
      </c>
      <c r="X211" s="4" t="str">
        <f ca="1">IFERROR(_xll.qlRateHelperQuoteName(W211,Trigger),"")</f>
        <v/>
      </c>
      <c r="Y211" s="889" t="str">
        <f ca="1">IFERROR(_xll.qlRateHelperRate(W211,Trigger),"")</f>
        <v/>
      </c>
      <c r="Z211" s="888" t="str">
        <f ca="1">IF(ISERROR(_xll.qlSwapRateHelperSpread($W211)),IF(ISERROR(_xll.qlFuturesRateHelperConvexityAdjustment($W211)),"",_xll.qlFuturesRateHelperConvexityAdjustment($W211)),_xll.qlSwapRateHelperSpread($W211))</f>
        <v/>
      </c>
      <c r="AA211" s="5" t="str">
        <f ca="1">IFERROR(_xll.qlRateHelperEarliestDate(W211,Trigger),"")</f>
        <v/>
      </c>
      <c r="AB211" s="5" t="str">
        <f ca="1">IFERROR(_xll.qlRateHelperPillarDate(W211,Trigger),"")</f>
        <v/>
      </c>
      <c r="AC211" s="887" t="e">
        <f ca="1"/>
        <v>#NAME?</v>
      </c>
    </row>
    <row r="212" spans="1:29" x14ac:dyDescent="0.2">
      <c r="A212" s="874" t="s">
        <v>410</v>
      </c>
      <c r="B212" s="876" t="s">
        <v>43</v>
      </c>
      <c r="C212" s="875" t="s">
        <v>48</v>
      </c>
      <c r="D212" s="875" t="s">
        <v>323</v>
      </c>
      <c r="E212" s="875" t="s">
        <v>322</v>
      </c>
      <c r="F212" s="875" t="s">
        <v>221</v>
      </c>
      <c r="G212" s="875" t="str">
        <f t="shared" si="30"/>
        <v>Euribor6M</v>
      </c>
      <c r="H212" s="874" t="str">
        <f t="shared" si="31"/>
        <v>EUR8F13Y_Quote</v>
      </c>
      <c r="I212" s="877">
        <v>0</v>
      </c>
      <c r="J212" s="43"/>
      <c r="L212" s="895" t="str">
        <f t="shared" si="28"/>
        <v>FwdSw</v>
      </c>
      <c r="M212" s="891" t="str">
        <f t="shared" si="29"/>
        <v>--</v>
      </c>
      <c r="N212" s="894" t="str">
        <f ca="1">IFERROR(_xll.qlRateHelperQuoteName(M212,Trigger),"--")</f>
        <v>--</v>
      </c>
      <c r="O212" s="893" t="str">
        <f ca="1">IFERROR(_xll.qlRateHelperQuoteValue($M212,Trigger),"--")</f>
        <v>--</v>
      </c>
      <c r="P212" s="970" t="b">
        <v>0</v>
      </c>
      <c r="Q212" s="891">
        <v>50</v>
      </c>
      <c r="R212" s="891">
        <v>1</v>
      </c>
      <c r="S212" s="890" t="str">
        <f ca="1">IFERROR(_xll.qlRateHelperEarliestDate(M212,Trigger),"--")</f>
        <v>--</v>
      </c>
      <c r="T212" s="890" t="str">
        <f ca="1">IFERROR(_xll.qlRateHelperPillarDate(M212,Trigger),"--")</f>
        <v>--</v>
      </c>
      <c r="V212" s="4" t="str">
        <f t="shared" ca="1" si="27"/>
        <v/>
      </c>
      <c r="W212" s="4" t="e">
        <f ca="1"/>
        <v>#NAME?</v>
      </c>
      <c r="X212" s="4" t="str">
        <f ca="1">IFERROR(_xll.qlRateHelperQuoteName(W212,Trigger),"")</f>
        <v/>
      </c>
      <c r="Y212" s="889" t="str">
        <f ca="1">IFERROR(_xll.qlRateHelperRate(W212,Trigger),"")</f>
        <v/>
      </c>
      <c r="Z212" s="888" t="str">
        <f ca="1">IF(ISERROR(_xll.qlSwapRateHelperSpread($W212)),IF(ISERROR(_xll.qlFuturesRateHelperConvexityAdjustment($W212)),"",_xll.qlFuturesRateHelperConvexityAdjustment($W212)),_xll.qlSwapRateHelperSpread($W212))</f>
        <v/>
      </c>
      <c r="AA212" s="5" t="str">
        <f ca="1">IFERROR(_xll.qlRateHelperEarliestDate(W212,Trigger),"")</f>
        <v/>
      </c>
      <c r="AB212" s="5" t="str">
        <f ca="1">IFERROR(_xll.qlRateHelperPillarDate(W212,Trigger),"")</f>
        <v/>
      </c>
      <c r="AC212" s="887" t="e">
        <f ca="1"/>
        <v>#NAME?</v>
      </c>
    </row>
    <row r="213" spans="1:29" x14ac:dyDescent="0.2">
      <c r="A213" s="874" t="s">
        <v>410</v>
      </c>
      <c r="B213" s="876" t="s">
        <v>42</v>
      </c>
      <c r="C213" s="875" t="s">
        <v>48</v>
      </c>
      <c r="D213" s="875" t="s">
        <v>323</v>
      </c>
      <c r="E213" s="875" t="s">
        <v>322</v>
      </c>
      <c r="F213" s="875" t="s">
        <v>221</v>
      </c>
      <c r="G213" s="875" t="str">
        <f t="shared" si="30"/>
        <v>Euribor6M</v>
      </c>
      <c r="H213" s="874" t="str">
        <f t="shared" si="31"/>
        <v>EUR8F14Y_Quote</v>
      </c>
      <c r="I213" s="877">
        <v>0</v>
      </c>
      <c r="J213" s="43"/>
      <c r="L213" s="895" t="str">
        <f t="shared" si="28"/>
        <v>FwdSw</v>
      </c>
      <c r="M213" s="891" t="str">
        <f t="shared" si="29"/>
        <v>--</v>
      </c>
      <c r="N213" s="894" t="str">
        <f ca="1">IFERROR(_xll.qlRateHelperQuoteName(M213,Trigger),"--")</f>
        <v>--</v>
      </c>
      <c r="O213" s="893" t="str">
        <f ca="1">IFERROR(_xll.qlRateHelperQuoteValue($M213,Trigger),"--")</f>
        <v>--</v>
      </c>
      <c r="P213" s="970" t="b">
        <v>0</v>
      </c>
      <c r="Q213" s="891">
        <v>50</v>
      </c>
      <c r="R213" s="891">
        <v>1</v>
      </c>
      <c r="S213" s="890" t="str">
        <f ca="1">IFERROR(_xll.qlRateHelperEarliestDate(M213,Trigger),"--")</f>
        <v>--</v>
      </c>
      <c r="T213" s="890" t="str">
        <f ca="1">IFERROR(_xll.qlRateHelperPillarDate(M213,Trigger),"--")</f>
        <v>--</v>
      </c>
      <c r="V213" s="4" t="str">
        <f t="shared" ca="1" si="27"/>
        <v/>
      </c>
      <c r="W213" s="4" t="e">
        <f ca="1"/>
        <v>#NAME?</v>
      </c>
      <c r="X213" s="4" t="str">
        <f ca="1">IFERROR(_xll.qlRateHelperQuoteName(W213,Trigger),"")</f>
        <v/>
      </c>
      <c r="Y213" s="889" t="str">
        <f ca="1">IFERROR(_xll.qlRateHelperRate(W213,Trigger),"")</f>
        <v/>
      </c>
      <c r="Z213" s="888" t="str">
        <f ca="1">IF(ISERROR(_xll.qlSwapRateHelperSpread($W213)),IF(ISERROR(_xll.qlFuturesRateHelperConvexityAdjustment($W213)),"",_xll.qlFuturesRateHelperConvexityAdjustment($W213)),_xll.qlSwapRateHelperSpread($W213))</f>
        <v/>
      </c>
      <c r="AA213" s="5" t="str">
        <f ca="1">IFERROR(_xll.qlRateHelperEarliestDate(W213,Trigger),"")</f>
        <v/>
      </c>
      <c r="AB213" s="5" t="str">
        <f ca="1">IFERROR(_xll.qlRateHelperPillarDate(W213,Trigger),"")</f>
        <v/>
      </c>
      <c r="AC213" s="887" t="e">
        <f ca="1"/>
        <v>#NAME?</v>
      </c>
    </row>
    <row r="214" spans="1:29" x14ac:dyDescent="0.2">
      <c r="A214" s="874" t="s">
        <v>410</v>
      </c>
      <c r="B214" s="876" t="s">
        <v>41</v>
      </c>
      <c r="C214" s="875" t="s">
        <v>48</v>
      </c>
      <c r="D214" s="875" t="s">
        <v>323</v>
      </c>
      <c r="E214" s="875" t="s">
        <v>322</v>
      </c>
      <c r="F214" s="875" t="s">
        <v>221</v>
      </c>
      <c r="G214" s="875" t="str">
        <f t="shared" si="30"/>
        <v>Euribor6M</v>
      </c>
      <c r="H214" s="874" t="str">
        <f t="shared" si="31"/>
        <v>EUR8F15Y_Quote</v>
      </c>
      <c r="I214" s="877">
        <v>0</v>
      </c>
      <c r="J214" s="43"/>
      <c r="L214" s="895" t="str">
        <f t="shared" si="28"/>
        <v>FwdSw</v>
      </c>
      <c r="M214" s="891" t="str">
        <f t="shared" si="29"/>
        <v>--</v>
      </c>
      <c r="N214" s="894" t="str">
        <f ca="1">IFERROR(_xll.qlRateHelperQuoteName(M214,Trigger),"--")</f>
        <v>--</v>
      </c>
      <c r="O214" s="893" t="str">
        <f ca="1">IFERROR(_xll.qlRateHelperQuoteValue($M214,Trigger),"--")</f>
        <v>--</v>
      </c>
      <c r="P214" s="970" t="b">
        <v>0</v>
      </c>
      <c r="Q214" s="891">
        <v>50</v>
      </c>
      <c r="R214" s="891">
        <v>1</v>
      </c>
      <c r="S214" s="890" t="str">
        <f ca="1">IFERROR(_xll.qlRateHelperEarliestDate(M214,Trigger),"--")</f>
        <v>--</v>
      </c>
      <c r="T214" s="890" t="str">
        <f ca="1">IFERROR(_xll.qlRateHelperPillarDate(M214,Trigger),"--")</f>
        <v>--</v>
      </c>
      <c r="V214" s="4" t="str">
        <f t="shared" ca="1" si="27"/>
        <v/>
      </c>
      <c r="W214" s="4" t="e">
        <f ca="1"/>
        <v>#NAME?</v>
      </c>
      <c r="X214" s="4" t="str">
        <f ca="1">IFERROR(_xll.qlRateHelperQuoteName(W214,Trigger),"")</f>
        <v/>
      </c>
      <c r="Y214" s="889" t="str">
        <f ca="1">IFERROR(_xll.qlRateHelperRate(W214,Trigger),"")</f>
        <v/>
      </c>
      <c r="Z214" s="888" t="str">
        <f ca="1">IF(ISERROR(_xll.qlSwapRateHelperSpread($W214)),IF(ISERROR(_xll.qlFuturesRateHelperConvexityAdjustment($W214)),"",_xll.qlFuturesRateHelperConvexityAdjustment($W214)),_xll.qlSwapRateHelperSpread($W214))</f>
        <v/>
      </c>
      <c r="AA214" s="5" t="str">
        <f ca="1">IFERROR(_xll.qlRateHelperEarliestDate(W214,Trigger),"")</f>
        <v/>
      </c>
      <c r="AB214" s="5" t="str">
        <f ca="1">IFERROR(_xll.qlRateHelperPillarDate(W214,Trigger),"")</f>
        <v/>
      </c>
      <c r="AC214" s="887" t="e">
        <f ca="1"/>
        <v>#NAME?</v>
      </c>
    </row>
    <row r="215" spans="1:29" x14ac:dyDescent="0.2">
      <c r="A215" s="874" t="s">
        <v>410</v>
      </c>
      <c r="B215" s="876" t="s">
        <v>36</v>
      </c>
      <c r="C215" s="875" t="s">
        <v>48</v>
      </c>
      <c r="D215" s="875" t="s">
        <v>323</v>
      </c>
      <c r="E215" s="875" t="s">
        <v>322</v>
      </c>
      <c r="F215" s="875" t="s">
        <v>221</v>
      </c>
      <c r="G215" s="875" t="str">
        <f t="shared" si="30"/>
        <v>Euribor6M</v>
      </c>
      <c r="H215" s="874" t="str">
        <f t="shared" si="31"/>
        <v>EUR8F20Y_Quote</v>
      </c>
      <c r="I215" s="877">
        <v>0</v>
      </c>
      <c r="J215" s="43"/>
      <c r="L215" s="895" t="str">
        <f t="shared" si="28"/>
        <v>FwdSw</v>
      </c>
      <c r="M215" s="891" t="str">
        <f t="shared" si="29"/>
        <v>--</v>
      </c>
      <c r="N215" s="894" t="str">
        <f ca="1">IFERROR(_xll.qlRateHelperQuoteName(M215,Trigger),"--")</f>
        <v>--</v>
      </c>
      <c r="O215" s="893" t="str">
        <f ca="1">IFERROR(_xll.qlRateHelperQuoteValue($M215,Trigger),"--")</f>
        <v>--</v>
      </c>
      <c r="P215" s="970" t="b">
        <v>0</v>
      </c>
      <c r="Q215" s="891">
        <v>50</v>
      </c>
      <c r="R215" s="891">
        <v>1</v>
      </c>
      <c r="S215" s="890" t="str">
        <f ca="1">IFERROR(_xll.qlRateHelperEarliestDate(M215,Trigger),"--")</f>
        <v>--</v>
      </c>
      <c r="T215" s="890" t="str">
        <f ca="1">IFERROR(_xll.qlRateHelperPillarDate(M215,Trigger),"--")</f>
        <v>--</v>
      </c>
      <c r="V215" s="4" t="str">
        <f t="shared" ca="1" si="27"/>
        <v/>
      </c>
      <c r="W215" s="4" t="e">
        <f ca="1"/>
        <v>#NAME?</v>
      </c>
      <c r="X215" s="4" t="str">
        <f ca="1">IFERROR(_xll.qlRateHelperQuoteName(W215,Trigger),"")</f>
        <v/>
      </c>
      <c r="Y215" s="889" t="str">
        <f ca="1">IFERROR(_xll.qlRateHelperRate(W215,Trigger),"")</f>
        <v/>
      </c>
      <c r="Z215" s="888" t="str">
        <f ca="1">IF(ISERROR(_xll.qlSwapRateHelperSpread($W215)),IF(ISERROR(_xll.qlFuturesRateHelperConvexityAdjustment($W215)),"",_xll.qlFuturesRateHelperConvexityAdjustment($W215)),_xll.qlSwapRateHelperSpread($W215))</f>
        <v/>
      </c>
      <c r="AA215" s="5" t="str">
        <f ca="1">IFERROR(_xll.qlRateHelperEarliestDate(W215,Trigger),"")</f>
        <v/>
      </c>
      <c r="AB215" s="5" t="str">
        <f ca="1">IFERROR(_xll.qlRateHelperPillarDate(W215,Trigger),"")</f>
        <v/>
      </c>
      <c r="AC215" s="887" t="e">
        <f ca="1"/>
        <v>#NAME?</v>
      </c>
    </row>
    <row r="216" spans="1:29" x14ac:dyDescent="0.2">
      <c r="A216" s="874" t="s">
        <v>410</v>
      </c>
      <c r="B216" s="876" t="s">
        <v>31</v>
      </c>
      <c r="C216" s="875" t="s">
        <v>48</v>
      </c>
      <c r="D216" s="875" t="s">
        <v>323</v>
      </c>
      <c r="E216" s="875" t="s">
        <v>322</v>
      </c>
      <c r="F216" s="875" t="s">
        <v>221</v>
      </c>
      <c r="G216" s="875" t="str">
        <f t="shared" si="30"/>
        <v>Euribor6M</v>
      </c>
      <c r="H216" s="874" t="str">
        <f t="shared" si="31"/>
        <v>EUR8F25Y_Quote</v>
      </c>
      <c r="I216" s="877">
        <v>0</v>
      </c>
      <c r="J216" s="43"/>
      <c r="L216" s="895" t="str">
        <f t="shared" si="28"/>
        <v>FwdSw</v>
      </c>
      <c r="M216" s="891" t="str">
        <f t="shared" si="29"/>
        <v>--</v>
      </c>
      <c r="N216" s="894" t="str">
        <f ca="1">IFERROR(_xll.qlRateHelperQuoteName(M216,Trigger),"--")</f>
        <v>--</v>
      </c>
      <c r="O216" s="893" t="str">
        <f ca="1">IFERROR(_xll.qlRateHelperQuoteValue($M216,Trigger),"--")</f>
        <v>--</v>
      </c>
      <c r="P216" s="970" t="b">
        <v>0</v>
      </c>
      <c r="Q216" s="891">
        <v>50</v>
      </c>
      <c r="R216" s="891">
        <v>1</v>
      </c>
      <c r="S216" s="890" t="str">
        <f ca="1">IFERROR(_xll.qlRateHelperEarliestDate(M216,Trigger),"--")</f>
        <v>--</v>
      </c>
      <c r="T216" s="890" t="str">
        <f ca="1">IFERROR(_xll.qlRateHelperPillarDate(M216,Trigger),"--")</f>
        <v>--</v>
      </c>
      <c r="V216" s="4" t="str">
        <f t="shared" ca="1" si="27"/>
        <v/>
      </c>
      <c r="W216" s="4" t="e">
        <f ca="1"/>
        <v>#NAME?</v>
      </c>
      <c r="X216" s="4" t="str">
        <f ca="1">IFERROR(_xll.qlRateHelperQuoteName(W216,Trigger),"")</f>
        <v/>
      </c>
      <c r="Y216" s="889" t="str">
        <f ca="1">IFERROR(_xll.qlRateHelperRate(W216,Trigger),"")</f>
        <v/>
      </c>
      <c r="Z216" s="888" t="str">
        <f ca="1">IF(ISERROR(_xll.qlSwapRateHelperSpread($W216)),IF(ISERROR(_xll.qlFuturesRateHelperConvexityAdjustment($W216)),"",_xll.qlFuturesRateHelperConvexityAdjustment($W216)),_xll.qlSwapRateHelperSpread($W216))</f>
        <v/>
      </c>
      <c r="AA216" s="5" t="str">
        <f ca="1">IFERROR(_xll.qlRateHelperEarliestDate(W216,Trigger),"")</f>
        <v/>
      </c>
      <c r="AB216" s="5" t="str">
        <f ca="1">IFERROR(_xll.qlRateHelperPillarDate(W216,Trigger),"")</f>
        <v/>
      </c>
      <c r="AC216" s="887" t="e">
        <f ca="1"/>
        <v>#NAME?</v>
      </c>
    </row>
    <row r="217" spans="1:29" x14ac:dyDescent="0.2">
      <c r="A217" s="870" t="s">
        <v>410</v>
      </c>
      <c r="B217" s="872" t="s">
        <v>26</v>
      </c>
      <c r="C217" s="871" t="s">
        <v>48</v>
      </c>
      <c r="D217" s="871" t="s">
        <v>323</v>
      </c>
      <c r="E217" s="871" t="s">
        <v>322</v>
      </c>
      <c r="F217" s="871" t="s">
        <v>221</v>
      </c>
      <c r="G217" s="871" t="str">
        <f t="shared" si="30"/>
        <v>Euribor6M</v>
      </c>
      <c r="H217" s="870" t="str">
        <f t="shared" si="31"/>
        <v>EUR8F30Y_Quote</v>
      </c>
      <c r="I217" s="985">
        <v>0</v>
      </c>
      <c r="J217" s="38"/>
      <c r="L217" s="895" t="str">
        <f t="shared" si="28"/>
        <v>FwdSw</v>
      </c>
      <c r="M217" s="891" t="str">
        <f t="shared" si="29"/>
        <v>--</v>
      </c>
      <c r="N217" s="894" t="str">
        <f ca="1">IFERROR(_xll.qlRateHelperQuoteName(M217,Trigger),"--")</f>
        <v>--</v>
      </c>
      <c r="O217" s="893" t="str">
        <f ca="1">IFERROR(_xll.qlRateHelperQuoteValue($M217,Trigger),"--")</f>
        <v>--</v>
      </c>
      <c r="P217" s="970" t="b">
        <v>0</v>
      </c>
      <c r="Q217" s="891">
        <v>50</v>
      </c>
      <c r="R217" s="891">
        <v>1</v>
      </c>
      <c r="S217" s="890" t="str">
        <f ca="1">IFERROR(_xll.qlRateHelperEarliestDate(M217,Trigger),"--")</f>
        <v>--</v>
      </c>
      <c r="T217" s="890" t="str">
        <f ca="1">IFERROR(_xll.qlRateHelperPillarDate(M217,Trigger),"--")</f>
        <v>--</v>
      </c>
      <c r="V217" s="4" t="str">
        <f t="shared" ca="1" si="27"/>
        <v/>
      </c>
      <c r="W217" s="4" t="e">
        <f ca="1"/>
        <v>#NAME?</v>
      </c>
      <c r="X217" s="4" t="str">
        <f ca="1">IFERROR(_xll.qlRateHelperQuoteName(W217,Trigger),"")</f>
        <v/>
      </c>
      <c r="Y217" s="889" t="str">
        <f ca="1">IFERROR(_xll.qlRateHelperRate(W217,Trigger),"")</f>
        <v/>
      </c>
      <c r="Z217" s="888" t="str">
        <f ca="1">IF(ISERROR(_xll.qlSwapRateHelperSpread($W217)),IF(ISERROR(_xll.qlFuturesRateHelperConvexityAdjustment($W217)),"",_xll.qlFuturesRateHelperConvexityAdjustment($W217)),_xll.qlSwapRateHelperSpread($W217))</f>
        <v/>
      </c>
      <c r="AA217" s="5" t="str">
        <f ca="1">IFERROR(_xll.qlRateHelperEarliestDate(W217,Trigger),"")</f>
        <v/>
      </c>
      <c r="AB217" s="5" t="str">
        <f ca="1">IFERROR(_xll.qlRateHelperPillarDate(W217,Trigger),"")</f>
        <v/>
      </c>
      <c r="AC217" s="887" t="e">
        <f ca="1"/>
        <v>#NAME?</v>
      </c>
    </row>
    <row r="218" spans="1:29" x14ac:dyDescent="0.2">
      <c r="A218" s="874" t="s">
        <v>410</v>
      </c>
      <c r="B218" s="876" t="s">
        <v>58</v>
      </c>
      <c r="C218" s="875" t="s">
        <v>47</v>
      </c>
      <c r="D218" s="875" t="s">
        <v>323</v>
      </c>
      <c r="E218" s="875" t="s">
        <v>322</v>
      </c>
      <c r="F218" s="875" t="s">
        <v>221</v>
      </c>
      <c r="G218" s="875" t="str">
        <f t="shared" si="30"/>
        <v>Euribor6M</v>
      </c>
      <c r="H218" s="874" t="str">
        <f t="shared" si="31"/>
        <v>EUR9F1Y_Quote</v>
      </c>
      <c r="I218" s="877">
        <v>0</v>
      </c>
      <c r="J218" s="43"/>
      <c r="L218" s="895" t="str">
        <f t="shared" si="28"/>
        <v>FwdSw</v>
      </c>
      <c r="M218" s="891" t="str">
        <f t="shared" si="29"/>
        <v>--</v>
      </c>
      <c r="N218" s="894" t="str">
        <f ca="1">IFERROR(_xll.qlRateHelperQuoteName(M218,Trigger),"--")</f>
        <v>--</v>
      </c>
      <c r="O218" s="893" t="str">
        <f ca="1">IFERROR(_xll.qlRateHelperQuoteValue($M218,Trigger),"--")</f>
        <v>--</v>
      </c>
      <c r="P218" s="970" t="b">
        <v>0</v>
      </c>
      <c r="Q218" s="891">
        <v>50</v>
      </c>
      <c r="R218" s="891">
        <v>1</v>
      </c>
      <c r="S218" s="890" t="str">
        <f ca="1">IFERROR(_xll.qlRateHelperEarliestDate(M218,Trigger),"--")</f>
        <v>--</v>
      </c>
      <c r="T218" s="890" t="str">
        <f ca="1">IFERROR(_xll.qlRateHelperPillarDate(M218,Trigger),"--")</f>
        <v>--</v>
      </c>
      <c r="V218" s="4" t="str">
        <f t="shared" ca="1" si="27"/>
        <v/>
      </c>
      <c r="W218" s="4" t="e">
        <f ca="1"/>
        <v>#NAME?</v>
      </c>
      <c r="X218" s="4" t="str">
        <f ca="1">IFERROR(_xll.qlRateHelperQuoteName(W218,Trigger),"")</f>
        <v/>
      </c>
      <c r="Y218" s="889" t="str">
        <f ca="1">IFERROR(_xll.qlRateHelperRate(W218,Trigger),"")</f>
        <v/>
      </c>
      <c r="Z218" s="888" t="str">
        <f ca="1">IF(ISERROR(_xll.qlSwapRateHelperSpread($W218)),IF(ISERROR(_xll.qlFuturesRateHelperConvexityAdjustment($W218)),"",_xll.qlFuturesRateHelperConvexityAdjustment($W218)),_xll.qlSwapRateHelperSpread($W218))</f>
        <v/>
      </c>
      <c r="AA218" s="5" t="str">
        <f ca="1">IFERROR(_xll.qlRateHelperEarliestDate(W218,Trigger),"")</f>
        <v/>
      </c>
      <c r="AB218" s="5" t="str">
        <f ca="1">IFERROR(_xll.qlRateHelperPillarDate(W218,Trigger),"")</f>
        <v/>
      </c>
      <c r="AC218" s="887" t="e">
        <f ca="1"/>
        <v>#NAME?</v>
      </c>
    </row>
    <row r="219" spans="1:29" x14ac:dyDescent="0.2">
      <c r="A219" s="874" t="s">
        <v>410</v>
      </c>
      <c r="B219" s="876" t="s">
        <v>54</v>
      </c>
      <c r="C219" s="875" t="s">
        <v>47</v>
      </c>
      <c r="D219" s="875" t="s">
        <v>323</v>
      </c>
      <c r="E219" s="875" t="s">
        <v>322</v>
      </c>
      <c r="F219" s="875" t="s">
        <v>221</v>
      </c>
      <c r="G219" s="875" t="str">
        <f t="shared" si="30"/>
        <v>Euribor6M</v>
      </c>
      <c r="H219" s="874" t="str">
        <f t="shared" si="31"/>
        <v>EUR9F2Y_Quote</v>
      </c>
      <c r="I219" s="877">
        <v>0</v>
      </c>
      <c r="J219" s="43"/>
      <c r="L219" s="895" t="str">
        <f t="shared" si="28"/>
        <v>FwdSw</v>
      </c>
      <c r="M219" s="891" t="str">
        <f t="shared" si="29"/>
        <v>--</v>
      </c>
      <c r="N219" s="894" t="str">
        <f ca="1">IFERROR(_xll.qlRateHelperQuoteName(M219,Trigger),"--")</f>
        <v>--</v>
      </c>
      <c r="O219" s="893" t="str">
        <f ca="1">IFERROR(_xll.qlRateHelperQuoteValue($M219,Trigger),"--")</f>
        <v>--</v>
      </c>
      <c r="P219" s="970" t="b">
        <v>0</v>
      </c>
      <c r="Q219" s="891">
        <v>50</v>
      </c>
      <c r="R219" s="891">
        <v>1</v>
      </c>
      <c r="S219" s="890" t="str">
        <f ca="1">IFERROR(_xll.qlRateHelperEarliestDate(M219,Trigger),"--")</f>
        <v>--</v>
      </c>
      <c r="T219" s="890" t="str">
        <f ca="1">IFERROR(_xll.qlRateHelperPillarDate(M219,Trigger),"--")</f>
        <v>--</v>
      </c>
      <c r="V219" s="4" t="str">
        <f t="shared" ca="1" si="27"/>
        <v/>
      </c>
      <c r="W219" s="4" t="e">
        <f ca="1"/>
        <v>#NAME?</v>
      </c>
      <c r="X219" s="4" t="str">
        <f ca="1">IFERROR(_xll.qlRateHelperQuoteName(W219,Trigger),"")</f>
        <v/>
      </c>
      <c r="Y219" s="889" t="str">
        <f ca="1">IFERROR(_xll.qlRateHelperRate(W219,Trigger),"")</f>
        <v/>
      </c>
      <c r="Z219" s="888" t="str">
        <f ca="1">IF(ISERROR(_xll.qlSwapRateHelperSpread($W219)),IF(ISERROR(_xll.qlFuturesRateHelperConvexityAdjustment($W219)),"",_xll.qlFuturesRateHelperConvexityAdjustment($W219)),_xll.qlSwapRateHelperSpread($W219))</f>
        <v/>
      </c>
      <c r="AA219" s="5" t="str">
        <f ca="1">IFERROR(_xll.qlRateHelperEarliestDate(W219,Trigger),"")</f>
        <v/>
      </c>
      <c r="AB219" s="5" t="str">
        <f ca="1">IFERROR(_xll.qlRateHelperPillarDate(W219,Trigger),"")</f>
        <v/>
      </c>
      <c r="AC219" s="887" t="e">
        <f ca="1"/>
        <v>#NAME?</v>
      </c>
    </row>
    <row r="220" spans="1:29" x14ac:dyDescent="0.2">
      <c r="A220" s="874" t="s">
        <v>410</v>
      </c>
      <c r="B220" s="876" t="s">
        <v>53</v>
      </c>
      <c r="C220" s="875" t="s">
        <v>47</v>
      </c>
      <c r="D220" s="875" t="s">
        <v>323</v>
      </c>
      <c r="E220" s="875" t="s">
        <v>322</v>
      </c>
      <c r="F220" s="875" t="s">
        <v>221</v>
      </c>
      <c r="G220" s="875" t="str">
        <f t="shared" si="30"/>
        <v>Euribor6M</v>
      </c>
      <c r="H220" s="874" t="str">
        <f t="shared" si="31"/>
        <v>EUR9F3Y_Quote</v>
      </c>
      <c r="I220" s="877">
        <v>0</v>
      </c>
      <c r="J220" s="43"/>
      <c r="L220" s="895" t="str">
        <f t="shared" si="28"/>
        <v>FwdSw</v>
      </c>
      <c r="M220" s="891" t="str">
        <f t="shared" si="29"/>
        <v>--</v>
      </c>
      <c r="N220" s="894" t="str">
        <f ca="1">IFERROR(_xll.qlRateHelperQuoteName(M220,Trigger),"--")</f>
        <v>--</v>
      </c>
      <c r="O220" s="893" t="str">
        <f ca="1">IFERROR(_xll.qlRateHelperQuoteValue($M220,Trigger),"--")</f>
        <v>--</v>
      </c>
      <c r="P220" s="970" t="b">
        <v>0</v>
      </c>
      <c r="Q220" s="891">
        <v>50</v>
      </c>
      <c r="R220" s="891">
        <v>1</v>
      </c>
      <c r="S220" s="890" t="str">
        <f ca="1">IFERROR(_xll.qlRateHelperEarliestDate(M220,Trigger),"--")</f>
        <v>--</v>
      </c>
      <c r="T220" s="890" t="str">
        <f ca="1">IFERROR(_xll.qlRateHelperPillarDate(M220,Trigger),"--")</f>
        <v>--</v>
      </c>
      <c r="V220" s="4" t="str">
        <f t="shared" ca="1" si="27"/>
        <v/>
      </c>
      <c r="W220" s="4" t="e">
        <f ca="1"/>
        <v>#NAME?</v>
      </c>
      <c r="X220" s="4" t="str">
        <f ca="1">IFERROR(_xll.qlRateHelperQuoteName(W220,Trigger),"")</f>
        <v/>
      </c>
      <c r="Y220" s="889" t="str">
        <f ca="1">IFERROR(_xll.qlRateHelperRate(W220,Trigger),"")</f>
        <v/>
      </c>
      <c r="Z220" s="888" t="str">
        <f ca="1">IF(ISERROR(_xll.qlSwapRateHelperSpread($W220)),IF(ISERROR(_xll.qlFuturesRateHelperConvexityAdjustment($W220)),"",_xll.qlFuturesRateHelperConvexityAdjustment($W220)),_xll.qlSwapRateHelperSpread($W220))</f>
        <v/>
      </c>
      <c r="AA220" s="5" t="str">
        <f ca="1">IFERROR(_xll.qlRateHelperEarliestDate(W220,Trigger),"")</f>
        <v/>
      </c>
      <c r="AB220" s="5" t="str">
        <f ca="1">IFERROR(_xll.qlRateHelperPillarDate(W220,Trigger),"")</f>
        <v/>
      </c>
      <c r="AC220" s="887" t="e">
        <f ca="1"/>
        <v>#NAME?</v>
      </c>
    </row>
    <row r="221" spans="1:29" x14ac:dyDescent="0.2">
      <c r="A221" s="874" t="s">
        <v>410</v>
      </c>
      <c r="B221" s="876" t="s">
        <v>52</v>
      </c>
      <c r="C221" s="875" t="s">
        <v>47</v>
      </c>
      <c r="D221" s="875" t="s">
        <v>323</v>
      </c>
      <c r="E221" s="875" t="s">
        <v>322</v>
      </c>
      <c r="F221" s="875" t="s">
        <v>221</v>
      </c>
      <c r="G221" s="875" t="str">
        <f t="shared" si="30"/>
        <v>Euribor6M</v>
      </c>
      <c r="H221" s="874" t="str">
        <f t="shared" si="31"/>
        <v>EUR9F4Y_Quote</v>
      </c>
      <c r="I221" s="877">
        <v>0</v>
      </c>
      <c r="J221" s="43"/>
      <c r="L221" s="895" t="str">
        <f t="shared" si="28"/>
        <v>FwdSw</v>
      </c>
      <c r="M221" s="891" t="str">
        <f t="shared" si="29"/>
        <v>--</v>
      </c>
      <c r="N221" s="894" t="str">
        <f ca="1">IFERROR(_xll.qlRateHelperQuoteName(M221,Trigger),"--")</f>
        <v>--</v>
      </c>
      <c r="O221" s="893" t="str">
        <f ca="1">IFERROR(_xll.qlRateHelperQuoteValue($M221,Trigger),"--")</f>
        <v>--</v>
      </c>
      <c r="P221" s="970" t="b">
        <v>0</v>
      </c>
      <c r="Q221" s="891">
        <v>50</v>
      </c>
      <c r="R221" s="891">
        <v>1</v>
      </c>
      <c r="S221" s="890" t="str">
        <f ca="1">IFERROR(_xll.qlRateHelperEarliestDate(M221,Trigger),"--")</f>
        <v>--</v>
      </c>
      <c r="T221" s="890" t="str">
        <f ca="1">IFERROR(_xll.qlRateHelperPillarDate(M221,Trigger),"--")</f>
        <v>--</v>
      </c>
      <c r="V221" s="4" t="str">
        <f t="shared" ca="1" si="27"/>
        <v/>
      </c>
      <c r="W221" s="4" t="e">
        <f ca="1"/>
        <v>#NAME?</v>
      </c>
      <c r="X221" s="4" t="str">
        <f ca="1">IFERROR(_xll.qlRateHelperQuoteName(W221,Trigger),"")</f>
        <v/>
      </c>
      <c r="Y221" s="889" t="str">
        <f ca="1">IFERROR(_xll.qlRateHelperRate(W221,Trigger),"")</f>
        <v/>
      </c>
      <c r="Z221" s="888" t="str">
        <f ca="1">IF(ISERROR(_xll.qlSwapRateHelperSpread($W221)),IF(ISERROR(_xll.qlFuturesRateHelperConvexityAdjustment($W221)),"",_xll.qlFuturesRateHelperConvexityAdjustment($W221)),_xll.qlSwapRateHelperSpread($W221))</f>
        <v/>
      </c>
      <c r="AA221" s="5" t="str">
        <f ca="1">IFERROR(_xll.qlRateHelperEarliestDate(W221,Trigger),"")</f>
        <v/>
      </c>
      <c r="AB221" s="5" t="str">
        <f ca="1">IFERROR(_xll.qlRateHelperPillarDate(W221,Trigger),"")</f>
        <v/>
      </c>
      <c r="AC221" s="887" t="e">
        <f ca="1"/>
        <v>#NAME?</v>
      </c>
    </row>
    <row r="222" spans="1:29" x14ac:dyDescent="0.2">
      <c r="A222" s="874" t="s">
        <v>410</v>
      </c>
      <c r="B222" s="876" t="s">
        <v>51</v>
      </c>
      <c r="C222" s="875" t="s">
        <v>47</v>
      </c>
      <c r="D222" s="875" t="s">
        <v>323</v>
      </c>
      <c r="E222" s="875" t="s">
        <v>322</v>
      </c>
      <c r="F222" s="875" t="s">
        <v>221</v>
      </c>
      <c r="G222" s="875" t="str">
        <f t="shared" si="30"/>
        <v>Euribor6M</v>
      </c>
      <c r="H222" s="874" t="str">
        <f t="shared" si="31"/>
        <v>EUR9F5Y_Quote</v>
      </c>
      <c r="I222" s="877">
        <v>0</v>
      </c>
      <c r="J222" s="43"/>
      <c r="L222" s="895" t="str">
        <f t="shared" si="28"/>
        <v>FwdSw</v>
      </c>
      <c r="M222" s="891" t="str">
        <f t="shared" si="29"/>
        <v>--</v>
      </c>
      <c r="N222" s="894" t="str">
        <f ca="1">IFERROR(_xll.qlRateHelperQuoteName(M222,Trigger),"--")</f>
        <v>--</v>
      </c>
      <c r="O222" s="893" t="str">
        <f ca="1">IFERROR(_xll.qlRateHelperQuoteValue($M222,Trigger),"--")</f>
        <v>--</v>
      </c>
      <c r="P222" s="970" t="b">
        <v>0</v>
      </c>
      <c r="Q222" s="891">
        <v>50</v>
      </c>
      <c r="R222" s="891">
        <v>1</v>
      </c>
      <c r="S222" s="890" t="str">
        <f ca="1">IFERROR(_xll.qlRateHelperEarliestDate(M222,Trigger),"--")</f>
        <v>--</v>
      </c>
      <c r="T222" s="890" t="str">
        <f ca="1">IFERROR(_xll.qlRateHelperPillarDate(M222,Trigger),"--")</f>
        <v>--</v>
      </c>
      <c r="V222" s="4" t="str">
        <f t="shared" ca="1" si="27"/>
        <v/>
      </c>
      <c r="W222" s="4" t="e">
        <f ca="1"/>
        <v>#NAME?</v>
      </c>
      <c r="X222" s="4" t="str">
        <f ca="1">IFERROR(_xll.qlRateHelperQuoteName(W222,Trigger),"")</f>
        <v/>
      </c>
      <c r="Y222" s="889" t="str">
        <f ca="1">IFERROR(_xll.qlRateHelperRate(W222,Trigger),"")</f>
        <v/>
      </c>
      <c r="Z222" s="888" t="str">
        <f ca="1">IF(ISERROR(_xll.qlSwapRateHelperSpread($W222)),IF(ISERROR(_xll.qlFuturesRateHelperConvexityAdjustment($W222)),"",_xll.qlFuturesRateHelperConvexityAdjustment($W222)),_xll.qlSwapRateHelperSpread($W222))</f>
        <v/>
      </c>
      <c r="AA222" s="5" t="str">
        <f ca="1">IFERROR(_xll.qlRateHelperEarliestDate(W222,Trigger),"")</f>
        <v/>
      </c>
      <c r="AB222" s="5" t="str">
        <f ca="1">IFERROR(_xll.qlRateHelperPillarDate(W222,Trigger),"")</f>
        <v/>
      </c>
      <c r="AC222" s="887" t="e">
        <f ca="1"/>
        <v>#NAME?</v>
      </c>
    </row>
    <row r="223" spans="1:29" x14ac:dyDescent="0.2">
      <c r="A223" s="874" t="s">
        <v>410</v>
      </c>
      <c r="B223" s="876" t="s">
        <v>50</v>
      </c>
      <c r="C223" s="875" t="s">
        <v>47</v>
      </c>
      <c r="D223" s="875" t="s">
        <v>323</v>
      </c>
      <c r="E223" s="875" t="s">
        <v>322</v>
      </c>
      <c r="F223" s="875" t="s">
        <v>221</v>
      </c>
      <c r="G223" s="875" t="str">
        <f t="shared" si="30"/>
        <v>Euribor6M</v>
      </c>
      <c r="H223" s="874" t="str">
        <f t="shared" si="31"/>
        <v>EUR9F6Y_Quote</v>
      </c>
      <c r="I223" s="877">
        <v>0</v>
      </c>
      <c r="J223" s="43"/>
      <c r="L223" s="895" t="str">
        <f t="shared" si="28"/>
        <v>FwdSw</v>
      </c>
      <c r="M223" s="891" t="str">
        <f t="shared" si="29"/>
        <v>--</v>
      </c>
      <c r="N223" s="894" t="str">
        <f ca="1">IFERROR(_xll.qlRateHelperQuoteName(M223,Trigger),"--")</f>
        <v>--</v>
      </c>
      <c r="O223" s="893" t="str">
        <f ca="1">IFERROR(_xll.qlRateHelperQuoteValue($M223,Trigger),"--")</f>
        <v>--</v>
      </c>
      <c r="P223" s="970" t="b">
        <v>0</v>
      </c>
      <c r="Q223" s="891">
        <v>50</v>
      </c>
      <c r="R223" s="891">
        <v>1</v>
      </c>
      <c r="S223" s="890" t="str">
        <f ca="1">IFERROR(_xll.qlRateHelperEarliestDate(M223,Trigger),"--")</f>
        <v>--</v>
      </c>
      <c r="T223" s="890" t="str">
        <f ca="1">IFERROR(_xll.qlRateHelperPillarDate(M223,Trigger),"--")</f>
        <v>--</v>
      </c>
      <c r="V223" s="4" t="str">
        <f t="shared" ca="1" si="27"/>
        <v/>
      </c>
      <c r="W223" s="4" t="e">
        <f ca="1"/>
        <v>#NAME?</v>
      </c>
      <c r="X223" s="4" t="str">
        <f ca="1">IFERROR(_xll.qlRateHelperQuoteName(W223,Trigger),"")</f>
        <v/>
      </c>
      <c r="Y223" s="889" t="str">
        <f ca="1">IFERROR(_xll.qlRateHelperRate(W223,Trigger),"")</f>
        <v/>
      </c>
      <c r="Z223" s="888" t="str">
        <f ca="1">IF(ISERROR(_xll.qlSwapRateHelperSpread($W223)),IF(ISERROR(_xll.qlFuturesRateHelperConvexityAdjustment($W223)),"",_xll.qlFuturesRateHelperConvexityAdjustment($W223)),_xll.qlSwapRateHelperSpread($W223))</f>
        <v/>
      </c>
      <c r="AA223" s="5" t="str">
        <f ca="1">IFERROR(_xll.qlRateHelperEarliestDate(W223,Trigger),"")</f>
        <v/>
      </c>
      <c r="AB223" s="5" t="str">
        <f ca="1">IFERROR(_xll.qlRateHelperPillarDate(W223,Trigger),"")</f>
        <v/>
      </c>
      <c r="AC223" s="887" t="e">
        <f ca="1"/>
        <v>#NAME?</v>
      </c>
    </row>
    <row r="224" spans="1:29" x14ac:dyDescent="0.2">
      <c r="A224" s="874" t="s">
        <v>410</v>
      </c>
      <c r="B224" s="876" t="s">
        <v>49</v>
      </c>
      <c r="C224" s="875" t="s">
        <v>47</v>
      </c>
      <c r="D224" s="875" t="s">
        <v>323</v>
      </c>
      <c r="E224" s="875" t="s">
        <v>322</v>
      </c>
      <c r="F224" s="875" t="s">
        <v>221</v>
      </c>
      <c r="G224" s="875" t="str">
        <f t="shared" si="30"/>
        <v>Euribor6M</v>
      </c>
      <c r="H224" s="874" t="str">
        <f t="shared" si="31"/>
        <v>EUR9F7Y_Quote</v>
      </c>
      <c r="I224" s="877">
        <v>0</v>
      </c>
      <c r="J224" s="43"/>
      <c r="L224" s="895" t="str">
        <f t="shared" si="28"/>
        <v>FwdSw</v>
      </c>
      <c r="M224" s="891" t="str">
        <f t="shared" si="29"/>
        <v>--</v>
      </c>
      <c r="N224" s="894" t="str">
        <f ca="1">IFERROR(_xll.qlRateHelperQuoteName(M224,Trigger),"--")</f>
        <v>--</v>
      </c>
      <c r="O224" s="893" t="str">
        <f ca="1">IFERROR(_xll.qlRateHelperQuoteValue($M224,Trigger),"--")</f>
        <v>--</v>
      </c>
      <c r="P224" s="970" t="b">
        <v>0</v>
      </c>
      <c r="Q224" s="891">
        <v>50</v>
      </c>
      <c r="R224" s="891">
        <v>1</v>
      </c>
      <c r="S224" s="890" t="str">
        <f ca="1">IFERROR(_xll.qlRateHelperEarliestDate(M224,Trigger),"--")</f>
        <v>--</v>
      </c>
      <c r="T224" s="890" t="str">
        <f ca="1">IFERROR(_xll.qlRateHelperPillarDate(M224,Trigger),"--")</f>
        <v>--</v>
      </c>
      <c r="V224" s="4" t="str">
        <f t="shared" ca="1" si="27"/>
        <v/>
      </c>
      <c r="W224" s="4" t="e">
        <f ca="1"/>
        <v>#NAME?</v>
      </c>
      <c r="X224" s="4" t="str">
        <f ca="1">IFERROR(_xll.qlRateHelperQuoteName(W224,Trigger),"")</f>
        <v/>
      </c>
      <c r="Y224" s="889" t="str">
        <f ca="1">IFERROR(_xll.qlRateHelperRate(W224,Trigger),"")</f>
        <v/>
      </c>
      <c r="Z224" s="888" t="str">
        <f ca="1">IF(ISERROR(_xll.qlSwapRateHelperSpread($W224)),IF(ISERROR(_xll.qlFuturesRateHelperConvexityAdjustment($W224)),"",_xll.qlFuturesRateHelperConvexityAdjustment($W224)),_xll.qlSwapRateHelperSpread($W224))</f>
        <v/>
      </c>
      <c r="AA224" s="5" t="str">
        <f ca="1">IFERROR(_xll.qlRateHelperEarliestDate(W224,Trigger),"")</f>
        <v/>
      </c>
      <c r="AB224" s="5" t="str">
        <f ca="1">IFERROR(_xll.qlRateHelperPillarDate(W224,Trigger),"")</f>
        <v/>
      </c>
      <c r="AC224" s="887" t="e">
        <f ca="1"/>
        <v>#NAME?</v>
      </c>
    </row>
    <row r="225" spans="1:29" x14ac:dyDescent="0.2">
      <c r="A225" s="874" t="s">
        <v>410</v>
      </c>
      <c r="B225" s="876" t="s">
        <v>48</v>
      </c>
      <c r="C225" s="875" t="s">
        <v>47</v>
      </c>
      <c r="D225" s="875" t="s">
        <v>323</v>
      </c>
      <c r="E225" s="875" t="s">
        <v>322</v>
      </c>
      <c r="F225" s="875" t="s">
        <v>221</v>
      </c>
      <c r="G225" s="875" t="str">
        <f t="shared" si="30"/>
        <v>Euribor6M</v>
      </c>
      <c r="H225" s="874" t="str">
        <f t="shared" si="31"/>
        <v>EUR9F8Y_Quote</v>
      </c>
      <c r="I225" s="877">
        <v>0</v>
      </c>
      <c r="J225" s="43"/>
      <c r="L225" s="895" t="str">
        <f t="shared" si="28"/>
        <v>FwdSw</v>
      </c>
      <c r="M225" s="891" t="str">
        <f t="shared" si="29"/>
        <v>--</v>
      </c>
      <c r="N225" s="894" t="str">
        <f ca="1">IFERROR(_xll.qlRateHelperQuoteName(M225,Trigger),"--")</f>
        <v>--</v>
      </c>
      <c r="O225" s="893" t="str">
        <f ca="1">IFERROR(_xll.qlRateHelperQuoteValue($M225,Trigger),"--")</f>
        <v>--</v>
      </c>
      <c r="P225" s="970" t="b">
        <v>0</v>
      </c>
      <c r="Q225" s="891">
        <v>50</v>
      </c>
      <c r="R225" s="891">
        <v>1</v>
      </c>
      <c r="S225" s="890" t="str">
        <f ca="1">IFERROR(_xll.qlRateHelperEarliestDate(M225,Trigger),"--")</f>
        <v>--</v>
      </c>
      <c r="T225" s="890" t="str">
        <f ca="1">IFERROR(_xll.qlRateHelperPillarDate(M225,Trigger),"--")</f>
        <v>--</v>
      </c>
      <c r="V225" s="4" t="str">
        <f t="shared" ca="1" si="27"/>
        <v/>
      </c>
      <c r="W225" s="4" t="e">
        <f ca="1"/>
        <v>#NAME?</v>
      </c>
      <c r="X225" s="4" t="str">
        <f ca="1">IFERROR(_xll.qlRateHelperQuoteName(W225,Trigger),"")</f>
        <v/>
      </c>
      <c r="Y225" s="889" t="str">
        <f ca="1">IFERROR(_xll.qlRateHelperRate(W225,Trigger),"")</f>
        <v/>
      </c>
      <c r="Z225" s="888" t="str">
        <f ca="1">IF(ISERROR(_xll.qlSwapRateHelperSpread($W225)),IF(ISERROR(_xll.qlFuturesRateHelperConvexityAdjustment($W225)),"",_xll.qlFuturesRateHelperConvexityAdjustment($W225)),_xll.qlSwapRateHelperSpread($W225))</f>
        <v/>
      </c>
      <c r="AA225" s="5" t="str">
        <f ca="1">IFERROR(_xll.qlRateHelperEarliestDate(W225,Trigger),"")</f>
        <v/>
      </c>
      <c r="AB225" s="5" t="str">
        <f ca="1">IFERROR(_xll.qlRateHelperPillarDate(W225,Trigger),"")</f>
        <v/>
      </c>
      <c r="AC225" s="887" t="e">
        <f ca="1"/>
        <v>#NAME?</v>
      </c>
    </row>
    <row r="226" spans="1:29" x14ac:dyDescent="0.2">
      <c r="A226" s="874" t="s">
        <v>410</v>
      </c>
      <c r="B226" s="876" t="s">
        <v>47</v>
      </c>
      <c r="C226" s="875" t="s">
        <v>47</v>
      </c>
      <c r="D226" s="875" t="s">
        <v>323</v>
      </c>
      <c r="E226" s="875" t="s">
        <v>322</v>
      </c>
      <c r="F226" s="875" t="s">
        <v>221</v>
      </c>
      <c r="G226" s="875" t="str">
        <f t="shared" si="30"/>
        <v>Euribor6M</v>
      </c>
      <c r="H226" s="874" t="str">
        <f t="shared" si="31"/>
        <v>EUR9F9Y_Quote</v>
      </c>
      <c r="I226" s="877">
        <v>0</v>
      </c>
      <c r="J226" s="43"/>
      <c r="L226" s="895" t="str">
        <f t="shared" si="28"/>
        <v>FwdSw</v>
      </c>
      <c r="M226" s="891" t="str">
        <f t="shared" si="29"/>
        <v>--</v>
      </c>
      <c r="N226" s="894" t="str">
        <f ca="1">IFERROR(_xll.qlRateHelperQuoteName(M226,Trigger),"--")</f>
        <v>--</v>
      </c>
      <c r="O226" s="893" t="str">
        <f ca="1">IFERROR(_xll.qlRateHelperQuoteValue($M226,Trigger),"--")</f>
        <v>--</v>
      </c>
      <c r="P226" s="970" t="b">
        <v>0</v>
      </c>
      <c r="Q226" s="891">
        <v>50</v>
      </c>
      <c r="R226" s="891">
        <v>1</v>
      </c>
      <c r="S226" s="890" t="str">
        <f ca="1">IFERROR(_xll.qlRateHelperEarliestDate(M226,Trigger),"--")</f>
        <v>--</v>
      </c>
      <c r="T226" s="890" t="str">
        <f ca="1">IFERROR(_xll.qlRateHelperPillarDate(M226,Trigger),"--")</f>
        <v>--</v>
      </c>
      <c r="V226" s="4" t="str">
        <f t="shared" ca="1" si="27"/>
        <v/>
      </c>
      <c r="W226" s="4" t="e">
        <f ca="1"/>
        <v>#NAME?</v>
      </c>
      <c r="X226" s="4" t="str">
        <f ca="1">IFERROR(_xll.qlRateHelperQuoteName(W226,Trigger),"")</f>
        <v/>
      </c>
      <c r="Y226" s="889" t="str">
        <f ca="1">IFERROR(_xll.qlRateHelperRate(W226,Trigger),"")</f>
        <v/>
      </c>
      <c r="Z226" s="888" t="str">
        <f ca="1">IF(ISERROR(_xll.qlSwapRateHelperSpread($W226)),IF(ISERROR(_xll.qlFuturesRateHelperConvexityAdjustment($W226)),"",_xll.qlFuturesRateHelperConvexityAdjustment($W226)),_xll.qlSwapRateHelperSpread($W226))</f>
        <v/>
      </c>
      <c r="AA226" s="5" t="str">
        <f ca="1">IFERROR(_xll.qlRateHelperEarliestDate(W226,Trigger),"")</f>
        <v/>
      </c>
      <c r="AB226" s="5" t="str">
        <f ca="1">IFERROR(_xll.qlRateHelperPillarDate(W226,Trigger),"")</f>
        <v/>
      </c>
      <c r="AC226" s="887" t="e">
        <f ca="1"/>
        <v>#NAME?</v>
      </c>
    </row>
    <row r="227" spans="1:29" x14ac:dyDescent="0.2">
      <c r="A227" s="874" t="s">
        <v>410</v>
      </c>
      <c r="B227" s="876" t="s">
        <v>46</v>
      </c>
      <c r="C227" s="875" t="s">
        <v>47</v>
      </c>
      <c r="D227" s="875" t="s">
        <v>323</v>
      </c>
      <c r="E227" s="875" t="s">
        <v>322</v>
      </c>
      <c r="F227" s="875" t="s">
        <v>221</v>
      </c>
      <c r="G227" s="875" t="str">
        <f t="shared" si="30"/>
        <v>Euribor6M</v>
      </c>
      <c r="H227" s="874" t="str">
        <f t="shared" si="31"/>
        <v>EUR9F10Y_Quote</v>
      </c>
      <c r="I227" s="877">
        <v>0</v>
      </c>
      <c r="J227" s="43"/>
      <c r="L227" s="895" t="str">
        <f t="shared" si="28"/>
        <v>FwdSw</v>
      </c>
      <c r="M227" s="891" t="str">
        <f t="shared" si="29"/>
        <v>--</v>
      </c>
      <c r="N227" s="894" t="str">
        <f ca="1">IFERROR(_xll.qlRateHelperQuoteName(M227,Trigger),"--")</f>
        <v>--</v>
      </c>
      <c r="O227" s="893" t="str">
        <f ca="1">IFERROR(_xll.qlRateHelperQuoteValue($M227,Trigger),"--")</f>
        <v>--</v>
      </c>
      <c r="P227" s="970" t="b">
        <v>0</v>
      </c>
      <c r="Q227" s="891">
        <v>50</v>
      </c>
      <c r="R227" s="891">
        <v>1</v>
      </c>
      <c r="S227" s="890" t="str">
        <f ca="1">IFERROR(_xll.qlRateHelperEarliestDate(M227,Trigger),"--")</f>
        <v>--</v>
      </c>
      <c r="T227" s="890" t="str">
        <f ca="1">IFERROR(_xll.qlRateHelperPillarDate(M227,Trigger),"--")</f>
        <v>--</v>
      </c>
      <c r="V227" s="4" t="str">
        <f t="shared" ca="1" si="27"/>
        <v/>
      </c>
      <c r="W227" s="4" t="e">
        <f ca="1"/>
        <v>#NAME?</v>
      </c>
      <c r="X227" s="4" t="str">
        <f ca="1">IFERROR(_xll.qlRateHelperQuoteName(W227,Trigger),"")</f>
        <v/>
      </c>
      <c r="Y227" s="889" t="str">
        <f ca="1">IFERROR(_xll.qlRateHelperRate(W227,Trigger),"")</f>
        <v/>
      </c>
      <c r="Z227" s="888" t="str">
        <f ca="1">IF(ISERROR(_xll.qlSwapRateHelperSpread($W227)),IF(ISERROR(_xll.qlFuturesRateHelperConvexityAdjustment($W227)),"",_xll.qlFuturesRateHelperConvexityAdjustment($W227)),_xll.qlSwapRateHelperSpread($W227))</f>
        <v/>
      </c>
      <c r="AA227" s="5" t="str">
        <f ca="1">IFERROR(_xll.qlRateHelperEarliestDate(W227,Trigger),"")</f>
        <v/>
      </c>
      <c r="AB227" s="5" t="str">
        <f ca="1">IFERROR(_xll.qlRateHelperPillarDate(W227,Trigger),"")</f>
        <v/>
      </c>
      <c r="AC227" s="887" t="e">
        <f ca="1"/>
        <v>#NAME?</v>
      </c>
    </row>
    <row r="228" spans="1:29" x14ac:dyDescent="0.2">
      <c r="A228" s="874" t="s">
        <v>410</v>
      </c>
      <c r="B228" s="876" t="s">
        <v>45</v>
      </c>
      <c r="C228" s="875" t="s">
        <v>47</v>
      </c>
      <c r="D228" s="875" t="s">
        <v>323</v>
      </c>
      <c r="E228" s="875" t="s">
        <v>322</v>
      </c>
      <c r="F228" s="875" t="s">
        <v>221</v>
      </c>
      <c r="G228" s="875" t="str">
        <f t="shared" si="30"/>
        <v>Euribor6M</v>
      </c>
      <c r="H228" s="874" t="str">
        <f t="shared" si="31"/>
        <v>EUR9F11Y_Quote</v>
      </c>
      <c r="I228" s="877">
        <v>0</v>
      </c>
      <c r="J228" s="43"/>
      <c r="L228" s="895" t="str">
        <f t="shared" si="28"/>
        <v>FwdSw</v>
      </c>
      <c r="M228" s="891" t="str">
        <f t="shared" si="29"/>
        <v>--</v>
      </c>
      <c r="N228" s="894" t="str">
        <f ca="1">IFERROR(_xll.qlRateHelperQuoteName(M228,Trigger),"--")</f>
        <v>--</v>
      </c>
      <c r="O228" s="893" t="str">
        <f ca="1">IFERROR(_xll.qlRateHelperQuoteValue($M228,Trigger),"--")</f>
        <v>--</v>
      </c>
      <c r="P228" s="970" t="b">
        <v>0</v>
      </c>
      <c r="Q228" s="891">
        <v>50</v>
      </c>
      <c r="R228" s="891">
        <v>1</v>
      </c>
      <c r="S228" s="890" t="str">
        <f ca="1">IFERROR(_xll.qlRateHelperEarliestDate(M228,Trigger),"--")</f>
        <v>--</v>
      </c>
      <c r="T228" s="890" t="str">
        <f ca="1">IFERROR(_xll.qlRateHelperPillarDate(M228,Trigger),"--")</f>
        <v>--</v>
      </c>
      <c r="V228" s="4" t="str">
        <f t="shared" ca="1" si="27"/>
        <v/>
      </c>
      <c r="W228" s="4" t="e">
        <f ca="1"/>
        <v>#NAME?</v>
      </c>
      <c r="X228" s="4" t="str">
        <f ca="1">IFERROR(_xll.qlRateHelperQuoteName(W228,Trigger),"")</f>
        <v/>
      </c>
      <c r="Y228" s="889" t="str">
        <f ca="1">IFERROR(_xll.qlRateHelperRate(W228,Trigger),"")</f>
        <v/>
      </c>
      <c r="Z228" s="888" t="str">
        <f ca="1">IF(ISERROR(_xll.qlSwapRateHelperSpread($W228)),IF(ISERROR(_xll.qlFuturesRateHelperConvexityAdjustment($W228)),"",_xll.qlFuturesRateHelperConvexityAdjustment($W228)),_xll.qlSwapRateHelperSpread($W228))</f>
        <v/>
      </c>
      <c r="AA228" s="5" t="str">
        <f ca="1">IFERROR(_xll.qlRateHelperEarliestDate(W228,Trigger),"")</f>
        <v/>
      </c>
      <c r="AB228" s="5" t="str">
        <f ca="1">IFERROR(_xll.qlRateHelperPillarDate(W228,Trigger),"")</f>
        <v/>
      </c>
      <c r="AC228" s="887" t="e">
        <f ca="1"/>
        <v>#NAME?</v>
      </c>
    </row>
    <row r="229" spans="1:29" x14ac:dyDescent="0.2">
      <c r="A229" s="874" t="s">
        <v>410</v>
      </c>
      <c r="B229" s="876" t="s">
        <v>44</v>
      </c>
      <c r="C229" s="875" t="s">
        <v>47</v>
      </c>
      <c r="D229" s="875" t="s">
        <v>323</v>
      </c>
      <c r="E229" s="875" t="s">
        <v>322</v>
      </c>
      <c r="F229" s="875" t="s">
        <v>221</v>
      </c>
      <c r="G229" s="875" t="str">
        <f t="shared" si="30"/>
        <v>Euribor6M</v>
      </c>
      <c r="H229" s="874" t="str">
        <f t="shared" si="31"/>
        <v>EUR9F12Y_Quote</v>
      </c>
      <c r="I229" s="877">
        <v>0</v>
      </c>
      <c r="J229" s="43"/>
      <c r="L229" s="895" t="str">
        <f t="shared" si="28"/>
        <v>FwdSw</v>
      </c>
      <c r="M229" s="891" t="str">
        <f t="shared" si="29"/>
        <v>--</v>
      </c>
      <c r="N229" s="894" t="str">
        <f ca="1">IFERROR(_xll.qlRateHelperQuoteName(M229,Trigger),"--")</f>
        <v>--</v>
      </c>
      <c r="O229" s="893" t="str">
        <f ca="1">IFERROR(_xll.qlRateHelperQuoteValue($M229,Trigger),"--")</f>
        <v>--</v>
      </c>
      <c r="P229" s="970" t="b">
        <v>0</v>
      </c>
      <c r="Q229" s="891">
        <v>50</v>
      </c>
      <c r="R229" s="891">
        <v>1</v>
      </c>
      <c r="S229" s="890" t="str">
        <f ca="1">IFERROR(_xll.qlRateHelperEarliestDate(M229,Trigger),"--")</f>
        <v>--</v>
      </c>
      <c r="T229" s="890" t="str">
        <f ca="1">IFERROR(_xll.qlRateHelperPillarDate(M229,Trigger),"--")</f>
        <v>--</v>
      </c>
      <c r="V229" s="4" t="str">
        <f t="shared" ca="1" si="27"/>
        <v/>
      </c>
      <c r="W229" s="4" t="e">
        <f ca="1"/>
        <v>#NAME?</v>
      </c>
      <c r="X229" s="4" t="str">
        <f ca="1">IFERROR(_xll.qlRateHelperQuoteName(W229,Trigger),"")</f>
        <v/>
      </c>
      <c r="Y229" s="889" t="str">
        <f ca="1">IFERROR(_xll.qlRateHelperRate(W229,Trigger),"")</f>
        <v/>
      </c>
      <c r="Z229" s="888" t="str">
        <f ca="1">IF(ISERROR(_xll.qlSwapRateHelperSpread($W229)),IF(ISERROR(_xll.qlFuturesRateHelperConvexityAdjustment($W229)),"",_xll.qlFuturesRateHelperConvexityAdjustment($W229)),_xll.qlSwapRateHelperSpread($W229))</f>
        <v/>
      </c>
      <c r="AA229" s="5" t="str">
        <f ca="1">IFERROR(_xll.qlRateHelperEarliestDate(W229,Trigger),"")</f>
        <v/>
      </c>
      <c r="AB229" s="5" t="str">
        <f ca="1">IFERROR(_xll.qlRateHelperPillarDate(W229,Trigger),"")</f>
        <v/>
      </c>
      <c r="AC229" s="887" t="e">
        <f ca="1"/>
        <v>#NAME?</v>
      </c>
    </row>
    <row r="230" spans="1:29" x14ac:dyDescent="0.2">
      <c r="A230" s="874" t="s">
        <v>410</v>
      </c>
      <c r="B230" s="876" t="s">
        <v>43</v>
      </c>
      <c r="C230" s="875" t="s">
        <v>47</v>
      </c>
      <c r="D230" s="875" t="s">
        <v>323</v>
      </c>
      <c r="E230" s="875" t="s">
        <v>322</v>
      </c>
      <c r="F230" s="875" t="s">
        <v>221</v>
      </c>
      <c r="G230" s="875" t="str">
        <f t="shared" si="30"/>
        <v>Euribor6M</v>
      </c>
      <c r="H230" s="874" t="str">
        <f t="shared" si="31"/>
        <v>EUR9F13Y_Quote</v>
      </c>
      <c r="I230" s="877">
        <v>0</v>
      </c>
      <c r="J230" s="43"/>
      <c r="L230" s="895" t="str">
        <f t="shared" si="28"/>
        <v>FwdSw</v>
      </c>
      <c r="M230" s="891" t="str">
        <f t="shared" si="29"/>
        <v>--</v>
      </c>
      <c r="N230" s="894" t="str">
        <f ca="1">IFERROR(_xll.qlRateHelperQuoteName(M230,Trigger),"--")</f>
        <v>--</v>
      </c>
      <c r="O230" s="893" t="str">
        <f ca="1">IFERROR(_xll.qlRateHelperQuoteValue($M230,Trigger),"--")</f>
        <v>--</v>
      </c>
      <c r="P230" s="970" t="b">
        <v>0</v>
      </c>
      <c r="Q230" s="891">
        <v>50</v>
      </c>
      <c r="R230" s="891">
        <v>1</v>
      </c>
      <c r="S230" s="890" t="str">
        <f ca="1">IFERROR(_xll.qlRateHelperEarliestDate(M230,Trigger),"--")</f>
        <v>--</v>
      </c>
      <c r="T230" s="890" t="str">
        <f ca="1">IFERROR(_xll.qlRateHelperPillarDate(M230,Trigger),"--")</f>
        <v>--</v>
      </c>
      <c r="V230" s="4" t="str">
        <f t="shared" ca="1" si="27"/>
        <v/>
      </c>
      <c r="W230" s="4" t="e">
        <f ca="1"/>
        <v>#NAME?</v>
      </c>
      <c r="X230" s="4" t="str">
        <f ca="1">IFERROR(_xll.qlRateHelperQuoteName(W230,Trigger),"")</f>
        <v/>
      </c>
      <c r="Y230" s="889" t="str">
        <f ca="1">IFERROR(_xll.qlRateHelperRate(W230,Trigger),"")</f>
        <v/>
      </c>
      <c r="Z230" s="888" t="str">
        <f ca="1">IF(ISERROR(_xll.qlSwapRateHelperSpread($W230)),IF(ISERROR(_xll.qlFuturesRateHelperConvexityAdjustment($W230)),"",_xll.qlFuturesRateHelperConvexityAdjustment($W230)),_xll.qlSwapRateHelperSpread($W230))</f>
        <v/>
      </c>
      <c r="AA230" s="5" t="str">
        <f ca="1">IFERROR(_xll.qlRateHelperEarliestDate(W230,Trigger),"")</f>
        <v/>
      </c>
      <c r="AB230" s="5" t="str">
        <f ca="1">IFERROR(_xll.qlRateHelperPillarDate(W230,Trigger),"")</f>
        <v/>
      </c>
      <c r="AC230" s="887" t="e">
        <f ca="1"/>
        <v>#NAME?</v>
      </c>
    </row>
    <row r="231" spans="1:29" x14ac:dyDescent="0.2">
      <c r="A231" s="874" t="s">
        <v>410</v>
      </c>
      <c r="B231" s="876" t="s">
        <v>42</v>
      </c>
      <c r="C231" s="875" t="s">
        <v>47</v>
      </c>
      <c r="D231" s="875" t="s">
        <v>323</v>
      </c>
      <c r="E231" s="875" t="s">
        <v>322</v>
      </c>
      <c r="F231" s="875" t="s">
        <v>221</v>
      </c>
      <c r="G231" s="875" t="str">
        <f t="shared" si="30"/>
        <v>Euribor6M</v>
      </c>
      <c r="H231" s="874" t="str">
        <f t="shared" si="31"/>
        <v>EUR9F14Y_Quote</v>
      </c>
      <c r="I231" s="877">
        <v>0</v>
      </c>
      <c r="J231" s="43"/>
      <c r="L231" s="895" t="str">
        <f t="shared" si="28"/>
        <v>FwdSw</v>
      </c>
      <c r="M231" s="891" t="str">
        <f t="shared" si="29"/>
        <v>--</v>
      </c>
      <c r="N231" s="894" t="str">
        <f ca="1">IFERROR(_xll.qlRateHelperQuoteName(M231,Trigger),"--")</f>
        <v>--</v>
      </c>
      <c r="O231" s="893" t="str">
        <f ca="1">IFERROR(_xll.qlRateHelperQuoteValue($M231,Trigger),"--")</f>
        <v>--</v>
      </c>
      <c r="P231" s="970" t="b">
        <v>0</v>
      </c>
      <c r="Q231" s="891">
        <v>50</v>
      </c>
      <c r="R231" s="891">
        <v>1</v>
      </c>
      <c r="S231" s="890" t="str">
        <f ca="1">IFERROR(_xll.qlRateHelperEarliestDate(M231,Trigger),"--")</f>
        <v>--</v>
      </c>
      <c r="T231" s="890" t="str">
        <f ca="1">IFERROR(_xll.qlRateHelperPillarDate(M231,Trigger),"--")</f>
        <v>--</v>
      </c>
      <c r="V231" s="4" t="str">
        <f t="shared" ca="1" si="27"/>
        <v/>
      </c>
      <c r="W231" s="4" t="e">
        <f ca="1"/>
        <v>#NAME?</v>
      </c>
      <c r="X231" s="4" t="str">
        <f ca="1">IFERROR(_xll.qlRateHelperQuoteName(W231,Trigger),"")</f>
        <v/>
      </c>
      <c r="Y231" s="889" t="str">
        <f ca="1">IFERROR(_xll.qlRateHelperRate(W231,Trigger),"")</f>
        <v/>
      </c>
      <c r="Z231" s="888" t="str">
        <f ca="1">IF(ISERROR(_xll.qlSwapRateHelperSpread($W231)),IF(ISERROR(_xll.qlFuturesRateHelperConvexityAdjustment($W231)),"",_xll.qlFuturesRateHelperConvexityAdjustment($W231)),_xll.qlSwapRateHelperSpread($W231))</f>
        <v/>
      </c>
      <c r="AA231" s="5" t="str">
        <f ca="1">IFERROR(_xll.qlRateHelperEarliestDate(W231,Trigger),"")</f>
        <v/>
      </c>
      <c r="AB231" s="5" t="str">
        <f ca="1">IFERROR(_xll.qlRateHelperPillarDate(W231,Trigger),"")</f>
        <v/>
      </c>
      <c r="AC231" s="887" t="e">
        <f ca="1"/>
        <v>#NAME?</v>
      </c>
    </row>
    <row r="232" spans="1:29" x14ac:dyDescent="0.2">
      <c r="A232" s="874" t="s">
        <v>410</v>
      </c>
      <c r="B232" s="876" t="s">
        <v>41</v>
      </c>
      <c r="C232" s="875" t="s">
        <v>47</v>
      </c>
      <c r="D232" s="875" t="s">
        <v>323</v>
      </c>
      <c r="E232" s="875" t="s">
        <v>322</v>
      </c>
      <c r="F232" s="875" t="s">
        <v>221</v>
      </c>
      <c r="G232" s="875" t="str">
        <f t="shared" si="30"/>
        <v>Euribor6M</v>
      </c>
      <c r="H232" s="874" t="str">
        <f t="shared" si="31"/>
        <v>EUR9F15Y_Quote</v>
      </c>
      <c r="I232" s="877">
        <v>0</v>
      </c>
      <c r="J232" s="43"/>
      <c r="L232" s="895" t="str">
        <f t="shared" si="28"/>
        <v>FwdSw</v>
      </c>
      <c r="M232" s="891" t="str">
        <f t="shared" si="29"/>
        <v>--</v>
      </c>
      <c r="N232" s="894" t="str">
        <f ca="1">IFERROR(_xll.qlRateHelperQuoteName(M232,Trigger),"--")</f>
        <v>--</v>
      </c>
      <c r="O232" s="893" t="str">
        <f ca="1">IFERROR(_xll.qlRateHelperQuoteValue($M232,Trigger),"--")</f>
        <v>--</v>
      </c>
      <c r="P232" s="970" t="b">
        <v>0</v>
      </c>
      <c r="Q232" s="891">
        <v>50</v>
      </c>
      <c r="R232" s="891">
        <v>1</v>
      </c>
      <c r="S232" s="890" t="str">
        <f ca="1">IFERROR(_xll.qlRateHelperEarliestDate(M232,Trigger),"--")</f>
        <v>--</v>
      </c>
      <c r="T232" s="890" t="str">
        <f ca="1">IFERROR(_xll.qlRateHelperPillarDate(M232,Trigger),"--")</f>
        <v>--</v>
      </c>
      <c r="V232" s="4" t="str">
        <f t="shared" ca="1" si="27"/>
        <v/>
      </c>
      <c r="W232" s="4" t="e">
        <f ca="1"/>
        <v>#NAME?</v>
      </c>
      <c r="X232" s="4" t="str">
        <f ca="1">IFERROR(_xll.qlRateHelperQuoteName(W232,Trigger),"")</f>
        <v/>
      </c>
      <c r="Y232" s="889" t="str">
        <f ca="1">IFERROR(_xll.qlRateHelperRate(W232,Trigger),"")</f>
        <v/>
      </c>
      <c r="Z232" s="888" t="str">
        <f ca="1">IF(ISERROR(_xll.qlSwapRateHelperSpread($W232)),IF(ISERROR(_xll.qlFuturesRateHelperConvexityAdjustment($W232)),"",_xll.qlFuturesRateHelperConvexityAdjustment($W232)),_xll.qlSwapRateHelperSpread($W232))</f>
        <v/>
      </c>
      <c r="AA232" s="5" t="str">
        <f ca="1">IFERROR(_xll.qlRateHelperEarliestDate(W232,Trigger),"")</f>
        <v/>
      </c>
      <c r="AB232" s="5" t="str">
        <f ca="1">IFERROR(_xll.qlRateHelperPillarDate(W232,Trigger),"")</f>
        <v/>
      </c>
      <c r="AC232" s="887" t="e">
        <f ca="1"/>
        <v>#NAME?</v>
      </c>
    </row>
    <row r="233" spans="1:29" x14ac:dyDescent="0.2">
      <c r="A233" s="874" t="s">
        <v>410</v>
      </c>
      <c r="B233" s="876" t="s">
        <v>36</v>
      </c>
      <c r="C233" s="875" t="s">
        <v>47</v>
      </c>
      <c r="D233" s="875" t="s">
        <v>323</v>
      </c>
      <c r="E233" s="875" t="s">
        <v>322</v>
      </c>
      <c r="F233" s="875" t="s">
        <v>221</v>
      </c>
      <c r="G233" s="875" t="str">
        <f t="shared" si="30"/>
        <v>Euribor6M</v>
      </c>
      <c r="H233" s="874" t="str">
        <f t="shared" si="31"/>
        <v>EUR9F20Y_Quote</v>
      </c>
      <c r="I233" s="877">
        <v>0</v>
      </c>
      <c r="J233" s="43"/>
      <c r="L233" s="895" t="str">
        <f t="shared" si="28"/>
        <v>FwdSw</v>
      </c>
      <c r="M233" s="891" t="str">
        <f t="shared" si="29"/>
        <v>--</v>
      </c>
      <c r="N233" s="894" t="str">
        <f ca="1">IFERROR(_xll.qlRateHelperQuoteName(M233,Trigger),"--")</f>
        <v>--</v>
      </c>
      <c r="O233" s="893" t="str">
        <f ca="1">IFERROR(_xll.qlRateHelperQuoteValue($M233,Trigger),"--")</f>
        <v>--</v>
      </c>
      <c r="P233" s="970" t="b">
        <v>0</v>
      </c>
      <c r="Q233" s="891">
        <v>50</v>
      </c>
      <c r="R233" s="891">
        <v>1</v>
      </c>
      <c r="S233" s="890" t="str">
        <f ca="1">IFERROR(_xll.qlRateHelperEarliestDate(M233,Trigger),"--")</f>
        <v>--</v>
      </c>
      <c r="T233" s="890" t="str">
        <f ca="1">IFERROR(_xll.qlRateHelperPillarDate(M233,Trigger),"--")</f>
        <v>--</v>
      </c>
      <c r="V233" s="4" t="str">
        <f t="shared" ca="1" si="27"/>
        <v/>
      </c>
      <c r="W233" s="4" t="e">
        <f ca="1"/>
        <v>#NAME?</v>
      </c>
      <c r="X233" s="4" t="str">
        <f ca="1">IFERROR(_xll.qlRateHelperQuoteName(W233,Trigger),"")</f>
        <v/>
      </c>
      <c r="Y233" s="889" t="str">
        <f ca="1">IFERROR(_xll.qlRateHelperRate(W233,Trigger),"")</f>
        <v/>
      </c>
      <c r="Z233" s="888" t="str">
        <f ca="1">IF(ISERROR(_xll.qlSwapRateHelperSpread($W233)),IF(ISERROR(_xll.qlFuturesRateHelperConvexityAdjustment($W233)),"",_xll.qlFuturesRateHelperConvexityAdjustment($W233)),_xll.qlSwapRateHelperSpread($W233))</f>
        <v/>
      </c>
      <c r="AA233" s="5" t="str">
        <f ca="1">IFERROR(_xll.qlRateHelperEarliestDate(W233,Trigger),"")</f>
        <v/>
      </c>
      <c r="AB233" s="5" t="str">
        <f ca="1">IFERROR(_xll.qlRateHelperPillarDate(W233,Trigger),"")</f>
        <v/>
      </c>
      <c r="AC233" s="887" t="e">
        <f ca="1"/>
        <v>#NAME?</v>
      </c>
    </row>
    <row r="234" spans="1:29" x14ac:dyDescent="0.2">
      <c r="A234" s="874" t="s">
        <v>410</v>
      </c>
      <c r="B234" s="876" t="s">
        <v>31</v>
      </c>
      <c r="C234" s="875" t="s">
        <v>47</v>
      </c>
      <c r="D234" s="875" t="s">
        <v>323</v>
      </c>
      <c r="E234" s="875" t="s">
        <v>322</v>
      </c>
      <c r="F234" s="875" t="s">
        <v>221</v>
      </c>
      <c r="G234" s="875" t="str">
        <f t="shared" si="30"/>
        <v>Euribor6M</v>
      </c>
      <c r="H234" s="874" t="str">
        <f t="shared" si="31"/>
        <v>EUR9F25Y_Quote</v>
      </c>
      <c r="I234" s="877">
        <v>0</v>
      </c>
      <c r="J234" s="43"/>
      <c r="L234" s="895" t="str">
        <f t="shared" si="28"/>
        <v>FwdSw</v>
      </c>
      <c r="M234" s="891" t="str">
        <f t="shared" si="29"/>
        <v>--</v>
      </c>
      <c r="N234" s="894" t="str">
        <f ca="1">IFERROR(_xll.qlRateHelperQuoteName(M234,Trigger),"--")</f>
        <v>--</v>
      </c>
      <c r="O234" s="893" t="str">
        <f ca="1">IFERROR(_xll.qlRateHelperQuoteValue($M234,Trigger),"--")</f>
        <v>--</v>
      </c>
      <c r="P234" s="970" t="b">
        <v>0</v>
      </c>
      <c r="Q234" s="891">
        <v>50</v>
      </c>
      <c r="R234" s="891">
        <v>1</v>
      </c>
      <c r="S234" s="890" t="str">
        <f ca="1">IFERROR(_xll.qlRateHelperEarliestDate(M234,Trigger),"--")</f>
        <v>--</v>
      </c>
      <c r="T234" s="890" t="str">
        <f ca="1">IFERROR(_xll.qlRateHelperPillarDate(M234,Trigger),"--")</f>
        <v>--</v>
      </c>
      <c r="V234" s="4" t="str">
        <f t="shared" ca="1" si="27"/>
        <v/>
      </c>
      <c r="W234" s="4" t="e">
        <f ca="1"/>
        <v>#NAME?</v>
      </c>
      <c r="X234" s="4" t="str">
        <f ca="1">IFERROR(_xll.qlRateHelperQuoteName(W234,Trigger),"")</f>
        <v/>
      </c>
      <c r="Y234" s="889" t="str">
        <f ca="1">IFERROR(_xll.qlRateHelperRate(W234,Trigger),"")</f>
        <v/>
      </c>
      <c r="Z234" s="888" t="str">
        <f ca="1">IF(ISERROR(_xll.qlSwapRateHelperSpread($W234)),IF(ISERROR(_xll.qlFuturesRateHelperConvexityAdjustment($W234)),"",_xll.qlFuturesRateHelperConvexityAdjustment($W234)),_xll.qlSwapRateHelperSpread($W234))</f>
        <v/>
      </c>
      <c r="AA234" s="5" t="str">
        <f ca="1">IFERROR(_xll.qlRateHelperEarliestDate(W234,Trigger),"")</f>
        <v/>
      </c>
      <c r="AB234" s="5" t="str">
        <f ca="1">IFERROR(_xll.qlRateHelperPillarDate(W234,Trigger),"")</f>
        <v/>
      </c>
      <c r="AC234" s="887" t="e">
        <f ca="1"/>
        <v>#NAME?</v>
      </c>
    </row>
    <row r="235" spans="1:29" x14ac:dyDescent="0.2">
      <c r="A235" s="874" t="s">
        <v>410</v>
      </c>
      <c r="B235" s="876" t="s">
        <v>26</v>
      </c>
      <c r="C235" s="875" t="s">
        <v>47</v>
      </c>
      <c r="D235" s="875" t="s">
        <v>323</v>
      </c>
      <c r="E235" s="875" t="s">
        <v>322</v>
      </c>
      <c r="F235" s="875" t="s">
        <v>221</v>
      </c>
      <c r="G235" s="875" t="str">
        <f t="shared" si="30"/>
        <v>Euribor6M</v>
      </c>
      <c r="H235" s="874" t="str">
        <f t="shared" si="31"/>
        <v>EUR9F30Y_Quote</v>
      </c>
      <c r="I235" s="877">
        <v>0</v>
      </c>
      <c r="J235" s="43"/>
      <c r="L235" s="895" t="str">
        <f t="shared" si="28"/>
        <v>FwdSw</v>
      </c>
      <c r="M235" s="891" t="str">
        <f t="shared" si="29"/>
        <v>--</v>
      </c>
      <c r="N235" s="894" t="str">
        <f ca="1">IFERROR(_xll.qlRateHelperQuoteName(M235,Trigger),"--")</f>
        <v>--</v>
      </c>
      <c r="O235" s="893" t="str">
        <f ca="1">IFERROR(_xll.qlRateHelperQuoteValue($M235,Trigger),"--")</f>
        <v>--</v>
      </c>
      <c r="P235" s="970" t="b">
        <v>0</v>
      </c>
      <c r="Q235" s="891">
        <v>50</v>
      </c>
      <c r="R235" s="891">
        <v>1</v>
      </c>
      <c r="S235" s="890" t="str">
        <f ca="1">IFERROR(_xll.qlRateHelperEarliestDate(M235,Trigger),"--")</f>
        <v>--</v>
      </c>
      <c r="T235" s="890" t="str">
        <f ca="1">IFERROR(_xll.qlRateHelperPillarDate(M235,Trigger),"--")</f>
        <v>--</v>
      </c>
      <c r="V235" s="4" t="str">
        <f t="shared" ca="1" si="27"/>
        <v/>
      </c>
      <c r="W235" s="4" t="e">
        <f ca="1"/>
        <v>#NAME?</v>
      </c>
      <c r="X235" s="4" t="str">
        <f ca="1">IFERROR(_xll.qlRateHelperQuoteName(W235,Trigger),"")</f>
        <v/>
      </c>
      <c r="Y235" s="889" t="str">
        <f ca="1">IFERROR(_xll.qlRateHelperRate(W235,Trigger),"")</f>
        <v/>
      </c>
      <c r="Z235" s="888" t="str">
        <f ca="1">IF(ISERROR(_xll.qlSwapRateHelperSpread($W235)),IF(ISERROR(_xll.qlFuturesRateHelperConvexityAdjustment($W235)),"",_xll.qlFuturesRateHelperConvexityAdjustment($W235)),_xll.qlSwapRateHelperSpread($W235))</f>
        <v/>
      </c>
      <c r="AA235" s="5" t="str">
        <f ca="1">IFERROR(_xll.qlRateHelperEarliestDate(W235,Trigger),"")</f>
        <v/>
      </c>
      <c r="AB235" s="5" t="str">
        <f ca="1">IFERROR(_xll.qlRateHelperPillarDate(W235,Trigger),"")</f>
        <v/>
      </c>
      <c r="AC235" s="887" t="e">
        <f ca="1"/>
        <v>#NAME?</v>
      </c>
    </row>
    <row r="236" spans="1:29" x14ac:dyDescent="0.2">
      <c r="A236" s="897" t="s">
        <v>410</v>
      </c>
      <c r="B236" s="899" t="s">
        <v>58</v>
      </c>
      <c r="C236" s="898" t="s">
        <v>46</v>
      </c>
      <c r="D236" s="898" t="s">
        <v>323</v>
      </c>
      <c r="E236" s="898" t="s">
        <v>322</v>
      </c>
      <c r="F236" s="898" t="s">
        <v>221</v>
      </c>
      <c r="G236" s="898" t="str">
        <f t="shared" si="30"/>
        <v>Euribor6M</v>
      </c>
      <c r="H236" s="897" t="str">
        <f t="shared" si="31"/>
        <v>EUR10F1Y_Quote</v>
      </c>
      <c r="I236" s="896">
        <v>0</v>
      </c>
      <c r="J236" s="47"/>
      <c r="L236" s="895" t="str">
        <f t="shared" si="28"/>
        <v>FwdSw</v>
      </c>
      <c r="M236" s="891" t="str">
        <f t="shared" si="29"/>
        <v>--</v>
      </c>
      <c r="N236" s="894" t="str">
        <f ca="1">IFERROR(_xll.qlRateHelperQuoteName(M236,Trigger),"--")</f>
        <v>--</v>
      </c>
      <c r="O236" s="893" t="str">
        <f ca="1">IFERROR(_xll.qlRateHelperQuoteValue($M236,Trigger),"--")</f>
        <v>--</v>
      </c>
      <c r="P236" s="970" t="b">
        <v>0</v>
      </c>
      <c r="Q236" s="891">
        <v>50</v>
      </c>
      <c r="R236" s="891">
        <v>1</v>
      </c>
      <c r="S236" s="890" t="str">
        <f ca="1">IFERROR(_xll.qlRateHelperEarliestDate(M236,Trigger),"--")</f>
        <v>--</v>
      </c>
      <c r="T236" s="890" t="str">
        <f ca="1">IFERROR(_xll.qlRateHelperPillarDate(M236,Trigger),"--")</f>
        <v>--</v>
      </c>
      <c r="V236" s="4" t="str">
        <f t="shared" ca="1" si="27"/>
        <v/>
      </c>
      <c r="W236" s="4" t="e">
        <f ca="1"/>
        <v>#NAME?</v>
      </c>
      <c r="X236" s="4" t="str">
        <f ca="1">IFERROR(_xll.qlRateHelperQuoteName(W236,Trigger),"")</f>
        <v/>
      </c>
      <c r="Y236" s="889" t="str">
        <f ca="1">IFERROR(_xll.qlRateHelperRate(W236,Trigger),"")</f>
        <v/>
      </c>
      <c r="Z236" s="888" t="str">
        <f ca="1">IF(ISERROR(_xll.qlSwapRateHelperSpread($W236)),IF(ISERROR(_xll.qlFuturesRateHelperConvexityAdjustment($W236)),"",_xll.qlFuturesRateHelperConvexityAdjustment($W236)),_xll.qlSwapRateHelperSpread($W236))</f>
        <v/>
      </c>
      <c r="AA236" s="5" t="str">
        <f ca="1">IFERROR(_xll.qlRateHelperEarliestDate(W236,Trigger),"")</f>
        <v/>
      </c>
      <c r="AB236" s="5" t="str">
        <f ca="1">IFERROR(_xll.qlRateHelperPillarDate(W236,Trigger),"")</f>
        <v/>
      </c>
      <c r="AC236" s="887" t="e">
        <f ca="1"/>
        <v>#NAME?</v>
      </c>
    </row>
    <row r="237" spans="1:29" x14ac:dyDescent="0.2">
      <c r="A237" s="874" t="s">
        <v>410</v>
      </c>
      <c r="B237" s="876" t="s">
        <v>54</v>
      </c>
      <c r="C237" s="875" t="s">
        <v>46</v>
      </c>
      <c r="D237" s="875" t="s">
        <v>323</v>
      </c>
      <c r="E237" s="875" t="s">
        <v>322</v>
      </c>
      <c r="F237" s="875" t="s">
        <v>221</v>
      </c>
      <c r="G237" s="875" t="str">
        <f t="shared" si="30"/>
        <v>Euribor6M</v>
      </c>
      <c r="H237" s="874" t="str">
        <f t="shared" si="31"/>
        <v>EUR10F2Y_Quote</v>
      </c>
      <c r="I237" s="877">
        <v>0</v>
      </c>
      <c r="J237" s="43"/>
      <c r="L237" s="895" t="str">
        <f t="shared" si="28"/>
        <v>FwdSw</v>
      </c>
      <c r="M237" s="891" t="str">
        <f t="shared" si="29"/>
        <v>--</v>
      </c>
      <c r="N237" s="894" t="str">
        <f ca="1">IFERROR(_xll.qlRateHelperQuoteName(M237,Trigger),"--")</f>
        <v>--</v>
      </c>
      <c r="O237" s="893" t="str">
        <f ca="1">IFERROR(_xll.qlRateHelperQuoteValue($M237,Trigger),"--")</f>
        <v>--</v>
      </c>
      <c r="P237" s="970" t="b">
        <v>0</v>
      </c>
      <c r="Q237" s="891">
        <v>50</v>
      </c>
      <c r="R237" s="891">
        <v>1</v>
      </c>
      <c r="S237" s="890" t="str">
        <f ca="1">IFERROR(_xll.qlRateHelperEarliestDate(M237,Trigger),"--")</f>
        <v>--</v>
      </c>
      <c r="T237" s="890" t="str">
        <f ca="1">IFERROR(_xll.qlRateHelperPillarDate(M237,Trigger),"--")</f>
        <v>--</v>
      </c>
      <c r="V237" s="4" t="str">
        <f t="shared" ca="1" si="27"/>
        <v/>
      </c>
      <c r="W237" s="4" t="e">
        <f ca="1"/>
        <v>#NAME?</v>
      </c>
      <c r="X237" s="4" t="str">
        <f ca="1">IFERROR(_xll.qlRateHelperQuoteName(W237,Trigger),"")</f>
        <v/>
      </c>
      <c r="Y237" s="889" t="str">
        <f ca="1">IFERROR(_xll.qlRateHelperRate(W237,Trigger),"")</f>
        <v/>
      </c>
      <c r="Z237" s="888" t="str">
        <f ca="1">IF(ISERROR(_xll.qlSwapRateHelperSpread($W237)),IF(ISERROR(_xll.qlFuturesRateHelperConvexityAdjustment($W237)),"",_xll.qlFuturesRateHelperConvexityAdjustment($W237)),_xll.qlSwapRateHelperSpread($W237))</f>
        <v/>
      </c>
      <c r="AA237" s="5" t="str">
        <f ca="1">IFERROR(_xll.qlRateHelperEarliestDate(W237,Trigger),"")</f>
        <v/>
      </c>
      <c r="AB237" s="5" t="str">
        <f ca="1">IFERROR(_xll.qlRateHelperPillarDate(W237,Trigger),"")</f>
        <v/>
      </c>
      <c r="AC237" s="887" t="e">
        <f ca="1"/>
        <v>#NAME?</v>
      </c>
    </row>
    <row r="238" spans="1:29" x14ac:dyDescent="0.2">
      <c r="A238" s="874" t="s">
        <v>410</v>
      </c>
      <c r="B238" s="876" t="s">
        <v>53</v>
      </c>
      <c r="C238" s="875" t="s">
        <v>46</v>
      </c>
      <c r="D238" s="875" t="s">
        <v>323</v>
      </c>
      <c r="E238" s="875" t="s">
        <v>322</v>
      </c>
      <c r="F238" s="875" t="s">
        <v>221</v>
      </c>
      <c r="G238" s="875" t="str">
        <f t="shared" si="30"/>
        <v>Euribor6M</v>
      </c>
      <c r="H238" s="874" t="str">
        <f t="shared" si="31"/>
        <v>EUR10F3Y_Quote</v>
      </c>
      <c r="I238" s="877">
        <v>0</v>
      </c>
      <c r="J238" s="43"/>
      <c r="L238" s="895" t="str">
        <f t="shared" si="28"/>
        <v>FwdSw</v>
      </c>
      <c r="M238" s="891" t="str">
        <f t="shared" si="29"/>
        <v>--</v>
      </c>
      <c r="N238" s="894" t="str">
        <f ca="1">IFERROR(_xll.qlRateHelperQuoteName(M238,Trigger),"--")</f>
        <v>--</v>
      </c>
      <c r="O238" s="893" t="str">
        <f ca="1">IFERROR(_xll.qlRateHelperQuoteValue($M238,Trigger),"--")</f>
        <v>--</v>
      </c>
      <c r="P238" s="970" t="b">
        <v>0</v>
      </c>
      <c r="Q238" s="891">
        <v>50</v>
      </c>
      <c r="R238" s="891">
        <v>1</v>
      </c>
      <c r="S238" s="890" t="str">
        <f ca="1">IFERROR(_xll.qlRateHelperEarliestDate(M238,Trigger),"--")</f>
        <v>--</v>
      </c>
      <c r="T238" s="890" t="str">
        <f ca="1">IFERROR(_xll.qlRateHelperPillarDate(M238,Trigger),"--")</f>
        <v>--</v>
      </c>
      <c r="V238" s="4" t="str">
        <f t="shared" ca="1" si="27"/>
        <v/>
      </c>
      <c r="W238" s="4" t="e">
        <f ca="1"/>
        <v>#NAME?</v>
      </c>
      <c r="X238" s="4" t="str">
        <f ca="1">IFERROR(_xll.qlRateHelperQuoteName(W238,Trigger),"")</f>
        <v/>
      </c>
      <c r="Y238" s="889" t="str">
        <f ca="1">IFERROR(_xll.qlRateHelperRate(W238,Trigger),"")</f>
        <v/>
      </c>
      <c r="Z238" s="888" t="str">
        <f ca="1">IF(ISERROR(_xll.qlSwapRateHelperSpread($W238)),IF(ISERROR(_xll.qlFuturesRateHelperConvexityAdjustment($W238)),"",_xll.qlFuturesRateHelperConvexityAdjustment($W238)),_xll.qlSwapRateHelperSpread($W238))</f>
        <v/>
      </c>
      <c r="AA238" s="5" t="str">
        <f ca="1">IFERROR(_xll.qlRateHelperEarliestDate(W238,Trigger),"")</f>
        <v/>
      </c>
      <c r="AB238" s="5" t="str">
        <f ca="1">IFERROR(_xll.qlRateHelperPillarDate(W238,Trigger),"")</f>
        <v/>
      </c>
      <c r="AC238" s="887" t="e">
        <f ca="1"/>
        <v>#NAME?</v>
      </c>
    </row>
    <row r="239" spans="1:29" x14ac:dyDescent="0.2">
      <c r="A239" s="874" t="s">
        <v>410</v>
      </c>
      <c r="B239" s="876" t="s">
        <v>52</v>
      </c>
      <c r="C239" s="875" t="s">
        <v>46</v>
      </c>
      <c r="D239" s="875" t="s">
        <v>323</v>
      </c>
      <c r="E239" s="875" t="s">
        <v>322</v>
      </c>
      <c r="F239" s="875" t="s">
        <v>221</v>
      </c>
      <c r="G239" s="875" t="str">
        <f t="shared" si="30"/>
        <v>Euribor6M</v>
      </c>
      <c r="H239" s="874" t="str">
        <f t="shared" si="31"/>
        <v>EUR10F4Y_Quote</v>
      </c>
      <c r="I239" s="877">
        <v>0</v>
      </c>
      <c r="J239" s="43"/>
      <c r="L239" s="895" t="str">
        <f t="shared" si="28"/>
        <v>FwdSw</v>
      </c>
      <c r="M239" s="891" t="str">
        <f t="shared" si="29"/>
        <v>--</v>
      </c>
      <c r="N239" s="894" t="str">
        <f ca="1">IFERROR(_xll.qlRateHelperQuoteName(M239,Trigger),"--")</f>
        <v>--</v>
      </c>
      <c r="O239" s="893" t="str">
        <f ca="1">IFERROR(_xll.qlRateHelperQuoteValue($M239,Trigger),"--")</f>
        <v>--</v>
      </c>
      <c r="P239" s="970" t="b">
        <v>0</v>
      </c>
      <c r="Q239" s="891">
        <v>50</v>
      </c>
      <c r="R239" s="891">
        <v>1</v>
      </c>
      <c r="S239" s="890" t="str">
        <f ca="1">IFERROR(_xll.qlRateHelperEarliestDate(M239,Trigger),"--")</f>
        <v>--</v>
      </c>
      <c r="T239" s="890" t="str">
        <f ca="1">IFERROR(_xll.qlRateHelperPillarDate(M239,Trigger),"--")</f>
        <v>--</v>
      </c>
      <c r="V239" s="4" t="str">
        <f t="shared" ca="1" si="27"/>
        <v/>
      </c>
      <c r="W239" s="4" t="e">
        <f ca="1"/>
        <v>#NAME?</v>
      </c>
      <c r="X239" s="4" t="str">
        <f ca="1">IFERROR(_xll.qlRateHelperQuoteName(W239,Trigger),"")</f>
        <v/>
      </c>
      <c r="Y239" s="889" t="str">
        <f ca="1">IFERROR(_xll.qlRateHelperRate(W239,Trigger),"")</f>
        <v/>
      </c>
      <c r="Z239" s="888" t="str">
        <f ca="1">IF(ISERROR(_xll.qlSwapRateHelperSpread($W239)),IF(ISERROR(_xll.qlFuturesRateHelperConvexityAdjustment($W239)),"",_xll.qlFuturesRateHelperConvexityAdjustment($W239)),_xll.qlSwapRateHelperSpread($W239))</f>
        <v/>
      </c>
      <c r="AA239" s="5" t="str">
        <f ca="1">IFERROR(_xll.qlRateHelperEarliestDate(W239,Trigger),"")</f>
        <v/>
      </c>
      <c r="AB239" s="5" t="str">
        <f ca="1">IFERROR(_xll.qlRateHelperPillarDate(W239,Trigger),"")</f>
        <v/>
      </c>
      <c r="AC239" s="887" t="e">
        <f ca="1"/>
        <v>#NAME?</v>
      </c>
    </row>
    <row r="240" spans="1:29" x14ac:dyDescent="0.2">
      <c r="A240" s="874" t="s">
        <v>410</v>
      </c>
      <c r="B240" s="876" t="s">
        <v>51</v>
      </c>
      <c r="C240" s="875" t="s">
        <v>46</v>
      </c>
      <c r="D240" s="875" t="s">
        <v>323</v>
      </c>
      <c r="E240" s="875" t="s">
        <v>322</v>
      </c>
      <c r="F240" s="875" t="s">
        <v>221</v>
      </c>
      <c r="G240" s="875" t="str">
        <f t="shared" si="30"/>
        <v>Euribor6M</v>
      </c>
      <c r="H240" s="874" t="str">
        <f t="shared" si="31"/>
        <v>EUR10F5Y_Quote</v>
      </c>
      <c r="I240" s="877">
        <v>0</v>
      </c>
      <c r="J240" s="43"/>
      <c r="L240" s="895" t="str">
        <f t="shared" si="28"/>
        <v>FwdSw</v>
      </c>
      <c r="M240" s="891" t="str">
        <f t="shared" si="29"/>
        <v>--</v>
      </c>
      <c r="N240" s="894" t="str">
        <f ca="1">IFERROR(_xll.qlRateHelperQuoteName(M240,Trigger),"--")</f>
        <v>--</v>
      </c>
      <c r="O240" s="893" t="str">
        <f ca="1">IFERROR(_xll.qlRateHelperQuoteValue($M240,Trigger),"--")</f>
        <v>--</v>
      </c>
      <c r="P240" s="970" t="b">
        <v>0</v>
      </c>
      <c r="Q240" s="891">
        <v>50</v>
      </c>
      <c r="R240" s="891">
        <v>1</v>
      </c>
      <c r="S240" s="890" t="str">
        <f ca="1">IFERROR(_xll.qlRateHelperEarliestDate(M240,Trigger),"--")</f>
        <v>--</v>
      </c>
      <c r="T240" s="890" t="str">
        <f ca="1">IFERROR(_xll.qlRateHelperPillarDate(M240,Trigger),"--")</f>
        <v>--</v>
      </c>
      <c r="V240" s="4" t="str">
        <f t="shared" ca="1" si="27"/>
        <v/>
      </c>
      <c r="W240" s="4" t="e">
        <f ca="1"/>
        <v>#NAME?</v>
      </c>
      <c r="X240" s="4" t="str">
        <f ca="1">IFERROR(_xll.qlRateHelperQuoteName(W240,Trigger),"")</f>
        <v/>
      </c>
      <c r="Y240" s="889" t="str">
        <f ca="1">IFERROR(_xll.qlRateHelperRate(W240,Trigger),"")</f>
        <v/>
      </c>
      <c r="Z240" s="888" t="str">
        <f ca="1">IF(ISERROR(_xll.qlSwapRateHelperSpread($W240)),IF(ISERROR(_xll.qlFuturesRateHelperConvexityAdjustment($W240)),"",_xll.qlFuturesRateHelperConvexityAdjustment($W240)),_xll.qlSwapRateHelperSpread($W240))</f>
        <v/>
      </c>
      <c r="AA240" s="5" t="str">
        <f ca="1">IFERROR(_xll.qlRateHelperEarliestDate(W240,Trigger),"")</f>
        <v/>
      </c>
      <c r="AB240" s="5" t="str">
        <f ca="1">IFERROR(_xll.qlRateHelperPillarDate(W240,Trigger),"")</f>
        <v/>
      </c>
      <c r="AC240" s="887" t="e">
        <f ca="1"/>
        <v>#NAME?</v>
      </c>
    </row>
    <row r="241" spans="1:29" x14ac:dyDescent="0.2">
      <c r="A241" s="874" t="s">
        <v>410</v>
      </c>
      <c r="B241" s="876" t="s">
        <v>50</v>
      </c>
      <c r="C241" s="875" t="s">
        <v>46</v>
      </c>
      <c r="D241" s="875" t="s">
        <v>323</v>
      </c>
      <c r="E241" s="875" t="s">
        <v>322</v>
      </c>
      <c r="F241" s="875" t="s">
        <v>221</v>
      </c>
      <c r="G241" s="875" t="str">
        <f t="shared" si="30"/>
        <v>Euribor6M</v>
      </c>
      <c r="H241" s="874" t="str">
        <f t="shared" si="31"/>
        <v>EUR10F6Y_Quote</v>
      </c>
      <c r="I241" s="877">
        <v>0</v>
      </c>
      <c r="J241" s="43"/>
      <c r="L241" s="895" t="str">
        <f t="shared" si="28"/>
        <v>FwdSw</v>
      </c>
      <c r="M241" s="891" t="str">
        <f t="shared" si="29"/>
        <v>--</v>
      </c>
      <c r="N241" s="894" t="str">
        <f ca="1">IFERROR(_xll.qlRateHelperQuoteName(M241,Trigger),"--")</f>
        <v>--</v>
      </c>
      <c r="O241" s="893" t="str">
        <f ca="1">IFERROR(_xll.qlRateHelperQuoteValue($M241,Trigger),"--")</f>
        <v>--</v>
      </c>
      <c r="P241" s="970" t="b">
        <v>0</v>
      </c>
      <c r="Q241" s="891">
        <v>50</v>
      </c>
      <c r="R241" s="891">
        <v>1</v>
      </c>
      <c r="S241" s="890" t="str">
        <f ca="1">IFERROR(_xll.qlRateHelperEarliestDate(M241,Trigger),"--")</f>
        <v>--</v>
      </c>
      <c r="T241" s="890" t="str">
        <f ca="1">IFERROR(_xll.qlRateHelperPillarDate(M241,Trigger),"--")</f>
        <v>--</v>
      </c>
      <c r="V241" s="4" t="str">
        <f t="shared" ca="1" si="27"/>
        <v/>
      </c>
      <c r="W241" s="4" t="e">
        <f ca="1"/>
        <v>#NAME?</v>
      </c>
      <c r="X241" s="4" t="str">
        <f ca="1">IFERROR(_xll.qlRateHelperQuoteName(W241,Trigger),"")</f>
        <v/>
      </c>
      <c r="Y241" s="889" t="str">
        <f ca="1">IFERROR(_xll.qlRateHelperRate(W241,Trigger),"")</f>
        <v/>
      </c>
      <c r="Z241" s="888" t="str">
        <f ca="1">IF(ISERROR(_xll.qlSwapRateHelperSpread($W241)),IF(ISERROR(_xll.qlFuturesRateHelperConvexityAdjustment($W241)),"",_xll.qlFuturesRateHelperConvexityAdjustment($W241)),_xll.qlSwapRateHelperSpread($W241))</f>
        <v/>
      </c>
      <c r="AA241" s="5" t="str">
        <f ca="1">IFERROR(_xll.qlRateHelperEarliestDate(W241,Trigger),"")</f>
        <v/>
      </c>
      <c r="AB241" s="5" t="str">
        <f ca="1">IFERROR(_xll.qlRateHelperPillarDate(W241,Trigger),"")</f>
        <v/>
      </c>
      <c r="AC241" s="887" t="e">
        <f ca="1"/>
        <v>#NAME?</v>
      </c>
    </row>
    <row r="242" spans="1:29" x14ac:dyDescent="0.2">
      <c r="A242" s="874" t="s">
        <v>410</v>
      </c>
      <c r="B242" s="876" t="s">
        <v>49</v>
      </c>
      <c r="C242" s="875" t="s">
        <v>46</v>
      </c>
      <c r="D242" s="875" t="s">
        <v>323</v>
      </c>
      <c r="E242" s="875" t="s">
        <v>322</v>
      </c>
      <c r="F242" s="875" t="s">
        <v>221</v>
      </c>
      <c r="G242" s="875" t="str">
        <f t="shared" si="30"/>
        <v>Euribor6M</v>
      </c>
      <c r="H242" s="874" t="str">
        <f t="shared" si="31"/>
        <v>EUR10F7Y_Quote</v>
      </c>
      <c r="I242" s="877">
        <v>0</v>
      </c>
      <c r="J242" s="43"/>
      <c r="L242" s="895" t="str">
        <f t="shared" si="28"/>
        <v>FwdSw</v>
      </c>
      <c r="M242" s="891" t="str">
        <f t="shared" si="29"/>
        <v>--</v>
      </c>
      <c r="N242" s="894" t="str">
        <f ca="1">IFERROR(_xll.qlRateHelperQuoteName(M242,Trigger),"--")</f>
        <v>--</v>
      </c>
      <c r="O242" s="893" t="str">
        <f ca="1">IFERROR(_xll.qlRateHelperQuoteValue($M242,Trigger),"--")</f>
        <v>--</v>
      </c>
      <c r="P242" s="970" t="b">
        <v>0</v>
      </c>
      <c r="Q242" s="891">
        <v>50</v>
      </c>
      <c r="R242" s="891">
        <v>1</v>
      </c>
      <c r="S242" s="890" t="str">
        <f ca="1">IFERROR(_xll.qlRateHelperEarliestDate(M242,Trigger),"--")</f>
        <v>--</v>
      </c>
      <c r="T242" s="890" t="str">
        <f ca="1">IFERROR(_xll.qlRateHelperPillarDate(M242,Trigger),"--")</f>
        <v>--</v>
      </c>
      <c r="V242" s="4" t="str">
        <f t="shared" ca="1" si="27"/>
        <v/>
      </c>
      <c r="W242" s="4" t="e">
        <f ca="1"/>
        <v>#NAME?</v>
      </c>
      <c r="X242" s="4" t="str">
        <f ca="1">IFERROR(_xll.qlRateHelperQuoteName(W242,Trigger),"")</f>
        <v/>
      </c>
      <c r="Y242" s="889" t="str">
        <f ca="1">IFERROR(_xll.qlRateHelperRate(W242,Trigger),"")</f>
        <v/>
      </c>
      <c r="Z242" s="888" t="str">
        <f ca="1">IF(ISERROR(_xll.qlSwapRateHelperSpread($W242)),IF(ISERROR(_xll.qlFuturesRateHelperConvexityAdjustment($W242)),"",_xll.qlFuturesRateHelperConvexityAdjustment($W242)),_xll.qlSwapRateHelperSpread($W242))</f>
        <v/>
      </c>
      <c r="AA242" s="5" t="str">
        <f ca="1">IFERROR(_xll.qlRateHelperEarliestDate(W242,Trigger),"")</f>
        <v/>
      </c>
      <c r="AB242" s="5" t="str">
        <f ca="1">IFERROR(_xll.qlRateHelperPillarDate(W242,Trigger),"")</f>
        <v/>
      </c>
      <c r="AC242" s="887" t="e">
        <f ca="1"/>
        <v>#NAME?</v>
      </c>
    </row>
    <row r="243" spans="1:29" x14ac:dyDescent="0.2">
      <c r="A243" s="874" t="s">
        <v>410</v>
      </c>
      <c r="B243" s="876" t="s">
        <v>48</v>
      </c>
      <c r="C243" s="875" t="s">
        <v>46</v>
      </c>
      <c r="D243" s="875" t="s">
        <v>323</v>
      </c>
      <c r="E243" s="875" t="s">
        <v>322</v>
      </c>
      <c r="F243" s="875" t="s">
        <v>221</v>
      </c>
      <c r="G243" s="875" t="str">
        <f t="shared" si="30"/>
        <v>Euribor6M</v>
      </c>
      <c r="H243" s="874" t="str">
        <f t="shared" si="31"/>
        <v>EUR10F8Y_Quote</v>
      </c>
      <c r="I243" s="877">
        <v>0</v>
      </c>
      <c r="J243" s="43"/>
      <c r="L243" s="895" t="str">
        <f t="shared" si="28"/>
        <v>FwdSw</v>
      </c>
      <c r="M243" s="891" t="str">
        <f t="shared" si="29"/>
        <v>--</v>
      </c>
      <c r="N243" s="894" t="str">
        <f ca="1">IFERROR(_xll.qlRateHelperQuoteName(M243,Trigger),"--")</f>
        <v>--</v>
      </c>
      <c r="O243" s="893" t="str">
        <f ca="1">IFERROR(_xll.qlRateHelperQuoteValue($M243,Trigger),"--")</f>
        <v>--</v>
      </c>
      <c r="P243" s="970" t="b">
        <v>0</v>
      </c>
      <c r="Q243" s="891">
        <v>50</v>
      </c>
      <c r="R243" s="891">
        <v>1</v>
      </c>
      <c r="S243" s="890" t="str">
        <f ca="1">IFERROR(_xll.qlRateHelperEarliestDate(M243,Trigger),"--")</f>
        <v>--</v>
      </c>
      <c r="T243" s="890" t="str">
        <f ca="1">IFERROR(_xll.qlRateHelperPillarDate(M243,Trigger),"--")</f>
        <v>--</v>
      </c>
      <c r="V243" s="4" t="str">
        <f t="shared" ca="1" si="27"/>
        <v/>
      </c>
      <c r="W243" s="4" t="e">
        <f ca="1"/>
        <v>#NAME?</v>
      </c>
      <c r="X243" s="4" t="str">
        <f ca="1">IFERROR(_xll.qlRateHelperQuoteName(W243,Trigger),"")</f>
        <v/>
      </c>
      <c r="Y243" s="889" t="str">
        <f ca="1">IFERROR(_xll.qlRateHelperRate(W243,Trigger),"")</f>
        <v/>
      </c>
      <c r="Z243" s="888" t="str">
        <f ca="1">IF(ISERROR(_xll.qlSwapRateHelperSpread($W243)),IF(ISERROR(_xll.qlFuturesRateHelperConvexityAdjustment($W243)),"",_xll.qlFuturesRateHelperConvexityAdjustment($W243)),_xll.qlSwapRateHelperSpread($W243))</f>
        <v/>
      </c>
      <c r="AA243" s="5" t="str">
        <f ca="1">IFERROR(_xll.qlRateHelperEarliestDate(W243,Trigger),"")</f>
        <v/>
      </c>
      <c r="AB243" s="5" t="str">
        <f ca="1">IFERROR(_xll.qlRateHelperPillarDate(W243,Trigger),"")</f>
        <v/>
      </c>
      <c r="AC243" s="887" t="e">
        <f ca="1"/>
        <v>#NAME?</v>
      </c>
    </row>
    <row r="244" spans="1:29" x14ac:dyDescent="0.2">
      <c r="A244" s="874" t="s">
        <v>410</v>
      </c>
      <c r="B244" s="876" t="s">
        <v>47</v>
      </c>
      <c r="C244" s="875" t="s">
        <v>46</v>
      </c>
      <c r="D244" s="875" t="s">
        <v>323</v>
      </c>
      <c r="E244" s="875" t="s">
        <v>322</v>
      </c>
      <c r="F244" s="875" t="s">
        <v>221</v>
      </c>
      <c r="G244" s="875" t="str">
        <f t="shared" si="30"/>
        <v>Euribor6M</v>
      </c>
      <c r="H244" s="874" t="str">
        <f t="shared" si="31"/>
        <v>EUR10F9Y_Quote</v>
      </c>
      <c r="I244" s="877">
        <v>0</v>
      </c>
      <c r="J244" s="43"/>
      <c r="L244" s="895" t="str">
        <f t="shared" si="28"/>
        <v>FwdSw</v>
      </c>
      <c r="M244" s="891" t="str">
        <f t="shared" si="29"/>
        <v>--</v>
      </c>
      <c r="N244" s="894" t="str">
        <f ca="1">IFERROR(_xll.qlRateHelperQuoteName(M244,Trigger),"--")</f>
        <v>--</v>
      </c>
      <c r="O244" s="893" t="str">
        <f ca="1">IFERROR(_xll.qlRateHelperQuoteValue($M244,Trigger),"--")</f>
        <v>--</v>
      </c>
      <c r="P244" s="970" t="b">
        <v>0</v>
      </c>
      <c r="Q244" s="891">
        <v>50</v>
      </c>
      <c r="R244" s="891">
        <v>1</v>
      </c>
      <c r="S244" s="890" t="str">
        <f ca="1">IFERROR(_xll.qlRateHelperEarliestDate(M244,Trigger),"--")</f>
        <v>--</v>
      </c>
      <c r="T244" s="890" t="str">
        <f ca="1">IFERROR(_xll.qlRateHelperPillarDate(M244,Trigger),"--")</f>
        <v>--</v>
      </c>
      <c r="V244" s="4" t="str">
        <f t="shared" ca="1" si="27"/>
        <v/>
      </c>
      <c r="W244" s="4" t="e">
        <f ca="1"/>
        <v>#NAME?</v>
      </c>
      <c r="X244" s="4" t="str">
        <f ca="1">IFERROR(_xll.qlRateHelperQuoteName(W244,Trigger),"")</f>
        <v/>
      </c>
      <c r="Y244" s="889" t="str">
        <f ca="1">IFERROR(_xll.qlRateHelperRate(W244,Trigger),"")</f>
        <v/>
      </c>
      <c r="Z244" s="888" t="str">
        <f ca="1">IF(ISERROR(_xll.qlSwapRateHelperSpread($W244)),IF(ISERROR(_xll.qlFuturesRateHelperConvexityAdjustment($W244)),"",_xll.qlFuturesRateHelperConvexityAdjustment($W244)),_xll.qlSwapRateHelperSpread($W244))</f>
        <v/>
      </c>
      <c r="AA244" s="5" t="str">
        <f ca="1">IFERROR(_xll.qlRateHelperEarliestDate(W244,Trigger),"")</f>
        <v/>
      </c>
      <c r="AB244" s="5" t="str">
        <f ca="1">IFERROR(_xll.qlRateHelperPillarDate(W244,Trigger),"")</f>
        <v/>
      </c>
      <c r="AC244" s="887" t="e">
        <f ca="1"/>
        <v>#NAME?</v>
      </c>
    </row>
    <row r="245" spans="1:29" x14ac:dyDescent="0.2">
      <c r="A245" s="874" t="s">
        <v>410</v>
      </c>
      <c r="B245" s="876" t="s">
        <v>46</v>
      </c>
      <c r="C245" s="875" t="s">
        <v>46</v>
      </c>
      <c r="D245" s="875" t="s">
        <v>323</v>
      </c>
      <c r="E245" s="875" t="s">
        <v>322</v>
      </c>
      <c r="F245" s="875" t="s">
        <v>221</v>
      </c>
      <c r="G245" s="875" t="str">
        <f t="shared" si="30"/>
        <v>Euribor6M</v>
      </c>
      <c r="H245" s="874" t="str">
        <f t="shared" si="31"/>
        <v>EUR10F10Y_Quote</v>
      </c>
      <c r="I245" s="877">
        <v>0</v>
      </c>
      <c r="J245" s="43"/>
      <c r="L245" s="895" t="str">
        <f t="shared" si="28"/>
        <v>FwdSw</v>
      </c>
      <c r="M245" s="891" t="str">
        <f t="shared" si="29"/>
        <v>--</v>
      </c>
      <c r="N245" s="894" t="str">
        <f ca="1">IFERROR(_xll.qlRateHelperQuoteName(M245,Trigger),"--")</f>
        <v>--</v>
      </c>
      <c r="O245" s="893" t="str">
        <f ca="1">IFERROR(_xll.qlRateHelperQuoteValue($M245,Trigger),"--")</f>
        <v>--</v>
      </c>
      <c r="P245" s="970" t="b">
        <v>0</v>
      </c>
      <c r="Q245" s="891">
        <v>50</v>
      </c>
      <c r="R245" s="891">
        <v>1</v>
      </c>
      <c r="S245" s="890" t="str">
        <f ca="1">IFERROR(_xll.qlRateHelperEarliestDate(M245,Trigger),"--")</f>
        <v>--</v>
      </c>
      <c r="T245" s="890" t="str">
        <f ca="1">IFERROR(_xll.qlRateHelperPillarDate(M245,Trigger),"--")</f>
        <v>--</v>
      </c>
      <c r="V245" s="4" t="str">
        <f t="shared" ca="1" si="27"/>
        <v/>
      </c>
      <c r="W245" s="4" t="e">
        <f ca="1"/>
        <v>#NAME?</v>
      </c>
      <c r="X245" s="4" t="str">
        <f ca="1">IFERROR(_xll.qlRateHelperQuoteName(W245,Trigger),"")</f>
        <v/>
      </c>
      <c r="Y245" s="889" t="str">
        <f ca="1">IFERROR(_xll.qlRateHelperRate(W245,Trigger),"")</f>
        <v/>
      </c>
      <c r="Z245" s="888" t="str">
        <f ca="1">IF(ISERROR(_xll.qlSwapRateHelperSpread($W245)),IF(ISERROR(_xll.qlFuturesRateHelperConvexityAdjustment($W245)),"",_xll.qlFuturesRateHelperConvexityAdjustment($W245)),_xll.qlSwapRateHelperSpread($W245))</f>
        <v/>
      </c>
      <c r="AA245" s="5" t="str">
        <f ca="1">IFERROR(_xll.qlRateHelperEarliestDate(W245,Trigger),"")</f>
        <v/>
      </c>
      <c r="AB245" s="5" t="str">
        <f ca="1">IFERROR(_xll.qlRateHelperPillarDate(W245,Trigger),"")</f>
        <v/>
      </c>
      <c r="AC245" s="887" t="e">
        <f ca="1"/>
        <v>#NAME?</v>
      </c>
    </row>
    <row r="246" spans="1:29" x14ac:dyDescent="0.2">
      <c r="A246" s="874" t="s">
        <v>410</v>
      </c>
      <c r="B246" s="876" t="s">
        <v>45</v>
      </c>
      <c r="C246" s="875" t="s">
        <v>46</v>
      </c>
      <c r="D246" s="875" t="s">
        <v>323</v>
      </c>
      <c r="E246" s="875" t="s">
        <v>322</v>
      </c>
      <c r="F246" s="875" t="s">
        <v>221</v>
      </c>
      <c r="G246" s="875" t="str">
        <f t="shared" si="30"/>
        <v>Euribor6M</v>
      </c>
      <c r="H246" s="874" t="str">
        <f t="shared" si="31"/>
        <v>EUR10F11Y_Quote</v>
      </c>
      <c r="I246" s="877">
        <v>0</v>
      </c>
      <c r="J246" s="43"/>
      <c r="L246" s="895" t="str">
        <f t="shared" si="28"/>
        <v>FwdSw</v>
      </c>
      <c r="M246" s="891" t="str">
        <f t="shared" si="29"/>
        <v>--</v>
      </c>
      <c r="N246" s="894" t="str">
        <f ca="1">IFERROR(_xll.qlRateHelperQuoteName(M246,Trigger),"--")</f>
        <v>--</v>
      </c>
      <c r="O246" s="893" t="str">
        <f ca="1">IFERROR(_xll.qlRateHelperQuoteValue($M246,Trigger),"--")</f>
        <v>--</v>
      </c>
      <c r="P246" s="970" t="b">
        <v>0</v>
      </c>
      <c r="Q246" s="891">
        <v>50</v>
      </c>
      <c r="R246" s="891">
        <v>1</v>
      </c>
      <c r="S246" s="890" t="str">
        <f ca="1">IFERROR(_xll.qlRateHelperEarliestDate(M246,Trigger),"--")</f>
        <v>--</v>
      </c>
      <c r="T246" s="890" t="str">
        <f ca="1">IFERROR(_xll.qlRateHelperPillarDate(M246,Trigger),"--")</f>
        <v>--</v>
      </c>
      <c r="V246" s="4" t="str">
        <f t="shared" ca="1" si="27"/>
        <v/>
      </c>
      <c r="W246" s="4" t="e">
        <f ca="1"/>
        <v>#NAME?</v>
      </c>
      <c r="X246" s="4" t="str">
        <f ca="1">IFERROR(_xll.qlRateHelperQuoteName(W246,Trigger),"")</f>
        <v/>
      </c>
      <c r="Y246" s="889" t="str">
        <f ca="1">IFERROR(_xll.qlRateHelperRate(W246,Trigger),"")</f>
        <v/>
      </c>
      <c r="Z246" s="888" t="str">
        <f ca="1">IF(ISERROR(_xll.qlSwapRateHelperSpread($W246)),IF(ISERROR(_xll.qlFuturesRateHelperConvexityAdjustment($W246)),"",_xll.qlFuturesRateHelperConvexityAdjustment($W246)),_xll.qlSwapRateHelperSpread($W246))</f>
        <v/>
      </c>
      <c r="AA246" s="5" t="str">
        <f ca="1">IFERROR(_xll.qlRateHelperEarliestDate(W246,Trigger),"")</f>
        <v/>
      </c>
      <c r="AB246" s="5" t="str">
        <f ca="1">IFERROR(_xll.qlRateHelperPillarDate(W246,Trigger),"")</f>
        <v/>
      </c>
      <c r="AC246" s="887" t="e">
        <f ca="1"/>
        <v>#NAME?</v>
      </c>
    </row>
    <row r="247" spans="1:29" x14ac:dyDescent="0.2">
      <c r="A247" s="874" t="s">
        <v>410</v>
      </c>
      <c r="B247" s="876" t="s">
        <v>44</v>
      </c>
      <c r="C247" s="875" t="s">
        <v>46</v>
      </c>
      <c r="D247" s="875" t="s">
        <v>323</v>
      </c>
      <c r="E247" s="875" t="s">
        <v>322</v>
      </c>
      <c r="F247" s="875" t="s">
        <v>221</v>
      </c>
      <c r="G247" s="875" t="str">
        <f t="shared" si="30"/>
        <v>Euribor6M</v>
      </c>
      <c r="H247" s="874" t="str">
        <f t="shared" si="31"/>
        <v>EUR10F12Y_Quote</v>
      </c>
      <c r="I247" s="877">
        <v>0</v>
      </c>
      <c r="J247" s="43"/>
      <c r="L247" s="895" t="str">
        <f t="shared" si="28"/>
        <v>FwdSw</v>
      </c>
      <c r="M247" s="891" t="str">
        <f t="shared" si="29"/>
        <v>--</v>
      </c>
      <c r="N247" s="894" t="str">
        <f ca="1">IFERROR(_xll.qlRateHelperQuoteName(M247,Trigger),"--")</f>
        <v>--</v>
      </c>
      <c r="O247" s="893" t="str">
        <f ca="1">IFERROR(_xll.qlRateHelperQuoteValue($M247,Trigger),"--")</f>
        <v>--</v>
      </c>
      <c r="P247" s="970" t="b">
        <v>0</v>
      </c>
      <c r="Q247" s="891">
        <v>50</v>
      </c>
      <c r="R247" s="891">
        <v>1</v>
      </c>
      <c r="S247" s="890" t="str">
        <f ca="1">IFERROR(_xll.qlRateHelperEarliestDate(M247,Trigger),"--")</f>
        <v>--</v>
      </c>
      <c r="T247" s="890" t="str">
        <f ca="1">IFERROR(_xll.qlRateHelperPillarDate(M247,Trigger),"--")</f>
        <v>--</v>
      </c>
      <c r="V247" s="4" t="str">
        <f t="shared" ca="1" si="27"/>
        <v/>
      </c>
      <c r="W247" s="4" t="e">
        <f ca="1"/>
        <v>#NAME?</v>
      </c>
      <c r="X247" s="4" t="str">
        <f ca="1">IFERROR(_xll.qlRateHelperQuoteName(W247,Trigger),"")</f>
        <v/>
      </c>
      <c r="Y247" s="889" t="str">
        <f ca="1">IFERROR(_xll.qlRateHelperRate(W247,Trigger),"")</f>
        <v/>
      </c>
      <c r="Z247" s="888" t="str">
        <f ca="1">IF(ISERROR(_xll.qlSwapRateHelperSpread($W247)),IF(ISERROR(_xll.qlFuturesRateHelperConvexityAdjustment($W247)),"",_xll.qlFuturesRateHelperConvexityAdjustment($W247)),_xll.qlSwapRateHelperSpread($W247))</f>
        <v/>
      </c>
      <c r="AA247" s="5" t="str">
        <f ca="1">IFERROR(_xll.qlRateHelperEarliestDate(W247,Trigger),"")</f>
        <v/>
      </c>
      <c r="AB247" s="5" t="str">
        <f ca="1">IFERROR(_xll.qlRateHelperPillarDate(W247,Trigger),"")</f>
        <v/>
      </c>
      <c r="AC247" s="887" t="e">
        <f ca="1"/>
        <v>#NAME?</v>
      </c>
    </row>
    <row r="248" spans="1:29" x14ac:dyDescent="0.2">
      <c r="A248" s="874" t="s">
        <v>410</v>
      </c>
      <c r="B248" s="876" t="s">
        <v>43</v>
      </c>
      <c r="C248" s="875" t="s">
        <v>46</v>
      </c>
      <c r="D248" s="875" t="s">
        <v>323</v>
      </c>
      <c r="E248" s="875" t="s">
        <v>322</v>
      </c>
      <c r="F248" s="875" t="s">
        <v>221</v>
      </c>
      <c r="G248" s="875" t="str">
        <f t="shared" si="30"/>
        <v>Euribor6M</v>
      </c>
      <c r="H248" s="874" t="str">
        <f t="shared" si="31"/>
        <v>EUR10F13Y_Quote</v>
      </c>
      <c r="I248" s="877">
        <v>0</v>
      </c>
      <c r="J248" s="43"/>
      <c r="L248" s="895" t="str">
        <f t="shared" si="28"/>
        <v>FwdSw</v>
      </c>
      <c r="M248" s="891" t="str">
        <f t="shared" si="29"/>
        <v>--</v>
      </c>
      <c r="N248" s="894" t="str">
        <f ca="1">IFERROR(_xll.qlRateHelperQuoteName(M248,Trigger),"--")</f>
        <v>--</v>
      </c>
      <c r="O248" s="893" t="str">
        <f ca="1">IFERROR(_xll.qlRateHelperQuoteValue($M248,Trigger),"--")</f>
        <v>--</v>
      </c>
      <c r="P248" s="970" t="b">
        <v>0</v>
      </c>
      <c r="Q248" s="891">
        <v>50</v>
      </c>
      <c r="R248" s="891">
        <v>1</v>
      </c>
      <c r="S248" s="890" t="str">
        <f ca="1">IFERROR(_xll.qlRateHelperEarliestDate(M248,Trigger),"--")</f>
        <v>--</v>
      </c>
      <c r="T248" s="890" t="str">
        <f ca="1">IFERROR(_xll.qlRateHelperPillarDate(M248,Trigger),"--")</f>
        <v>--</v>
      </c>
      <c r="V248" s="4" t="str">
        <f t="shared" ca="1" si="27"/>
        <v/>
      </c>
      <c r="W248" s="4" t="e">
        <f ca="1"/>
        <v>#NAME?</v>
      </c>
      <c r="X248" s="4" t="str">
        <f ca="1">IFERROR(_xll.qlRateHelperQuoteName(W248,Trigger),"")</f>
        <v/>
      </c>
      <c r="Y248" s="889" t="str">
        <f ca="1">IFERROR(_xll.qlRateHelperRate(W248,Trigger),"")</f>
        <v/>
      </c>
      <c r="Z248" s="888" t="str">
        <f ca="1">IF(ISERROR(_xll.qlSwapRateHelperSpread($W248)),IF(ISERROR(_xll.qlFuturesRateHelperConvexityAdjustment($W248)),"",_xll.qlFuturesRateHelperConvexityAdjustment($W248)),_xll.qlSwapRateHelperSpread($W248))</f>
        <v/>
      </c>
      <c r="AA248" s="5" t="str">
        <f ca="1">IFERROR(_xll.qlRateHelperEarliestDate(W248,Trigger),"")</f>
        <v/>
      </c>
      <c r="AB248" s="5" t="str">
        <f ca="1">IFERROR(_xll.qlRateHelperPillarDate(W248,Trigger),"")</f>
        <v/>
      </c>
      <c r="AC248" s="887" t="e">
        <f ca="1"/>
        <v>#NAME?</v>
      </c>
    </row>
    <row r="249" spans="1:29" x14ac:dyDescent="0.2">
      <c r="A249" s="874" t="s">
        <v>410</v>
      </c>
      <c r="B249" s="876" t="s">
        <v>42</v>
      </c>
      <c r="C249" s="875" t="s">
        <v>46</v>
      </c>
      <c r="D249" s="875" t="s">
        <v>323</v>
      </c>
      <c r="E249" s="875" t="s">
        <v>322</v>
      </c>
      <c r="F249" s="875" t="s">
        <v>221</v>
      </c>
      <c r="G249" s="875" t="str">
        <f t="shared" si="30"/>
        <v>Euribor6M</v>
      </c>
      <c r="H249" s="874" t="str">
        <f t="shared" si="31"/>
        <v>EUR10F14Y_Quote</v>
      </c>
      <c r="I249" s="877">
        <v>0</v>
      </c>
      <c r="J249" s="43"/>
      <c r="L249" s="895" t="str">
        <f t="shared" si="28"/>
        <v>FwdSw</v>
      </c>
      <c r="M249" s="891" t="str">
        <f t="shared" si="29"/>
        <v>--</v>
      </c>
      <c r="N249" s="894" t="str">
        <f ca="1">IFERROR(_xll.qlRateHelperQuoteName(M249,Trigger),"--")</f>
        <v>--</v>
      </c>
      <c r="O249" s="893" t="str">
        <f ca="1">IFERROR(_xll.qlRateHelperQuoteValue($M249,Trigger),"--")</f>
        <v>--</v>
      </c>
      <c r="P249" s="970" t="b">
        <v>0</v>
      </c>
      <c r="Q249" s="891">
        <v>50</v>
      </c>
      <c r="R249" s="891">
        <v>1</v>
      </c>
      <c r="S249" s="890" t="str">
        <f ca="1">IFERROR(_xll.qlRateHelperEarliestDate(M249,Trigger),"--")</f>
        <v>--</v>
      </c>
      <c r="T249" s="890" t="str">
        <f ca="1">IFERROR(_xll.qlRateHelperPillarDate(M249,Trigger),"--")</f>
        <v>--</v>
      </c>
      <c r="V249" s="4" t="str">
        <f t="shared" ca="1" si="27"/>
        <v/>
      </c>
      <c r="W249" s="4" t="e">
        <f ca="1"/>
        <v>#NAME?</v>
      </c>
      <c r="X249" s="4" t="str">
        <f ca="1">IFERROR(_xll.qlRateHelperQuoteName(W249,Trigger),"")</f>
        <v/>
      </c>
      <c r="Y249" s="889" t="str">
        <f ca="1">IFERROR(_xll.qlRateHelperRate(W249,Trigger),"")</f>
        <v/>
      </c>
      <c r="Z249" s="888" t="str">
        <f ca="1">IF(ISERROR(_xll.qlSwapRateHelperSpread($W249)),IF(ISERROR(_xll.qlFuturesRateHelperConvexityAdjustment($W249)),"",_xll.qlFuturesRateHelperConvexityAdjustment($W249)),_xll.qlSwapRateHelperSpread($W249))</f>
        <v/>
      </c>
      <c r="AA249" s="5" t="str">
        <f ca="1">IFERROR(_xll.qlRateHelperEarliestDate(W249,Trigger),"")</f>
        <v/>
      </c>
      <c r="AB249" s="5" t="str">
        <f ca="1">IFERROR(_xll.qlRateHelperPillarDate(W249,Trigger),"")</f>
        <v/>
      </c>
      <c r="AC249" s="887" t="e">
        <f ca="1"/>
        <v>#NAME?</v>
      </c>
    </row>
    <row r="250" spans="1:29" x14ac:dyDescent="0.2">
      <c r="A250" s="874" t="s">
        <v>410</v>
      </c>
      <c r="B250" s="876" t="s">
        <v>41</v>
      </c>
      <c r="C250" s="875" t="s">
        <v>46</v>
      </c>
      <c r="D250" s="875" t="s">
        <v>323</v>
      </c>
      <c r="E250" s="875" t="s">
        <v>322</v>
      </c>
      <c r="F250" s="875" t="s">
        <v>221</v>
      </c>
      <c r="G250" s="875" t="str">
        <f t="shared" si="30"/>
        <v>Euribor6M</v>
      </c>
      <c r="H250" s="874" t="str">
        <f t="shared" si="31"/>
        <v>EUR10F15Y_Quote</v>
      </c>
      <c r="I250" s="877">
        <v>0</v>
      </c>
      <c r="J250" s="43"/>
      <c r="L250" s="895" t="str">
        <f t="shared" si="28"/>
        <v>FwdSw</v>
      </c>
      <c r="M250" s="891" t="str">
        <f t="shared" si="29"/>
        <v>--</v>
      </c>
      <c r="N250" s="894" t="str">
        <f ca="1">IFERROR(_xll.qlRateHelperQuoteName(M250,Trigger),"--")</f>
        <v>--</v>
      </c>
      <c r="O250" s="893" t="str">
        <f ca="1">IFERROR(_xll.qlRateHelperQuoteValue($M250,Trigger),"--")</f>
        <v>--</v>
      </c>
      <c r="P250" s="970" t="b">
        <v>0</v>
      </c>
      <c r="Q250" s="891">
        <v>50</v>
      </c>
      <c r="R250" s="891">
        <v>1</v>
      </c>
      <c r="S250" s="890" t="str">
        <f ca="1">IFERROR(_xll.qlRateHelperEarliestDate(M250,Trigger),"--")</f>
        <v>--</v>
      </c>
      <c r="T250" s="890" t="str">
        <f ca="1">IFERROR(_xll.qlRateHelperPillarDate(M250,Trigger),"--")</f>
        <v>--</v>
      </c>
      <c r="V250" s="4" t="str">
        <f t="shared" ca="1" si="27"/>
        <v/>
      </c>
      <c r="W250" s="4" t="e">
        <f ca="1"/>
        <v>#NAME?</v>
      </c>
      <c r="X250" s="4" t="str">
        <f ca="1">IFERROR(_xll.qlRateHelperQuoteName(W250,Trigger),"")</f>
        <v/>
      </c>
      <c r="Y250" s="889" t="str">
        <f ca="1">IFERROR(_xll.qlRateHelperRate(W250,Trigger),"")</f>
        <v/>
      </c>
      <c r="Z250" s="888" t="str">
        <f ca="1">IF(ISERROR(_xll.qlSwapRateHelperSpread($W250)),IF(ISERROR(_xll.qlFuturesRateHelperConvexityAdjustment($W250)),"",_xll.qlFuturesRateHelperConvexityAdjustment($W250)),_xll.qlSwapRateHelperSpread($W250))</f>
        <v/>
      </c>
      <c r="AA250" s="5" t="str">
        <f ca="1">IFERROR(_xll.qlRateHelperEarliestDate(W250,Trigger),"")</f>
        <v/>
      </c>
      <c r="AB250" s="5" t="str">
        <f ca="1">IFERROR(_xll.qlRateHelperPillarDate(W250,Trigger),"")</f>
        <v/>
      </c>
      <c r="AC250" s="887" t="e">
        <f ca="1"/>
        <v>#NAME?</v>
      </c>
    </row>
    <row r="251" spans="1:29" x14ac:dyDescent="0.2">
      <c r="A251" s="874" t="s">
        <v>410</v>
      </c>
      <c r="B251" s="876" t="s">
        <v>36</v>
      </c>
      <c r="C251" s="875" t="s">
        <v>46</v>
      </c>
      <c r="D251" s="875" t="s">
        <v>323</v>
      </c>
      <c r="E251" s="875" t="s">
        <v>322</v>
      </c>
      <c r="F251" s="875" t="s">
        <v>221</v>
      </c>
      <c r="G251" s="875" t="str">
        <f t="shared" si="30"/>
        <v>Euribor6M</v>
      </c>
      <c r="H251" s="874" t="str">
        <f t="shared" si="31"/>
        <v>EUR10F20Y_Quote</v>
      </c>
      <c r="I251" s="877">
        <v>0</v>
      </c>
      <c r="J251" s="43"/>
      <c r="L251" s="895" t="str">
        <f t="shared" si="28"/>
        <v>FwdSw</v>
      </c>
      <c r="M251" s="891" t="str">
        <f t="shared" si="29"/>
        <v>--</v>
      </c>
      <c r="N251" s="894" t="str">
        <f ca="1">IFERROR(_xll.qlRateHelperQuoteName(M251,Trigger),"--")</f>
        <v>--</v>
      </c>
      <c r="O251" s="893" t="str">
        <f ca="1">IFERROR(_xll.qlRateHelperQuoteValue($M251,Trigger),"--")</f>
        <v>--</v>
      </c>
      <c r="P251" s="970" t="b">
        <v>0</v>
      </c>
      <c r="Q251" s="891">
        <v>50</v>
      </c>
      <c r="R251" s="891">
        <v>1</v>
      </c>
      <c r="S251" s="890" t="str">
        <f ca="1">IFERROR(_xll.qlRateHelperEarliestDate(M251,Trigger),"--")</f>
        <v>--</v>
      </c>
      <c r="T251" s="890" t="str">
        <f ca="1">IFERROR(_xll.qlRateHelperPillarDate(M251,Trigger),"--")</f>
        <v>--</v>
      </c>
      <c r="V251" s="4" t="str">
        <f t="shared" ca="1" si="27"/>
        <v/>
      </c>
      <c r="W251" s="4" t="e">
        <f ca="1"/>
        <v>#NAME?</v>
      </c>
      <c r="X251" s="4" t="str">
        <f ca="1">IFERROR(_xll.qlRateHelperQuoteName(W251,Trigger),"")</f>
        <v/>
      </c>
      <c r="Y251" s="889" t="str">
        <f ca="1">IFERROR(_xll.qlRateHelperRate(W251,Trigger),"")</f>
        <v/>
      </c>
      <c r="Z251" s="888" t="str">
        <f ca="1">IF(ISERROR(_xll.qlSwapRateHelperSpread($W251)),IF(ISERROR(_xll.qlFuturesRateHelperConvexityAdjustment($W251)),"",_xll.qlFuturesRateHelperConvexityAdjustment($W251)),_xll.qlSwapRateHelperSpread($W251))</f>
        <v/>
      </c>
      <c r="AA251" s="5" t="str">
        <f ca="1">IFERROR(_xll.qlRateHelperEarliestDate(W251,Trigger),"")</f>
        <v/>
      </c>
      <c r="AB251" s="5" t="str">
        <f ca="1">IFERROR(_xll.qlRateHelperPillarDate(W251,Trigger),"")</f>
        <v/>
      </c>
      <c r="AC251" s="887" t="e">
        <f ca="1"/>
        <v>#NAME?</v>
      </c>
    </row>
    <row r="252" spans="1:29" x14ac:dyDescent="0.2">
      <c r="A252" s="874" t="s">
        <v>410</v>
      </c>
      <c r="B252" s="876" t="s">
        <v>31</v>
      </c>
      <c r="C252" s="875" t="s">
        <v>46</v>
      </c>
      <c r="D252" s="875" t="s">
        <v>323</v>
      </c>
      <c r="E252" s="875" t="s">
        <v>322</v>
      </c>
      <c r="F252" s="875" t="s">
        <v>221</v>
      </c>
      <c r="G252" s="875" t="str">
        <f t="shared" si="30"/>
        <v>Euribor6M</v>
      </c>
      <c r="H252" s="874" t="str">
        <f t="shared" si="31"/>
        <v>EUR10F25Y_Quote</v>
      </c>
      <c r="I252" s="877">
        <v>0</v>
      </c>
      <c r="J252" s="43"/>
      <c r="L252" s="895" t="str">
        <f t="shared" si="28"/>
        <v>FwdSw</v>
      </c>
      <c r="M252" s="891" t="str">
        <f t="shared" si="29"/>
        <v>--</v>
      </c>
      <c r="N252" s="894" t="str">
        <f ca="1">IFERROR(_xll.qlRateHelperQuoteName(M252,Trigger),"--")</f>
        <v>--</v>
      </c>
      <c r="O252" s="893" t="str">
        <f ca="1">IFERROR(_xll.qlRateHelperQuoteValue($M252,Trigger),"--")</f>
        <v>--</v>
      </c>
      <c r="P252" s="970" t="b">
        <v>0</v>
      </c>
      <c r="Q252" s="891">
        <v>50</v>
      </c>
      <c r="R252" s="891">
        <v>1</v>
      </c>
      <c r="S252" s="890" t="str">
        <f ca="1">IFERROR(_xll.qlRateHelperEarliestDate(M252,Trigger),"--")</f>
        <v>--</v>
      </c>
      <c r="T252" s="890" t="str">
        <f ca="1">IFERROR(_xll.qlRateHelperPillarDate(M252,Trigger),"--")</f>
        <v>--</v>
      </c>
      <c r="V252" s="4" t="str">
        <f t="shared" ca="1" si="27"/>
        <v/>
      </c>
      <c r="W252" s="4" t="e">
        <f ca="1"/>
        <v>#NAME?</v>
      </c>
      <c r="X252" s="4" t="str">
        <f ca="1">IFERROR(_xll.qlRateHelperQuoteName(W252,Trigger),"")</f>
        <v/>
      </c>
      <c r="Y252" s="889" t="str">
        <f ca="1">IFERROR(_xll.qlRateHelperRate(W252,Trigger),"")</f>
        <v/>
      </c>
      <c r="Z252" s="888" t="str">
        <f ca="1">IF(ISERROR(_xll.qlSwapRateHelperSpread($W252)),IF(ISERROR(_xll.qlFuturesRateHelperConvexityAdjustment($W252)),"",_xll.qlFuturesRateHelperConvexityAdjustment($W252)),_xll.qlSwapRateHelperSpread($W252))</f>
        <v/>
      </c>
      <c r="AA252" s="5" t="str">
        <f ca="1">IFERROR(_xll.qlRateHelperEarliestDate(W252,Trigger),"")</f>
        <v/>
      </c>
      <c r="AB252" s="5" t="str">
        <f ca="1">IFERROR(_xll.qlRateHelperPillarDate(W252,Trigger),"")</f>
        <v/>
      </c>
      <c r="AC252" s="887" t="e">
        <f ca="1"/>
        <v>#NAME?</v>
      </c>
    </row>
    <row r="253" spans="1:29" x14ac:dyDescent="0.2">
      <c r="A253" s="870" t="s">
        <v>410</v>
      </c>
      <c r="B253" s="872" t="s">
        <v>26</v>
      </c>
      <c r="C253" s="871" t="s">
        <v>46</v>
      </c>
      <c r="D253" s="871" t="s">
        <v>323</v>
      </c>
      <c r="E253" s="871" t="s">
        <v>322</v>
      </c>
      <c r="F253" s="871" t="s">
        <v>221</v>
      </c>
      <c r="G253" s="871" t="str">
        <f t="shared" si="30"/>
        <v>Euribor6M</v>
      </c>
      <c r="H253" s="870" t="str">
        <f t="shared" si="31"/>
        <v>EUR10F30Y_Quote</v>
      </c>
      <c r="I253" s="985">
        <v>0</v>
      </c>
      <c r="J253" s="38"/>
      <c r="L253" s="895" t="str">
        <f t="shared" si="28"/>
        <v>FwdSw</v>
      </c>
      <c r="M253" s="891" t="str">
        <f t="shared" si="29"/>
        <v>--</v>
      </c>
      <c r="N253" s="894" t="str">
        <f ca="1">IFERROR(_xll.qlRateHelperQuoteName(M253,Trigger),"--")</f>
        <v>--</v>
      </c>
      <c r="O253" s="893" t="str">
        <f ca="1">IFERROR(_xll.qlRateHelperQuoteValue($M253,Trigger),"--")</f>
        <v>--</v>
      </c>
      <c r="P253" s="970" t="b">
        <v>0</v>
      </c>
      <c r="Q253" s="891">
        <v>50</v>
      </c>
      <c r="R253" s="891">
        <v>1</v>
      </c>
      <c r="S253" s="890" t="str">
        <f ca="1">IFERROR(_xll.qlRateHelperEarliestDate(M253,Trigger),"--")</f>
        <v>--</v>
      </c>
      <c r="T253" s="890" t="str">
        <f ca="1">IFERROR(_xll.qlRateHelperPillarDate(M253,Trigger),"--")</f>
        <v>--</v>
      </c>
      <c r="V253" s="4" t="str">
        <f t="shared" ca="1" si="27"/>
        <v/>
      </c>
      <c r="W253" s="4" t="e">
        <f ca="1"/>
        <v>#NAME?</v>
      </c>
      <c r="X253" s="4" t="str">
        <f ca="1">IFERROR(_xll.qlRateHelperQuoteName(W253,Trigger),"")</f>
        <v/>
      </c>
      <c r="Y253" s="889" t="str">
        <f ca="1">IFERROR(_xll.qlRateHelperRate(W253,Trigger),"")</f>
        <v/>
      </c>
      <c r="Z253" s="888" t="str">
        <f ca="1">IF(ISERROR(_xll.qlSwapRateHelperSpread($W253)),IF(ISERROR(_xll.qlFuturesRateHelperConvexityAdjustment($W253)),"",_xll.qlFuturesRateHelperConvexityAdjustment($W253)),_xll.qlSwapRateHelperSpread($W253))</f>
        <v/>
      </c>
      <c r="AA253" s="5" t="str">
        <f ca="1">IFERROR(_xll.qlRateHelperEarliestDate(W253,Trigger),"")</f>
        <v/>
      </c>
      <c r="AB253" s="5" t="str">
        <f ca="1">IFERROR(_xll.qlRateHelperPillarDate(W253,Trigger),"")</f>
        <v/>
      </c>
      <c r="AC253" s="887" t="e">
        <f ca="1"/>
        <v>#NAME?</v>
      </c>
    </row>
    <row r="254" spans="1:29" x14ac:dyDescent="0.2">
      <c r="A254" s="874" t="s">
        <v>410</v>
      </c>
      <c r="B254" s="876" t="s">
        <v>58</v>
      </c>
      <c r="C254" s="875" t="s">
        <v>45</v>
      </c>
      <c r="D254" s="875" t="s">
        <v>323</v>
      </c>
      <c r="E254" s="875" t="s">
        <v>322</v>
      </c>
      <c r="F254" s="875" t="s">
        <v>221</v>
      </c>
      <c r="G254" s="875" t="str">
        <f t="shared" si="30"/>
        <v>Euribor6M</v>
      </c>
      <c r="H254" s="874" t="str">
        <f t="shared" si="31"/>
        <v>EUR11F1Y_Quote</v>
      </c>
      <c r="I254" s="877">
        <v>0</v>
      </c>
      <c r="J254" s="43"/>
      <c r="L254" s="895" t="str">
        <f t="shared" si="28"/>
        <v>FwdSw</v>
      </c>
      <c r="M254" s="891" t="str">
        <f t="shared" si="29"/>
        <v>--</v>
      </c>
      <c r="N254" s="894" t="str">
        <f ca="1">IFERROR(_xll.qlRateHelperQuoteName(M254,Trigger),"--")</f>
        <v>--</v>
      </c>
      <c r="O254" s="893" t="str">
        <f ca="1">IFERROR(_xll.qlRateHelperQuoteValue($M254,Trigger),"--")</f>
        <v>--</v>
      </c>
      <c r="P254" s="970" t="b">
        <v>0</v>
      </c>
      <c r="Q254" s="891">
        <v>50</v>
      </c>
      <c r="R254" s="891">
        <v>1</v>
      </c>
      <c r="S254" s="890" t="str">
        <f ca="1">IFERROR(_xll.qlRateHelperEarliestDate(M254,Trigger),"--")</f>
        <v>--</v>
      </c>
      <c r="T254" s="890" t="str">
        <f ca="1">IFERROR(_xll.qlRateHelperPillarDate(M254,Trigger),"--")</f>
        <v>--</v>
      </c>
      <c r="V254" s="4" t="str">
        <f t="shared" ca="1" si="27"/>
        <v/>
      </c>
      <c r="W254" s="4" t="e">
        <f ca="1"/>
        <v>#NAME?</v>
      </c>
      <c r="X254" s="4" t="str">
        <f ca="1">IFERROR(_xll.qlRateHelperQuoteName(W254,Trigger),"")</f>
        <v/>
      </c>
      <c r="Y254" s="889" t="str">
        <f ca="1">IFERROR(_xll.qlRateHelperRate(W254,Trigger),"")</f>
        <v/>
      </c>
      <c r="Z254" s="888" t="str">
        <f ca="1">IF(ISERROR(_xll.qlSwapRateHelperSpread($W254)),IF(ISERROR(_xll.qlFuturesRateHelperConvexityAdjustment($W254)),"",_xll.qlFuturesRateHelperConvexityAdjustment($W254)),_xll.qlSwapRateHelperSpread($W254))</f>
        <v/>
      </c>
      <c r="AA254" s="5" t="str">
        <f ca="1">IFERROR(_xll.qlRateHelperEarliestDate(W254,Trigger),"")</f>
        <v/>
      </c>
      <c r="AB254" s="5" t="str">
        <f ca="1">IFERROR(_xll.qlRateHelperPillarDate(W254,Trigger),"")</f>
        <v/>
      </c>
      <c r="AC254" s="887" t="e">
        <f ca="1"/>
        <v>#NAME?</v>
      </c>
    </row>
    <row r="255" spans="1:29" x14ac:dyDescent="0.2">
      <c r="A255" s="874" t="s">
        <v>410</v>
      </c>
      <c r="B255" s="876" t="s">
        <v>54</v>
      </c>
      <c r="C255" s="875" t="s">
        <v>45</v>
      </c>
      <c r="D255" s="875" t="s">
        <v>323</v>
      </c>
      <c r="E255" s="875" t="s">
        <v>322</v>
      </c>
      <c r="F255" s="875" t="s">
        <v>221</v>
      </c>
      <c r="G255" s="875" t="str">
        <f t="shared" si="30"/>
        <v>Euribor6M</v>
      </c>
      <c r="H255" s="874" t="str">
        <f t="shared" si="31"/>
        <v>EUR11F2Y_Quote</v>
      </c>
      <c r="I255" s="877">
        <v>0</v>
      </c>
      <c r="J255" s="43"/>
      <c r="L255" s="895" t="str">
        <f t="shared" si="28"/>
        <v>FwdSw</v>
      </c>
      <c r="M255" s="891" t="str">
        <f t="shared" si="29"/>
        <v>--</v>
      </c>
      <c r="N255" s="894" t="str">
        <f ca="1">IFERROR(_xll.qlRateHelperQuoteName(M255,Trigger),"--")</f>
        <v>--</v>
      </c>
      <c r="O255" s="893" t="str">
        <f ca="1">IFERROR(_xll.qlRateHelperQuoteValue($M255,Trigger),"--")</f>
        <v>--</v>
      </c>
      <c r="P255" s="970" t="b">
        <v>0</v>
      </c>
      <c r="Q255" s="891">
        <v>50</v>
      </c>
      <c r="R255" s="891">
        <v>1</v>
      </c>
      <c r="S255" s="890" t="str">
        <f ca="1">IFERROR(_xll.qlRateHelperEarliestDate(M255,Trigger),"--")</f>
        <v>--</v>
      </c>
      <c r="T255" s="890" t="str">
        <f ca="1">IFERROR(_xll.qlRateHelperPillarDate(M255,Trigger),"--")</f>
        <v>--</v>
      </c>
      <c r="V255" s="4" t="str">
        <f t="shared" ca="1" si="27"/>
        <v/>
      </c>
      <c r="W255" s="4" t="e">
        <f ca="1"/>
        <v>#NAME?</v>
      </c>
      <c r="X255" s="4" t="str">
        <f ca="1">IFERROR(_xll.qlRateHelperQuoteName(W255,Trigger),"")</f>
        <v/>
      </c>
      <c r="Y255" s="889" t="str">
        <f ca="1">IFERROR(_xll.qlRateHelperRate(W255,Trigger),"")</f>
        <v/>
      </c>
      <c r="Z255" s="888" t="str">
        <f ca="1">IF(ISERROR(_xll.qlSwapRateHelperSpread($W255)),IF(ISERROR(_xll.qlFuturesRateHelperConvexityAdjustment($W255)),"",_xll.qlFuturesRateHelperConvexityAdjustment($W255)),_xll.qlSwapRateHelperSpread($W255))</f>
        <v/>
      </c>
      <c r="AA255" s="5" t="str">
        <f ca="1">IFERROR(_xll.qlRateHelperEarliestDate(W255,Trigger),"")</f>
        <v/>
      </c>
      <c r="AB255" s="5" t="str">
        <f ca="1">IFERROR(_xll.qlRateHelperPillarDate(W255,Trigger),"")</f>
        <v/>
      </c>
      <c r="AC255" s="887" t="e">
        <f ca="1"/>
        <v>#NAME?</v>
      </c>
    </row>
    <row r="256" spans="1:29" x14ac:dyDescent="0.2">
      <c r="A256" s="874" t="s">
        <v>410</v>
      </c>
      <c r="B256" s="876" t="s">
        <v>53</v>
      </c>
      <c r="C256" s="875" t="s">
        <v>45</v>
      </c>
      <c r="D256" s="875" t="s">
        <v>323</v>
      </c>
      <c r="E256" s="875" t="s">
        <v>322</v>
      </c>
      <c r="F256" s="875" t="s">
        <v>221</v>
      </c>
      <c r="G256" s="875" t="str">
        <f t="shared" si="30"/>
        <v>Euribor6M</v>
      </c>
      <c r="H256" s="874" t="str">
        <f t="shared" si="31"/>
        <v>EUR11F3Y_Quote</v>
      </c>
      <c r="I256" s="877">
        <v>0</v>
      </c>
      <c r="J256" s="43"/>
      <c r="L256" s="895" t="str">
        <f t="shared" si="28"/>
        <v>FwdSw</v>
      </c>
      <c r="M256" s="891" t="str">
        <f t="shared" si="29"/>
        <v>--</v>
      </c>
      <c r="N256" s="894" t="str">
        <f ca="1">IFERROR(_xll.qlRateHelperQuoteName(M256,Trigger),"--")</f>
        <v>--</v>
      </c>
      <c r="O256" s="893" t="str">
        <f ca="1">IFERROR(_xll.qlRateHelperQuoteValue($M256,Trigger),"--")</f>
        <v>--</v>
      </c>
      <c r="P256" s="970" t="b">
        <v>0</v>
      </c>
      <c r="Q256" s="891">
        <v>50</v>
      </c>
      <c r="R256" s="891">
        <v>1</v>
      </c>
      <c r="S256" s="890" t="str">
        <f ca="1">IFERROR(_xll.qlRateHelperEarliestDate(M256,Trigger),"--")</f>
        <v>--</v>
      </c>
      <c r="T256" s="890" t="str">
        <f ca="1">IFERROR(_xll.qlRateHelperPillarDate(M256,Trigger),"--")</f>
        <v>--</v>
      </c>
      <c r="V256" s="4" t="str">
        <f t="shared" ca="1" si="27"/>
        <v/>
      </c>
      <c r="W256" s="4" t="e">
        <f ca="1"/>
        <v>#NAME?</v>
      </c>
      <c r="X256" s="4" t="str">
        <f ca="1">IFERROR(_xll.qlRateHelperQuoteName(W256,Trigger),"")</f>
        <v/>
      </c>
      <c r="Y256" s="889" t="str">
        <f ca="1">IFERROR(_xll.qlRateHelperRate(W256,Trigger),"")</f>
        <v/>
      </c>
      <c r="Z256" s="888" t="str">
        <f ca="1">IF(ISERROR(_xll.qlSwapRateHelperSpread($W256)),IF(ISERROR(_xll.qlFuturesRateHelperConvexityAdjustment($W256)),"",_xll.qlFuturesRateHelperConvexityAdjustment($W256)),_xll.qlSwapRateHelperSpread($W256))</f>
        <v/>
      </c>
      <c r="AA256" s="5" t="str">
        <f ca="1">IFERROR(_xll.qlRateHelperEarliestDate(W256,Trigger),"")</f>
        <v/>
      </c>
      <c r="AB256" s="5" t="str">
        <f ca="1">IFERROR(_xll.qlRateHelperPillarDate(W256,Trigger),"")</f>
        <v/>
      </c>
      <c r="AC256" s="887" t="e">
        <f ca="1"/>
        <v>#NAME?</v>
      </c>
    </row>
    <row r="257" spans="1:29" x14ac:dyDescent="0.2">
      <c r="A257" s="874" t="s">
        <v>410</v>
      </c>
      <c r="B257" s="876" t="s">
        <v>52</v>
      </c>
      <c r="C257" s="875" t="s">
        <v>45</v>
      </c>
      <c r="D257" s="875" t="s">
        <v>323</v>
      </c>
      <c r="E257" s="875" t="s">
        <v>322</v>
      </c>
      <c r="F257" s="875" t="s">
        <v>221</v>
      </c>
      <c r="G257" s="875" t="str">
        <f t="shared" si="30"/>
        <v>Euribor6M</v>
      </c>
      <c r="H257" s="874" t="str">
        <f t="shared" si="31"/>
        <v>EUR11F4Y_Quote</v>
      </c>
      <c r="I257" s="877">
        <v>0</v>
      </c>
      <c r="J257" s="43"/>
      <c r="L257" s="895" t="str">
        <f t="shared" si="28"/>
        <v>FwdSw</v>
      </c>
      <c r="M257" s="891" t="str">
        <f t="shared" si="29"/>
        <v>--</v>
      </c>
      <c r="N257" s="894" t="str">
        <f ca="1">IFERROR(_xll.qlRateHelperQuoteName(M257,Trigger),"--")</f>
        <v>--</v>
      </c>
      <c r="O257" s="893" t="str">
        <f ca="1">IFERROR(_xll.qlRateHelperQuoteValue($M257,Trigger),"--")</f>
        <v>--</v>
      </c>
      <c r="P257" s="970" t="b">
        <v>0</v>
      </c>
      <c r="Q257" s="891">
        <v>50</v>
      </c>
      <c r="R257" s="891">
        <v>1</v>
      </c>
      <c r="S257" s="890" t="str">
        <f ca="1">IFERROR(_xll.qlRateHelperEarliestDate(M257,Trigger),"--")</f>
        <v>--</v>
      </c>
      <c r="T257" s="890" t="str">
        <f ca="1">IFERROR(_xll.qlRateHelperPillarDate(M257,Trigger),"--")</f>
        <v>--</v>
      </c>
      <c r="V257" s="4" t="str">
        <f t="shared" ca="1" si="27"/>
        <v/>
      </c>
      <c r="W257" s="4" t="e">
        <f ca="1"/>
        <v>#NAME?</v>
      </c>
      <c r="X257" s="4" t="str">
        <f ca="1">IFERROR(_xll.qlRateHelperQuoteName(W257,Trigger),"")</f>
        <v/>
      </c>
      <c r="Y257" s="889" t="str">
        <f ca="1">IFERROR(_xll.qlRateHelperRate(W257,Trigger),"")</f>
        <v/>
      </c>
      <c r="Z257" s="888" t="str">
        <f ca="1">IF(ISERROR(_xll.qlSwapRateHelperSpread($W257)),IF(ISERROR(_xll.qlFuturesRateHelperConvexityAdjustment($W257)),"",_xll.qlFuturesRateHelperConvexityAdjustment($W257)),_xll.qlSwapRateHelperSpread($W257))</f>
        <v/>
      </c>
      <c r="AA257" s="5" t="str">
        <f ca="1">IFERROR(_xll.qlRateHelperEarliestDate(W257,Trigger),"")</f>
        <v/>
      </c>
      <c r="AB257" s="5" t="str">
        <f ca="1">IFERROR(_xll.qlRateHelperPillarDate(W257,Trigger),"")</f>
        <v/>
      </c>
      <c r="AC257" s="887" t="e">
        <f ca="1"/>
        <v>#NAME?</v>
      </c>
    </row>
    <row r="258" spans="1:29" x14ac:dyDescent="0.2">
      <c r="A258" s="874" t="s">
        <v>410</v>
      </c>
      <c r="B258" s="876" t="s">
        <v>51</v>
      </c>
      <c r="C258" s="875" t="s">
        <v>45</v>
      </c>
      <c r="D258" s="875" t="s">
        <v>323</v>
      </c>
      <c r="E258" s="875" t="s">
        <v>322</v>
      </c>
      <c r="F258" s="875" t="s">
        <v>221</v>
      </c>
      <c r="G258" s="875" t="str">
        <f t="shared" si="30"/>
        <v>Euribor6M</v>
      </c>
      <c r="H258" s="874" t="str">
        <f t="shared" si="31"/>
        <v>EUR11F5Y_Quote</v>
      </c>
      <c r="I258" s="877">
        <v>0</v>
      </c>
      <c r="J258" s="43"/>
      <c r="L258" s="895" t="str">
        <f t="shared" si="28"/>
        <v>FwdSw</v>
      </c>
      <c r="M258" s="891" t="str">
        <f t="shared" si="29"/>
        <v>--</v>
      </c>
      <c r="N258" s="894" t="str">
        <f ca="1">IFERROR(_xll.qlRateHelperQuoteName(M258,Trigger),"--")</f>
        <v>--</v>
      </c>
      <c r="O258" s="893" t="str">
        <f ca="1">IFERROR(_xll.qlRateHelperQuoteValue($M258,Trigger),"--")</f>
        <v>--</v>
      </c>
      <c r="P258" s="970" t="b">
        <v>0</v>
      </c>
      <c r="Q258" s="891">
        <v>50</v>
      </c>
      <c r="R258" s="891">
        <v>1</v>
      </c>
      <c r="S258" s="890" t="str">
        <f ca="1">IFERROR(_xll.qlRateHelperEarliestDate(M258,Trigger),"--")</f>
        <v>--</v>
      </c>
      <c r="T258" s="890" t="str">
        <f ca="1">IFERROR(_xll.qlRateHelperPillarDate(M258,Trigger),"--")</f>
        <v>--</v>
      </c>
      <c r="V258" s="4" t="str">
        <f t="shared" ca="1" si="27"/>
        <v/>
      </c>
      <c r="W258" s="4" t="e">
        <f ca="1"/>
        <v>#NAME?</v>
      </c>
      <c r="X258" s="4" t="str">
        <f ca="1">IFERROR(_xll.qlRateHelperQuoteName(W258,Trigger),"")</f>
        <v/>
      </c>
      <c r="Y258" s="889" t="str">
        <f ca="1">IFERROR(_xll.qlRateHelperRate(W258,Trigger),"")</f>
        <v/>
      </c>
      <c r="Z258" s="888" t="str">
        <f ca="1">IF(ISERROR(_xll.qlSwapRateHelperSpread($W258)),IF(ISERROR(_xll.qlFuturesRateHelperConvexityAdjustment($W258)),"",_xll.qlFuturesRateHelperConvexityAdjustment($W258)),_xll.qlSwapRateHelperSpread($W258))</f>
        <v/>
      </c>
      <c r="AA258" s="5" t="str">
        <f ca="1">IFERROR(_xll.qlRateHelperEarliestDate(W258,Trigger),"")</f>
        <v/>
      </c>
      <c r="AB258" s="5" t="str">
        <f ca="1">IFERROR(_xll.qlRateHelperPillarDate(W258,Trigger),"")</f>
        <v/>
      </c>
      <c r="AC258" s="887" t="e">
        <f ca="1"/>
        <v>#NAME?</v>
      </c>
    </row>
    <row r="259" spans="1:29" x14ac:dyDescent="0.2">
      <c r="A259" s="874" t="s">
        <v>410</v>
      </c>
      <c r="B259" s="876" t="s">
        <v>50</v>
      </c>
      <c r="C259" s="875" t="s">
        <v>45</v>
      </c>
      <c r="D259" s="875" t="s">
        <v>323</v>
      </c>
      <c r="E259" s="875" t="s">
        <v>322</v>
      </c>
      <c r="F259" s="875" t="s">
        <v>221</v>
      </c>
      <c r="G259" s="875" t="str">
        <f t="shared" si="30"/>
        <v>Euribor6M</v>
      </c>
      <c r="H259" s="874" t="str">
        <f t="shared" si="31"/>
        <v>EUR11F6Y_Quote</v>
      </c>
      <c r="I259" s="877">
        <v>0</v>
      </c>
      <c r="J259" s="43"/>
      <c r="L259" s="895" t="str">
        <f t="shared" si="28"/>
        <v>FwdSw</v>
      </c>
      <c r="M259" s="891" t="str">
        <f t="shared" si="29"/>
        <v>--</v>
      </c>
      <c r="N259" s="894" t="str">
        <f ca="1">IFERROR(_xll.qlRateHelperQuoteName(M259,Trigger),"--")</f>
        <v>--</v>
      </c>
      <c r="O259" s="893" t="str">
        <f ca="1">IFERROR(_xll.qlRateHelperQuoteValue($M259,Trigger),"--")</f>
        <v>--</v>
      </c>
      <c r="P259" s="970" t="b">
        <v>0</v>
      </c>
      <c r="Q259" s="891">
        <v>50</v>
      </c>
      <c r="R259" s="891">
        <v>1</v>
      </c>
      <c r="S259" s="890" t="str">
        <f ca="1">IFERROR(_xll.qlRateHelperEarliestDate(M259,Trigger),"--")</f>
        <v>--</v>
      </c>
      <c r="T259" s="890" t="str">
        <f ca="1">IFERROR(_xll.qlRateHelperPillarDate(M259,Trigger),"--")</f>
        <v>--</v>
      </c>
      <c r="V259" s="4" t="str">
        <f t="shared" ref="V259:V322" ca="1" si="32">IFERROR(INDEX($L$3:$L$391,MATCH(X259,$N$3:$N$391,0),1),"")</f>
        <v/>
      </c>
      <c r="W259" s="4" t="e">
        <f ca="1"/>
        <v>#NAME?</v>
      </c>
      <c r="X259" s="4" t="str">
        <f ca="1">IFERROR(_xll.qlRateHelperQuoteName(W259,Trigger),"")</f>
        <v/>
      </c>
      <c r="Y259" s="889" t="str">
        <f ca="1">IFERROR(_xll.qlRateHelperRate(W259,Trigger),"")</f>
        <v/>
      </c>
      <c r="Z259" s="888" t="str">
        <f ca="1">IF(ISERROR(_xll.qlSwapRateHelperSpread($W259)),IF(ISERROR(_xll.qlFuturesRateHelperConvexityAdjustment($W259)),"",_xll.qlFuturesRateHelperConvexityAdjustment($W259)),_xll.qlSwapRateHelperSpread($W259))</f>
        <v/>
      </c>
      <c r="AA259" s="5" t="str">
        <f ca="1">IFERROR(_xll.qlRateHelperEarliestDate(W259,Trigger),"")</f>
        <v/>
      </c>
      <c r="AB259" s="5" t="str">
        <f ca="1">IFERROR(_xll.qlRateHelperPillarDate(W259,Trigger),"")</f>
        <v/>
      </c>
      <c r="AC259" s="887" t="e">
        <f ca="1"/>
        <v>#NAME?</v>
      </c>
    </row>
    <row r="260" spans="1:29" x14ac:dyDescent="0.2">
      <c r="A260" s="874" t="s">
        <v>410</v>
      </c>
      <c r="B260" s="876" t="s">
        <v>49</v>
      </c>
      <c r="C260" s="875" t="s">
        <v>45</v>
      </c>
      <c r="D260" s="875" t="s">
        <v>323</v>
      </c>
      <c r="E260" s="875" t="s">
        <v>322</v>
      </c>
      <c r="F260" s="875" t="s">
        <v>221</v>
      </c>
      <c r="G260" s="875" t="str">
        <f t="shared" si="30"/>
        <v>Euribor6M</v>
      </c>
      <c r="H260" s="874" t="str">
        <f t="shared" si="31"/>
        <v>EUR11F7Y_Quote</v>
      </c>
      <c r="I260" s="877">
        <v>0</v>
      </c>
      <c r="J260" s="43"/>
      <c r="L260" s="895" t="str">
        <f t="shared" ref="L260:L323" si="33">A266</f>
        <v>FwdSw</v>
      </c>
      <c r="M260" s="891" t="str">
        <f t="shared" ref="M260:M323" si="34">IF(ISBLANK(J266),"--",J266)</f>
        <v>--</v>
      </c>
      <c r="N260" s="894" t="str">
        <f ca="1">IFERROR(_xll.qlRateHelperQuoteName(M260,Trigger),"--")</f>
        <v>--</v>
      </c>
      <c r="O260" s="893" t="str">
        <f ca="1">IFERROR(_xll.qlRateHelperQuoteValue($M260,Trigger),"--")</f>
        <v>--</v>
      </c>
      <c r="P260" s="970" t="b">
        <v>0</v>
      </c>
      <c r="Q260" s="891">
        <v>50</v>
      </c>
      <c r="R260" s="891">
        <v>1</v>
      </c>
      <c r="S260" s="890" t="str">
        <f ca="1">IFERROR(_xll.qlRateHelperEarliestDate(M260,Trigger),"--")</f>
        <v>--</v>
      </c>
      <c r="T260" s="890" t="str">
        <f ca="1">IFERROR(_xll.qlRateHelperPillarDate(M260,Trigger),"--")</f>
        <v>--</v>
      </c>
      <c r="V260" s="4" t="str">
        <f t="shared" ca="1" si="32"/>
        <v/>
      </c>
      <c r="W260" s="4" t="e">
        <f ca="1"/>
        <v>#NAME?</v>
      </c>
      <c r="X260" s="4" t="str">
        <f ca="1">IFERROR(_xll.qlRateHelperQuoteName(W260,Trigger),"")</f>
        <v/>
      </c>
      <c r="Y260" s="889" t="str">
        <f ca="1">IFERROR(_xll.qlRateHelperRate(W260,Trigger),"")</f>
        <v/>
      </c>
      <c r="Z260" s="888" t="str">
        <f ca="1">IF(ISERROR(_xll.qlSwapRateHelperSpread($W260)),IF(ISERROR(_xll.qlFuturesRateHelperConvexityAdjustment($W260)),"",_xll.qlFuturesRateHelperConvexityAdjustment($W260)),_xll.qlSwapRateHelperSpread($W260))</f>
        <v/>
      </c>
      <c r="AA260" s="5" t="str">
        <f ca="1">IFERROR(_xll.qlRateHelperEarliestDate(W260,Trigger),"")</f>
        <v/>
      </c>
      <c r="AB260" s="5" t="str">
        <f ca="1">IFERROR(_xll.qlRateHelperPillarDate(W260,Trigger),"")</f>
        <v/>
      </c>
      <c r="AC260" s="887" t="e">
        <f ca="1"/>
        <v>#NAME?</v>
      </c>
    </row>
    <row r="261" spans="1:29" x14ac:dyDescent="0.2">
      <c r="A261" s="874" t="s">
        <v>410</v>
      </c>
      <c r="B261" s="876" t="s">
        <v>48</v>
      </c>
      <c r="C261" s="875" t="s">
        <v>45</v>
      </c>
      <c r="D261" s="875" t="s">
        <v>323</v>
      </c>
      <c r="E261" s="875" t="s">
        <v>322</v>
      </c>
      <c r="F261" s="875" t="s">
        <v>221</v>
      </c>
      <c r="G261" s="875" t="str">
        <f t="shared" si="30"/>
        <v>Euribor6M</v>
      </c>
      <c r="H261" s="874" t="str">
        <f t="shared" si="31"/>
        <v>EUR11F8Y_Quote</v>
      </c>
      <c r="I261" s="877">
        <v>0</v>
      </c>
      <c r="J261" s="43"/>
      <c r="L261" s="895" t="str">
        <f t="shared" si="33"/>
        <v>FwdSw</v>
      </c>
      <c r="M261" s="891" t="str">
        <f t="shared" si="34"/>
        <v>--</v>
      </c>
      <c r="N261" s="894" t="str">
        <f ca="1">IFERROR(_xll.qlRateHelperQuoteName(M261,Trigger),"--")</f>
        <v>--</v>
      </c>
      <c r="O261" s="893" t="str">
        <f ca="1">IFERROR(_xll.qlRateHelperQuoteValue($M261,Trigger),"--")</f>
        <v>--</v>
      </c>
      <c r="P261" s="970" t="b">
        <v>0</v>
      </c>
      <c r="Q261" s="891">
        <v>50</v>
      </c>
      <c r="R261" s="891">
        <v>1</v>
      </c>
      <c r="S261" s="890" t="str">
        <f ca="1">IFERROR(_xll.qlRateHelperEarliestDate(M261,Trigger),"--")</f>
        <v>--</v>
      </c>
      <c r="T261" s="890" t="str">
        <f ca="1">IFERROR(_xll.qlRateHelperPillarDate(M261,Trigger),"--")</f>
        <v>--</v>
      </c>
      <c r="V261" s="4" t="str">
        <f t="shared" ca="1" si="32"/>
        <v/>
      </c>
      <c r="W261" s="4" t="e">
        <f ca="1"/>
        <v>#NAME?</v>
      </c>
      <c r="X261" s="4" t="str">
        <f ca="1">IFERROR(_xll.qlRateHelperQuoteName(W261,Trigger),"")</f>
        <v/>
      </c>
      <c r="Y261" s="889" t="str">
        <f ca="1">IFERROR(_xll.qlRateHelperRate(W261,Trigger),"")</f>
        <v/>
      </c>
      <c r="Z261" s="888" t="str">
        <f ca="1">IF(ISERROR(_xll.qlSwapRateHelperSpread($W261)),IF(ISERROR(_xll.qlFuturesRateHelperConvexityAdjustment($W261)),"",_xll.qlFuturesRateHelperConvexityAdjustment($W261)),_xll.qlSwapRateHelperSpread($W261))</f>
        <v/>
      </c>
      <c r="AA261" s="5" t="str">
        <f ca="1">IFERROR(_xll.qlRateHelperEarliestDate(W261,Trigger),"")</f>
        <v/>
      </c>
      <c r="AB261" s="5" t="str">
        <f ca="1">IFERROR(_xll.qlRateHelperPillarDate(W261,Trigger),"")</f>
        <v/>
      </c>
      <c r="AC261" s="887" t="e">
        <f ca="1"/>
        <v>#NAME?</v>
      </c>
    </row>
    <row r="262" spans="1:29" x14ac:dyDescent="0.2">
      <c r="A262" s="874" t="s">
        <v>410</v>
      </c>
      <c r="B262" s="876" t="s">
        <v>47</v>
      </c>
      <c r="C262" s="875" t="s">
        <v>45</v>
      </c>
      <c r="D262" s="875" t="s">
        <v>323</v>
      </c>
      <c r="E262" s="875" t="s">
        <v>322</v>
      </c>
      <c r="F262" s="875" t="s">
        <v>221</v>
      </c>
      <c r="G262" s="875" t="str">
        <f t="shared" si="30"/>
        <v>Euribor6M</v>
      </c>
      <c r="H262" s="874" t="str">
        <f t="shared" si="31"/>
        <v>EUR11F9Y_Quote</v>
      </c>
      <c r="I262" s="877">
        <v>0</v>
      </c>
      <c r="J262" s="43"/>
      <c r="L262" s="895" t="str">
        <f t="shared" si="33"/>
        <v>FwdSw</v>
      </c>
      <c r="M262" s="891" t="str">
        <f t="shared" si="34"/>
        <v>--</v>
      </c>
      <c r="N262" s="894" t="str">
        <f ca="1">IFERROR(_xll.qlRateHelperQuoteName(M262,Trigger),"--")</f>
        <v>--</v>
      </c>
      <c r="O262" s="893" t="str">
        <f ca="1">IFERROR(_xll.qlRateHelperQuoteValue($M262,Trigger),"--")</f>
        <v>--</v>
      </c>
      <c r="P262" s="970" t="b">
        <v>0</v>
      </c>
      <c r="Q262" s="891">
        <v>50</v>
      </c>
      <c r="R262" s="891">
        <v>1</v>
      </c>
      <c r="S262" s="890" t="str">
        <f ca="1">IFERROR(_xll.qlRateHelperEarliestDate(M262,Trigger),"--")</f>
        <v>--</v>
      </c>
      <c r="T262" s="890" t="str">
        <f ca="1">IFERROR(_xll.qlRateHelperPillarDate(M262,Trigger),"--")</f>
        <v>--</v>
      </c>
      <c r="V262" s="4" t="str">
        <f t="shared" ca="1" si="32"/>
        <v/>
      </c>
      <c r="W262" s="4" t="e">
        <f ca="1"/>
        <v>#NAME?</v>
      </c>
      <c r="X262" s="4" t="str">
        <f ca="1">IFERROR(_xll.qlRateHelperQuoteName(W262,Trigger),"")</f>
        <v/>
      </c>
      <c r="Y262" s="889" t="str">
        <f ca="1">IFERROR(_xll.qlRateHelperRate(W262,Trigger),"")</f>
        <v/>
      </c>
      <c r="Z262" s="888" t="str">
        <f ca="1">IF(ISERROR(_xll.qlSwapRateHelperSpread($W262)),IF(ISERROR(_xll.qlFuturesRateHelperConvexityAdjustment($W262)),"",_xll.qlFuturesRateHelperConvexityAdjustment($W262)),_xll.qlSwapRateHelperSpread($W262))</f>
        <v/>
      </c>
      <c r="AA262" s="5" t="str">
        <f ca="1">IFERROR(_xll.qlRateHelperEarliestDate(W262,Trigger),"")</f>
        <v/>
      </c>
      <c r="AB262" s="5" t="str">
        <f ca="1">IFERROR(_xll.qlRateHelperPillarDate(W262,Trigger),"")</f>
        <v/>
      </c>
      <c r="AC262" s="887" t="e">
        <f ca="1"/>
        <v>#NAME?</v>
      </c>
    </row>
    <row r="263" spans="1:29" x14ac:dyDescent="0.2">
      <c r="A263" s="874" t="s">
        <v>410</v>
      </c>
      <c r="B263" s="876" t="s">
        <v>46</v>
      </c>
      <c r="C263" s="875" t="s">
        <v>45</v>
      </c>
      <c r="D263" s="875" t="s">
        <v>323</v>
      </c>
      <c r="E263" s="875" t="s">
        <v>322</v>
      </c>
      <c r="F263" s="875" t="s">
        <v>221</v>
      </c>
      <c r="G263" s="875" t="str">
        <f t="shared" si="30"/>
        <v>Euribor6M</v>
      </c>
      <c r="H263" s="874" t="str">
        <f t="shared" si="31"/>
        <v>EUR11F10Y_Quote</v>
      </c>
      <c r="I263" s="877">
        <v>0</v>
      </c>
      <c r="J263" s="43"/>
      <c r="L263" s="895" t="str">
        <f t="shared" si="33"/>
        <v>FwdSw</v>
      </c>
      <c r="M263" s="891" t="str">
        <f t="shared" si="34"/>
        <v>--</v>
      </c>
      <c r="N263" s="894" t="str">
        <f ca="1">IFERROR(_xll.qlRateHelperQuoteName(M263,Trigger),"--")</f>
        <v>--</v>
      </c>
      <c r="O263" s="893" t="str">
        <f ca="1">IFERROR(_xll.qlRateHelperQuoteValue($M263,Trigger),"--")</f>
        <v>--</v>
      </c>
      <c r="P263" s="970" t="b">
        <v>0</v>
      </c>
      <c r="Q263" s="891">
        <v>50</v>
      </c>
      <c r="R263" s="891">
        <v>1</v>
      </c>
      <c r="S263" s="890" t="str">
        <f ca="1">IFERROR(_xll.qlRateHelperEarliestDate(M263,Trigger),"--")</f>
        <v>--</v>
      </c>
      <c r="T263" s="890" t="str">
        <f ca="1">IFERROR(_xll.qlRateHelperPillarDate(M263,Trigger),"--")</f>
        <v>--</v>
      </c>
      <c r="V263" s="4" t="str">
        <f t="shared" ca="1" si="32"/>
        <v/>
      </c>
      <c r="W263" s="4" t="e">
        <f ca="1"/>
        <v>#NAME?</v>
      </c>
      <c r="X263" s="4" t="str">
        <f ca="1">IFERROR(_xll.qlRateHelperQuoteName(W263,Trigger),"")</f>
        <v/>
      </c>
      <c r="Y263" s="889" t="str">
        <f ca="1">IFERROR(_xll.qlRateHelperRate(W263,Trigger),"")</f>
        <v/>
      </c>
      <c r="Z263" s="888" t="str">
        <f ca="1">IF(ISERROR(_xll.qlSwapRateHelperSpread($W263)),IF(ISERROR(_xll.qlFuturesRateHelperConvexityAdjustment($W263)),"",_xll.qlFuturesRateHelperConvexityAdjustment($W263)),_xll.qlSwapRateHelperSpread($W263))</f>
        <v/>
      </c>
      <c r="AA263" s="5" t="str">
        <f ca="1">IFERROR(_xll.qlRateHelperEarliestDate(W263,Trigger),"")</f>
        <v/>
      </c>
      <c r="AB263" s="5" t="str">
        <f ca="1">IFERROR(_xll.qlRateHelperPillarDate(W263,Trigger),"")</f>
        <v/>
      </c>
      <c r="AC263" s="887" t="e">
        <f ca="1"/>
        <v>#NAME?</v>
      </c>
    </row>
    <row r="264" spans="1:29" x14ac:dyDescent="0.2">
      <c r="A264" s="874" t="s">
        <v>410</v>
      </c>
      <c r="B264" s="876" t="s">
        <v>45</v>
      </c>
      <c r="C264" s="875" t="s">
        <v>45</v>
      </c>
      <c r="D264" s="875" t="s">
        <v>323</v>
      </c>
      <c r="E264" s="875" t="s">
        <v>322</v>
      </c>
      <c r="F264" s="875" t="s">
        <v>221</v>
      </c>
      <c r="G264" s="875" t="str">
        <f t="shared" si="30"/>
        <v>Euribor6M</v>
      </c>
      <c r="H264" s="874" t="str">
        <f t="shared" si="31"/>
        <v>EUR11F11Y_Quote</v>
      </c>
      <c r="I264" s="877">
        <v>0</v>
      </c>
      <c r="J264" s="43"/>
      <c r="L264" s="895" t="str">
        <f t="shared" si="33"/>
        <v>FwdSw</v>
      </c>
      <c r="M264" s="891" t="str">
        <f t="shared" si="34"/>
        <v>--</v>
      </c>
      <c r="N264" s="894" t="str">
        <f ca="1">IFERROR(_xll.qlRateHelperQuoteName(M264,Trigger),"--")</f>
        <v>--</v>
      </c>
      <c r="O264" s="893" t="str">
        <f ca="1">IFERROR(_xll.qlRateHelperQuoteValue($M264,Trigger),"--")</f>
        <v>--</v>
      </c>
      <c r="P264" s="970" t="b">
        <v>0</v>
      </c>
      <c r="Q264" s="891">
        <v>50</v>
      </c>
      <c r="R264" s="891">
        <v>1</v>
      </c>
      <c r="S264" s="890" t="str">
        <f ca="1">IFERROR(_xll.qlRateHelperEarliestDate(M264,Trigger),"--")</f>
        <v>--</v>
      </c>
      <c r="T264" s="890" t="str">
        <f ca="1">IFERROR(_xll.qlRateHelperPillarDate(M264,Trigger),"--")</f>
        <v>--</v>
      </c>
      <c r="V264" s="4" t="str">
        <f t="shared" ca="1" si="32"/>
        <v/>
      </c>
      <c r="W264" s="4" t="e">
        <f ca="1"/>
        <v>#NAME?</v>
      </c>
      <c r="X264" s="4" t="str">
        <f ca="1">IFERROR(_xll.qlRateHelperQuoteName(W264,Trigger),"")</f>
        <v/>
      </c>
      <c r="Y264" s="889" t="str">
        <f ca="1">IFERROR(_xll.qlRateHelperRate(W264,Trigger),"")</f>
        <v/>
      </c>
      <c r="Z264" s="888" t="str">
        <f ca="1">IF(ISERROR(_xll.qlSwapRateHelperSpread($W264)),IF(ISERROR(_xll.qlFuturesRateHelperConvexityAdjustment($W264)),"",_xll.qlFuturesRateHelperConvexityAdjustment($W264)),_xll.qlSwapRateHelperSpread($W264))</f>
        <v/>
      </c>
      <c r="AA264" s="5" t="str">
        <f ca="1">IFERROR(_xll.qlRateHelperEarliestDate(W264,Trigger),"")</f>
        <v/>
      </c>
      <c r="AB264" s="5" t="str">
        <f ca="1">IFERROR(_xll.qlRateHelperPillarDate(W264,Trigger),"")</f>
        <v/>
      </c>
      <c r="AC264" s="887" t="e">
        <f ca="1"/>
        <v>#NAME?</v>
      </c>
    </row>
    <row r="265" spans="1:29" x14ac:dyDescent="0.2">
      <c r="A265" s="874" t="s">
        <v>410</v>
      </c>
      <c r="B265" s="876" t="s">
        <v>44</v>
      </c>
      <c r="C265" s="875" t="s">
        <v>45</v>
      </c>
      <c r="D265" s="875" t="s">
        <v>323</v>
      </c>
      <c r="E265" s="875" t="s">
        <v>322</v>
      </c>
      <c r="F265" s="875" t="s">
        <v>221</v>
      </c>
      <c r="G265" s="875" t="str">
        <f t="shared" si="30"/>
        <v>Euribor6M</v>
      </c>
      <c r="H265" s="874" t="str">
        <f t="shared" si="31"/>
        <v>EUR11F12Y_Quote</v>
      </c>
      <c r="I265" s="877">
        <v>0</v>
      </c>
      <c r="J265" s="43"/>
      <c r="L265" s="895" t="str">
        <f t="shared" si="33"/>
        <v>FwdSw</v>
      </c>
      <c r="M265" s="891" t="str">
        <f t="shared" si="34"/>
        <v>--</v>
      </c>
      <c r="N265" s="894" t="str">
        <f ca="1">IFERROR(_xll.qlRateHelperQuoteName(M265,Trigger),"--")</f>
        <v>--</v>
      </c>
      <c r="O265" s="893" t="str">
        <f ca="1">IFERROR(_xll.qlRateHelperQuoteValue($M265,Trigger),"--")</f>
        <v>--</v>
      </c>
      <c r="P265" s="970" t="b">
        <v>0</v>
      </c>
      <c r="Q265" s="891">
        <v>50</v>
      </c>
      <c r="R265" s="891">
        <v>1</v>
      </c>
      <c r="S265" s="890" t="str">
        <f ca="1">IFERROR(_xll.qlRateHelperEarliestDate(M265,Trigger),"--")</f>
        <v>--</v>
      </c>
      <c r="T265" s="890" t="str">
        <f ca="1">IFERROR(_xll.qlRateHelperPillarDate(M265,Trigger),"--")</f>
        <v>--</v>
      </c>
      <c r="V265" s="4" t="str">
        <f t="shared" ca="1" si="32"/>
        <v/>
      </c>
      <c r="W265" s="4" t="e">
        <f ca="1"/>
        <v>#NAME?</v>
      </c>
      <c r="X265" s="4" t="str">
        <f ca="1">IFERROR(_xll.qlRateHelperQuoteName(W265,Trigger),"")</f>
        <v/>
      </c>
      <c r="Y265" s="889" t="str">
        <f ca="1">IFERROR(_xll.qlRateHelperRate(W265,Trigger),"")</f>
        <v/>
      </c>
      <c r="Z265" s="888" t="str">
        <f ca="1">IF(ISERROR(_xll.qlSwapRateHelperSpread($W265)),IF(ISERROR(_xll.qlFuturesRateHelperConvexityAdjustment($W265)),"",_xll.qlFuturesRateHelperConvexityAdjustment($W265)),_xll.qlSwapRateHelperSpread($W265))</f>
        <v/>
      </c>
      <c r="AA265" s="5" t="str">
        <f ca="1">IFERROR(_xll.qlRateHelperEarliestDate(W265,Trigger),"")</f>
        <v/>
      </c>
      <c r="AB265" s="5" t="str">
        <f ca="1">IFERROR(_xll.qlRateHelperPillarDate(W265,Trigger),"")</f>
        <v/>
      </c>
      <c r="AC265" s="887" t="e">
        <f ca="1"/>
        <v>#NAME?</v>
      </c>
    </row>
    <row r="266" spans="1:29" x14ac:dyDescent="0.2">
      <c r="A266" s="874" t="s">
        <v>410</v>
      </c>
      <c r="B266" s="876" t="s">
        <v>43</v>
      </c>
      <c r="C266" s="875" t="s">
        <v>45</v>
      </c>
      <c r="D266" s="875" t="s">
        <v>323</v>
      </c>
      <c r="E266" s="875" t="s">
        <v>322</v>
      </c>
      <c r="F266" s="875" t="s">
        <v>221</v>
      </c>
      <c r="G266" s="875" t="str">
        <f t="shared" ref="G266:G329" si="35">PROPER(Currency)&amp;FamilyName&amp;Tenor</f>
        <v>Euribor6M</v>
      </c>
      <c r="H266" s="874" t="str">
        <f t="shared" ref="H266:H329" si="36">Currency&amp;SUBSTITUTE(C266,"Y","F")&amp;B266&amp;QuoteSuffix</f>
        <v>EUR11F13Y_Quote</v>
      </c>
      <c r="I266" s="877">
        <v>0</v>
      </c>
      <c r="J266" s="43"/>
      <c r="L266" s="895" t="str">
        <f t="shared" si="33"/>
        <v>FwdSw</v>
      </c>
      <c r="M266" s="891" t="str">
        <f t="shared" si="34"/>
        <v>--</v>
      </c>
      <c r="N266" s="894" t="str">
        <f ca="1">IFERROR(_xll.qlRateHelperQuoteName(M266,Trigger),"--")</f>
        <v>--</v>
      </c>
      <c r="O266" s="893" t="str">
        <f ca="1">IFERROR(_xll.qlRateHelperQuoteValue($M266,Trigger),"--")</f>
        <v>--</v>
      </c>
      <c r="P266" s="970" t="b">
        <v>0</v>
      </c>
      <c r="Q266" s="891">
        <v>50</v>
      </c>
      <c r="R266" s="891">
        <v>1</v>
      </c>
      <c r="S266" s="890" t="str">
        <f ca="1">IFERROR(_xll.qlRateHelperEarliestDate(M266,Trigger),"--")</f>
        <v>--</v>
      </c>
      <c r="T266" s="890" t="str">
        <f ca="1">IFERROR(_xll.qlRateHelperPillarDate(M266,Trigger),"--")</f>
        <v>--</v>
      </c>
      <c r="V266" s="4" t="str">
        <f t="shared" ca="1" si="32"/>
        <v/>
      </c>
      <c r="W266" s="4" t="e">
        <f ca="1"/>
        <v>#NAME?</v>
      </c>
      <c r="X266" s="4" t="str">
        <f ca="1">IFERROR(_xll.qlRateHelperQuoteName(W266,Trigger),"")</f>
        <v/>
      </c>
      <c r="Y266" s="889" t="str">
        <f ca="1">IFERROR(_xll.qlRateHelperRate(W266,Trigger),"")</f>
        <v/>
      </c>
      <c r="Z266" s="888" t="str">
        <f ca="1">IF(ISERROR(_xll.qlSwapRateHelperSpread($W266)),IF(ISERROR(_xll.qlFuturesRateHelperConvexityAdjustment($W266)),"",_xll.qlFuturesRateHelperConvexityAdjustment($W266)),_xll.qlSwapRateHelperSpread($W266))</f>
        <v/>
      </c>
      <c r="AA266" s="5" t="str">
        <f ca="1">IFERROR(_xll.qlRateHelperEarliestDate(W266,Trigger),"")</f>
        <v/>
      </c>
      <c r="AB266" s="5" t="str">
        <f ca="1">IFERROR(_xll.qlRateHelperPillarDate(W266,Trigger),"")</f>
        <v/>
      </c>
      <c r="AC266" s="887" t="e">
        <f ca="1"/>
        <v>#NAME?</v>
      </c>
    </row>
    <row r="267" spans="1:29" x14ac:dyDescent="0.2">
      <c r="A267" s="874" t="s">
        <v>410</v>
      </c>
      <c r="B267" s="876" t="s">
        <v>42</v>
      </c>
      <c r="C267" s="875" t="s">
        <v>45</v>
      </c>
      <c r="D267" s="875" t="s">
        <v>323</v>
      </c>
      <c r="E267" s="875" t="s">
        <v>322</v>
      </c>
      <c r="F267" s="875" t="s">
        <v>221</v>
      </c>
      <c r="G267" s="875" t="str">
        <f t="shared" si="35"/>
        <v>Euribor6M</v>
      </c>
      <c r="H267" s="874" t="str">
        <f t="shared" si="36"/>
        <v>EUR11F14Y_Quote</v>
      </c>
      <c r="I267" s="877">
        <v>0</v>
      </c>
      <c r="J267" s="43"/>
      <c r="L267" s="895" t="str">
        <f t="shared" si="33"/>
        <v>FwdSw</v>
      </c>
      <c r="M267" s="891" t="str">
        <f t="shared" si="34"/>
        <v>--</v>
      </c>
      <c r="N267" s="894" t="str">
        <f ca="1">IFERROR(_xll.qlRateHelperQuoteName(M267,Trigger),"--")</f>
        <v>--</v>
      </c>
      <c r="O267" s="893" t="str">
        <f ca="1">IFERROR(_xll.qlRateHelperQuoteValue($M267,Trigger),"--")</f>
        <v>--</v>
      </c>
      <c r="P267" s="970" t="b">
        <v>0</v>
      </c>
      <c r="Q267" s="891">
        <v>50</v>
      </c>
      <c r="R267" s="891">
        <v>1</v>
      </c>
      <c r="S267" s="890" t="str">
        <f ca="1">IFERROR(_xll.qlRateHelperEarliestDate(M267,Trigger),"--")</f>
        <v>--</v>
      </c>
      <c r="T267" s="890" t="str">
        <f ca="1">IFERROR(_xll.qlRateHelperPillarDate(M267,Trigger),"--")</f>
        <v>--</v>
      </c>
      <c r="V267" s="4" t="str">
        <f t="shared" ca="1" si="32"/>
        <v/>
      </c>
      <c r="W267" s="4" t="e">
        <f ca="1"/>
        <v>#NAME?</v>
      </c>
      <c r="X267" s="4" t="str">
        <f ca="1">IFERROR(_xll.qlRateHelperQuoteName(W267,Trigger),"")</f>
        <v/>
      </c>
      <c r="Y267" s="889" t="str">
        <f ca="1">IFERROR(_xll.qlRateHelperRate(W267,Trigger),"")</f>
        <v/>
      </c>
      <c r="Z267" s="888" t="str">
        <f ca="1">IF(ISERROR(_xll.qlSwapRateHelperSpread($W267)),IF(ISERROR(_xll.qlFuturesRateHelperConvexityAdjustment($W267)),"",_xll.qlFuturesRateHelperConvexityAdjustment($W267)),_xll.qlSwapRateHelperSpread($W267))</f>
        <v/>
      </c>
      <c r="AA267" s="5" t="str">
        <f ca="1">IFERROR(_xll.qlRateHelperEarliestDate(W267,Trigger),"")</f>
        <v/>
      </c>
      <c r="AB267" s="5" t="str">
        <f ca="1">IFERROR(_xll.qlRateHelperPillarDate(W267,Trigger),"")</f>
        <v/>
      </c>
      <c r="AC267" s="887" t="e">
        <f ca="1"/>
        <v>#NAME?</v>
      </c>
    </row>
    <row r="268" spans="1:29" x14ac:dyDescent="0.2">
      <c r="A268" s="874" t="s">
        <v>410</v>
      </c>
      <c r="B268" s="876" t="s">
        <v>41</v>
      </c>
      <c r="C268" s="875" t="s">
        <v>45</v>
      </c>
      <c r="D268" s="875" t="s">
        <v>323</v>
      </c>
      <c r="E268" s="875" t="s">
        <v>322</v>
      </c>
      <c r="F268" s="875" t="s">
        <v>221</v>
      </c>
      <c r="G268" s="875" t="str">
        <f t="shared" si="35"/>
        <v>Euribor6M</v>
      </c>
      <c r="H268" s="874" t="str">
        <f t="shared" si="36"/>
        <v>EUR11F15Y_Quote</v>
      </c>
      <c r="I268" s="877">
        <v>0</v>
      </c>
      <c r="J268" s="43"/>
      <c r="L268" s="895" t="str">
        <f t="shared" si="33"/>
        <v>FwdSw</v>
      </c>
      <c r="M268" s="891" t="str">
        <f t="shared" si="34"/>
        <v>--</v>
      </c>
      <c r="N268" s="894" t="str">
        <f ca="1">IFERROR(_xll.qlRateHelperQuoteName(M268,Trigger),"--")</f>
        <v>--</v>
      </c>
      <c r="O268" s="893" t="str">
        <f ca="1">IFERROR(_xll.qlRateHelperQuoteValue($M268,Trigger),"--")</f>
        <v>--</v>
      </c>
      <c r="P268" s="970" t="b">
        <v>0</v>
      </c>
      <c r="Q268" s="891">
        <v>50</v>
      </c>
      <c r="R268" s="891">
        <v>1</v>
      </c>
      <c r="S268" s="890" t="str">
        <f ca="1">IFERROR(_xll.qlRateHelperEarliestDate(M268,Trigger),"--")</f>
        <v>--</v>
      </c>
      <c r="T268" s="890" t="str">
        <f ca="1">IFERROR(_xll.qlRateHelperPillarDate(M268,Trigger),"--")</f>
        <v>--</v>
      </c>
      <c r="V268" s="4" t="str">
        <f t="shared" ca="1" si="32"/>
        <v/>
      </c>
      <c r="W268" s="4" t="e">
        <f ca="1"/>
        <v>#NAME?</v>
      </c>
      <c r="X268" s="4" t="str">
        <f ca="1">IFERROR(_xll.qlRateHelperQuoteName(W268,Trigger),"")</f>
        <v/>
      </c>
      <c r="Y268" s="889" t="str">
        <f ca="1">IFERROR(_xll.qlRateHelperRate(W268,Trigger),"")</f>
        <v/>
      </c>
      <c r="Z268" s="888" t="str">
        <f ca="1">IF(ISERROR(_xll.qlSwapRateHelperSpread($W268)),IF(ISERROR(_xll.qlFuturesRateHelperConvexityAdjustment($W268)),"",_xll.qlFuturesRateHelperConvexityAdjustment($W268)),_xll.qlSwapRateHelperSpread($W268))</f>
        <v/>
      </c>
      <c r="AA268" s="5" t="str">
        <f ca="1">IFERROR(_xll.qlRateHelperEarliestDate(W268,Trigger),"")</f>
        <v/>
      </c>
      <c r="AB268" s="5" t="str">
        <f ca="1">IFERROR(_xll.qlRateHelperPillarDate(W268,Trigger),"")</f>
        <v/>
      </c>
      <c r="AC268" s="887" t="e">
        <f ca="1"/>
        <v>#NAME?</v>
      </c>
    </row>
    <row r="269" spans="1:29" x14ac:dyDescent="0.2">
      <c r="A269" s="874" t="s">
        <v>410</v>
      </c>
      <c r="B269" s="876" t="s">
        <v>36</v>
      </c>
      <c r="C269" s="875" t="s">
        <v>45</v>
      </c>
      <c r="D269" s="875" t="s">
        <v>323</v>
      </c>
      <c r="E269" s="875" t="s">
        <v>322</v>
      </c>
      <c r="F269" s="875" t="s">
        <v>221</v>
      </c>
      <c r="G269" s="875" t="str">
        <f t="shared" si="35"/>
        <v>Euribor6M</v>
      </c>
      <c r="H269" s="874" t="str">
        <f t="shared" si="36"/>
        <v>EUR11F20Y_Quote</v>
      </c>
      <c r="I269" s="877">
        <v>0</v>
      </c>
      <c r="J269" s="43"/>
      <c r="L269" s="895" t="str">
        <f t="shared" si="33"/>
        <v>FwdSw</v>
      </c>
      <c r="M269" s="891" t="str">
        <f t="shared" si="34"/>
        <v>--</v>
      </c>
      <c r="N269" s="894" t="str">
        <f ca="1">IFERROR(_xll.qlRateHelperQuoteName(M269,Trigger),"--")</f>
        <v>--</v>
      </c>
      <c r="O269" s="893" t="str">
        <f ca="1">IFERROR(_xll.qlRateHelperQuoteValue($M269,Trigger),"--")</f>
        <v>--</v>
      </c>
      <c r="P269" s="970" t="b">
        <v>0</v>
      </c>
      <c r="Q269" s="891">
        <v>50</v>
      </c>
      <c r="R269" s="891">
        <v>1</v>
      </c>
      <c r="S269" s="890" t="str">
        <f ca="1">IFERROR(_xll.qlRateHelperEarliestDate(M269,Trigger),"--")</f>
        <v>--</v>
      </c>
      <c r="T269" s="890" t="str">
        <f ca="1">IFERROR(_xll.qlRateHelperPillarDate(M269,Trigger),"--")</f>
        <v>--</v>
      </c>
      <c r="V269" s="4" t="str">
        <f t="shared" ca="1" si="32"/>
        <v/>
      </c>
      <c r="W269" s="4" t="e">
        <f ca="1"/>
        <v>#NAME?</v>
      </c>
      <c r="X269" s="4" t="str">
        <f ca="1">IFERROR(_xll.qlRateHelperQuoteName(W269,Trigger),"")</f>
        <v/>
      </c>
      <c r="Y269" s="889" t="str">
        <f ca="1">IFERROR(_xll.qlRateHelperRate(W269,Trigger),"")</f>
        <v/>
      </c>
      <c r="Z269" s="888" t="str">
        <f ca="1">IF(ISERROR(_xll.qlSwapRateHelperSpread($W269)),IF(ISERROR(_xll.qlFuturesRateHelperConvexityAdjustment($W269)),"",_xll.qlFuturesRateHelperConvexityAdjustment($W269)),_xll.qlSwapRateHelperSpread($W269))</f>
        <v/>
      </c>
      <c r="AA269" s="5" t="str">
        <f ca="1">IFERROR(_xll.qlRateHelperEarliestDate(W269,Trigger),"")</f>
        <v/>
      </c>
      <c r="AB269" s="5" t="str">
        <f ca="1">IFERROR(_xll.qlRateHelperPillarDate(W269,Trigger),"")</f>
        <v/>
      </c>
      <c r="AC269" s="887" t="e">
        <f ca="1"/>
        <v>#NAME?</v>
      </c>
    </row>
    <row r="270" spans="1:29" x14ac:dyDescent="0.2">
      <c r="A270" s="874" t="s">
        <v>410</v>
      </c>
      <c r="B270" s="876" t="s">
        <v>31</v>
      </c>
      <c r="C270" s="875" t="s">
        <v>45</v>
      </c>
      <c r="D270" s="875" t="s">
        <v>323</v>
      </c>
      <c r="E270" s="875" t="s">
        <v>322</v>
      </c>
      <c r="F270" s="875" t="s">
        <v>221</v>
      </c>
      <c r="G270" s="875" t="str">
        <f t="shared" si="35"/>
        <v>Euribor6M</v>
      </c>
      <c r="H270" s="874" t="str">
        <f t="shared" si="36"/>
        <v>EUR11F25Y_Quote</v>
      </c>
      <c r="I270" s="877">
        <v>0</v>
      </c>
      <c r="J270" s="43"/>
      <c r="L270" s="895" t="str">
        <f t="shared" si="33"/>
        <v>FwdSw</v>
      </c>
      <c r="M270" s="891" t="str">
        <f t="shared" si="34"/>
        <v>--</v>
      </c>
      <c r="N270" s="894" t="str">
        <f ca="1">IFERROR(_xll.qlRateHelperQuoteName(M270,Trigger),"--")</f>
        <v>--</v>
      </c>
      <c r="O270" s="893" t="str">
        <f ca="1">IFERROR(_xll.qlRateHelperQuoteValue($M270,Trigger),"--")</f>
        <v>--</v>
      </c>
      <c r="P270" s="970" t="b">
        <v>0</v>
      </c>
      <c r="Q270" s="891">
        <v>50</v>
      </c>
      <c r="R270" s="891">
        <v>1</v>
      </c>
      <c r="S270" s="890" t="str">
        <f ca="1">IFERROR(_xll.qlRateHelperEarliestDate(M270,Trigger),"--")</f>
        <v>--</v>
      </c>
      <c r="T270" s="890" t="str">
        <f ca="1">IFERROR(_xll.qlRateHelperPillarDate(M270,Trigger),"--")</f>
        <v>--</v>
      </c>
      <c r="V270" s="4" t="str">
        <f t="shared" ca="1" si="32"/>
        <v/>
      </c>
      <c r="W270" s="4" t="e">
        <f ca="1"/>
        <v>#NAME?</v>
      </c>
      <c r="X270" s="4" t="str">
        <f ca="1">IFERROR(_xll.qlRateHelperQuoteName(W270,Trigger),"")</f>
        <v/>
      </c>
      <c r="Y270" s="889" t="str">
        <f ca="1">IFERROR(_xll.qlRateHelperRate(W270,Trigger),"")</f>
        <v/>
      </c>
      <c r="Z270" s="888" t="str">
        <f ca="1">IF(ISERROR(_xll.qlSwapRateHelperSpread($W270)),IF(ISERROR(_xll.qlFuturesRateHelperConvexityAdjustment($W270)),"",_xll.qlFuturesRateHelperConvexityAdjustment($W270)),_xll.qlSwapRateHelperSpread($W270))</f>
        <v/>
      </c>
      <c r="AA270" s="5" t="str">
        <f ca="1">IFERROR(_xll.qlRateHelperEarliestDate(W270,Trigger),"")</f>
        <v/>
      </c>
      <c r="AB270" s="5" t="str">
        <f ca="1">IFERROR(_xll.qlRateHelperPillarDate(W270,Trigger),"")</f>
        <v/>
      </c>
      <c r="AC270" s="887" t="e">
        <f ca="1"/>
        <v>#NAME?</v>
      </c>
    </row>
    <row r="271" spans="1:29" x14ac:dyDescent="0.2">
      <c r="A271" s="874" t="s">
        <v>410</v>
      </c>
      <c r="B271" s="876" t="s">
        <v>26</v>
      </c>
      <c r="C271" s="875" t="s">
        <v>45</v>
      </c>
      <c r="D271" s="875" t="s">
        <v>323</v>
      </c>
      <c r="E271" s="875" t="s">
        <v>322</v>
      </c>
      <c r="F271" s="875" t="s">
        <v>221</v>
      </c>
      <c r="G271" s="875" t="str">
        <f t="shared" si="35"/>
        <v>Euribor6M</v>
      </c>
      <c r="H271" s="874" t="str">
        <f t="shared" si="36"/>
        <v>EUR11F30Y_Quote</v>
      </c>
      <c r="I271" s="877">
        <v>0</v>
      </c>
      <c r="J271" s="43"/>
      <c r="L271" s="895" t="str">
        <f t="shared" si="33"/>
        <v>FwdSw</v>
      </c>
      <c r="M271" s="891" t="str">
        <f t="shared" si="34"/>
        <v>--</v>
      </c>
      <c r="N271" s="894" t="str">
        <f ca="1">IFERROR(_xll.qlRateHelperQuoteName(M271,Trigger),"--")</f>
        <v>--</v>
      </c>
      <c r="O271" s="893" t="str">
        <f ca="1">IFERROR(_xll.qlRateHelperQuoteValue($M271,Trigger),"--")</f>
        <v>--</v>
      </c>
      <c r="P271" s="970" t="b">
        <v>0</v>
      </c>
      <c r="Q271" s="891">
        <v>50</v>
      </c>
      <c r="R271" s="891">
        <v>1</v>
      </c>
      <c r="S271" s="890" t="str">
        <f ca="1">IFERROR(_xll.qlRateHelperEarliestDate(M271,Trigger),"--")</f>
        <v>--</v>
      </c>
      <c r="T271" s="890" t="str">
        <f ca="1">IFERROR(_xll.qlRateHelperPillarDate(M271,Trigger),"--")</f>
        <v>--</v>
      </c>
      <c r="V271" s="4" t="str">
        <f t="shared" ca="1" si="32"/>
        <v/>
      </c>
      <c r="W271" s="4" t="e">
        <f ca="1"/>
        <v>#NAME?</v>
      </c>
      <c r="X271" s="4" t="str">
        <f ca="1">IFERROR(_xll.qlRateHelperQuoteName(W271,Trigger),"")</f>
        <v/>
      </c>
      <c r="Y271" s="889" t="str">
        <f ca="1">IFERROR(_xll.qlRateHelperRate(W271,Trigger),"")</f>
        <v/>
      </c>
      <c r="Z271" s="888" t="str">
        <f ca="1">IF(ISERROR(_xll.qlSwapRateHelperSpread($W271)),IF(ISERROR(_xll.qlFuturesRateHelperConvexityAdjustment($W271)),"",_xll.qlFuturesRateHelperConvexityAdjustment($W271)),_xll.qlSwapRateHelperSpread($W271))</f>
        <v/>
      </c>
      <c r="AA271" s="5" t="str">
        <f ca="1">IFERROR(_xll.qlRateHelperEarliestDate(W271,Trigger),"")</f>
        <v/>
      </c>
      <c r="AB271" s="5" t="str">
        <f ca="1">IFERROR(_xll.qlRateHelperPillarDate(W271,Trigger),"")</f>
        <v/>
      </c>
      <c r="AC271" s="887" t="e">
        <f ca="1"/>
        <v>#NAME?</v>
      </c>
    </row>
    <row r="272" spans="1:29" x14ac:dyDescent="0.2">
      <c r="A272" s="897" t="s">
        <v>410</v>
      </c>
      <c r="B272" s="899" t="s">
        <v>58</v>
      </c>
      <c r="C272" s="898" t="s">
        <v>44</v>
      </c>
      <c r="D272" s="898" t="s">
        <v>323</v>
      </c>
      <c r="E272" s="898" t="s">
        <v>322</v>
      </c>
      <c r="F272" s="898" t="s">
        <v>221</v>
      </c>
      <c r="G272" s="898" t="str">
        <f t="shared" si="35"/>
        <v>Euribor6M</v>
      </c>
      <c r="H272" s="897" t="str">
        <f t="shared" si="36"/>
        <v>EUR12F1Y_Quote</v>
      </c>
      <c r="I272" s="896">
        <v>0</v>
      </c>
      <c r="J272" s="47"/>
      <c r="L272" s="895" t="str">
        <f t="shared" si="33"/>
        <v>FwdSw</v>
      </c>
      <c r="M272" s="891" t="str">
        <f t="shared" si="34"/>
        <v>--</v>
      </c>
      <c r="N272" s="894" t="str">
        <f ca="1">IFERROR(_xll.qlRateHelperQuoteName(M272,Trigger),"--")</f>
        <v>--</v>
      </c>
      <c r="O272" s="893" t="str">
        <f ca="1">IFERROR(_xll.qlRateHelperQuoteValue($M272,Trigger),"--")</f>
        <v>--</v>
      </c>
      <c r="P272" s="970" t="b">
        <v>0</v>
      </c>
      <c r="Q272" s="891">
        <v>50</v>
      </c>
      <c r="R272" s="891">
        <v>1</v>
      </c>
      <c r="S272" s="890" t="str">
        <f ca="1">IFERROR(_xll.qlRateHelperEarliestDate(M272,Trigger),"--")</f>
        <v>--</v>
      </c>
      <c r="T272" s="890" t="str">
        <f ca="1">IFERROR(_xll.qlRateHelperPillarDate(M272,Trigger),"--")</f>
        <v>--</v>
      </c>
      <c r="V272" s="4" t="str">
        <f t="shared" ca="1" si="32"/>
        <v/>
      </c>
      <c r="W272" s="4" t="e">
        <f ca="1"/>
        <v>#NAME?</v>
      </c>
      <c r="X272" s="4" t="str">
        <f ca="1">IFERROR(_xll.qlRateHelperQuoteName(W272,Trigger),"")</f>
        <v/>
      </c>
      <c r="Y272" s="889" t="str">
        <f ca="1">IFERROR(_xll.qlRateHelperRate(W272,Trigger),"")</f>
        <v/>
      </c>
      <c r="Z272" s="888" t="str">
        <f ca="1">IF(ISERROR(_xll.qlSwapRateHelperSpread($W272)),IF(ISERROR(_xll.qlFuturesRateHelperConvexityAdjustment($W272)),"",_xll.qlFuturesRateHelperConvexityAdjustment($W272)),_xll.qlSwapRateHelperSpread($W272))</f>
        <v/>
      </c>
      <c r="AA272" s="5" t="str">
        <f ca="1">IFERROR(_xll.qlRateHelperEarliestDate(W272,Trigger),"")</f>
        <v/>
      </c>
      <c r="AB272" s="5" t="str">
        <f ca="1">IFERROR(_xll.qlRateHelperPillarDate(W272,Trigger),"")</f>
        <v/>
      </c>
      <c r="AC272" s="887" t="e">
        <f ca="1"/>
        <v>#NAME?</v>
      </c>
    </row>
    <row r="273" spans="1:29" x14ac:dyDescent="0.2">
      <c r="A273" s="874" t="s">
        <v>410</v>
      </c>
      <c r="B273" s="876" t="s">
        <v>54</v>
      </c>
      <c r="C273" s="875" t="s">
        <v>44</v>
      </c>
      <c r="D273" s="875" t="s">
        <v>323</v>
      </c>
      <c r="E273" s="875" t="s">
        <v>322</v>
      </c>
      <c r="F273" s="875" t="s">
        <v>221</v>
      </c>
      <c r="G273" s="875" t="str">
        <f t="shared" si="35"/>
        <v>Euribor6M</v>
      </c>
      <c r="H273" s="874" t="str">
        <f t="shared" si="36"/>
        <v>EUR12F2Y_Quote</v>
      </c>
      <c r="I273" s="877">
        <v>0</v>
      </c>
      <c r="J273" s="43"/>
      <c r="L273" s="895" t="str">
        <f t="shared" si="33"/>
        <v>FwdSw</v>
      </c>
      <c r="M273" s="891" t="str">
        <f t="shared" si="34"/>
        <v>--</v>
      </c>
      <c r="N273" s="894" t="str">
        <f ca="1">IFERROR(_xll.qlRateHelperQuoteName(M273,Trigger),"--")</f>
        <v>--</v>
      </c>
      <c r="O273" s="893" t="str">
        <f ca="1">IFERROR(_xll.qlRateHelperQuoteValue($M273,Trigger),"--")</f>
        <v>--</v>
      </c>
      <c r="P273" s="970" t="b">
        <v>0</v>
      </c>
      <c r="Q273" s="891">
        <v>50</v>
      </c>
      <c r="R273" s="891">
        <v>1</v>
      </c>
      <c r="S273" s="890" t="str">
        <f ca="1">IFERROR(_xll.qlRateHelperEarliestDate(M273,Trigger),"--")</f>
        <v>--</v>
      </c>
      <c r="T273" s="890" t="str">
        <f ca="1">IFERROR(_xll.qlRateHelperPillarDate(M273,Trigger),"--")</f>
        <v>--</v>
      </c>
      <c r="V273" s="4" t="str">
        <f t="shared" ca="1" si="32"/>
        <v/>
      </c>
      <c r="W273" s="4" t="e">
        <f ca="1"/>
        <v>#NAME?</v>
      </c>
      <c r="X273" s="4" t="str">
        <f ca="1">IFERROR(_xll.qlRateHelperQuoteName(W273,Trigger),"")</f>
        <v/>
      </c>
      <c r="Y273" s="889" t="str">
        <f ca="1">IFERROR(_xll.qlRateHelperRate(W273,Trigger),"")</f>
        <v/>
      </c>
      <c r="Z273" s="888" t="str">
        <f ca="1">IF(ISERROR(_xll.qlSwapRateHelperSpread($W273)),IF(ISERROR(_xll.qlFuturesRateHelperConvexityAdjustment($W273)),"",_xll.qlFuturesRateHelperConvexityAdjustment($W273)),_xll.qlSwapRateHelperSpread($W273))</f>
        <v/>
      </c>
      <c r="AA273" s="5" t="str">
        <f ca="1">IFERROR(_xll.qlRateHelperEarliestDate(W273,Trigger),"")</f>
        <v/>
      </c>
      <c r="AB273" s="5" t="str">
        <f ca="1">IFERROR(_xll.qlRateHelperPillarDate(W273,Trigger),"")</f>
        <v/>
      </c>
      <c r="AC273" s="887" t="e">
        <f ca="1"/>
        <v>#NAME?</v>
      </c>
    </row>
    <row r="274" spans="1:29" x14ac:dyDescent="0.2">
      <c r="A274" s="874" t="s">
        <v>410</v>
      </c>
      <c r="B274" s="876" t="s">
        <v>53</v>
      </c>
      <c r="C274" s="875" t="s">
        <v>44</v>
      </c>
      <c r="D274" s="875" t="s">
        <v>323</v>
      </c>
      <c r="E274" s="875" t="s">
        <v>322</v>
      </c>
      <c r="F274" s="875" t="s">
        <v>221</v>
      </c>
      <c r="G274" s="875" t="str">
        <f t="shared" si="35"/>
        <v>Euribor6M</v>
      </c>
      <c r="H274" s="874" t="str">
        <f t="shared" si="36"/>
        <v>EUR12F3Y_Quote</v>
      </c>
      <c r="I274" s="877">
        <v>0</v>
      </c>
      <c r="J274" s="43"/>
      <c r="L274" s="895" t="str">
        <f t="shared" si="33"/>
        <v>FwdSw</v>
      </c>
      <c r="M274" s="891" t="str">
        <f t="shared" si="34"/>
        <v>--</v>
      </c>
      <c r="N274" s="894" t="str">
        <f ca="1">IFERROR(_xll.qlRateHelperQuoteName(M274,Trigger),"--")</f>
        <v>--</v>
      </c>
      <c r="O274" s="893" t="str">
        <f ca="1">IFERROR(_xll.qlRateHelperQuoteValue($M274,Trigger),"--")</f>
        <v>--</v>
      </c>
      <c r="P274" s="970" t="b">
        <v>0</v>
      </c>
      <c r="Q274" s="891">
        <v>50</v>
      </c>
      <c r="R274" s="891">
        <v>1</v>
      </c>
      <c r="S274" s="890" t="str">
        <f ca="1">IFERROR(_xll.qlRateHelperEarliestDate(M274,Trigger),"--")</f>
        <v>--</v>
      </c>
      <c r="T274" s="890" t="str">
        <f ca="1">IFERROR(_xll.qlRateHelperPillarDate(M274,Trigger),"--")</f>
        <v>--</v>
      </c>
      <c r="V274" s="4" t="str">
        <f t="shared" ca="1" si="32"/>
        <v/>
      </c>
      <c r="W274" s="4" t="e">
        <f ca="1"/>
        <v>#NAME?</v>
      </c>
      <c r="X274" s="4" t="str">
        <f ca="1">IFERROR(_xll.qlRateHelperQuoteName(W274,Trigger),"")</f>
        <v/>
      </c>
      <c r="Y274" s="889" t="str">
        <f ca="1">IFERROR(_xll.qlRateHelperRate(W274,Trigger),"")</f>
        <v/>
      </c>
      <c r="Z274" s="888" t="str">
        <f ca="1">IF(ISERROR(_xll.qlSwapRateHelperSpread($W274)),IF(ISERROR(_xll.qlFuturesRateHelperConvexityAdjustment($W274)),"",_xll.qlFuturesRateHelperConvexityAdjustment($W274)),_xll.qlSwapRateHelperSpread($W274))</f>
        <v/>
      </c>
      <c r="AA274" s="5" t="str">
        <f ca="1">IFERROR(_xll.qlRateHelperEarliestDate(W274,Trigger),"")</f>
        <v/>
      </c>
      <c r="AB274" s="5" t="str">
        <f ca="1">IFERROR(_xll.qlRateHelperPillarDate(W274,Trigger),"")</f>
        <v/>
      </c>
      <c r="AC274" s="887" t="e">
        <f ca="1"/>
        <v>#NAME?</v>
      </c>
    </row>
    <row r="275" spans="1:29" x14ac:dyDescent="0.2">
      <c r="A275" s="874" t="s">
        <v>410</v>
      </c>
      <c r="B275" s="876" t="s">
        <v>52</v>
      </c>
      <c r="C275" s="875" t="s">
        <v>44</v>
      </c>
      <c r="D275" s="875" t="s">
        <v>323</v>
      </c>
      <c r="E275" s="875" t="s">
        <v>322</v>
      </c>
      <c r="F275" s="875" t="s">
        <v>221</v>
      </c>
      <c r="G275" s="875" t="str">
        <f t="shared" si="35"/>
        <v>Euribor6M</v>
      </c>
      <c r="H275" s="874" t="str">
        <f t="shared" si="36"/>
        <v>EUR12F4Y_Quote</v>
      </c>
      <c r="I275" s="877">
        <v>0</v>
      </c>
      <c r="J275" s="43"/>
      <c r="L275" s="895" t="str">
        <f t="shared" si="33"/>
        <v>FwdSw</v>
      </c>
      <c r="M275" s="891" t="str">
        <f t="shared" si="34"/>
        <v>--</v>
      </c>
      <c r="N275" s="894" t="str">
        <f ca="1">IFERROR(_xll.qlRateHelperQuoteName(M275,Trigger),"--")</f>
        <v>--</v>
      </c>
      <c r="O275" s="893" t="str">
        <f ca="1">IFERROR(_xll.qlRateHelperQuoteValue($M275,Trigger),"--")</f>
        <v>--</v>
      </c>
      <c r="P275" s="970" t="b">
        <v>0</v>
      </c>
      <c r="Q275" s="891">
        <v>50</v>
      </c>
      <c r="R275" s="891">
        <v>1</v>
      </c>
      <c r="S275" s="890" t="str">
        <f ca="1">IFERROR(_xll.qlRateHelperEarliestDate(M275,Trigger),"--")</f>
        <v>--</v>
      </c>
      <c r="T275" s="890" t="str">
        <f ca="1">IFERROR(_xll.qlRateHelperPillarDate(M275,Trigger),"--")</f>
        <v>--</v>
      </c>
      <c r="V275" s="4" t="str">
        <f t="shared" ca="1" si="32"/>
        <v/>
      </c>
      <c r="W275" s="4" t="e">
        <f ca="1"/>
        <v>#NAME?</v>
      </c>
      <c r="X275" s="4" t="str">
        <f ca="1">IFERROR(_xll.qlRateHelperQuoteName(W275,Trigger),"")</f>
        <v/>
      </c>
      <c r="Y275" s="889" t="str">
        <f ca="1">IFERROR(_xll.qlRateHelperRate(W275,Trigger),"")</f>
        <v/>
      </c>
      <c r="Z275" s="888" t="str">
        <f ca="1">IF(ISERROR(_xll.qlSwapRateHelperSpread($W275)),IF(ISERROR(_xll.qlFuturesRateHelperConvexityAdjustment($W275)),"",_xll.qlFuturesRateHelperConvexityAdjustment($W275)),_xll.qlSwapRateHelperSpread($W275))</f>
        <v/>
      </c>
      <c r="AA275" s="5" t="str">
        <f ca="1">IFERROR(_xll.qlRateHelperEarliestDate(W275,Trigger),"")</f>
        <v/>
      </c>
      <c r="AB275" s="5" t="str">
        <f ca="1">IFERROR(_xll.qlRateHelperPillarDate(W275,Trigger),"")</f>
        <v/>
      </c>
      <c r="AC275" s="887" t="e">
        <f ca="1"/>
        <v>#NAME?</v>
      </c>
    </row>
    <row r="276" spans="1:29" x14ac:dyDescent="0.2">
      <c r="A276" s="874" t="s">
        <v>410</v>
      </c>
      <c r="B276" s="876" t="s">
        <v>51</v>
      </c>
      <c r="C276" s="875" t="s">
        <v>44</v>
      </c>
      <c r="D276" s="875" t="s">
        <v>323</v>
      </c>
      <c r="E276" s="875" t="s">
        <v>322</v>
      </c>
      <c r="F276" s="875" t="s">
        <v>221</v>
      </c>
      <c r="G276" s="875" t="str">
        <f t="shared" si="35"/>
        <v>Euribor6M</v>
      </c>
      <c r="H276" s="874" t="str">
        <f t="shared" si="36"/>
        <v>EUR12F5Y_Quote</v>
      </c>
      <c r="I276" s="877">
        <v>0</v>
      </c>
      <c r="J276" s="43"/>
      <c r="L276" s="895" t="str">
        <f t="shared" si="33"/>
        <v>FwdSw</v>
      </c>
      <c r="M276" s="891" t="str">
        <f t="shared" si="34"/>
        <v>--</v>
      </c>
      <c r="N276" s="894" t="str">
        <f ca="1">IFERROR(_xll.qlRateHelperQuoteName(M276,Trigger),"--")</f>
        <v>--</v>
      </c>
      <c r="O276" s="893" t="str">
        <f ca="1">IFERROR(_xll.qlRateHelperQuoteValue($M276,Trigger),"--")</f>
        <v>--</v>
      </c>
      <c r="P276" s="970" t="b">
        <v>0</v>
      </c>
      <c r="Q276" s="891">
        <v>50</v>
      </c>
      <c r="R276" s="891">
        <v>1</v>
      </c>
      <c r="S276" s="890" t="str">
        <f ca="1">IFERROR(_xll.qlRateHelperEarliestDate(M276,Trigger),"--")</f>
        <v>--</v>
      </c>
      <c r="T276" s="890" t="str">
        <f ca="1">IFERROR(_xll.qlRateHelperPillarDate(M276,Trigger),"--")</f>
        <v>--</v>
      </c>
      <c r="V276" s="4" t="str">
        <f t="shared" ca="1" si="32"/>
        <v/>
      </c>
      <c r="W276" s="4" t="e">
        <f ca="1"/>
        <v>#NAME?</v>
      </c>
      <c r="X276" s="4" t="str">
        <f ca="1">IFERROR(_xll.qlRateHelperQuoteName(W276,Trigger),"")</f>
        <v/>
      </c>
      <c r="Y276" s="889" t="str">
        <f ca="1">IFERROR(_xll.qlRateHelperRate(W276,Trigger),"")</f>
        <v/>
      </c>
      <c r="Z276" s="888" t="str">
        <f ca="1">IF(ISERROR(_xll.qlSwapRateHelperSpread($W276)),IF(ISERROR(_xll.qlFuturesRateHelperConvexityAdjustment($W276)),"",_xll.qlFuturesRateHelperConvexityAdjustment($W276)),_xll.qlSwapRateHelperSpread($W276))</f>
        <v/>
      </c>
      <c r="AA276" s="5" t="str">
        <f ca="1">IFERROR(_xll.qlRateHelperEarliestDate(W276,Trigger),"")</f>
        <v/>
      </c>
      <c r="AB276" s="5" t="str">
        <f ca="1">IFERROR(_xll.qlRateHelperPillarDate(W276,Trigger),"")</f>
        <v/>
      </c>
      <c r="AC276" s="887" t="e">
        <f ca="1"/>
        <v>#NAME?</v>
      </c>
    </row>
    <row r="277" spans="1:29" x14ac:dyDescent="0.2">
      <c r="A277" s="874" t="s">
        <v>410</v>
      </c>
      <c r="B277" s="876" t="s">
        <v>50</v>
      </c>
      <c r="C277" s="875" t="s">
        <v>44</v>
      </c>
      <c r="D277" s="875" t="s">
        <v>323</v>
      </c>
      <c r="E277" s="875" t="s">
        <v>322</v>
      </c>
      <c r="F277" s="875" t="s">
        <v>221</v>
      </c>
      <c r="G277" s="875" t="str">
        <f t="shared" si="35"/>
        <v>Euribor6M</v>
      </c>
      <c r="H277" s="874" t="str">
        <f t="shared" si="36"/>
        <v>EUR12F6Y_Quote</v>
      </c>
      <c r="I277" s="877">
        <v>0</v>
      </c>
      <c r="J277" s="43"/>
      <c r="L277" s="895" t="str">
        <f t="shared" si="33"/>
        <v>FwdSw</v>
      </c>
      <c r="M277" s="891" t="str">
        <f t="shared" si="34"/>
        <v>--</v>
      </c>
      <c r="N277" s="894" t="str">
        <f ca="1">IFERROR(_xll.qlRateHelperQuoteName(M277,Trigger),"--")</f>
        <v>--</v>
      </c>
      <c r="O277" s="893" t="str">
        <f ca="1">IFERROR(_xll.qlRateHelperQuoteValue($M277,Trigger),"--")</f>
        <v>--</v>
      </c>
      <c r="P277" s="970" t="b">
        <v>0</v>
      </c>
      <c r="Q277" s="891">
        <v>50</v>
      </c>
      <c r="R277" s="891">
        <v>1</v>
      </c>
      <c r="S277" s="890" t="str">
        <f ca="1">IFERROR(_xll.qlRateHelperEarliestDate(M277,Trigger),"--")</f>
        <v>--</v>
      </c>
      <c r="T277" s="890" t="str">
        <f ca="1">IFERROR(_xll.qlRateHelperPillarDate(M277,Trigger),"--")</f>
        <v>--</v>
      </c>
      <c r="V277" s="4" t="str">
        <f t="shared" ca="1" si="32"/>
        <v/>
      </c>
      <c r="W277" s="4" t="e">
        <f ca="1"/>
        <v>#NAME?</v>
      </c>
      <c r="X277" s="4" t="str">
        <f ca="1">IFERROR(_xll.qlRateHelperQuoteName(W277,Trigger),"")</f>
        <v/>
      </c>
      <c r="Y277" s="889" t="str">
        <f ca="1">IFERROR(_xll.qlRateHelperRate(W277,Trigger),"")</f>
        <v/>
      </c>
      <c r="Z277" s="888" t="str">
        <f ca="1">IF(ISERROR(_xll.qlSwapRateHelperSpread($W277)),IF(ISERROR(_xll.qlFuturesRateHelperConvexityAdjustment($W277)),"",_xll.qlFuturesRateHelperConvexityAdjustment($W277)),_xll.qlSwapRateHelperSpread($W277))</f>
        <v/>
      </c>
      <c r="AA277" s="5" t="str">
        <f ca="1">IFERROR(_xll.qlRateHelperEarliestDate(W277,Trigger),"")</f>
        <v/>
      </c>
      <c r="AB277" s="5" t="str">
        <f ca="1">IFERROR(_xll.qlRateHelperPillarDate(W277,Trigger),"")</f>
        <v/>
      </c>
      <c r="AC277" s="887" t="e">
        <f ca="1"/>
        <v>#NAME?</v>
      </c>
    </row>
    <row r="278" spans="1:29" x14ac:dyDescent="0.2">
      <c r="A278" s="874" t="s">
        <v>410</v>
      </c>
      <c r="B278" s="876" t="s">
        <v>49</v>
      </c>
      <c r="C278" s="875" t="s">
        <v>44</v>
      </c>
      <c r="D278" s="875" t="s">
        <v>323</v>
      </c>
      <c r="E278" s="875" t="s">
        <v>322</v>
      </c>
      <c r="F278" s="875" t="s">
        <v>221</v>
      </c>
      <c r="G278" s="875" t="str">
        <f t="shared" si="35"/>
        <v>Euribor6M</v>
      </c>
      <c r="H278" s="874" t="str">
        <f t="shared" si="36"/>
        <v>EUR12F7Y_Quote</v>
      </c>
      <c r="I278" s="877">
        <v>0</v>
      </c>
      <c r="J278" s="43"/>
      <c r="L278" s="895" t="str">
        <f t="shared" si="33"/>
        <v>FwdSw</v>
      </c>
      <c r="M278" s="891" t="str">
        <f t="shared" si="34"/>
        <v>--</v>
      </c>
      <c r="N278" s="894" t="str">
        <f ca="1">IFERROR(_xll.qlRateHelperQuoteName(M278,Trigger),"--")</f>
        <v>--</v>
      </c>
      <c r="O278" s="893" t="str">
        <f ca="1">IFERROR(_xll.qlRateHelperQuoteValue($M278,Trigger),"--")</f>
        <v>--</v>
      </c>
      <c r="P278" s="970" t="b">
        <v>0</v>
      </c>
      <c r="Q278" s="891">
        <v>50</v>
      </c>
      <c r="R278" s="891">
        <v>1</v>
      </c>
      <c r="S278" s="890" t="str">
        <f ca="1">IFERROR(_xll.qlRateHelperEarliestDate(M278,Trigger),"--")</f>
        <v>--</v>
      </c>
      <c r="T278" s="890" t="str">
        <f ca="1">IFERROR(_xll.qlRateHelperPillarDate(M278,Trigger),"--")</f>
        <v>--</v>
      </c>
      <c r="V278" s="4" t="str">
        <f t="shared" ca="1" si="32"/>
        <v/>
      </c>
      <c r="W278" s="4" t="e">
        <f ca="1"/>
        <v>#NAME?</v>
      </c>
      <c r="X278" s="4" t="str">
        <f ca="1">IFERROR(_xll.qlRateHelperQuoteName(W278,Trigger),"")</f>
        <v/>
      </c>
      <c r="Y278" s="889" t="str">
        <f ca="1">IFERROR(_xll.qlRateHelperRate(W278,Trigger),"")</f>
        <v/>
      </c>
      <c r="Z278" s="888" t="str">
        <f ca="1">IF(ISERROR(_xll.qlSwapRateHelperSpread($W278)),IF(ISERROR(_xll.qlFuturesRateHelperConvexityAdjustment($W278)),"",_xll.qlFuturesRateHelperConvexityAdjustment($W278)),_xll.qlSwapRateHelperSpread($W278))</f>
        <v/>
      </c>
      <c r="AA278" s="5" t="str">
        <f ca="1">IFERROR(_xll.qlRateHelperEarliestDate(W278,Trigger),"")</f>
        <v/>
      </c>
      <c r="AB278" s="5" t="str">
        <f ca="1">IFERROR(_xll.qlRateHelperPillarDate(W278,Trigger),"")</f>
        <v/>
      </c>
      <c r="AC278" s="887" t="e">
        <f ca="1"/>
        <v>#NAME?</v>
      </c>
    </row>
    <row r="279" spans="1:29" x14ac:dyDescent="0.2">
      <c r="A279" s="874" t="s">
        <v>410</v>
      </c>
      <c r="B279" s="876" t="s">
        <v>48</v>
      </c>
      <c r="C279" s="875" t="s">
        <v>44</v>
      </c>
      <c r="D279" s="875" t="s">
        <v>323</v>
      </c>
      <c r="E279" s="875" t="s">
        <v>322</v>
      </c>
      <c r="F279" s="875" t="s">
        <v>221</v>
      </c>
      <c r="G279" s="875" t="str">
        <f t="shared" si="35"/>
        <v>Euribor6M</v>
      </c>
      <c r="H279" s="874" t="str">
        <f t="shared" si="36"/>
        <v>EUR12F8Y_Quote</v>
      </c>
      <c r="I279" s="877">
        <v>0</v>
      </c>
      <c r="J279" s="43"/>
      <c r="L279" s="895" t="str">
        <f t="shared" si="33"/>
        <v>FwdSw</v>
      </c>
      <c r="M279" s="891" t="str">
        <f t="shared" si="34"/>
        <v>--</v>
      </c>
      <c r="N279" s="894" t="str">
        <f ca="1">IFERROR(_xll.qlRateHelperQuoteName(M279,Trigger),"--")</f>
        <v>--</v>
      </c>
      <c r="O279" s="893" t="str">
        <f ca="1">IFERROR(_xll.qlRateHelperQuoteValue($M279,Trigger),"--")</f>
        <v>--</v>
      </c>
      <c r="P279" s="970" t="b">
        <v>0</v>
      </c>
      <c r="Q279" s="891">
        <v>50</v>
      </c>
      <c r="R279" s="891">
        <v>1</v>
      </c>
      <c r="S279" s="890" t="str">
        <f ca="1">IFERROR(_xll.qlRateHelperEarliestDate(M279,Trigger),"--")</f>
        <v>--</v>
      </c>
      <c r="T279" s="890" t="str">
        <f ca="1">IFERROR(_xll.qlRateHelperPillarDate(M279,Trigger),"--")</f>
        <v>--</v>
      </c>
      <c r="V279" s="4" t="str">
        <f t="shared" ca="1" si="32"/>
        <v/>
      </c>
      <c r="W279" s="4" t="e">
        <f ca="1"/>
        <v>#NAME?</v>
      </c>
      <c r="X279" s="4" t="str">
        <f ca="1">IFERROR(_xll.qlRateHelperQuoteName(W279,Trigger),"")</f>
        <v/>
      </c>
      <c r="Y279" s="889" t="str">
        <f ca="1">IFERROR(_xll.qlRateHelperRate(W279,Trigger),"")</f>
        <v/>
      </c>
      <c r="Z279" s="888" t="str">
        <f ca="1">IF(ISERROR(_xll.qlSwapRateHelperSpread($W279)),IF(ISERROR(_xll.qlFuturesRateHelperConvexityAdjustment($W279)),"",_xll.qlFuturesRateHelperConvexityAdjustment($W279)),_xll.qlSwapRateHelperSpread($W279))</f>
        <v/>
      </c>
      <c r="AA279" s="5" t="str">
        <f ca="1">IFERROR(_xll.qlRateHelperEarliestDate(W279,Trigger),"")</f>
        <v/>
      </c>
      <c r="AB279" s="5" t="str">
        <f ca="1">IFERROR(_xll.qlRateHelperPillarDate(W279,Trigger),"")</f>
        <v/>
      </c>
      <c r="AC279" s="887" t="e">
        <f ca="1"/>
        <v>#NAME?</v>
      </c>
    </row>
    <row r="280" spans="1:29" x14ac:dyDescent="0.2">
      <c r="A280" s="874" t="s">
        <v>410</v>
      </c>
      <c r="B280" s="876" t="s">
        <v>47</v>
      </c>
      <c r="C280" s="875" t="s">
        <v>44</v>
      </c>
      <c r="D280" s="875" t="s">
        <v>323</v>
      </c>
      <c r="E280" s="875" t="s">
        <v>322</v>
      </c>
      <c r="F280" s="875" t="s">
        <v>221</v>
      </c>
      <c r="G280" s="875" t="str">
        <f t="shared" si="35"/>
        <v>Euribor6M</v>
      </c>
      <c r="H280" s="874" t="str">
        <f t="shared" si="36"/>
        <v>EUR12F9Y_Quote</v>
      </c>
      <c r="I280" s="877">
        <v>0</v>
      </c>
      <c r="J280" s="43"/>
      <c r="L280" s="895" t="str">
        <f t="shared" si="33"/>
        <v>FwdSw</v>
      </c>
      <c r="M280" s="891" t="str">
        <f t="shared" si="34"/>
        <v>--</v>
      </c>
      <c r="N280" s="894" t="str">
        <f ca="1">IFERROR(_xll.qlRateHelperQuoteName(M280,Trigger),"--")</f>
        <v>--</v>
      </c>
      <c r="O280" s="893" t="str">
        <f ca="1">IFERROR(_xll.qlRateHelperQuoteValue($M280,Trigger),"--")</f>
        <v>--</v>
      </c>
      <c r="P280" s="970" t="b">
        <v>0</v>
      </c>
      <c r="Q280" s="891">
        <v>50</v>
      </c>
      <c r="R280" s="891">
        <v>1</v>
      </c>
      <c r="S280" s="890" t="str">
        <f ca="1">IFERROR(_xll.qlRateHelperEarliestDate(M280,Trigger),"--")</f>
        <v>--</v>
      </c>
      <c r="T280" s="890" t="str">
        <f ca="1">IFERROR(_xll.qlRateHelperPillarDate(M280,Trigger),"--")</f>
        <v>--</v>
      </c>
      <c r="V280" s="4" t="str">
        <f t="shared" ca="1" si="32"/>
        <v/>
      </c>
      <c r="W280" s="4" t="e">
        <f ca="1"/>
        <v>#NAME?</v>
      </c>
      <c r="X280" s="4" t="str">
        <f ca="1">IFERROR(_xll.qlRateHelperQuoteName(W280,Trigger),"")</f>
        <v/>
      </c>
      <c r="Y280" s="889" t="str">
        <f ca="1">IFERROR(_xll.qlRateHelperRate(W280,Trigger),"")</f>
        <v/>
      </c>
      <c r="Z280" s="888" t="str">
        <f ca="1">IF(ISERROR(_xll.qlSwapRateHelperSpread($W280)),IF(ISERROR(_xll.qlFuturesRateHelperConvexityAdjustment($W280)),"",_xll.qlFuturesRateHelperConvexityAdjustment($W280)),_xll.qlSwapRateHelperSpread($W280))</f>
        <v/>
      </c>
      <c r="AA280" s="5" t="str">
        <f ca="1">IFERROR(_xll.qlRateHelperEarliestDate(W280,Trigger),"")</f>
        <v/>
      </c>
      <c r="AB280" s="5" t="str">
        <f ca="1">IFERROR(_xll.qlRateHelperPillarDate(W280,Trigger),"")</f>
        <v/>
      </c>
      <c r="AC280" s="887" t="e">
        <f ca="1"/>
        <v>#NAME?</v>
      </c>
    </row>
    <row r="281" spans="1:29" x14ac:dyDescent="0.2">
      <c r="A281" s="874" t="s">
        <v>410</v>
      </c>
      <c r="B281" s="876" t="s">
        <v>46</v>
      </c>
      <c r="C281" s="875" t="s">
        <v>44</v>
      </c>
      <c r="D281" s="875" t="s">
        <v>323</v>
      </c>
      <c r="E281" s="875" t="s">
        <v>322</v>
      </c>
      <c r="F281" s="875" t="s">
        <v>221</v>
      </c>
      <c r="G281" s="875" t="str">
        <f t="shared" si="35"/>
        <v>Euribor6M</v>
      </c>
      <c r="H281" s="874" t="str">
        <f t="shared" si="36"/>
        <v>EUR12F10Y_Quote</v>
      </c>
      <c r="I281" s="877">
        <v>0</v>
      </c>
      <c r="J281" s="43"/>
      <c r="L281" s="895" t="str">
        <f t="shared" si="33"/>
        <v>FwdSw</v>
      </c>
      <c r="M281" s="891" t="str">
        <f t="shared" si="34"/>
        <v>--</v>
      </c>
      <c r="N281" s="894" t="str">
        <f ca="1">IFERROR(_xll.qlRateHelperQuoteName(M281,Trigger),"--")</f>
        <v>--</v>
      </c>
      <c r="O281" s="893" t="str">
        <f ca="1">IFERROR(_xll.qlRateHelperQuoteValue($M281,Trigger),"--")</f>
        <v>--</v>
      </c>
      <c r="P281" s="970" t="b">
        <v>0</v>
      </c>
      <c r="Q281" s="891">
        <v>50</v>
      </c>
      <c r="R281" s="891">
        <v>1</v>
      </c>
      <c r="S281" s="890" t="str">
        <f ca="1">IFERROR(_xll.qlRateHelperEarliestDate(M281,Trigger),"--")</f>
        <v>--</v>
      </c>
      <c r="T281" s="890" t="str">
        <f ca="1">IFERROR(_xll.qlRateHelperPillarDate(M281,Trigger),"--")</f>
        <v>--</v>
      </c>
      <c r="V281" s="4" t="str">
        <f t="shared" ca="1" si="32"/>
        <v/>
      </c>
      <c r="W281" s="4" t="e">
        <f ca="1"/>
        <v>#NAME?</v>
      </c>
      <c r="X281" s="4" t="str">
        <f ca="1">IFERROR(_xll.qlRateHelperQuoteName(W281,Trigger),"")</f>
        <v/>
      </c>
      <c r="Y281" s="889" t="str">
        <f ca="1">IFERROR(_xll.qlRateHelperRate(W281,Trigger),"")</f>
        <v/>
      </c>
      <c r="Z281" s="888" t="str">
        <f ca="1">IF(ISERROR(_xll.qlSwapRateHelperSpread($W281)),IF(ISERROR(_xll.qlFuturesRateHelperConvexityAdjustment($W281)),"",_xll.qlFuturesRateHelperConvexityAdjustment($W281)),_xll.qlSwapRateHelperSpread($W281))</f>
        <v/>
      </c>
      <c r="AA281" s="5" t="str">
        <f ca="1">IFERROR(_xll.qlRateHelperEarliestDate(W281,Trigger),"")</f>
        <v/>
      </c>
      <c r="AB281" s="5" t="str">
        <f ca="1">IFERROR(_xll.qlRateHelperPillarDate(W281,Trigger),"")</f>
        <v/>
      </c>
      <c r="AC281" s="887" t="e">
        <f ca="1"/>
        <v>#NAME?</v>
      </c>
    </row>
    <row r="282" spans="1:29" x14ac:dyDescent="0.2">
      <c r="A282" s="874" t="s">
        <v>410</v>
      </c>
      <c r="B282" s="876" t="s">
        <v>45</v>
      </c>
      <c r="C282" s="875" t="s">
        <v>44</v>
      </c>
      <c r="D282" s="875" t="s">
        <v>323</v>
      </c>
      <c r="E282" s="875" t="s">
        <v>322</v>
      </c>
      <c r="F282" s="875" t="s">
        <v>221</v>
      </c>
      <c r="G282" s="875" t="str">
        <f t="shared" si="35"/>
        <v>Euribor6M</v>
      </c>
      <c r="H282" s="874" t="str">
        <f t="shared" si="36"/>
        <v>EUR12F11Y_Quote</v>
      </c>
      <c r="I282" s="877">
        <v>0</v>
      </c>
      <c r="J282" s="43"/>
      <c r="L282" s="895" t="str">
        <f t="shared" si="33"/>
        <v>FwdSw</v>
      </c>
      <c r="M282" s="891" t="str">
        <f t="shared" si="34"/>
        <v>--</v>
      </c>
      <c r="N282" s="894" t="str">
        <f ca="1">IFERROR(_xll.qlRateHelperQuoteName(M282,Trigger),"--")</f>
        <v>--</v>
      </c>
      <c r="O282" s="893" t="str">
        <f ca="1">IFERROR(_xll.qlRateHelperQuoteValue($M282,Trigger),"--")</f>
        <v>--</v>
      </c>
      <c r="P282" s="970" t="b">
        <v>0</v>
      </c>
      <c r="Q282" s="891">
        <v>50</v>
      </c>
      <c r="R282" s="891">
        <v>1</v>
      </c>
      <c r="S282" s="890" t="str">
        <f ca="1">IFERROR(_xll.qlRateHelperEarliestDate(M282,Trigger),"--")</f>
        <v>--</v>
      </c>
      <c r="T282" s="890" t="str">
        <f ca="1">IFERROR(_xll.qlRateHelperPillarDate(M282,Trigger),"--")</f>
        <v>--</v>
      </c>
      <c r="V282" s="4" t="str">
        <f t="shared" ca="1" si="32"/>
        <v/>
      </c>
      <c r="W282" s="4" t="e">
        <f ca="1"/>
        <v>#NAME?</v>
      </c>
      <c r="X282" s="4" t="str">
        <f ca="1">IFERROR(_xll.qlRateHelperQuoteName(W282,Trigger),"")</f>
        <v/>
      </c>
      <c r="Y282" s="889" t="str">
        <f ca="1">IFERROR(_xll.qlRateHelperRate(W282,Trigger),"")</f>
        <v/>
      </c>
      <c r="Z282" s="888" t="str">
        <f ca="1">IF(ISERROR(_xll.qlSwapRateHelperSpread($W282)),IF(ISERROR(_xll.qlFuturesRateHelperConvexityAdjustment($W282)),"",_xll.qlFuturesRateHelperConvexityAdjustment($W282)),_xll.qlSwapRateHelperSpread($W282))</f>
        <v/>
      </c>
      <c r="AA282" s="5" t="str">
        <f ca="1">IFERROR(_xll.qlRateHelperEarliestDate(W282,Trigger),"")</f>
        <v/>
      </c>
      <c r="AB282" s="5" t="str">
        <f ca="1">IFERROR(_xll.qlRateHelperPillarDate(W282,Trigger),"")</f>
        <v/>
      </c>
      <c r="AC282" s="887" t="e">
        <f ca="1"/>
        <v>#NAME?</v>
      </c>
    </row>
    <row r="283" spans="1:29" x14ac:dyDescent="0.2">
      <c r="A283" s="874" t="s">
        <v>410</v>
      </c>
      <c r="B283" s="876" t="s">
        <v>44</v>
      </c>
      <c r="C283" s="875" t="s">
        <v>44</v>
      </c>
      <c r="D283" s="875" t="s">
        <v>323</v>
      </c>
      <c r="E283" s="875" t="s">
        <v>322</v>
      </c>
      <c r="F283" s="875" t="s">
        <v>221</v>
      </c>
      <c r="G283" s="875" t="str">
        <f t="shared" si="35"/>
        <v>Euribor6M</v>
      </c>
      <c r="H283" s="874" t="str">
        <f t="shared" si="36"/>
        <v>EUR12F12Y_Quote</v>
      </c>
      <c r="I283" s="877">
        <v>0</v>
      </c>
      <c r="J283" s="43"/>
      <c r="L283" s="895" t="str">
        <f t="shared" si="33"/>
        <v>FwdSw</v>
      </c>
      <c r="M283" s="891" t="str">
        <f t="shared" si="34"/>
        <v>--</v>
      </c>
      <c r="N283" s="894" t="str">
        <f ca="1">IFERROR(_xll.qlRateHelperQuoteName(M283,Trigger),"--")</f>
        <v>--</v>
      </c>
      <c r="O283" s="893" t="str">
        <f ca="1">IFERROR(_xll.qlRateHelperQuoteValue($M283,Trigger),"--")</f>
        <v>--</v>
      </c>
      <c r="P283" s="970" t="b">
        <v>0</v>
      </c>
      <c r="Q283" s="891">
        <v>50</v>
      </c>
      <c r="R283" s="891">
        <v>1</v>
      </c>
      <c r="S283" s="890" t="str">
        <f ca="1">IFERROR(_xll.qlRateHelperEarliestDate(M283,Trigger),"--")</f>
        <v>--</v>
      </c>
      <c r="T283" s="890" t="str">
        <f ca="1">IFERROR(_xll.qlRateHelperPillarDate(M283,Trigger),"--")</f>
        <v>--</v>
      </c>
      <c r="V283" s="4" t="str">
        <f t="shared" ca="1" si="32"/>
        <v/>
      </c>
      <c r="W283" s="4" t="e">
        <f ca="1"/>
        <v>#NAME?</v>
      </c>
      <c r="X283" s="4" t="str">
        <f ca="1">IFERROR(_xll.qlRateHelperQuoteName(W283,Trigger),"")</f>
        <v/>
      </c>
      <c r="Y283" s="889" t="str">
        <f ca="1">IFERROR(_xll.qlRateHelperRate(W283,Trigger),"")</f>
        <v/>
      </c>
      <c r="Z283" s="888" t="str">
        <f ca="1">IF(ISERROR(_xll.qlSwapRateHelperSpread($W283)),IF(ISERROR(_xll.qlFuturesRateHelperConvexityAdjustment($W283)),"",_xll.qlFuturesRateHelperConvexityAdjustment($W283)),_xll.qlSwapRateHelperSpread($W283))</f>
        <v/>
      </c>
      <c r="AA283" s="5" t="str">
        <f ca="1">IFERROR(_xll.qlRateHelperEarliestDate(W283,Trigger),"")</f>
        <v/>
      </c>
      <c r="AB283" s="5" t="str">
        <f ca="1">IFERROR(_xll.qlRateHelperPillarDate(W283,Trigger),"")</f>
        <v/>
      </c>
      <c r="AC283" s="887" t="e">
        <f ca="1"/>
        <v>#NAME?</v>
      </c>
    </row>
    <row r="284" spans="1:29" x14ac:dyDescent="0.2">
      <c r="A284" s="874" t="s">
        <v>410</v>
      </c>
      <c r="B284" s="876" t="s">
        <v>43</v>
      </c>
      <c r="C284" s="875" t="s">
        <v>44</v>
      </c>
      <c r="D284" s="875" t="s">
        <v>323</v>
      </c>
      <c r="E284" s="875" t="s">
        <v>322</v>
      </c>
      <c r="F284" s="875" t="s">
        <v>221</v>
      </c>
      <c r="G284" s="875" t="str">
        <f t="shared" si="35"/>
        <v>Euribor6M</v>
      </c>
      <c r="H284" s="874" t="str">
        <f t="shared" si="36"/>
        <v>EUR12F13Y_Quote</v>
      </c>
      <c r="I284" s="877">
        <v>0</v>
      </c>
      <c r="J284" s="43"/>
      <c r="L284" s="895" t="str">
        <f t="shared" si="33"/>
        <v>FwdSw</v>
      </c>
      <c r="M284" s="891" t="str">
        <f t="shared" si="34"/>
        <v>--</v>
      </c>
      <c r="N284" s="894" t="str">
        <f ca="1">IFERROR(_xll.qlRateHelperQuoteName(M284,Trigger),"--")</f>
        <v>--</v>
      </c>
      <c r="O284" s="893" t="str">
        <f ca="1">IFERROR(_xll.qlRateHelperQuoteValue($M284,Trigger),"--")</f>
        <v>--</v>
      </c>
      <c r="P284" s="970" t="b">
        <v>0</v>
      </c>
      <c r="Q284" s="891">
        <v>50</v>
      </c>
      <c r="R284" s="891">
        <v>1</v>
      </c>
      <c r="S284" s="890" t="str">
        <f ca="1">IFERROR(_xll.qlRateHelperEarliestDate(M284,Trigger),"--")</f>
        <v>--</v>
      </c>
      <c r="T284" s="890" t="str">
        <f ca="1">IFERROR(_xll.qlRateHelperPillarDate(M284,Trigger),"--")</f>
        <v>--</v>
      </c>
      <c r="V284" s="4" t="str">
        <f t="shared" ca="1" si="32"/>
        <v/>
      </c>
      <c r="W284" s="4" t="e">
        <f ca="1"/>
        <v>#NAME?</v>
      </c>
      <c r="X284" s="4" t="str">
        <f ca="1">IFERROR(_xll.qlRateHelperQuoteName(W284,Trigger),"")</f>
        <v/>
      </c>
      <c r="Y284" s="889" t="str">
        <f ca="1">IFERROR(_xll.qlRateHelperRate(W284,Trigger),"")</f>
        <v/>
      </c>
      <c r="Z284" s="888" t="str">
        <f ca="1">IF(ISERROR(_xll.qlSwapRateHelperSpread($W284)),IF(ISERROR(_xll.qlFuturesRateHelperConvexityAdjustment($W284)),"",_xll.qlFuturesRateHelperConvexityAdjustment($W284)),_xll.qlSwapRateHelperSpread($W284))</f>
        <v/>
      </c>
      <c r="AA284" s="5" t="str">
        <f ca="1">IFERROR(_xll.qlRateHelperEarliestDate(W284,Trigger),"")</f>
        <v/>
      </c>
      <c r="AB284" s="5" t="str">
        <f ca="1">IFERROR(_xll.qlRateHelperPillarDate(W284,Trigger),"")</f>
        <v/>
      </c>
      <c r="AC284" s="887" t="e">
        <f ca="1"/>
        <v>#NAME?</v>
      </c>
    </row>
    <row r="285" spans="1:29" x14ac:dyDescent="0.2">
      <c r="A285" s="874" t="s">
        <v>410</v>
      </c>
      <c r="B285" s="876" t="s">
        <v>42</v>
      </c>
      <c r="C285" s="875" t="s">
        <v>44</v>
      </c>
      <c r="D285" s="875" t="s">
        <v>323</v>
      </c>
      <c r="E285" s="875" t="s">
        <v>322</v>
      </c>
      <c r="F285" s="875" t="s">
        <v>221</v>
      </c>
      <c r="G285" s="875" t="str">
        <f t="shared" si="35"/>
        <v>Euribor6M</v>
      </c>
      <c r="H285" s="874" t="str">
        <f t="shared" si="36"/>
        <v>EUR12F14Y_Quote</v>
      </c>
      <c r="I285" s="877">
        <v>0</v>
      </c>
      <c r="J285" s="43"/>
      <c r="L285" s="895" t="str">
        <f t="shared" si="33"/>
        <v>FwdSw</v>
      </c>
      <c r="M285" s="891" t="str">
        <f t="shared" si="34"/>
        <v>--</v>
      </c>
      <c r="N285" s="894" t="str">
        <f ca="1">IFERROR(_xll.qlRateHelperQuoteName(M285,Trigger),"--")</f>
        <v>--</v>
      </c>
      <c r="O285" s="893" t="str">
        <f ca="1">IFERROR(_xll.qlRateHelperQuoteValue($M285,Trigger),"--")</f>
        <v>--</v>
      </c>
      <c r="P285" s="970" t="b">
        <v>0</v>
      </c>
      <c r="Q285" s="891">
        <v>50</v>
      </c>
      <c r="R285" s="891">
        <v>1</v>
      </c>
      <c r="S285" s="890" t="str">
        <f ca="1">IFERROR(_xll.qlRateHelperEarliestDate(M285,Trigger),"--")</f>
        <v>--</v>
      </c>
      <c r="T285" s="890" t="str">
        <f ca="1">IFERROR(_xll.qlRateHelperPillarDate(M285,Trigger),"--")</f>
        <v>--</v>
      </c>
      <c r="V285" s="4" t="str">
        <f t="shared" ca="1" si="32"/>
        <v/>
      </c>
      <c r="W285" s="4" t="e">
        <f ca="1"/>
        <v>#NAME?</v>
      </c>
      <c r="X285" s="4" t="str">
        <f ca="1">IFERROR(_xll.qlRateHelperQuoteName(W285,Trigger),"")</f>
        <v/>
      </c>
      <c r="Y285" s="889" t="str">
        <f ca="1">IFERROR(_xll.qlRateHelperRate(W285,Trigger),"")</f>
        <v/>
      </c>
      <c r="Z285" s="888" t="str">
        <f ca="1">IF(ISERROR(_xll.qlSwapRateHelperSpread($W285)),IF(ISERROR(_xll.qlFuturesRateHelperConvexityAdjustment($W285)),"",_xll.qlFuturesRateHelperConvexityAdjustment($W285)),_xll.qlSwapRateHelperSpread($W285))</f>
        <v/>
      </c>
      <c r="AA285" s="5" t="str">
        <f ca="1">IFERROR(_xll.qlRateHelperEarliestDate(W285,Trigger),"")</f>
        <v/>
      </c>
      <c r="AB285" s="5" t="str">
        <f ca="1">IFERROR(_xll.qlRateHelperPillarDate(W285,Trigger),"")</f>
        <v/>
      </c>
      <c r="AC285" s="887" t="e">
        <f ca="1"/>
        <v>#NAME?</v>
      </c>
    </row>
    <row r="286" spans="1:29" x14ac:dyDescent="0.2">
      <c r="A286" s="874" t="s">
        <v>410</v>
      </c>
      <c r="B286" s="876" t="s">
        <v>41</v>
      </c>
      <c r="C286" s="875" t="s">
        <v>44</v>
      </c>
      <c r="D286" s="875" t="s">
        <v>323</v>
      </c>
      <c r="E286" s="875" t="s">
        <v>322</v>
      </c>
      <c r="F286" s="875" t="s">
        <v>221</v>
      </c>
      <c r="G286" s="875" t="str">
        <f t="shared" si="35"/>
        <v>Euribor6M</v>
      </c>
      <c r="H286" s="874" t="str">
        <f t="shared" si="36"/>
        <v>EUR12F15Y_Quote</v>
      </c>
      <c r="I286" s="877">
        <v>0</v>
      </c>
      <c r="J286" s="43"/>
      <c r="L286" s="895" t="str">
        <f t="shared" si="33"/>
        <v>FwdSw</v>
      </c>
      <c r="M286" s="891" t="str">
        <f t="shared" si="34"/>
        <v>--</v>
      </c>
      <c r="N286" s="894" t="str">
        <f ca="1">IFERROR(_xll.qlRateHelperQuoteName(M286,Trigger),"--")</f>
        <v>--</v>
      </c>
      <c r="O286" s="893" t="str">
        <f ca="1">IFERROR(_xll.qlRateHelperQuoteValue($M286,Trigger),"--")</f>
        <v>--</v>
      </c>
      <c r="P286" s="970" t="b">
        <v>0</v>
      </c>
      <c r="Q286" s="891">
        <v>50</v>
      </c>
      <c r="R286" s="891">
        <v>1</v>
      </c>
      <c r="S286" s="890" t="str">
        <f ca="1">IFERROR(_xll.qlRateHelperEarliestDate(M286,Trigger),"--")</f>
        <v>--</v>
      </c>
      <c r="T286" s="890" t="str">
        <f ca="1">IFERROR(_xll.qlRateHelperPillarDate(M286,Trigger),"--")</f>
        <v>--</v>
      </c>
      <c r="V286" s="4" t="str">
        <f t="shared" ca="1" si="32"/>
        <v/>
      </c>
      <c r="W286" s="4" t="e">
        <f ca="1"/>
        <v>#NAME?</v>
      </c>
      <c r="X286" s="4" t="str">
        <f ca="1">IFERROR(_xll.qlRateHelperQuoteName(W286,Trigger),"")</f>
        <v/>
      </c>
      <c r="Y286" s="889" t="str">
        <f ca="1">IFERROR(_xll.qlRateHelperRate(W286,Trigger),"")</f>
        <v/>
      </c>
      <c r="Z286" s="888" t="str">
        <f ca="1">IF(ISERROR(_xll.qlSwapRateHelperSpread($W286)),IF(ISERROR(_xll.qlFuturesRateHelperConvexityAdjustment($W286)),"",_xll.qlFuturesRateHelperConvexityAdjustment($W286)),_xll.qlSwapRateHelperSpread($W286))</f>
        <v/>
      </c>
      <c r="AA286" s="5" t="str">
        <f ca="1">IFERROR(_xll.qlRateHelperEarliestDate(W286,Trigger),"")</f>
        <v/>
      </c>
      <c r="AB286" s="5" t="str">
        <f ca="1">IFERROR(_xll.qlRateHelperPillarDate(W286,Trigger),"")</f>
        <v/>
      </c>
      <c r="AC286" s="887" t="e">
        <f ca="1"/>
        <v>#NAME?</v>
      </c>
    </row>
    <row r="287" spans="1:29" x14ac:dyDescent="0.2">
      <c r="A287" s="874" t="s">
        <v>410</v>
      </c>
      <c r="B287" s="876" t="s">
        <v>36</v>
      </c>
      <c r="C287" s="875" t="s">
        <v>44</v>
      </c>
      <c r="D287" s="875" t="s">
        <v>323</v>
      </c>
      <c r="E287" s="875" t="s">
        <v>322</v>
      </c>
      <c r="F287" s="875" t="s">
        <v>221</v>
      </c>
      <c r="G287" s="875" t="str">
        <f t="shared" si="35"/>
        <v>Euribor6M</v>
      </c>
      <c r="H287" s="874" t="str">
        <f t="shared" si="36"/>
        <v>EUR12F20Y_Quote</v>
      </c>
      <c r="I287" s="877">
        <v>0</v>
      </c>
      <c r="J287" s="43"/>
      <c r="L287" s="895" t="str">
        <f t="shared" si="33"/>
        <v>FwdSw</v>
      </c>
      <c r="M287" s="891" t="str">
        <f t="shared" si="34"/>
        <v>--</v>
      </c>
      <c r="N287" s="894" t="str">
        <f ca="1">IFERROR(_xll.qlRateHelperQuoteName(M287,Trigger),"--")</f>
        <v>--</v>
      </c>
      <c r="O287" s="893" t="str">
        <f ca="1">IFERROR(_xll.qlRateHelperQuoteValue($M287,Trigger),"--")</f>
        <v>--</v>
      </c>
      <c r="P287" s="970" t="b">
        <v>0</v>
      </c>
      <c r="Q287" s="891">
        <v>50</v>
      </c>
      <c r="R287" s="891">
        <v>1</v>
      </c>
      <c r="S287" s="890" t="str">
        <f ca="1">IFERROR(_xll.qlRateHelperEarliestDate(M287,Trigger),"--")</f>
        <v>--</v>
      </c>
      <c r="T287" s="890" t="str">
        <f ca="1">IFERROR(_xll.qlRateHelperPillarDate(M287,Trigger),"--")</f>
        <v>--</v>
      </c>
      <c r="V287" s="4" t="str">
        <f t="shared" ca="1" si="32"/>
        <v/>
      </c>
      <c r="W287" s="4" t="e">
        <f ca="1"/>
        <v>#NAME?</v>
      </c>
      <c r="X287" s="4" t="str">
        <f ca="1">IFERROR(_xll.qlRateHelperQuoteName(W287,Trigger),"")</f>
        <v/>
      </c>
      <c r="Y287" s="889" t="str">
        <f ca="1">IFERROR(_xll.qlRateHelperRate(W287,Trigger),"")</f>
        <v/>
      </c>
      <c r="Z287" s="888" t="str">
        <f ca="1">IF(ISERROR(_xll.qlSwapRateHelperSpread($W287)),IF(ISERROR(_xll.qlFuturesRateHelperConvexityAdjustment($W287)),"",_xll.qlFuturesRateHelperConvexityAdjustment($W287)),_xll.qlSwapRateHelperSpread($W287))</f>
        <v/>
      </c>
      <c r="AA287" s="5" t="str">
        <f ca="1">IFERROR(_xll.qlRateHelperEarliestDate(W287,Trigger),"")</f>
        <v/>
      </c>
      <c r="AB287" s="5" t="str">
        <f ca="1">IFERROR(_xll.qlRateHelperPillarDate(W287,Trigger),"")</f>
        <v/>
      </c>
      <c r="AC287" s="887" t="e">
        <f ca="1"/>
        <v>#NAME?</v>
      </c>
    </row>
    <row r="288" spans="1:29" x14ac:dyDescent="0.2">
      <c r="A288" s="874" t="s">
        <v>410</v>
      </c>
      <c r="B288" s="876" t="s">
        <v>31</v>
      </c>
      <c r="C288" s="875" t="s">
        <v>44</v>
      </c>
      <c r="D288" s="875" t="s">
        <v>323</v>
      </c>
      <c r="E288" s="875" t="s">
        <v>322</v>
      </c>
      <c r="F288" s="875" t="s">
        <v>221</v>
      </c>
      <c r="G288" s="875" t="str">
        <f t="shared" si="35"/>
        <v>Euribor6M</v>
      </c>
      <c r="H288" s="874" t="str">
        <f t="shared" si="36"/>
        <v>EUR12F25Y_Quote</v>
      </c>
      <c r="I288" s="877">
        <v>0</v>
      </c>
      <c r="J288" s="43"/>
      <c r="L288" s="895" t="str">
        <f t="shared" si="33"/>
        <v>FwdSw</v>
      </c>
      <c r="M288" s="891" t="str">
        <f t="shared" si="34"/>
        <v>--</v>
      </c>
      <c r="N288" s="894" t="str">
        <f ca="1">IFERROR(_xll.qlRateHelperQuoteName(M288,Trigger),"--")</f>
        <v>--</v>
      </c>
      <c r="O288" s="893" t="str">
        <f ca="1">IFERROR(_xll.qlRateHelperQuoteValue($M288,Trigger),"--")</f>
        <v>--</v>
      </c>
      <c r="P288" s="970" t="b">
        <v>0</v>
      </c>
      <c r="Q288" s="891">
        <v>50</v>
      </c>
      <c r="R288" s="891">
        <v>1</v>
      </c>
      <c r="S288" s="890" t="str">
        <f ca="1">IFERROR(_xll.qlRateHelperEarliestDate(M288,Trigger),"--")</f>
        <v>--</v>
      </c>
      <c r="T288" s="890" t="str">
        <f ca="1">IFERROR(_xll.qlRateHelperPillarDate(M288,Trigger),"--")</f>
        <v>--</v>
      </c>
      <c r="V288" s="4" t="str">
        <f t="shared" ca="1" si="32"/>
        <v/>
      </c>
      <c r="W288" s="4" t="e">
        <f ca="1"/>
        <v>#NAME?</v>
      </c>
      <c r="X288" s="4" t="str">
        <f ca="1">IFERROR(_xll.qlRateHelperQuoteName(W288,Trigger),"")</f>
        <v/>
      </c>
      <c r="Y288" s="889" t="str">
        <f ca="1">IFERROR(_xll.qlRateHelperRate(W288,Trigger),"")</f>
        <v/>
      </c>
      <c r="Z288" s="888" t="str">
        <f ca="1">IF(ISERROR(_xll.qlSwapRateHelperSpread($W288)),IF(ISERROR(_xll.qlFuturesRateHelperConvexityAdjustment($W288)),"",_xll.qlFuturesRateHelperConvexityAdjustment($W288)),_xll.qlSwapRateHelperSpread($W288))</f>
        <v/>
      </c>
      <c r="AA288" s="5" t="str">
        <f ca="1">IFERROR(_xll.qlRateHelperEarliestDate(W288,Trigger),"")</f>
        <v/>
      </c>
      <c r="AB288" s="5" t="str">
        <f ca="1">IFERROR(_xll.qlRateHelperPillarDate(W288,Trigger),"")</f>
        <v/>
      </c>
      <c r="AC288" s="887" t="e">
        <f ca="1"/>
        <v>#NAME?</v>
      </c>
    </row>
    <row r="289" spans="1:29" x14ac:dyDescent="0.2">
      <c r="A289" s="870" t="s">
        <v>410</v>
      </c>
      <c r="B289" s="872" t="s">
        <v>26</v>
      </c>
      <c r="C289" s="871" t="s">
        <v>44</v>
      </c>
      <c r="D289" s="871" t="s">
        <v>323</v>
      </c>
      <c r="E289" s="871" t="s">
        <v>322</v>
      </c>
      <c r="F289" s="871" t="s">
        <v>221</v>
      </c>
      <c r="G289" s="871" t="str">
        <f t="shared" si="35"/>
        <v>Euribor6M</v>
      </c>
      <c r="H289" s="870" t="str">
        <f t="shared" si="36"/>
        <v>EUR12F30Y_Quote</v>
      </c>
      <c r="I289" s="985">
        <v>0</v>
      </c>
      <c r="J289" s="38"/>
      <c r="L289" s="895" t="str">
        <f t="shared" si="33"/>
        <v>FwdSw</v>
      </c>
      <c r="M289" s="891" t="str">
        <f t="shared" si="34"/>
        <v>--</v>
      </c>
      <c r="N289" s="894" t="str">
        <f ca="1">IFERROR(_xll.qlRateHelperQuoteName(M289,Trigger),"--")</f>
        <v>--</v>
      </c>
      <c r="O289" s="893" t="str">
        <f ca="1">IFERROR(_xll.qlRateHelperQuoteValue($M289,Trigger),"--")</f>
        <v>--</v>
      </c>
      <c r="P289" s="970" t="b">
        <v>0</v>
      </c>
      <c r="Q289" s="891">
        <v>50</v>
      </c>
      <c r="R289" s="891">
        <v>1</v>
      </c>
      <c r="S289" s="890" t="str">
        <f ca="1">IFERROR(_xll.qlRateHelperEarliestDate(M289,Trigger),"--")</f>
        <v>--</v>
      </c>
      <c r="T289" s="890" t="str">
        <f ca="1">IFERROR(_xll.qlRateHelperPillarDate(M289,Trigger),"--")</f>
        <v>--</v>
      </c>
      <c r="V289" s="4" t="str">
        <f t="shared" ca="1" si="32"/>
        <v/>
      </c>
      <c r="W289" s="4" t="e">
        <f ca="1"/>
        <v>#NAME?</v>
      </c>
      <c r="X289" s="4" t="str">
        <f ca="1">IFERROR(_xll.qlRateHelperQuoteName(W289,Trigger),"")</f>
        <v/>
      </c>
      <c r="Y289" s="889" t="str">
        <f ca="1">IFERROR(_xll.qlRateHelperRate(W289,Trigger),"")</f>
        <v/>
      </c>
      <c r="Z289" s="888" t="str">
        <f ca="1">IF(ISERROR(_xll.qlSwapRateHelperSpread($W289)),IF(ISERROR(_xll.qlFuturesRateHelperConvexityAdjustment($W289)),"",_xll.qlFuturesRateHelperConvexityAdjustment($W289)),_xll.qlSwapRateHelperSpread($W289))</f>
        <v/>
      </c>
      <c r="AA289" s="5" t="str">
        <f ca="1">IFERROR(_xll.qlRateHelperEarliestDate(W289,Trigger),"")</f>
        <v/>
      </c>
      <c r="AB289" s="5" t="str">
        <f ca="1">IFERROR(_xll.qlRateHelperPillarDate(W289,Trigger),"")</f>
        <v/>
      </c>
      <c r="AC289" s="887" t="e">
        <f ca="1"/>
        <v>#NAME?</v>
      </c>
    </row>
    <row r="290" spans="1:29" x14ac:dyDescent="0.2">
      <c r="A290" s="874" t="s">
        <v>410</v>
      </c>
      <c r="B290" s="876" t="s">
        <v>58</v>
      </c>
      <c r="C290" s="875" t="s">
        <v>43</v>
      </c>
      <c r="D290" s="875" t="s">
        <v>323</v>
      </c>
      <c r="E290" s="875" t="s">
        <v>322</v>
      </c>
      <c r="F290" s="875" t="s">
        <v>221</v>
      </c>
      <c r="G290" s="875" t="str">
        <f t="shared" si="35"/>
        <v>Euribor6M</v>
      </c>
      <c r="H290" s="874" t="str">
        <f t="shared" si="36"/>
        <v>EUR13F1Y_Quote</v>
      </c>
      <c r="I290" s="877">
        <v>0</v>
      </c>
      <c r="J290" s="43"/>
      <c r="L290" s="895" t="str">
        <f t="shared" si="33"/>
        <v>FwdSw</v>
      </c>
      <c r="M290" s="891" t="str">
        <f t="shared" si="34"/>
        <v>--</v>
      </c>
      <c r="N290" s="894" t="str">
        <f ca="1">IFERROR(_xll.qlRateHelperQuoteName(M290,Trigger),"--")</f>
        <v>--</v>
      </c>
      <c r="O290" s="893" t="str">
        <f ca="1">IFERROR(_xll.qlRateHelperQuoteValue($M290,Trigger),"--")</f>
        <v>--</v>
      </c>
      <c r="P290" s="970" t="b">
        <v>0</v>
      </c>
      <c r="Q290" s="891">
        <v>50</v>
      </c>
      <c r="R290" s="891">
        <v>1</v>
      </c>
      <c r="S290" s="890" t="str">
        <f ca="1">IFERROR(_xll.qlRateHelperEarliestDate(M290,Trigger),"--")</f>
        <v>--</v>
      </c>
      <c r="T290" s="890" t="str">
        <f ca="1">IFERROR(_xll.qlRateHelperPillarDate(M290,Trigger),"--")</f>
        <v>--</v>
      </c>
      <c r="V290" s="4" t="str">
        <f t="shared" ca="1" si="32"/>
        <v/>
      </c>
      <c r="W290" s="4" t="e">
        <f ca="1"/>
        <v>#NAME?</v>
      </c>
      <c r="X290" s="4" t="str">
        <f ca="1">IFERROR(_xll.qlRateHelperQuoteName(W290,Trigger),"")</f>
        <v/>
      </c>
      <c r="Y290" s="889" t="str">
        <f ca="1">IFERROR(_xll.qlRateHelperRate(W290,Trigger),"")</f>
        <v/>
      </c>
      <c r="Z290" s="888" t="str">
        <f ca="1">IF(ISERROR(_xll.qlSwapRateHelperSpread($W290)),IF(ISERROR(_xll.qlFuturesRateHelperConvexityAdjustment($W290)),"",_xll.qlFuturesRateHelperConvexityAdjustment($W290)),_xll.qlSwapRateHelperSpread($W290))</f>
        <v/>
      </c>
      <c r="AA290" s="5" t="str">
        <f ca="1">IFERROR(_xll.qlRateHelperEarliestDate(W290,Trigger),"")</f>
        <v/>
      </c>
      <c r="AB290" s="5" t="str">
        <f ca="1">IFERROR(_xll.qlRateHelperPillarDate(W290,Trigger),"")</f>
        <v/>
      </c>
      <c r="AC290" s="887" t="e">
        <f ca="1"/>
        <v>#NAME?</v>
      </c>
    </row>
    <row r="291" spans="1:29" x14ac:dyDescent="0.2">
      <c r="A291" s="874" t="s">
        <v>410</v>
      </c>
      <c r="B291" s="876" t="s">
        <v>54</v>
      </c>
      <c r="C291" s="875" t="s">
        <v>43</v>
      </c>
      <c r="D291" s="875" t="s">
        <v>323</v>
      </c>
      <c r="E291" s="875" t="s">
        <v>322</v>
      </c>
      <c r="F291" s="875" t="s">
        <v>221</v>
      </c>
      <c r="G291" s="875" t="str">
        <f t="shared" si="35"/>
        <v>Euribor6M</v>
      </c>
      <c r="H291" s="874" t="str">
        <f t="shared" si="36"/>
        <v>EUR13F2Y_Quote</v>
      </c>
      <c r="I291" s="877">
        <v>0</v>
      </c>
      <c r="J291" s="43"/>
      <c r="L291" s="895" t="str">
        <f t="shared" si="33"/>
        <v>FwdSw</v>
      </c>
      <c r="M291" s="891" t="str">
        <f t="shared" si="34"/>
        <v>--</v>
      </c>
      <c r="N291" s="894" t="str">
        <f ca="1">IFERROR(_xll.qlRateHelperQuoteName(M291,Trigger),"--")</f>
        <v>--</v>
      </c>
      <c r="O291" s="893" t="str">
        <f ca="1">IFERROR(_xll.qlRateHelperQuoteValue($M291,Trigger),"--")</f>
        <v>--</v>
      </c>
      <c r="P291" s="970" t="b">
        <v>0</v>
      </c>
      <c r="Q291" s="891">
        <v>50</v>
      </c>
      <c r="R291" s="891">
        <v>1</v>
      </c>
      <c r="S291" s="890" t="str">
        <f ca="1">IFERROR(_xll.qlRateHelperEarliestDate(M291,Trigger),"--")</f>
        <v>--</v>
      </c>
      <c r="T291" s="890" t="str">
        <f ca="1">IFERROR(_xll.qlRateHelperPillarDate(M291,Trigger),"--")</f>
        <v>--</v>
      </c>
      <c r="V291" s="4" t="str">
        <f t="shared" ca="1" si="32"/>
        <v/>
      </c>
      <c r="W291" s="4" t="e">
        <f ca="1"/>
        <v>#NAME?</v>
      </c>
      <c r="X291" s="4" t="str">
        <f ca="1">IFERROR(_xll.qlRateHelperQuoteName(W291,Trigger),"")</f>
        <v/>
      </c>
      <c r="Y291" s="889" t="str">
        <f ca="1">IFERROR(_xll.qlRateHelperRate(W291,Trigger),"")</f>
        <v/>
      </c>
      <c r="Z291" s="888" t="str">
        <f ca="1">IF(ISERROR(_xll.qlSwapRateHelperSpread($W291)),IF(ISERROR(_xll.qlFuturesRateHelperConvexityAdjustment($W291)),"",_xll.qlFuturesRateHelperConvexityAdjustment($W291)),_xll.qlSwapRateHelperSpread($W291))</f>
        <v/>
      </c>
      <c r="AA291" s="5" t="str">
        <f ca="1">IFERROR(_xll.qlRateHelperEarliestDate(W291,Trigger),"")</f>
        <v/>
      </c>
      <c r="AB291" s="5" t="str">
        <f ca="1">IFERROR(_xll.qlRateHelperPillarDate(W291,Trigger),"")</f>
        <v/>
      </c>
      <c r="AC291" s="887" t="e">
        <f ca="1"/>
        <v>#NAME?</v>
      </c>
    </row>
    <row r="292" spans="1:29" x14ac:dyDescent="0.2">
      <c r="A292" s="874" t="s">
        <v>410</v>
      </c>
      <c r="B292" s="876" t="s">
        <v>53</v>
      </c>
      <c r="C292" s="875" t="s">
        <v>43</v>
      </c>
      <c r="D292" s="875" t="s">
        <v>323</v>
      </c>
      <c r="E292" s="875" t="s">
        <v>322</v>
      </c>
      <c r="F292" s="875" t="s">
        <v>221</v>
      </c>
      <c r="G292" s="875" t="str">
        <f t="shared" si="35"/>
        <v>Euribor6M</v>
      </c>
      <c r="H292" s="874" t="str">
        <f t="shared" si="36"/>
        <v>EUR13F3Y_Quote</v>
      </c>
      <c r="I292" s="877">
        <v>0</v>
      </c>
      <c r="J292" s="43"/>
      <c r="L292" s="895" t="str">
        <f t="shared" si="33"/>
        <v>FwdSw</v>
      </c>
      <c r="M292" s="891" t="str">
        <f t="shared" si="34"/>
        <v>--</v>
      </c>
      <c r="N292" s="894" t="str">
        <f ca="1">IFERROR(_xll.qlRateHelperQuoteName(M292,Trigger),"--")</f>
        <v>--</v>
      </c>
      <c r="O292" s="893" t="str">
        <f ca="1">IFERROR(_xll.qlRateHelperQuoteValue($M292,Trigger),"--")</f>
        <v>--</v>
      </c>
      <c r="P292" s="970" t="b">
        <v>0</v>
      </c>
      <c r="Q292" s="891">
        <v>50</v>
      </c>
      <c r="R292" s="891">
        <v>1</v>
      </c>
      <c r="S292" s="890" t="str">
        <f ca="1">IFERROR(_xll.qlRateHelperEarliestDate(M292,Trigger),"--")</f>
        <v>--</v>
      </c>
      <c r="T292" s="890" t="str">
        <f ca="1">IFERROR(_xll.qlRateHelperPillarDate(M292,Trigger),"--")</f>
        <v>--</v>
      </c>
      <c r="V292" s="4" t="str">
        <f t="shared" ca="1" si="32"/>
        <v/>
      </c>
      <c r="W292" s="4" t="e">
        <f ca="1"/>
        <v>#NAME?</v>
      </c>
      <c r="X292" s="4" t="str">
        <f ca="1">IFERROR(_xll.qlRateHelperQuoteName(W292,Trigger),"")</f>
        <v/>
      </c>
      <c r="Y292" s="889" t="str">
        <f ca="1">IFERROR(_xll.qlRateHelperRate(W292,Trigger),"")</f>
        <v/>
      </c>
      <c r="Z292" s="888" t="str">
        <f ca="1">IF(ISERROR(_xll.qlSwapRateHelperSpread($W292)),IF(ISERROR(_xll.qlFuturesRateHelperConvexityAdjustment($W292)),"",_xll.qlFuturesRateHelperConvexityAdjustment($W292)),_xll.qlSwapRateHelperSpread($W292))</f>
        <v/>
      </c>
      <c r="AA292" s="5" t="str">
        <f ca="1">IFERROR(_xll.qlRateHelperEarliestDate(W292,Trigger),"")</f>
        <v/>
      </c>
      <c r="AB292" s="5" t="str">
        <f ca="1">IFERROR(_xll.qlRateHelperPillarDate(W292,Trigger),"")</f>
        <v/>
      </c>
      <c r="AC292" s="887" t="e">
        <f ca="1"/>
        <v>#NAME?</v>
      </c>
    </row>
    <row r="293" spans="1:29" x14ac:dyDescent="0.2">
      <c r="A293" s="874" t="s">
        <v>410</v>
      </c>
      <c r="B293" s="876" t="s">
        <v>52</v>
      </c>
      <c r="C293" s="875" t="s">
        <v>43</v>
      </c>
      <c r="D293" s="875" t="s">
        <v>323</v>
      </c>
      <c r="E293" s="875" t="s">
        <v>322</v>
      </c>
      <c r="F293" s="875" t="s">
        <v>221</v>
      </c>
      <c r="G293" s="875" t="str">
        <f t="shared" si="35"/>
        <v>Euribor6M</v>
      </c>
      <c r="H293" s="874" t="str">
        <f t="shared" si="36"/>
        <v>EUR13F4Y_Quote</v>
      </c>
      <c r="I293" s="877">
        <v>0</v>
      </c>
      <c r="J293" s="43"/>
      <c r="L293" s="895" t="str">
        <f t="shared" si="33"/>
        <v>FwdSw</v>
      </c>
      <c r="M293" s="891" t="str">
        <f t="shared" si="34"/>
        <v>--</v>
      </c>
      <c r="N293" s="894" t="str">
        <f ca="1">IFERROR(_xll.qlRateHelperQuoteName(M293,Trigger),"--")</f>
        <v>--</v>
      </c>
      <c r="O293" s="893" t="str">
        <f ca="1">IFERROR(_xll.qlRateHelperQuoteValue($M293,Trigger),"--")</f>
        <v>--</v>
      </c>
      <c r="P293" s="970" t="b">
        <v>0</v>
      </c>
      <c r="Q293" s="891">
        <v>50</v>
      </c>
      <c r="R293" s="891">
        <v>1</v>
      </c>
      <c r="S293" s="890" t="str">
        <f ca="1">IFERROR(_xll.qlRateHelperEarliestDate(M293,Trigger),"--")</f>
        <v>--</v>
      </c>
      <c r="T293" s="890" t="str">
        <f ca="1">IFERROR(_xll.qlRateHelperPillarDate(M293,Trigger),"--")</f>
        <v>--</v>
      </c>
      <c r="V293" s="4" t="str">
        <f t="shared" ca="1" si="32"/>
        <v/>
      </c>
      <c r="W293" s="4" t="e">
        <f ca="1"/>
        <v>#NAME?</v>
      </c>
      <c r="X293" s="4" t="str">
        <f ca="1">IFERROR(_xll.qlRateHelperQuoteName(W293,Trigger),"")</f>
        <v/>
      </c>
      <c r="Y293" s="889" t="str">
        <f ca="1">IFERROR(_xll.qlRateHelperRate(W293,Trigger),"")</f>
        <v/>
      </c>
      <c r="Z293" s="888" t="str">
        <f ca="1">IF(ISERROR(_xll.qlSwapRateHelperSpread($W293)),IF(ISERROR(_xll.qlFuturesRateHelperConvexityAdjustment($W293)),"",_xll.qlFuturesRateHelperConvexityAdjustment($W293)),_xll.qlSwapRateHelperSpread($W293))</f>
        <v/>
      </c>
      <c r="AA293" s="5" t="str">
        <f ca="1">IFERROR(_xll.qlRateHelperEarliestDate(W293,Trigger),"")</f>
        <v/>
      </c>
      <c r="AB293" s="5" t="str">
        <f ca="1">IFERROR(_xll.qlRateHelperPillarDate(W293,Trigger),"")</f>
        <v/>
      </c>
      <c r="AC293" s="887" t="e">
        <f ca="1"/>
        <v>#NAME?</v>
      </c>
    </row>
    <row r="294" spans="1:29" x14ac:dyDescent="0.2">
      <c r="A294" s="874" t="s">
        <v>410</v>
      </c>
      <c r="B294" s="876" t="s">
        <v>51</v>
      </c>
      <c r="C294" s="875" t="s">
        <v>43</v>
      </c>
      <c r="D294" s="875" t="s">
        <v>323</v>
      </c>
      <c r="E294" s="875" t="s">
        <v>322</v>
      </c>
      <c r="F294" s="875" t="s">
        <v>221</v>
      </c>
      <c r="G294" s="875" t="str">
        <f t="shared" si="35"/>
        <v>Euribor6M</v>
      </c>
      <c r="H294" s="874" t="str">
        <f t="shared" si="36"/>
        <v>EUR13F5Y_Quote</v>
      </c>
      <c r="I294" s="877">
        <v>0</v>
      </c>
      <c r="J294" s="43"/>
      <c r="L294" s="895" t="str">
        <f t="shared" si="33"/>
        <v>FwdSw</v>
      </c>
      <c r="M294" s="891" t="str">
        <f t="shared" si="34"/>
        <v>--</v>
      </c>
      <c r="N294" s="894" t="str">
        <f ca="1">IFERROR(_xll.qlRateHelperQuoteName(M294,Trigger),"--")</f>
        <v>--</v>
      </c>
      <c r="O294" s="893" t="str">
        <f ca="1">IFERROR(_xll.qlRateHelperQuoteValue($M294,Trigger),"--")</f>
        <v>--</v>
      </c>
      <c r="P294" s="970" t="b">
        <v>0</v>
      </c>
      <c r="Q294" s="891">
        <v>50</v>
      </c>
      <c r="R294" s="891">
        <v>1</v>
      </c>
      <c r="S294" s="890" t="str">
        <f ca="1">IFERROR(_xll.qlRateHelperEarliestDate(M294,Trigger),"--")</f>
        <v>--</v>
      </c>
      <c r="T294" s="890" t="str">
        <f ca="1">IFERROR(_xll.qlRateHelperPillarDate(M294,Trigger),"--")</f>
        <v>--</v>
      </c>
      <c r="V294" s="4" t="str">
        <f t="shared" ca="1" si="32"/>
        <v/>
      </c>
      <c r="W294" s="4" t="e">
        <f ca="1"/>
        <v>#NAME?</v>
      </c>
      <c r="X294" s="4" t="str">
        <f ca="1">IFERROR(_xll.qlRateHelperQuoteName(W294,Trigger),"")</f>
        <v/>
      </c>
      <c r="Y294" s="889" t="str">
        <f ca="1">IFERROR(_xll.qlRateHelperRate(W294,Trigger),"")</f>
        <v/>
      </c>
      <c r="Z294" s="888" t="str">
        <f ca="1">IF(ISERROR(_xll.qlSwapRateHelperSpread($W294)),IF(ISERROR(_xll.qlFuturesRateHelperConvexityAdjustment($W294)),"",_xll.qlFuturesRateHelperConvexityAdjustment($W294)),_xll.qlSwapRateHelperSpread($W294))</f>
        <v/>
      </c>
      <c r="AA294" s="5" t="str">
        <f ca="1">IFERROR(_xll.qlRateHelperEarliestDate(W294,Trigger),"")</f>
        <v/>
      </c>
      <c r="AB294" s="5" t="str">
        <f ca="1">IFERROR(_xll.qlRateHelperPillarDate(W294,Trigger),"")</f>
        <v/>
      </c>
      <c r="AC294" s="887" t="e">
        <f ca="1"/>
        <v>#NAME?</v>
      </c>
    </row>
    <row r="295" spans="1:29" x14ac:dyDescent="0.2">
      <c r="A295" s="874" t="s">
        <v>410</v>
      </c>
      <c r="B295" s="876" t="s">
        <v>50</v>
      </c>
      <c r="C295" s="875" t="s">
        <v>43</v>
      </c>
      <c r="D295" s="875" t="s">
        <v>323</v>
      </c>
      <c r="E295" s="875" t="s">
        <v>322</v>
      </c>
      <c r="F295" s="875" t="s">
        <v>221</v>
      </c>
      <c r="G295" s="875" t="str">
        <f t="shared" si="35"/>
        <v>Euribor6M</v>
      </c>
      <c r="H295" s="874" t="str">
        <f t="shared" si="36"/>
        <v>EUR13F6Y_Quote</v>
      </c>
      <c r="I295" s="877">
        <v>0</v>
      </c>
      <c r="J295" s="43"/>
      <c r="L295" s="895" t="str">
        <f t="shared" si="33"/>
        <v>FwdSw</v>
      </c>
      <c r="M295" s="891" t="str">
        <f t="shared" si="34"/>
        <v>--</v>
      </c>
      <c r="N295" s="894" t="str">
        <f ca="1">IFERROR(_xll.qlRateHelperQuoteName(M295,Trigger),"--")</f>
        <v>--</v>
      </c>
      <c r="O295" s="893" t="str">
        <f ca="1">IFERROR(_xll.qlRateHelperQuoteValue($M295,Trigger),"--")</f>
        <v>--</v>
      </c>
      <c r="P295" s="970" t="b">
        <v>0</v>
      </c>
      <c r="Q295" s="891">
        <v>50</v>
      </c>
      <c r="R295" s="891">
        <v>1</v>
      </c>
      <c r="S295" s="890" t="str">
        <f ca="1">IFERROR(_xll.qlRateHelperEarliestDate(M295,Trigger),"--")</f>
        <v>--</v>
      </c>
      <c r="T295" s="890" t="str">
        <f ca="1">IFERROR(_xll.qlRateHelperPillarDate(M295,Trigger),"--")</f>
        <v>--</v>
      </c>
      <c r="V295" s="4" t="str">
        <f t="shared" ca="1" si="32"/>
        <v/>
      </c>
      <c r="W295" s="4" t="e">
        <f ca="1"/>
        <v>#NAME?</v>
      </c>
      <c r="X295" s="4" t="str">
        <f ca="1">IFERROR(_xll.qlRateHelperQuoteName(W295,Trigger),"")</f>
        <v/>
      </c>
      <c r="Y295" s="889" t="str">
        <f ca="1">IFERROR(_xll.qlRateHelperRate(W295,Trigger),"")</f>
        <v/>
      </c>
      <c r="Z295" s="888" t="str">
        <f ca="1">IF(ISERROR(_xll.qlSwapRateHelperSpread($W295)),IF(ISERROR(_xll.qlFuturesRateHelperConvexityAdjustment($W295)),"",_xll.qlFuturesRateHelperConvexityAdjustment($W295)),_xll.qlSwapRateHelperSpread($W295))</f>
        <v/>
      </c>
      <c r="AA295" s="5" t="str">
        <f ca="1">IFERROR(_xll.qlRateHelperEarliestDate(W295,Trigger),"")</f>
        <v/>
      </c>
      <c r="AB295" s="5" t="str">
        <f ca="1">IFERROR(_xll.qlRateHelperPillarDate(W295,Trigger),"")</f>
        <v/>
      </c>
      <c r="AC295" s="887" t="e">
        <f ca="1"/>
        <v>#NAME?</v>
      </c>
    </row>
    <row r="296" spans="1:29" x14ac:dyDescent="0.2">
      <c r="A296" s="874" t="s">
        <v>410</v>
      </c>
      <c r="B296" s="876" t="s">
        <v>49</v>
      </c>
      <c r="C296" s="875" t="s">
        <v>43</v>
      </c>
      <c r="D296" s="875" t="s">
        <v>323</v>
      </c>
      <c r="E296" s="875" t="s">
        <v>322</v>
      </c>
      <c r="F296" s="875" t="s">
        <v>221</v>
      </c>
      <c r="G296" s="875" t="str">
        <f t="shared" si="35"/>
        <v>Euribor6M</v>
      </c>
      <c r="H296" s="874" t="str">
        <f t="shared" si="36"/>
        <v>EUR13F7Y_Quote</v>
      </c>
      <c r="I296" s="877">
        <v>0</v>
      </c>
      <c r="J296" s="43"/>
      <c r="L296" s="895" t="str">
        <f t="shared" si="33"/>
        <v>FwdSw</v>
      </c>
      <c r="M296" s="891" t="str">
        <f t="shared" si="34"/>
        <v>--</v>
      </c>
      <c r="N296" s="894" t="str">
        <f ca="1">IFERROR(_xll.qlRateHelperQuoteName(M296,Trigger),"--")</f>
        <v>--</v>
      </c>
      <c r="O296" s="893" t="str">
        <f ca="1">IFERROR(_xll.qlRateHelperQuoteValue($M296,Trigger),"--")</f>
        <v>--</v>
      </c>
      <c r="P296" s="970" t="b">
        <v>0</v>
      </c>
      <c r="Q296" s="891">
        <v>50</v>
      </c>
      <c r="R296" s="891">
        <v>1</v>
      </c>
      <c r="S296" s="890" t="str">
        <f ca="1">IFERROR(_xll.qlRateHelperEarliestDate(M296,Trigger),"--")</f>
        <v>--</v>
      </c>
      <c r="T296" s="890" t="str">
        <f ca="1">IFERROR(_xll.qlRateHelperPillarDate(M296,Trigger),"--")</f>
        <v>--</v>
      </c>
      <c r="V296" s="4" t="str">
        <f t="shared" ca="1" si="32"/>
        <v/>
      </c>
      <c r="W296" s="4" t="e">
        <f ca="1"/>
        <v>#NAME?</v>
      </c>
      <c r="X296" s="4" t="str">
        <f ca="1">IFERROR(_xll.qlRateHelperQuoteName(W296,Trigger),"")</f>
        <v/>
      </c>
      <c r="Y296" s="889" t="str">
        <f ca="1">IFERROR(_xll.qlRateHelperRate(W296,Trigger),"")</f>
        <v/>
      </c>
      <c r="Z296" s="888" t="str">
        <f ca="1">IF(ISERROR(_xll.qlSwapRateHelperSpread($W296)),IF(ISERROR(_xll.qlFuturesRateHelperConvexityAdjustment($W296)),"",_xll.qlFuturesRateHelperConvexityAdjustment($W296)),_xll.qlSwapRateHelperSpread($W296))</f>
        <v/>
      </c>
      <c r="AA296" s="5" t="str">
        <f ca="1">IFERROR(_xll.qlRateHelperEarliestDate(W296,Trigger),"")</f>
        <v/>
      </c>
      <c r="AB296" s="5" t="str">
        <f ca="1">IFERROR(_xll.qlRateHelperPillarDate(W296,Trigger),"")</f>
        <v/>
      </c>
      <c r="AC296" s="887" t="e">
        <f ca="1"/>
        <v>#NAME?</v>
      </c>
    </row>
    <row r="297" spans="1:29" x14ac:dyDescent="0.2">
      <c r="A297" s="874" t="s">
        <v>410</v>
      </c>
      <c r="B297" s="876" t="s">
        <v>48</v>
      </c>
      <c r="C297" s="875" t="s">
        <v>43</v>
      </c>
      <c r="D297" s="875" t="s">
        <v>323</v>
      </c>
      <c r="E297" s="875" t="s">
        <v>322</v>
      </c>
      <c r="F297" s="875" t="s">
        <v>221</v>
      </c>
      <c r="G297" s="875" t="str">
        <f t="shared" si="35"/>
        <v>Euribor6M</v>
      </c>
      <c r="H297" s="874" t="str">
        <f t="shared" si="36"/>
        <v>EUR13F8Y_Quote</v>
      </c>
      <c r="I297" s="877">
        <v>0</v>
      </c>
      <c r="J297" s="43"/>
      <c r="L297" s="895" t="str">
        <f t="shared" si="33"/>
        <v>FwdSw</v>
      </c>
      <c r="M297" s="891" t="str">
        <f t="shared" si="34"/>
        <v>--</v>
      </c>
      <c r="N297" s="894" t="str">
        <f ca="1">IFERROR(_xll.qlRateHelperQuoteName(M297,Trigger),"--")</f>
        <v>--</v>
      </c>
      <c r="O297" s="893" t="str">
        <f ca="1">IFERROR(_xll.qlRateHelperQuoteValue($M297,Trigger),"--")</f>
        <v>--</v>
      </c>
      <c r="P297" s="970" t="b">
        <v>0</v>
      </c>
      <c r="Q297" s="891">
        <v>50</v>
      </c>
      <c r="R297" s="891">
        <v>1</v>
      </c>
      <c r="S297" s="890" t="str">
        <f ca="1">IFERROR(_xll.qlRateHelperEarliestDate(M297,Trigger),"--")</f>
        <v>--</v>
      </c>
      <c r="T297" s="890" t="str">
        <f ca="1">IFERROR(_xll.qlRateHelperPillarDate(M297,Trigger),"--")</f>
        <v>--</v>
      </c>
      <c r="V297" s="4" t="str">
        <f t="shared" ca="1" si="32"/>
        <v/>
      </c>
      <c r="W297" s="4" t="e">
        <f ca="1"/>
        <v>#NAME?</v>
      </c>
      <c r="X297" s="4" t="str">
        <f ca="1">IFERROR(_xll.qlRateHelperQuoteName(W297,Trigger),"")</f>
        <v/>
      </c>
      <c r="Y297" s="889" t="str">
        <f ca="1">IFERROR(_xll.qlRateHelperRate(W297,Trigger),"")</f>
        <v/>
      </c>
      <c r="Z297" s="888" t="str">
        <f ca="1">IF(ISERROR(_xll.qlSwapRateHelperSpread($W297)),IF(ISERROR(_xll.qlFuturesRateHelperConvexityAdjustment($W297)),"",_xll.qlFuturesRateHelperConvexityAdjustment($W297)),_xll.qlSwapRateHelperSpread($W297))</f>
        <v/>
      </c>
      <c r="AA297" s="5" t="str">
        <f ca="1">IFERROR(_xll.qlRateHelperEarliestDate(W297,Trigger),"")</f>
        <v/>
      </c>
      <c r="AB297" s="5" t="str">
        <f ca="1">IFERROR(_xll.qlRateHelperPillarDate(W297,Trigger),"")</f>
        <v/>
      </c>
      <c r="AC297" s="887" t="e">
        <f ca="1"/>
        <v>#NAME?</v>
      </c>
    </row>
    <row r="298" spans="1:29" x14ac:dyDescent="0.2">
      <c r="A298" s="874" t="s">
        <v>410</v>
      </c>
      <c r="B298" s="876" t="s">
        <v>47</v>
      </c>
      <c r="C298" s="875" t="s">
        <v>43</v>
      </c>
      <c r="D298" s="875" t="s">
        <v>323</v>
      </c>
      <c r="E298" s="875" t="s">
        <v>322</v>
      </c>
      <c r="F298" s="875" t="s">
        <v>221</v>
      </c>
      <c r="G298" s="875" t="str">
        <f t="shared" si="35"/>
        <v>Euribor6M</v>
      </c>
      <c r="H298" s="874" t="str">
        <f t="shared" si="36"/>
        <v>EUR13F9Y_Quote</v>
      </c>
      <c r="I298" s="877">
        <v>0</v>
      </c>
      <c r="J298" s="43"/>
      <c r="L298" s="895" t="str">
        <f t="shared" si="33"/>
        <v>FwdSw</v>
      </c>
      <c r="M298" s="891" t="str">
        <f t="shared" si="34"/>
        <v>--</v>
      </c>
      <c r="N298" s="894" t="str">
        <f ca="1">IFERROR(_xll.qlRateHelperQuoteName(M298,Trigger),"--")</f>
        <v>--</v>
      </c>
      <c r="O298" s="893" t="str">
        <f ca="1">IFERROR(_xll.qlRateHelperQuoteValue($M298,Trigger),"--")</f>
        <v>--</v>
      </c>
      <c r="P298" s="970" t="b">
        <v>0</v>
      </c>
      <c r="Q298" s="891">
        <v>50</v>
      </c>
      <c r="R298" s="891">
        <v>1</v>
      </c>
      <c r="S298" s="890" t="str">
        <f ca="1">IFERROR(_xll.qlRateHelperEarliestDate(M298,Trigger),"--")</f>
        <v>--</v>
      </c>
      <c r="T298" s="890" t="str">
        <f ca="1">IFERROR(_xll.qlRateHelperPillarDate(M298,Trigger),"--")</f>
        <v>--</v>
      </c>
      <c r="V298" s="4" t="str">
        <f t="shared" ca="1" si="32"/>
        <v/>
      </c>
      <c r="W298" s="4" t="e">
        <f ca="1"/>
        <v>#NAME?</v>
      </c>
      <c r="X298" s="4" t="str">
        <f ca="1">IFERROR(_xll.qlRateHelperQuoteName(W298,Trigger),"")</f>
        <v/>
      </c>
      <c r="Y298" s="889" t="str">
        <f ca="1">IFERROR(_xll.qlRateHelperRate(W298,Trigger),"")</f>
        <v/>
      </c>
      <c r="Z298" s="888" t="str">
        <f ca="1">IF(ISERROR(_xll.qlSwapRateHelperSpread($W298)),IF(ISERROR(_xll.qlFuturesRateHelperConvexityAdjustment($W298)),"",_xll.qlFuturesRateHelperConvexityAdjustment($W298)),_xll.qlSwapRateHelperSpread($W298))</f>
        <v/>
      </c>
      <c r="AA298" s="5" t="str">
        <f ca="1">IFERROR(_xll.qlRateHelperEarliestDate(W298,Trigger),"")</f>
        <v/>
      </c>
      <c r="AB298" s="5" t="str">
        <f ca="1">IFERROR(_xll.qlRateHelperPillarDate(W298,Trigger),"")</f>
        <v/>
      </c>
      <c r="AC298" s="887" t="e">
        <f ca="1"/>
        <v>#NAME?</v>
      </c>
    </row>
    <row r="299" spans="1:29" x14ac:dyDescent="0.2">
      <c r="A299" s="874" t="s">
        <v>410</v>
      </c>
      <c r="B299" s="876" t="s">
        <v>46</v>
      </c>
      <c r="C299" s="875" t="s">
        <v>43</v>
      </c>
      <c r="D299" s="875" t="s">
        <v>323</v>
      </c>
      <c r="E299" s="875" t="s">
        <v>322</v>
      </c>
      <c r="F299" s="875" t="s">
        <v>221</v>
      </c>
      <c r="G299" s="875" t="str">
        <f t="shared" si="35"/>
        <v>Euribor6M</v>
      </c>
      <c r="H299" s="874" t="str">
        <f t="shared" si="36"/>
        <v>EUR13F10Y_Quote</v>
      </c>
      <c r="I299" s="877">
        <v>0</v>
      </c>
      <c r="J299" s="43"/>
      <c r="L299" s="895" t="str">
        <f t="shared" si="33"/>
        <v>FwdSw</v>
      </c>
      <c r="M299" s="891" t="str">
        <f t="shared" si="34"/>
        <v>--</v>
      </c>
      <c r="N299" s="894" t="str">
        <f ca="1">IFERROR(_xll.qlRateHelperQuoteName(M299,Trigger),"--")</f>
        <v>--</v>
      </c>
      <c r="O299" s="893" t="str">
        <f ca="1">IFERROR(_xll.qlRateHelperQuoteValue($M299,Trigger),"--")</f>
        <v>--</v>
      </c>
      <c r="P299" s="970" t="b">
        <v>0</v>
      </c>
      <c r="Q299" s="891">
        <v>50</v>
      </c>
      <c r="R299" s="891">
        <v>1</v>
      </c>
      <c r="S299" s="890" t="str">
        <f ca="1">IFERROR(_xll.qlRateHelperEarliestDate(M299,Trigger),"--")</f>
        <v>--</v>
      </c>
      <c r="T299" s="890" t="str">
        <f ca="1">IFERROR(_xll.qlRateHelperPillarDate(M299,Trigger),"--")</f>
        <v>--</v>
      </c>
      <c r="V299" s="4" t="str">
        <f t="shared" ca="1" si="32"/>
        <v/>
      </c>
      <c r="W299" s="4" t="e">
        <f ca="1"/>
        <v>#NAME?</v>
      </c>
      <c r="X299" s="4" t="str">
        <f ca="1">IFERROR(_xll.qlRateHelperQuoteName(W299,Trigger),"")</f>
        <v/>
      </c>
      <c r="Y299" s="889" t="str">
        <f ca="1">IFERROR(_xll.qlRateHelperRate(W299,Trigger),"")</f>
        <v/>
      </c>
      <c r="Z299" s="888" t="str">
        <f ca="1">IF(ISERROR(_xll.qlSwapRateHelperSpread($W299)),IF(ISERROR(_xll.qlFuturesRateHelperConvexityAdjustment($W299)),"",_xll.qlFuturesRateHelperConvexityAdjustment($W299)),_xll.qlSwapRateHelperSpread($W299))</f>
        <v/>
      </c>
      <c r="AA299" s="5" t="str">
        <f ca="1">IFERROR(_xll.qlRateHelperEarliestDate(W299,Trigger),"")</f>
        <v/>
      </c>
      <c r="AB299" s="5" t="str">
        <f ca="1">IFERROR(_xll.qlRateHelperPillarDate(W299,Trigger),"")</f>
        <v/>
      </c>
      <c r="AC299" s="887" t="e">
        <f ca="1"/>
        <v>#NAME?</v>
      </c>
    </row>
    <row r="300" spans="1:29" x14ac:dyDescent="0.2">
      <c r="A300" s="874" t="s">
        <v>410</v>
      </c>
      <c r="B300" s="876" t="s">
        <v>45</v>
      </c>
      <c r="C300" s="875" t="s">
        <v>43</v>
      </c>
      <c r="D300" s="875" t="s">
        <v>323</v>
      </c>
      <c r="E300" s="875" t="s">
        <v>322</v>
      </c>
      <c r="F300" s="875" t="s">
        <v>221</v>
      </c>
      <c r="G300" s="875" t="str">
        <f t="shared" si="35"/>
        <v>Euribor6M</v>
      </c>
      <c r="H300" s="874" t="str">
        <f t="shared" si="36"/>
        <v>EUR13F11Y_Quote</v>
      </c>
      <c r="I300" s="877">
        <v>0</v>
      </c>
      <c r="J300" s="43"/>
      <c r="L300" s="895" t="str">
        <f t="shared" si="33"/>
        <v>FwdSw</v>
      </c>
      <c r="M300" s="891" t="str">
        <f t="shared" si="34"/>
        <v>--</v>
      </c>
      <c r="N300" s="894" t="str">
        <f ca="1">IFERROR(_xll.qlRateHelperQuoteName(M300,Trigger),"--")</f>
        <v>--</v>
      </c>
      <c r="O300" s="893" t="str">
        <f ca="1">IFERROR(_xll.qlRateHelperQuoteValue($M300,Trigger),"--")</f>
        <v>--</v>
      </c>
      <c r="P300" s="970" t="b">
        <v>0</v>
      </c>
      <c r="Q300" s="891">
        <v>50</v>
      </c>
      <c r="R300" s="891">
        <v>1</v>
      </c>
      <c r="S300" s="890" t="str">
        <f ca="1">IFERROR(_xll.qlRateHelperEarliestDate(M300,Trigger),"--")</f>
        <v>--</v>
      </c>
      <c r="T300" s="890" t="str">
        <f ca="1">IFERROR(_xll.qlRateHelperPillarDate(M300,Trigger),"--")</f>
        <v>--</v>
      </c>
      <c r="V300" s="4" t="str">
        <f t="shared" ca="1" si="32"/>
        <v/>
      </c>
      <c r="W300" s="4" t="e">
        <f ca="1"/>
        <v>#NAME?</v>
      </c>
      <c r="X300" s="4" t="str">
        <f ca="1">IFERROR(_xll.qlRateHelperQuoteName(W300,Trigger),"")</f>
        <v/>
      </c>
      <c r="Y300" s="889" t="str">
        <f ca="1">IFERROR(_xll.qlRateHelperRate(W300,Trigger),"")</f>
        <v/>
      </c>
      <c r="Z300" s="888" t="str">
        <f ca="1">IF(ISERROR(_xll.qlSwapRateHelperSpread($W300)),IF(ISERROR(_xll.qlFuturesRateHelperConvexityAdjustment($W300)),"",_xll.qlFuturesRateHelperConvexityAdjustment($W300)),_xll.qlSwapRateHelperSpread($W300))</f>
        <v/>
      </c>
      <c r="AA300" s="5" t="str">
        <f ca="1">IFERROR(_xll.qlRateHelperEarliestDate(W300,Trigger),"")</f>
        <v/>
      </c>
      <c r="AB300" s="5" t="str">
        <f ca="1">IFERROR(_xll.qlRateHelperPillarDate(W300,Trigger),"")</f>
        <v/>
      </c>
      <c r="AC300" s="887" t="e">
        <f ca="1"/>
        <v>#NAME?</v>
      </c>
    </row>
    <row r="301" spans="1:29" x14ac:dyDescent="0.2">
      <c r="A301" s="874" t="s">
        <v>410</v>
      </c>
      <c r="B301" s="876" t="s">
        <v>44</v>
      </c>
      <c r="C301" s="875" t="s">
        <v>43</v>
      </c>
      <c r="D301" s="875" t="s">
        <v>323</v>
      </c>
      <c r="E301" s="875" t="s">
        <v>322</v>
      </c>
      <c r="F301" s="875" t="s">
        <v>221</v>
      </c>
      <c r="G301" s="875" t="str">
        <f t="shared" si="35"/>
        <v>Euribor6M</v>
      </c>
      <c r="H301" s="874" t="str">
        <f t="shared" si="36"/>
        <v>EUR13F12Y_Quote</v>
      </c>
      <c r="I301" s="877">
        <v>0</v>
      </c>
      <c r="J301" s="43"/>
      <c r="L301" s="895" t="str">
        <f t="shared" si="33"/>
        <v>FwdSw</v>
      </c>
      <c r="M301" s="891" t="str">
        <f t="shared" si="34"/>
        <v>--</v>
      </c>
      <c r="N301" s="894" t="str">
        <f ca="1">IFERROR(_xll.qlRateHelperQuoteName(M301,Trigger),"--")</f>
        <v>--</v>
      </c>
      <c r="O301" s="893" t="str">
        <f ca="1">IFERROR(_xll.qlRateHelperQuoteValue($M301,Trigger),"--")</f>
        <v>--</v>
      </c>
      <c r="P301" s="970" t="b">
        <v>0</v>
      </c>
      <c r="Q301" s="891">
        <v>50</v>
      </c>
      <c r="R301" s="891">
        <v>1</v>
      </c>
      <c r="S301" s="890" t="str">
        <f ca="1">IFERROR(_xll.qlRateHelperEarliestDate(M301,Trigger),"--")</f>
        <v>--</v>
      </c>
      <c r="T301" s="890" t="str">
        <f ca="1">IFERROR(_xll.qlRateHelperPillarDate(M301,Trigger),"--")</f>
        <v>--</v>
      </c>
      <c r="V301" s="4" t="str">
        <f t="shared" ca="1" si="32"/>
        <v/>
      </c>
      <c r="W301" s="4" t="e">
        <f ca="1"/>
        <v>#NAME?</v>
      </c>
      <c r="X301" s="4" t="str">
        <f ca="1">IFERROR(_xll.qlRateHelperQuoteName(W301,Trigger),"")</f>
        <v/>
      </c>
      <c r="Y301" s="889" t="str">
        <f ca="1">IFERROR(_xll.qlRateHelperRate(W301,Trigger),"")</f>
        <v/>
      </c>
      <c r="Z301" s="888" t="str">
        <f ca="1">IF(ISERROR(_xll.qlSwapRateHelperSpread($W301)),IF(ISERROR(_xll.qlFuturesRateHelperConvexityAdjustment($W301)),"",_xll.qlFuturesRateHelperConvexityAdjustment($W301)),_xll.qlSwapRateHelperSpread($W301))</f>
        <v/>
      </c>
      <c r="AA301" s="5" t="str">
        <f ca="1">IFERROR(_xll.qlRateHelperEarliestDate(W301,Trigger),"")</f>
        <v/>
      </c>
      <c r="AB301" s="5" t="str">
        <f ca="1">IFERROR(_xll.qlRateHelperPillarDate(W301,Trigger),"")</f>
        <v/>
      </c>
      <c r="AC301" s="887" t="e">
        <f ca="1"/>
        <v>#NAME?</v>
      </c>
    </row>
    <row r="302" spans="1:29" x14ac:dyDescent="0.2">
      <c r="A302" s="874" t="s">
        <v>410</v>
      </c>
      <c r="B302" s="876" t="s">
        <v>43</v>
      </c>
      <c r="C302" s="875" t="s">
        <v>43</v>
      </c>
      <c r="D302" s="875" t="s">
        <v>323</v>
      </c>
      <c r="E302" s="875" t="s">
        <v>322</v>
      </c>
      <c r="F302" s="875" t="s">
        <v>221</v>
      </c>
      <c r="G302" s="875" t="str">
        <f t="shared" si="35"/>
        <v>Euribor6M</v>
      </c>
      <c r="H302" s="874" t="str">
        <f t="shared" si="36"/>
        <v>EUR13F13Y_Quote</v>
      </c>
      <c r="I302" s="877">
        <v>0</v>
      </c>
      <c r="J302" s="43"/>
      <c r="L302" s="895" t="str">
        <f t="shared" si="33"/>
        <v>FwdSw</v>
      </c>
      <c r="M302" s="891" t="str">
        <f t="shared" si="34"/>
        <v>--</v>
      </c>
      <c r="N302" s="894" t="str">
        <f ca="1">IFERROR(_xll.qlRateHelperQuoteName(M302,Trigger),"--")</f>
        <v>--</v>
      </c>
      <c r="O302" s="893" t="str">
        <f ca="1">IFERROR(_xll.qlRateHelperQuoteValue($M302,Trigger),"--")</f>
        <v>--</v>
      </c>
      <c r="P302" s="970" t="b">
        <v>0</v>
      </c>
      <c r="Q302" s="891">
        <v>50</v>
      </c>
      <c r="R302" s="891">
        <v>1</v>
      </c>
      <c r="S302" s="890" t="str">
        <f ca="1">IFERROR(_xll.qlRateHelperEarliestDate(M302,Trigger),"--")</f>
        <v>--</v>
      </c>
      <c r="T302" s="890" t="str">
        <f ca="1">IFERROR(_xll.qlRateHelperPillarDate(M302,Trigger),"--")</f>
        <v>--</v>
      </c>
      <c r="V302" s="4" t="str">
        <f t="shared" ca="1" si="32"/>
        <v/>
      </c>
      <c r="W302" s="4" t="e">
        <f ca="1"/>
        <v>#NAME?</v>
      </c>
      <c r="X302" s="4" t="str">
        <f ca="1">IFERROR(_xll.qlRateHelperQuoteName(W302,Trigger),"")</f>
        <v/>
      </c>
      <c r="Y302" s="889" t="str">
        <f ca="1">IFERROR(_xll.qlRateHelperRate(W302,Trigger),"")</f>
        <v/>
      </c>
      <c r="Z302" s="888" t="str">
        <f ca="1">IF(ISERROR(_xll.qlSwapRateHelperSpread($W302)),IF(ISERROR(_xll.qlFuturesRateHelperConvexityAdjustment($W302)),"",_xll.qlFuturesRateHelperConvexityAdjustment($W302)),_xll.qlSwapRateHelperSpread($W302))</f>
        <v/>
      </c>
      <c r="AA302" s="5" t="str">
        <f ca="1">IFERROR(_xll.qlRateHelperEarliestDate(W302,Trigger),"")</f>
        <v/>
      </c>
      <c r="AB302" s="5" t="str">
        <f ca="1">IFERROR(_xll.qlRateHelperPillarDate(W302,Trigger),"")</f>
        <v/>
      </c>
      <c r="AC302" s="887" t="e">
        <f ca="1"/>
        <v>#NAME?</v>
      </c>
    </row>
    <row r="303" spans="1:29" x14ac:dyDescent="0.2">
      <c r="A303" s="874" t="s">
        <v>410</v>
      </c>
      <c r="B303" s="876" t="s">
        <v>42</v>
      </c>
      <c r="C303" s="875" t="s">
        <v>43</v>
      </c>
      <c r="D303" s="875" t="s">
        <v>323</v>
      </c>
      <c r="E303" s="875" t="s">
        <v>322</v>
      </c>
      <c r="F303" s="875" t="s">
        <v>221</v>
      </c>
      <c r="G303" s="875" t="str">
        <f t="shared" si="35"/>
        <v>Euribor6M</v>
      </c>
      <c r="H303" s="874" t="str">
        <f t="shared" si="36"/>
        <v>EUR13F14Y_Quote</v>
      </c>
      <c r="I303" s="877">
        <v>0</v>
      </c>
      <c r="J303" s="43"/>
      <c r="L303" s="895" t="str">
        <f t="shared" si="33"/>
        <v>FwdSw</v>
      </c>
      <c r="M303" s="891" t="str">
        <f t="shared" si="34"/>
        <v>--</v>
      </c>
      <c r="N303" s="894" t="str">
        <f ca="1">IFERROR(_xll.qlRateHelperQuoteName(M303,Trigger),"--")</f>
        <v>--</v>
      </c>
      <c r="O303" s="893" t="str">
        <f ca="1">IFERROR(_xll.qlRateHelperQuoteValue($M303,Trigger),"--")</f>
        <v>--</v>
      </c>
      <c r="P303" s="970" t="b">
        <v>0</v>
      </c>
      <c r="Q303" s="891">
        <v>50</v>
      </c>
      <c r="R303" s="891">
        <v>1</v>
      </c>
      <c r="S303" s="890" t="str">
        <f ca="1">IFERROR(_xll.qlRateHelperEarliestDate(M303,Trigger),"--")</f>
        <v>--</v>
      </c>
      <c r="T303" s="890" t="str">
        <f ca="1">IFERROR(_xll.qlRateHelperPillarDate(M303,Trigger),"--")</f>
        <v>--</v>
      </c>
      <c r="V303" s="4" t="str">
        <f t="shared" ca="1" si="32"/>
        <v/>
      </c>
      <c r="W303" s="4" t="e">
        <f ca="1"/>
        <v>#NAME?</v>
      </c>
      <c r="X303" s="4" t="str">
        <f ca="1">IFERROR(_xll.qlRateHelperQuoteName(W303,Trigger),"")</f>
        <v/>
      </c>
      <c r="Y303" s="889" t="str">
        <f ca="1">IFERROR(_xll.qlRateHelperRate(W303,Trigger),"")</f>
        <v/>
      </c>
      <c r="Z303" s="888" t="str">
        <f ca="1">IF(ISERROR(_xll.qlSwapRateHelperSpread($W303)),IF(ISERROR(_xll.qlFuturesRateHelperConvexityAdjustment($W303)),"",_xll.qlFuturesRateHelperConvexityAdjustment($W303)),_xll.qlSwapRateHelperSpread($W303))</f>
        <v/>
      </c>
      <c r="AA303" s="5" t="str">
        <f ca="1">IFERROR(_xll.qlRateHelperEarliestDate(W303,Trigger),"")</f>
        <v/>
      </c>
      <c r="AB303" s="5" t="str">
        <f ca="1">IFERROR(_xll.qlRateHelperPillarDate(W303,Trigger),"")</f>
        <v/>
      </c>
      <c r="AC303" s="887" t="e">
        <f ca="1"/>
        <v>#NAME?</v>
      </c>
    </row>
    <row r="304" spans="1:29" x14ac:dyDescent="0.2">
      <c r="A304" s="874" t="s">
        <v>410</v>
      </c>
      <c r="B304" s="876" t="s">
        <v>41</v>
      </c>
      <c r="C304" s="875" t="s">
        <v>43</v>
      </c>
      <c r="D304" s="875" t="s">
        <v>323</v>
      </c>
      <c r="E304" s="875" t="s">
        <v>322</v>
      </c>
      <c r="F304" s="875" t="s">
        <v>221</v>
      </c>
      <c r="G304" s="875" t="str">
        <f t="shared" si="35"/>
        <v>Euribor6M</v>
      </c>
      <c r="H304" s="874" t="str">
        <f t="shared" si="36"/>
        <v>EUR13F15Y_Quote</v>
      </c>
      <c r="I304" s="877">
        <v>0</v>
      </c>
      <c r="J304" s="43"/>
      <c r="L304" s="895" t="str">
        <f t="shared" si="33"/>
        <v>FwdSw</v>
      </c>
      <c r="M304" s="891" t="str">
        <f t="shared" si="34"/>
        <v>--</v>
      </c>
      <c r="N304" s="894" t="str">
        <f ca="1">IFERROR(_xll.qlRateHelperQuoteName(M304,Trigger),"--")</f>
        <v>--</v>
      </c>
      <c r="O304" s="893" t="str">
        <f ca="1">IFERROR(_xll.qlRateHelperQuoteValue($M304,Trigger),"--")</f>
        <v>--</v>
      </c>
      <c r="P304" s="970" t="b">
        <v>0</v>
      </c>
      <c r="Q304" s="891">
        <v>50</v>
      </c>
      <c r="R304" s="891">
        <v>1</v>
      </c>
      <c r="S304" s="890" t="str">
        <f ca="1">IFERROR(_xll.qlRateHelperEarliestDate(M304,Trigger),"--")</f>
        <v>--</v>
      </c>
      <c r="T304" s="890" t="str">
        <f ca="1">IFERROR(_xll.qlRateHelperPillarDate(M304,Trigger),"--")</f>
        <v>--</v>
      </c>
      <c r="V304" s="4" t="str">
        <f t="shared" ca="1" si="32"/>
        <v/>
      </c>
      <c r="W304" s="4" t="e">
        <f ca="1"/>
        <v>#NAME?</v>
      </c>
      <c r="X304" s="4" t="str">
        <f ca="1">IFERROR(_xll.qlRateHelperQuoteName(W304,Trigger),"")</f>
        <v/>
      </c>
      <c r="Y304" s="889" t="str">
        <f ca="1">IFERROR(_xll.qlRateHelperRate(W304,Trigger),"")</f>
        <v/>
      </c>
      <c r="Z304" s="888" t="str">
        <f ca="1">IF(ISERROR(_xll.qlSwapRateHelperSpread($W304)),IF(ISERROR(_xll.qlFuturesRateHelperConvexityAdjustment($W304)),"",_xll.qlFuturesRateHelperConvexityAdjustment($W304)),_xll.qlSwapRateHelperSpread($W304))</f>
        <v/>
      </c>
      <c r="AA304" s="5" t="str">
        <f ca="1">IFERROR(_xll.qlRateHelperEarliestDate(W304,Trigger),"")</f>
        <v/>
      </c>
      <c r="AB304" s="5" t="str">
        <f ca="1">IFERROR(_xll.qlRateHelperPillarDate(W304,Trigger),"")</f>
        <v/>
      </c>
      <c r="AC304" s="887" t="e">
        <f ca="1"/>
        <v>#NAME?</v>
      </c>
    </row>
    <row r="305" spans="1:29" x14ac:dyDescent="0.2">
      <c r="A305" s="874" t="s">
        <v>410</v>
      </c>
      <c r="B305" s="876" t="s">
        <v>36</v>
      </c>
      <c r="C305" s="875" t="s">
        <v>43</v>
      </c>
      <c r="D305" s="875" t="s">
        <v>323</v>
      </c>
      <c r="E305" s="875" t="s">
        <v>322</v>
      </c>
      <c r="F305" s="875" t="s">
        <v>221</v>
      </c>
      <c r="G305" s="875" t="str">
        <f t="shared" si="35"/>
        <v>Euribor6M</v>
      </c>
      <c r="H305" s="874" t="str">
        <f t="shared" si="36"/>
        <v>EUR13F20Y_Quote</v>
      </c>
      <c r="I305" s="877">
        <v>0</v>
      </c>
      <c r="J305" s="43"/>
      <c r="L305" s="895" t="str">
        <f t="shared" si="33"/>
        <v>FwdSw</v>
      </c>
      <c r="M305" s="891" t="str">
        <f t="shared" si="34"/>
        <v>--</v>
      </c>
      <c r="N305" s="894" t="str">
        <f ca="1">IFERROR(_xll.qlRateHelperQuoteName(M305,Trigger),"--")</f>
        <v>--</v>
      </c>
      <c r="O305" s="893" t="str">
        <f ca="1">IFERROR(_xll.qlRateHelperQuoteValue($M305,Trigger),"--")</f>
        <v>--</v>
      </c>
      <c r="P305" s="970" t="b">
        <v>0</v>
      </c>
      <c r="Q305" s="891">
        <v>50</v>
      </c>
      <c r="R305" s="891">
        <v>1</v>
      </c>
      <c r="S305" s="890" t="str">
        <f ca="1">IFERROR(_xll.qlRateHelperEarliestDate(M305,Trigger),"--")</f>
        <v>--</v>
      </c>
      <c r="T305" s="890" t="str">
        <f ca="1">IFERROR(_xll.qlRateHelperPillarDate(M305,Trigger),"--")</f>
        <v>--</v>
      </c>
      <c r="V305" s="4" t="str">
        <f t="shared" ca="1" si="32"/>
        <v/>
      </c>
      <c r="W305" s="4" t="e">
        <f ca="1"/>
        <v>#NAME?</v>
      </c>
      <c r="X305" s="4" t="str">
        <f ca="1">IFERROR(_xll.qlRateHelperQuoteName(W305,Trigger),"")</f>
        <v/>
      </c>
      <c r="Y305" s="889" t="str">
        <f ca="1">IFERROR(_xll.qlRateHelperRate(W305,Trigger),"")</f>
        <v/>
      </c>
      <c r="Z305" s="888" t="str">
        <f ca="1">IF(ISERROR(_xll.qlSwapRateHelperSpread($W305)),IF(ISERROR(_xll.qlFuturesRateHelperConvexityAdjustment($W305)),"",_xll.qlFuturesRateHelperConvexityAdjustment($W305)),_xll.qlSwapRateHelperSpread($W305))</f>
        <v/>
      </c>
      <c r="AA305" s="5" t="str">
        <f ca="1">IFERROR(_xll.qlRateHelperEarliestDate(W305,Trigger),"")</f>
        <v/>
      </c>
      <c r="AB305" s="5" t="str">
        <f ca="1">IFERROR(_xll.qlRateHelperPillarDate(W305,Trigger),"")</f>
        <v/>
      </c>
      <c r="AC305" s="887" t="e">
        <f ca="1"/>
        <v>#NAME?</v>
      </c>
    </row>
    <row r="306" spans="1:29" x14ac:dyDescent="0.2">
      <c r="A306" s="874" t="s">
        <v>410</v>
      </c>
      <c r="B306" s="876" t="s">
        <v>31</v>
      </c>
      <c r="C306" s="875" t="s">
        <v>43</v>
      </c>
      <c r="D306" s="875" t="s">
        <v>323</v>
      </c>
      <c r="E306" s="875" t="s">
        <v>322</v>
      </c>
      <c r="F306" s="875" t="s">
        <v>221</v>
      </c>
      <c r="G306" s="875" t="str">
        <f t="shared" si="35"/>
        <v>Euribor6M</v>
      </c>
      <c r="H306" s="874" t="str">
        <f t="shared" si="36"/>
        <v>EUR13F25Y_Quote</v>
      </c>
      <c r="I306" s="877">
        <v>0</v>
      </c>
      <c r="J306" s="43"/>
      <c r="L306" s="895" t="str">
        <f t="shared" si="33"/>
        <v>FwdSw</v>
      </c>
      <c r="M306" s="891" t="str">
        <f t="shared" si="34"/>
        <v>--</v>
      </c>
      <c r="N306" s="894" t="str">
        <f ca="1">IFERROR(_xll.qlRateHelperQuoteName(M306,Trigger),"--")</f>
        <v>--</v>
      </c>
      <c r="O306" s="893" t="str">
        <f ca="1">IFERROR(_xll.qlRateHelperQuoteValue($M306,Trigger),"--")</f>
        <v>--</v>
      </c>
      <c r="P306" s="970" t="b">
        <v>0</v>
      </c>
      <c r="Q306" s="891">
        <v>50</v>
      </c>
      <c r="R306" s="891">
        <v>1</v>
      </c>
      <c r="S306" s="890" t="str">
        <f ca="1">IFERROR(_xll.qlRateHelperEarliestDate(M306,Trigger),"--")</f>
        <v>--</v>
      </c>
      <c r="T306" s="890" t="str">
        <f ca="1">IFERROR(_xll.qlRateHelperPillarDate(M306,Trigger),"--")</f>
        <v>--</v>
      </c>
      <c r="V306" s="4" t="str">
        <f t="shared" ca="1" si="32"/>
        <v/>
      </c>
      <c r="W306" s="4" t="e">
        <f ca="1"/>
        <v>#NAME?</v>
      </c>
      <c r="X306" s="4" t="str">
        <f ca="1">IFERROR(_xll.qlRateHelperQuoteName(W306,Trigger),"")</f>
        <v/>
      </c>
      <c r="Y306" s="889" t="str">
        <f ca="1">IFERROR(_xll.qlRateHelperRate(W306,Trigger),"")</f>
        <v/>
      </c>
      <c r="Z306" s="888" t="str">
        <f ca="1">IF(ISERROR(_xll.qlSwapRateHelperSpread($W306)),IF(ISERROR(_xll.qlFuturesRateHelperConvexityAdjustment($W306)),"",_xll.qlFuturesRateHelperConvexityAdjustment($W306)),_xll.qlSwapRateHelperSpread($W306))</f>
        <v/>
      </c>
      <c r="AA306" s="5" t="str">
        <f ca="1">IFERROR(_xll.qlRateHelperEarliestDate(W306,Trigger),"")</f>
        <v/>
      </c>
      <c r="AB306" s="5" t="str">
        <f ca="1">IFERROR(_xll.qlRateHelperPillarDate(W306,Trigger),"")</f>
        <v/>
      </c>
      <c r="AC306" s="887" t="e">
        <f ca="1"/>
        <v>#NAME?</v>
      </c>
    </row>
    <row r="307" spans="1:29" x14ac:dyDescent="0.2">
      <c r="A307" s="874" t="s">
        <v>410</v>
      </c>
      <c r="B307" s="876" t="s">
        <v>26</v>
      </c>
      <c r="C307" s="875" t="s">
        <v>43</v>
      </c>
      <c r="D307" s="875" t="s">
        <v>323</v>
      </c>
      <c r="E307" s="875" t="s">
        <v>322</v>
      </c>
      <c r="F307" s="875" t="s">
        <v>221</v>
      </c>
      <c r="G307" s="875" t="str">
        <f t="shared" si="35"/>
        <v>Euribor6M</v>
      </c>
      <c r="H307" s="874" t="str">
        <f t="shared" si="36"/>
        <v>EUR13F30Y_Quote</v>
      </c>
      <c r="I307" s="877">
        <v>0</v>
      </c>
      <c r="J307" s="43"/>
      <c r="L307" s="895" t="str">
        <f t="shared" si="33"/>
        <v>FwdSw</v>
      </c>
      <c r="M307" s="891" t="str">
        <f t="shared" si="34"/>
        <v>--</v>
      </c>
      <c r="N307" s="894" t="str">
        <f ca="1">IFERROR(_xll.qlRateHelperQuoteName(M307,Trigger),"--")</f>
        <v>--</v>
      </c>
      <c r="O307" s="893" t="str">
        <f ca="1">IFERROR(_xll.qlRateHelperQuoteValue($M307,Trigger),"--")</f>
        <v>--</v>
      </c>
      <c r="P307" s="970" t="b">
        <v>0</v>
      </c>
      <c r="Q307" s="891">
        <v>50</v>
      </c>
      <c r="R307" s="891">
        <v>1</v>
      </c>
      <c r="S307" s="890" t="str">
        <f ca="1">IFERROR(_xll.qlRateHelperEarliestDate(M307,Trigger),"--")</f>
        <v>--</v>
      </c>
      <c r="T307" s="890" t="str">
        <f ca="1">IFERROR(_xll.qlRateHelperPillarDate(M307,Trigger),"--")</f>
        <v>--</v>
      </c>
      <c r="V307" s="4" t="str">
        <f t="shared" ca="1" si="32"/>
        <v/>
      </c>
      <c r="W307" s="4" t="e">
        <f ca="1"/>
        <v>#NAME?</v>
      </c>
      <c r="X307" s="4" t="str">
        <f ca="1">IFERROR(_xll.qlRateHelperQuoteName(W307,Trigger),"")</f>
        <v/>
      </c>
      <c r="Y307" s="889" t="str">
        <f ca="1">IFERROR(_xll.qlRateHelperRate(W307,Trigger),"")</f>
        <v/>
      </c>
      <c r="Z307" s="888" t="str">
        <f ca="1">IF(ISERROR(_xll.qlSwapRateHelperSpread($W307)),IF(ISERROR(_xll.qlFuturesRateHelperConvexityAdjustment($W307)),"",_xll.qlFuturesRateHelperConvexityAdjustment($W307)),_xll.qlSwapRateHelperSpread($W307))</f>
        <v/>
      </c>
      <c r="AA307" s="5" t="str">
        <f ca="1">IFERROR(_xll.qlRateHelperEarliestDate(W307,Trigger),"")</f>
        <v/>
      </c>
      <c r="AB307" s="5" t="str">
        <f ca="1">IFERROR(_xll.qlRateHelperPillarDate(W307,Trigger),"")</f>
        <v/>
      </c>
      <c r="AC307" s="887" t="e">
        <f ca="1"/>
        <v>#NAME?</v>
      </c>
    </row>
    <row r="308" spans="1:29" x14ac:dyDescent="0.2">
      <c r="A308" s="897" t="s">
        <v>410</v>
      </c>
      <c r="B308" s="899" t="s">
        <v>58</v>
      </c>
      <c r="C308" s="898" t="s">
        <v>42</v>
      </c>
      <c r="D308" s="898" t="s">
        <v>323</v>
      </c>
      <c r="E308" s="898" t="s">
        <v>322</v>
      </c>
      <c r="F308" s="898" t="s">
        <v>221</v>
      </c>
      <c r="G308" s="898" t="str">
        <f t="shared" si="35"/>
        <v>Euribor6M</v>
      </c>
      <c r="H308" s="897" t="str">
        <f t="shared" si="36"/>
        <v>EUR14F1Y_Quote</v>
      </c>
      <c r="I308" s="896">
        <v>0</v>
      </c>
      <c r="J308" s="47"/>
      <c r="L308" s="895" t="str">
        <f t="shared" si="33"/>
        <v>FwdSw</v>
      </c>
      <c r="M308" s="891" t="str">
        <f t="shared" si="34"/>
        <v>--</v>
      </c>
      <c r="N308" s="894" t="str">
        <f ca="1">IFERROR(_xll.qlRateHelperQuoteName(M308,Trigger),"--")</f>
        <v>--</v>
      </c>
      <c r="O308" s="893" t="str">
        <f ca="1">IFERROR(_xll.qlRateHelperQuoteValue($M308,Trigger),"--")</f>
        <v>--</v>
      </c>
      <c r="P308" s="970" t="b">
        <v>0</v>
      </c>
      <c r="Q308" s="891">
        <v>50</v>
      </c>
      <c r="R308" s="891">
        <v>1</v>
      </c>
      <c r="S308" s="890" t="str">
        <f ca="1">IFERROR(_xll.qlRateHelperEarliestDate(M308,Trigger),"--")</f>
        <v>--</v>
      </c>
      <c r="T308" s="890" t="str">
        <f ca="1">IFERROR(_xll.qlRateHelperPillarDate(M308,Trigger),"--")</f>
        <v>--</v>
      </c>
      <c r="V308" s="4" t="str">
        <f t="shared" ca="1" si="32"/>
        <v/>
      </c>
      <c r="W308" s="4" t="e">
        <f ca="1"/>
        <v>#NAME?</v>
      </c>
      <c r="X308" s="4" t="str">
        <f ca="1">IFERROR(_xll.qlRateHelperQuoteName(W308,Trigger),"")</f>
        <v/>
      </c>
      <c r="Y308" s="889" t="str">
        <f ca="1">IFERROR(_xll.qlRateHelperRate(W308,Trigger),"")</f>
        <v/>
      </c>
      <c r="Z308" s="888" t="str">
        <f ca="1">IF(ISERROR(_xll.qlSwapRateHelperSpread($W308)),IF(ISERROR(_xll.qlFuturesRateHelperConvexityAdjustment($W308)),"",_xll.qlFuturesRateHelperConvexityAdjustment($W308)),_xll.qlSwapRateHelperSpread($W308))</f>
        <v/>
      </c>
      <c r="AA308" s="5" t="str">
        <f ca="1">IFERROR(_xll.qlRateHelperEarliestDate(W308,Trigger),"")</f>
        <v/>
      </c>
      <c r="AB308" s="5" t="str">
        <f ca="1">IFERROR(_xll.qlRateHelperPillarDate(W308,Trigger),"")</f>
        <v/>
      </c>
      <c r="AC308" s="887" t="e">
        <f ca="1"/>
        <v>#NAME?</v>
      </c>
    </row>
    <row r="309" spans="1:29" x14ac:dyDescent="0.2">
      <c r="A309" s="874" t="s">
        <v>410</v>
      </c>
      <c r="B309" s="876" t="s">
        <v>54</v>
      </c>
      <c r="C309" s="875" t="s">
        <v>42</v>
      </c>
      <c r="D309" s="875" t="s">
        <v>323</v>
      </c>
      <c r="E309" s="875" t="s">
        <v>322</v>
      </c>
      <c r="F309" s="875" t="s">
        <v>221</v>
      </c>
      <c r="G309" s="875" t="str">
        <f t="shared" si="35"/>
        <v>Euribor6M</v>
      </c>
      <c r="H309" s="874" t="str">
        <f t="shared" si="36"/>
        <v>EUR14F2Y_Quote</v>
      </c>
      <c r="I309" s="877">
        <v>0</v>
      </c>
      <c r="J309" s="43"/>
      <c r="L309" s="895" t="str">
        <f t="shared" si="33"/>
        <v>FwdSw</v>
      </c>
      <c r="M309" s="891" t="str">
        <f t="shared" si="34"/>
        <v>--</v>
      </c>
      <c r="N309" s="894" t="str">
        <f ca="1">IFERROR(_xll.qlRateHelperQuoteName(M309,Trigger),"--")</f>
        <v>--</v>
      </c>
      <c r="O309" s="893" t="str">
        <f ca="1">IFERROR(_xll.qlRateHelperQuoteValue($M309,Trigger),"--")</f>
        <v>--</v>
      </c>
      <c r="P309" s="970" t="b">
        <v>0</v>
      </c>
      <c r="Q309" s="891">
        <v>50</v>
      </c>
      <c r="R309" s="891">
        <v>1</v>
      </c>
      <c r="S309" s="890" t="str">
        <f ca="1">IFERROR(_xll.qlRateHelperEarliestDate(M309,Trigger),"--")</f>
        <v>--</v>
      </c>
      <c r="T309" s="890" t="str">
        <f ca="1">IFERROR(_xll.qlRateHelperPillarDate(M309,Trigger),"--")</f>
        <v>--</v>
      </c>
      <c r="V309" s="4" t="str">
        <f t="shared" ca="1" si="32"/>
        <v/>
      </c>
      <c r="W309" s="4" t="e">
        <f ca="1"/>
        <v>#NAME?</v>
      </c>
      <c r="X309" s="4" t="str">
        <f ca="1">IFERROR(_xll.qlRateHelperQuoteName(W309,Trigger),"")</f>
        <v/>
      </c>
      <c r="Y309" s="889" t="str">
        <f ca="1">IFERROR(_xll.qlRateHelperRate(W309,Trigger),"")</f>
        <v/>
      </c>
      <c r="Z309" s="888" t="str">
        <f ca="1">IF(ISERROR(_xll.qlSwapRateHelperSpread($W309)),IF(ISERROR(_xll.qlFuturesRateHelperConvexityAdjustment($W309)),"",_xll.qlFuturesRateHelperConvexityAdjustment($W309)),_xll.qlSwapRateHelperSpread($W309))</f>
        <v/>
      </c>
      <c r="AA309" s="5" t="str">
        <f ca="1">IFERROR(_xll.qlRateHelperEarliestDate(W309,Trigger),"")</f>
        <v/>
      </c>
      <c r="AB309" s="5" t="str">
        <f ca="1">IFERROR(_xll.qlRateHelperPillarDate(W309,Trigger),"")</f>
        <v/>
      </c>
      <c r="AC309" s="887" t="e">
        <f ca="1"/>
        <v>#NAME?</v>
      </c>
    </row>
    <row r="310" spans="1:29" x14ac:dyDescent="0.2">
      <c r="A310" s="874" t="s">
        <v>410</v>
      </c>
      <c r="B310" s="876" t="s">
        <v>53</v>
      </c>
      <c r="C310" s="875" t="s">
        <v>42</v>
      </c>
      <c r="D310" s="875" t="s">
        <v>323</v>
      </c>
      <c r="E310" s="875" t="s">
        <v>322</v>
      </c>
      <c r="F310" s="875" t="s">
        <v>221</v>
      </c>
      <c r="G310" s="875" t="str">
        <f t="shared" si="35"/>
        <v>Euribor6M</v>
      </c>
      <c r="H310" s="874" t="str">
        <f t="shared" si="36"/>
        <v>EUR14F3Y_Quote</v>
      </c>
      <c r="I310" s="877">
        <v>0</v>
      </c>
      <c r="J310" s="43"/>
      <c r="L310" s="895" t="str">
        <f t="shared" si="33"/>
        <v>FwdSw</v>
      </c>
      <c r="M310" s="891" t="str">
        <f t="shared" si="34"/>
        <v>--</v>
      </c>
      <c r="N310" s="894" t="str">
        <f ca="1">IFERROR(_xll.qlRateHelperQuoteName(M310,Trigger),"--")</f>
        <v>--</v>
      </c>
      <c r="O310" s="893" t="str">
        <f ca="1">IFERROR(_xll.qlRateHelperQuoteValue($M310,Trigger),"--")</f>
        <v>--</v>
      </c>
      <c r="P310" s="970" t="b">
        <v>0</v>
      </c>
      <c r="Q310" s="891">
        <v>50</v>
      </c>
      <c r="R310" s="891">
        <v>1</v>
      </c>
      <c r="S310" s="890" t="str">
        <f ca="1">IFERROR(_xll.qlRateHelperEarliestDate(M310,Trigger),"--")</f>
        <v>--</v>
      </c>
      <c r="T310" s="890" t="str">
        <f ca="1">IFERROR(_xll.qlRateHelperPillarDate(M310,Trigger),"--")</f>
        <v>--</v>
      </c>
      <c r="V310" s="4" t="str">
        <f t="shared" ca="1" si="32"/>
        <v/>
      </c>
      <c r="W310" s="4" t="e">
        <f ca="1"/>
        <v>#NAME?</v>
      </c>
      <c r="X310" s="4" t="str">
        <f ca="1">IFERROR(_xll.qlRateHelperQuoteName(W310,Trigger),"")</f>
        <v/>
      </c>
      <c r="Y310" s="889" t="str">
        <f ca="1">IFERROR(_xll.qlRateHelperRate(W310,Trigger),"")</f>
        <v/>
      </c>
      <c r="Z310" s="888" t="str">
        <f ca="1">IF(ISERROR(_xll.qlSwapRateHelperSpread($W310)),IF(ISERROR(_xll.qlFuturesRateHelperConvexityAdjustment($W310)),"",_xll.qlFuturesRateHelperConvexityAdjustment($W310)),_xll.qlSwapRateHelperSpread($W310))</f>
        <v/>
      </c>
      <c r="AA310" s="5" t="str">
        <f ca="1">IFERROR(_xll.qlRateHelperEarliestDate(W310,Trigger),"")</f>
        <v/>
      </c>
      <c r="AB310" s="5" t="str">
        <f ca="1">IFERROR(_xll.qlRateHelperPillarDate(W310,Trigger),"")</f>
        <v/>
      </c>
      <c r="AC310" s="887" t="e">
        <f ca="1"/>
        <v>#NAME?</v>
      </c>
    </row>
    <row r="311" spans="1:29" x14ac:dyDescent="0.2">
      <c r="A311" s="874" t="s">
        <v>410</v>
      </c>
      <c r="B311" s="876" t="s">
        <v>52</v>
      </c>
      <c r="C311" s="875" t="s">
        <v>42</v>
      </c>
      <c r="D311" s="875" t="s">
        <v>323</v>
      </c>
      <c r="E311" s="875" t="s">
        <v>322</v>
      </c>
      <c r="F311" s="875" t="s">
        <v>221</v>
      </c>
      <c r="G311" s="875" t="str">
        <f t="shared" si="35"/>
        <v>Euribor6M</v>
      </c>
      <c r="H311" s="874" t="str">
        <f t="shared" si="36"/>
        <v>EUR14F4Y_Quote</v>
      </c>
      <c r="I311" s="877">
        <v>0</v>
      </c>
      <c r="J311" s="43"/>
      <c r="L311" s="895" t="str">
        <f t="shared" si="33"/>
        <v>FwdSw</v>
      </c>
      <c r="M311" s="891" t="str">
        <f t="shared" si="34"/>
        <v>--</v>
      </c>
      <c r="N311" s="894" t="str">
        <f ca="1">IFERROR(_xll.qlRateHelperQuoteName(M311,Trigger),"--")</f>
        <v>--</v>
      </c>
      <c r="O311" s="893" t="str">
        <f ca="1">IFERROR(_xll.qlRateHelperQuoteValue($M311,Trigger),"--")</f>
        <v>--</v>
      </c>
      <c r="P311" s="970" t="b">
        <v>0</v>
      </c>
      <c r="Q311" s="891">
        <v>50</v>
      </c>
      <c r="R311" s="891">
        <v>1</v>
      </c>
      <c r="S311" s="890" t="str">
        <f ca="1">IFERROR(_xll.qlRateHelperEarliestDate(M311,Trigger),"--")</f>
        <v>--</v>
      </c>
      <c r="T311" s="890" t="str">
        <f ca="1">IFERROR(_xll.qlRateHelperPillarDate(M311,Trigger),"--")</f>
        <v>--</v>
      </c>
      <c r="V311" s="4" t="str">
        <f t="shared" ca="1" si="32"/>
        <v/>
      </c>
      <c r="W311" s="4" t="e">
        <f ca="1"/>
        <v>#NAME?</v>
      </c>
      <c r="X311" s="4" t="str">
        <f ca="1">IFERROR(_xll.qlRateHelperQuoteName(W311,Trigger),"")</f>
        <v/>
      </c>
      <c r="Y311" s="889" t="str">
        <f ca="1">IFERROR(_xll.qlRateHelperRate(W311,Trigger),"")</f>
        <v/>
      </c>
      <c r="Z311" s="888" t="str">
        <f ca="1">IF(ISERROR(_xll.qlSwapRateHelperSpread($W311)),IF(ISERROR(_xll.qlFuturesRateHelperConvexityAdjustment($W311)),"",_xll.qlFuturesRateHelperConvexityAdjustment($W311)),_xll.qlSwapRateHelperSpread($W311))</f>
        <v/>
      </c>
      <c r="AA311" s="5" t="str">
        <f ca="1">IFERROR(_xll.qlRateHelperEarliestDate(W311,Trigger),"")</f>
        <v/>
      </c>
      <c r="AB311" s="5" t="str">
        <f ca="1">IFERROR(_xll.qlRateHelperPillarDate(W311,Trigger),"")</f>
        <v/>
      </c>
      <c r="AC311" s="887" t="e">
        <f ca="1"/>
        <v>#NAME?</v>
      </c>
    </row>
    <row r="312" spans="1:29" x14ac:dyDescent="0.2">
      <c r="A312" s="874" t="s">
        <v>410</v>
      </c>
      <c r="B312" s="876" t="s">
        <v>51</v>
      </c>
      <c r="C312" s="875" t="s">
        <v>42</v>
      </c>
      <c r="D312" s="875" t="s">
        <v>323</v>
      </c>
      <c r="E312" s="875" t="s">
        <v>322</v>
      </c>
      <c r="F312" s="875" t="s">
        <v>221</v>
      </c>
      <c r="G312" s="875" t="str">
        <f t="shared" si="35"/>
        <v>Euribor6M</v>
      </c>
      <c r="H312" s="874" t="str">
        <f t="shared" si="36"/>
        <v>EUR14F5Y_Quote</v>
      </c>
      <c r="I312" s="877">
        <v>0</v>
      </c>
      <c r="J312" s="43"/>
      <c r="L312" s="895" t="str">
        <f t="shared" si="33"/>
        <v>FwdSw</v>
      </c>
      <c r="M312" s="891" t="str">
        <f t="shared" si="34"/>
        <v>--</v>
      </c>
      <c r="N312" s="894" t="str">
        <f ca="1">IFERROR(_xll.qlRateHelperQuoteName(M312,Trigger),"--")</f>
        <v>--</v>
      </c>
      <c r="O312" s="893" t="str">
        <f ca="1">IFERROR(_xll.qlRateHelperQuoteValue($M312,Trigger),"--")</f>
        <v>--</v>
      </c>
      <c r="P312" s="970" t="b">
        <v>0</v>
      </c>
      <c r="Q312" s="891">
        <v>50</v>
      </c>
      <c r="R312" s="891">
        <v>1</v>
      </c>
      <c r="S312" s="890" t="str">
        <f ca="1">IFERROR(_xll.qlRateHelperEarliestDate(M312,Trigger),"--")</f>
        <v>--</v>
      </c>
      <c r="T312" s="890" t="str">
        <f ca="1">IFERROR(_xll.qlRateHelperPillarDate(M312,Trigger),"--")</f>
        <v>--</v>
      </c>
      <c r="V312" s="4" t="str">
        <f t="shared" ca="1" si="32"/>
        <v/>
      </c>
      <c r="W312" s="4" t="e">
        <f ca="1"/>
        <v>#NAME?</v>
      </c>
      <c r="X312" s="4" t="str">
        <f ca="1">IFERROR(_xll.qlRateHelperQuoteName(W312,Trigger),"")</f>
        <v/>
      </c>
      <c r="Y312" s="889" t="str">
        <f ca="1">IFERROR(_xll.qlRateHelperRate(W312,Trigger),"")</f>
        <v/>
      </c>
      <c r="Z312" s="888" t="str">
        <f ca="1">IF(ISERROR(_xll.qlSwapRateHelperSpread($W312)),IF(ISERROR(_xll.qlFuturesRateHelperConvexityAdjustment($W312)),"",_xll.qlFuturesRateHelperConvexityAdjustment($W312)),_xll.qlSwapRateHelperSpread($W312))</f>
        <v/>
      </c>
      <c r="AA312" s="5" t="str">
        <f ca="1">IFERROR(_xll.qlRateHelperEarliestDate(W312,Trigger),"")</f>
        <v/>
      </c>
      <c r="AB312" s="5" t="str">
        <f ca="1">IFERROR(_xll.qlRateHelperPillarDate(W312,Trigger),"")</f>
        <v/>
      </c>
      <c r="AC312" s="887" t="e">
        <f ca="1"/>
        <v>#NAME?</v>
      </c>
    </row>
    <row r="313" spans="1:29" x14ac:dyDescent="0.2">
      <c r="A313" s="874" t="s">
        <v>410</v>
      </c>
      <c r="B313" s="876" t="s">
        <v>50</v>
      </c>
      <c r="C313" s="875" t="s">
        <v>42</v>
      </c>
      <c r="D313" s="875" t="s">
        <v>323</v>
      </c>
      <c r="E313" s="875" t="s">
        <v>322</v>
      </c>
      <c r="F313" s="875" t="s">
        <v>221</v>
      </c>
      <c r="G313" s="875" t="str">
        <f t="shared" si="35"/>
        <v>Euribor6M</v>
      </c>
      <c r="H313" s="874" t="str">
        <f t="shared" si="36"/>
        <v>EUR14F6Y_Quote</v>
      </c>
      <c r="I313" s="877">
        <v>0</v>
      </c>
      <c r="J313" s="43"/>
      <c r="L313" s="895" t="str">
        <f t="shared" si="33"/>
        <v>FwdSw</v>
      </c>
      <c r="M313" s="891" t="str">
        <f t="shared" si="34"/>
        <v>--</v>
      </c>
      <c r="N313" s="894" t="str">
        <f ca="1">IFERROR(_xll.qlRateHelperQuoteName(M313,Trigger),"--")</f>
        <v>--</v>
      </c>
      <c r="O313" s="893" t="str">
        <f ca="1">IFERROR(_xll.qlRateHelperQuoteValue($M313,Trigger),"--")</f>
        <v>--</v>
      </c>
      <c r="P313" s="970" t="b">
        <v>0</v>
      </c>
      <c r="Q313" s="891">
        <v>50</v>
      </c>
      <c r="R313" s="891">
        <v>1</v>
      </c>
      <c r="S313" s="890" t="str">
        <f ca="1">IFERROR(_xll.qlRateHelperEarliestDate(M313,Trigger),"--")</f>
        <v>--</v>
      </c>
      <c r="T313" s="890" t="str">
        <f ca="1">IFERROR(_xll.qlRateHelperPillarDate(M313,Trigger),"--")</f>
        <v>--</v>
      </c>
      <c r="V313" s="4" t="str">
        <f t="shared" ca="1" si="32"/>
        <v/>
      </c>
      <c r="W313" s="4" t="e">
        <f ca="1"/>
        <v>#NAME?</v>
      </c>
      <c r="X313" s="4" t="str">
        <f ca="1">IFERROR(_xll.qlRateHelperQuoteName(W313,Trigger),"")</f>
        <v/>
      </c>
      <c r="Y313" s="889" t="str">
        <f ca="1">IFERROR(_xll.qlRateHelperRate(W313,Trigger),"")</f>
        <v/>
      </c>
      <c r="Z313" s="888" t="str">
        <f ca="1">IF(ISERROR(_xll.qlSwapRateHelperSpread($W313)),IF(ISERROR(_xll.qlFuturesRateHelperConvexityAdjustment($W313)),"",_xll.qlFuturesRateHelperConvexityAdjustment($W313)),_xll.qlSwapRateHelperSpread($W313))</f>
        <v/>
      </c>
      <c r="AA313" s="5" t="str">
        <f ca="1">IFERROR(_xll.qlRateHelperEarliestDate(W313,Trigger),"")</f>
        <v/>
      </c>
      <c r="AB313" s="5" t="str">
        <f ca="1">IFERROR(_xll.qlRateHelperPillarDate(W313,Trigger),"")</f>
        <v/>
      </c>
      <c r="AC313" s="887" t="e">
        <f ca="1"/>
        <v>#NAME?</v>
      </c>
    </row>
    <row r="314" spans="1:29" x14ac:dyDescent="0.2">
      <c r="A314" s="874" t="s">
        <v>410</v>
      </c>
      <c r="B314" s="876" t="s">
        <v>49</v>
      </c>
      <c r="C314" s="875" t="s">
        <v>42</v>
      </c>
      <c r="D314" s="875" t="s">
        <v>323</v>
      </c>
      <c r="E314" s="875" t="s">
        <v>322</v>
      </c>
      <c r="F314" s="875" t="s">
        <v>221</v>
      </c>
      <c r="G314" s="875" t="str">
        <f t="shared" si="35"/>
        <v>Euribor6M</v>
      </c>
      <c r="H314" s="874" t="str">
        <f t="shared" si="36"/>
        <v>EUR14F7Y_Quote</v>
      </c>
      <c r="I314" s="877">
        <v>0</v>
      </c>
      <c r="J314" s="43"/>
      <c r="L314" s="895" t="str">
        <f t="shared" si="33"/>
        <v>FwdSw</v>
      </c>
      <c r="M314" s="891" t="str">
        <f t="shared" si="34"/>
        <v>--</v>
      </c>
      <c r="N314" s="894" t="str">
        <f ca="1">IFERROR(_xll.qlRateHelperQuoteName(M314,Trigger),"--")</f>
        <v>--</v>
      </c>
      <c r="O314" s="893" t="str">
        <f ca="1">IFERROR(_xll.qlRateHelperQuoteValue($M314,Trigger),"--")</f>
        <v>--</v>
      </c>
      <c r="P314" s="970" t="b">
        <v>0</v>
      </c>
      <c r="Q314" s="891">
        <v>50</v>
      </c>
      <c r="R314" s="891">
        <v>1</v>
      </c>
      <c r="S314" s="890" t="str">
        <f ca="1">IFERROR(_xll.qlRateHelperEarliestDate(M314,Trigger),"--")</f>
        <v>--</v>
      </c>
      <c r="T314" s="890" t="str">
        <f ca="1">IFERROR(_xll.qlRateHelperPillarDate(M314,Trigger),"--")</f>
        <v>--</v>
      </c>
      <c r="V314" s="4" t="str">
        <f t="shared" ca="1" si="32"/>
        <v/>
      </c>
      <c r="W314" s="4" t="e">
        <f ca="1"/>
        <v>#NAME?</v>
      </c>
      <c r="X314" s="4" t="str">
        <f ca="1">IFERROR(_xll.qlRateHelperQuoteName(W314,Trigger),"")</f>
        <v/>
      </c>
      <c r="Y314" s="889" t="str">
        <f ca="1">IFERROR(_xll.qlRateHelperRate(W314,Trigger),"")</f>
        <v/>
      </c>
      <c r="Z314" s="888" t="str">
        <f ca="1">IF(ISERROR(_xll.qlSwapRateHelperSpread($W314)),IF(ISERROR(_xll.qlFuturesRateHelperConvexityAdjustment($W314)),"",_xll.qlFuturesRateHelperConvexityAdjustment($W314)),_xll.qlSwapRateHelperSpread($W314))</f>
        <v/>
      </c>
      <c r="AA314" s="5" t="str">
        <f ca="1">IFERROR(_xll.qlRateHelperEarliestDate(W314,Trigger),"")</f>
        <v/>
      </c>
      <c r="AB314" s="5" t="str">
        <f ca="1">IFERROR(_xll.qlRateHelperPillarDate(W314,Trigger),"")</f>
        <v/>
      </c>
      <c r="AC314" s="887" t="e">
        <f ca="1"/>
        <v>#NAME?</v>
      </c>
    </row>
    <row r="315" spans="1:29" x14ac:dyDescent="0.2">
      <c r="A315" s="874" t="s">
        <v>410</v>
      </c>
      <c r="B315" s="876" t="s">
        <v>48</v>
      </c>
      <c r="C315" s="875" t="s">
        <v>42</v>
      </c>
      <c r="D315" s="875" t="s">
        <v>323</v>
      </c>
      <c r="E315" s="875" t="s">
        <v>322</v>
      </c>
      <c r="F315" s="875" t="s">
        <v>221</v>
      </c>
      <c r="G315" s="875" t="str">
        <f t="shared" si="35"/>
        <v>Euribor6M</v>
      </c>
      <c r="H315" s="874" t="str">
        <f t="shared" si="36"/>
        <v>EUR14F8Y_Quote</v>
      </c>
      <c r="I315" s="877">
        <v>0</v>
      </c>
      <c r="J315" s="43"/>
      <c r="L315" s="895" t="str">
        <f t="shared" si="33"/>
        <v>FwdSw</v>
      </c>
      <c r="M315" s="891" t="str">
        <f t="shared" si="34"/>
        <v>--</v>
      </c>
      <c r="N315" s="894" t="str">
        <f ca="1">IFERROR(_xll.qlRateHelperQuoteName(M315,Trigger),"--")</f>
        <v>--</v>
      </c>
      <c r="O315" s="893" t="str">
        <f ca="1">IFERROR(_xll.qlRateHelperQuoteValue($M315,Trigger),"--")</f>
        <v>--</v>
      </c>
      <c r="P315" s="970" t="b">
        <v>0</v>
      </c>
      <c r="Q315" s="891">
        <v>50</v>
      </c>
      <c r="R315" s="891">
        <v>1</v>
      </c>
      <c r="S315" s="890" t="str">
        <f ca="1">IFERROR(_xll.qlRateHelperEarliestDate(M315,Trigger),"--")</f>
        <v>--</v>
      </c>
      <c r="T315" s="890" t="str">
        <f ca="1">IFERROR(_xll.qlRateHelperPillarDate(M315,Trigger),"--")</f>
        <v>--</v>
      </c>
      <c r="V315" s="4" t="str">
        <f t="shared" ca="1" si="32"/>
        <v/>
      </c>
      <c r="W315" s="4" t="e">
        <f ca="1"/>
        <v>#NAME?</v>
      </c>
      <c r="X315" s="4" t="str">
        <f ca="1">IFERROR(_xll.qlRateHelperQuoteName(W315,Trigger),"")</f>
        <v/>
      </c>
      <c r="Y315" s="889" t="str">
        <f ca="1">IFERROR(_xll.qlRateHelperRate(W315,Trigger),"")</f>
        <v/>
      </c>
      <c r="Z315" s="888" t="str">
        <f ca="1">IF(ISERROR(_xll.qlSwapRateHelperSpread($W315)),IF(ISERROR(_xll.qlFuturesRateHelperConvexityAdjustment($W315)),"",_xll.qlFuturesRateHelperConvexityAdjustment($W315)),_xll.qlSwapRateHelperSpread($W315))</f>
        <v/>
      </c>
      <c r="AA315" s="5" t="str">
        <f ca="1">IFERROR(_xll.qlRateHelperEarliestDate(W315,Trigger),"")</f>
        <v/>
      </c>
      <c r="AB315" s="5" t="str">
        <f ca="1">IFERROR(_xll.qlRateHelperPillarDate(W315,Trigger),"")</f>
        <v/>
      </c>
      <c r="AC315" s="887" t="e">
        <f ca="1"/>
        <v>#NAME?</v>
      </c>
    </row>
    <row r="316" spans="1:29" x14ac:dyDescent="0.2">
      <c r="A316" s="874" t="s">
        <v>410</v>
      </c>
      <c r="B316" s="876" t="s">
        <v>47</v>
      </c>
      <c r="C316" s="875" t="s">
        <v>42</v>
      </c>
      <c r="D316" s="875" t="s">
        <v>323</v>
      </c>
      <c r="E316" s="875" t="s">
        <v>322</v>
      </c>
      <c r="F316" s="875" t="s">
        <v>221</v>
      </c>
      <c r="G316" s="875" t="str">
        <f t="shared" si="35"/>
        <v>Euribor6M</v>
      </c>
      <c r="H316" s="874" t="str">
        <f t="shared" si="36"/>
        <v>EUR14F9Y_Quote</v>
      </c>
      <c r="I316" s="877">
        <v>0</v>
      </c>
      <c r="J316" s="43"/>
      <c r="L316" s="895" t="str">
        <f t="shared" si="33"/>
        <v>FwdSw</v>
      </c>
      <c r="M316" s="891" t="str">
        <f t="shared" si="34"/>
        <v>--</v>
      </c>
      <c r="N316" s="894" t="str">
        <f ca="1">IFERROR(_xll.qlRateHelperQuoteName(M316,Trigger),"--")</f>
        <v>--</v>
      </c>
      <c r="O316" s="893" t="str">
        <f ca="1">IFERROR(_xll.qlRateHelperQuoteValue($M316,Trigger),"--")</f>
        <v>--</v>
      </c>
      <c r="P316" s="970" t="b">
        <v>0</v>
      </c>
      <c r="Q316" s="891">
        <v>50</v>
      </c>
      <c r="R316" s="891">
        <v>1</v>
      </c>
      <c r="S316" s="890" t="str">
        <f ca="1">IFERROR(_xll.qlRateHelperEarliestDate(M316,Trigger),"--")</f>
        <v>--</v>
      </c>
      <c r="T316" s="890" t="str">
        <f ca="1">IFERROR(_xll.qlRateHelperPillarDate(M316,Trigger),"--")</f>
        <v>--</v>
      </c>
      <c r="V316" s="4" t="str">
        <f t="shared" ca="1" si="32"/>
        <v/>
      </c>
      <c r="W316" s="4" t="e">
        <f ca="1"/>
        <v>#NAME?</v>
      </c>
      <c r="X316" s="4" t="str">
        <f ca="1">IFERROR(_xll.qlRateHelperQuoteName(W316,Trigger),"")</f>
        <v/>
      </c>
      <c r="Y316" s="889" t="str">
        <f ca="1">IFERROR(_xll.qlRateHelperRate(W316,Trigger),"")</f>
        <v/>
      </c>
      <c r="Z316" s="888" t="str">
        <f ca="1">IF(ISERROR(_xll.qlSwapRateHelperSpread($W316)),IF(ISERROR(_xll.qlFuturesRateHelperConvexityAdjustment($W316)),"",_xll.qlFuturesRateHelperConvexityAdjustment($W316)),_xll.qlSwapRateHelperSpread($W316))</f>
        <v/>
      </c>
      <c r="AA316" s="5" t="str">
        <f ca="1">IFERROR(_xll.qlRateHelperEarliestDate(W316,Trigger),"")</f>
        <v/>
      </c>
      <c r="AB316" s="5" t="str">
        <f ca="1">IFERROR(_xll.qlRateHelperPillarDate(W316,Trigger),"")</f>
        <v/>
      </c>
      <c r="AC316" s="887" t="e">
        <f ca="1"/>
        <v>#NAME?</v>
      </c>
    </row>
    <row r="317" spans="1:29" x14ac:dyDescent="0.2">
      <c r="A317" s="874" t="s">
        <v>410</v>
      </c>
      <c r="B317" s="876" t="s">
        <v>46</v>
      </c>
      <c r="C317" s="875" t="s">
        <v>42</v>
      </c>
      <c r="D317" s="875" t="s">
        <v>323</v>
      </c>
      <c r="E317" s="875" t="s">
        <v>322</v>
      </c>
      <c r="F317" s="875" t="s">
        <v>221</v>
      </c>
      <c r="G317" s="875" t="str">
        <f t="shared" si="35"/>
        <v>Euribor6M</v>
      </c>
      <c r="H317" s="874" t="str">
        <f t="shared" si="36"/>
        <v>EUR14F10Y_Quote</v>
      </c>
      <c r="I317" s="877">
        <v>0</v>
      </c>
      <c r="J317" s="43"/>
      <c r="L317" s="895" t="str">
        <f t="shared" si="33"/>
        <v>FwdSw</v>
      </c>
      <c r="M317" s="891" t="str">
        <f t="shared" si="34"/>
        <v>--</v>
      </c>
      <c r="N317" s="894" t="str">
        <f ca="1">IFERROR(_xll.qlRateHelperQuoteName(M317,Trigger),"--")</f>
        <v>--</v>
      </c>
      <c r="O317" s="893" t="str">
        <f ca="1">IFERROR(_xll.qlRateHelperQuoteValue($M317,Trigger),"--")</f>
        <v>--</v>
      </c>
      <c r="P317" s="970" t="b">
        <v>0</v>
      </c>
      <c r="Q317" s="891">
        <v>50</v>
      </c>
      <c r="R317" s="891">
        <v>1</v>
      </c>
      <c r="S317" s="890" t="str">
        <f ca="1">IFERROR(_xll.qlRateHelperEarliestDate(M317,Trigger),"--")</f>
        <v>--</v>
      </c>
      <c r="T317" s="890" t="str">
        <f ca="1">IFERROR(_xll.qlRateHelperPillarDate(M317,Trigger),"--")</f>
        <v>--</v>
      </c>
      <c r="V317" s="4" t="str">
        <f t="shared" ca="1" si="32"/>
        <v/>
      </c>
      <c r="W317" s="4" t="e">
        <f ca="1"/>
        <v>#NAME?</v>
      </c>
      <c r="X317" s="4" t="str">
        <f ca="1">IFERROR(_xll.qlRateHelperQuoteName(W317,Trigger),"")</f>
        <v/>
      </c>
      <c r="Y317" s="889" t="str">
        <f ca="1">IFERROR(_xll.qlRateHelperRate(W317,Trigger),"")</f>
        <v/>
      </c>
      <c r="Z317" s="888" t="str">
        <f ca="1">IF(ISERROR(_xll.qlSwapRateHelperSpread($W317)),IF(ISERROR(_xll.qlFuturesRateHelperConvexityAdjustment($W317)),"",_xll.qlFuturesRateHelperConvexityAdjustment($W317)),_xll.qlSwapRateHelperSpread($W317))</f>
        <v/>
      </c>
      <c r="AA317" s="5" t="str">
        <f ca="1">IFERROR(_xll.qlRateHelperEarliestDate(W317,Trigger),"")</f>
        <v/>
      </c>
      <c r="AB317" s="5" t="str">
        <f ca="1">IFERROR(_xll.qlRateHelperPillarDate(W317,Trigger),"")</f>
        <v/>
      </c>
      <c r="AC317" s="887" t="e">
        <f ca="1"/>
        <v>#NAME?</v>
      </c>
    </row>
    <row r="318" spans="1:29" x14ac:dyDescent="0.2">
      <c r="A318" s="874" t="s">
        <v>410</v>
      </c>
      <c r="B318" s="876" t="s">
        <v>45</v>
      </c>
      <c r="C318" s="875" t="s">
        <v>42</v>
      </c>
      <c r="D318" s="875" t="s">
        <v>323</v>
      </c>
      <c r="E318" s="875" t="s">
        <v>322</v>
      </c>
      <c r="F318" s="875" t="s">
        <v>221</v>
      </c>
      <c r="G318" s="875" t="str">
        <f t="shared" si="35"/>
        <v>Euribor6M</v>
      </c>
      <c r="H318" s="874" t="str">
        <f t="shared" si="36"/>
        <v>EUR14F11Y_Quote</v>
      </c>
      <c r="I318" s="877">
        <v>0</v>
      </c>
      <c r="J318" s="43"/>
      <c r="L318" s="895" t="str">
        <f t="shared" si="33"/>
        <v>FwdSw</v>
      </c>
      <c r="M318" s="891" t="str">
        <f t="shared" si="34"/>
        <v>--</v>
      </c>
      <c r="N318" s="894" t="str">
        <f ca="1">IFERROR(_xll.qlRateHelperQuoteName(M318,Trigger),"--")</f>
        <v>--</v>
      </c>
      <c r="O318" s="893" t="str">
        <f ca="1">IFERROR(_xll.qlRateHelperQuoteValue($M318,Trigger),"--")</f>
        <v>--</v>
      </c>
      <c r="P318" s="970" t="b">
        <v>0</v>
      </c>
      <c r="Q318" s="891">
        <v>50</v>
      </c>
      <c r="R318" s="891">
        <v>1</v>
      </c>
      <c r="S318" s="890" t="str">
        <f ca="1">IFERROR(_xll.qlRateHelperEarliestDate(M318,Trigger),"--")</f>
        <v>--</v>
      </c>
      <c r="T318" s="890" t="str">
        <f ca="1">IFERROR(_xll.qlRateHelperPillarDate(M318,Trigger),"--")</f>
        <v>--</v>
      </c>
      <c r="V318" s="4" t="str">
        <f t="shared" ca="1" si="32"/>
        <v/>
      </c>
      <c r="W318" s="4" t="e">
        <f ca="1"/>
        <v>#NAME?</v>
      </c>
      <c r="X318" s="4" t="str">
        <f ca="1">IFERROR(_xll.qlRateHelperQuoteName(W318,Trigger),"")</f>
        <v/>
      </c>
      <c r="Y318" s="889" t="str">
        <f ca="1">IFERROR(_xll.qlRateHelperRate(W318,Trigger),"")</f>
        <v/>
      </c>
      <c r="Z318" s="888" t="str">
        <f ca="1">IF(ISERROR(_xll.qlSwapRateHelperSpread($W318)),IF(ISERROR(_xll.qlFuturesRateHelperConvexityAdjustment($W318)),"",_xll.qlFuturesRateHelperConvexityAdjustment($W318)),_xll.qlSwapRateHelperSpread($W318))</f>
        <v/>
      </c>
      <c r="AA318" s="5" t="str">
        <f ca="1">IFERROR(_xll.qlRateHelperEarliestDate(W318,Trigger),"")</f>
        <v/>
      </c>
      <c r="AB318" s="5" t="str">
        <f ca="1">IFERROR(_xll.qlRateHelperPillarDate(W318,Trigger),"")</f>
        <v/>
      </c>
      <c r="AC318" s="887" t="e">
        <f ca="1"/>
        <v>#NAME?</v>
      </c>
    </row>
    <row r="319" spans="1:29" x14ac:dyDescent="0.2">
      <c r="A319" s="874" t="s">
        <v>410</v>
      </c>
      <c r="B319" s="876" t="s">
        <v>44</v>
      </c>
      <c r="C319" s="875" t="s">
        <v>42</v>
      </c>
      <c r="D319" s="875" t="s">
        <v>323</v>
      </c>
      <c r="E319" s="875" t="s">
        <v>322</v>
      </c>
      <c r="F319" s="875" t="s">
        <v>221</v>
      </c>
      <c r="G319" s="875" t="str">
        <f t="shared" si="35"/>
        <v>Euribor6M</v>
      </c>
      <c r="H319" s="874" t="str">
        <f t="shared" si="36"/>
        <v>EUR14F12Y_Quote</v>
      </c>
      <c r="I319" s="877">
        <v>0</v>
      </c>
      <c r="J319" s="43"/>
      <c r="L319" s="895" t="str">
        <f t="shared" si="33"/>
        <v>FwdSw</v>
      </c>
      <c r="M319" s="891" t="str">
        <f t="shared" si="34"/>
        <v>--</v>
      </c>
      <c r="N319" s="894" t="str">
        <f ca="1">IFERROR(_xll.qlRateHelperQuoteName(M319,Trigger),"--")</f>
        <v>--</v>
      </c>
      <c r="O319" s="893" t="str">
        <f ca="1">IFERROR(_xll.qlRateHelperQuoteValue($M319,Trigger),"--")</f>
        <v>--</v>
      </c>
      <c r="P319" s="970" t="b">
        <v>0</v>
      </c>
      <c r="Q319" s="891">
        <v>50</v>
      </c>
      <c r="R319" s="891">
        <v>1</v>
      </c>
      <c r="S319" s="890" t="str">
        <f ca="1">IFERROR(_xll.qlRateHelperEarliestDate(M319,Trigger),"--")</f>
        <v>--</v>
      </c>
      <c r="T319" s="890" t="str">
        <f ca="1">IFERROR(_xll.qlRateHelperPillarDate(M319,Trigger),"--")</f>
        <v>--</v>
      </c>
      <c r="V319" s="4" t="str">
        <f t="shared" ca="1" si="32"/>
        <v/>
      </c>
      <c r="W319" s="4" t="e">
        <f ca="1"/>
        <v>#NAME?</v>
      </c>
      <c r="X319" s="4" t="str">
        <f ca="1">IFERROR(_xll.qlRateHelperQuoteName(W319,Trigger),"")</f>
        <v/>
      </c>
      <c r="Y319" s="889" t="str">
        <f ca="1">IFERROR(_xll.qlRateHelperRate(W319,Trigger),"")</f>
        <v/>
      </c>
      <c r="Z319" s="888" t="str">
        <f ca="1">IF(ISERROR(_xll.qlSwapRateHelperSpread($W319)),IF(ISERROR(_xll.qlFuturesRateHelperConvexityAdjustment($W319)),"",_xll.qlFuturesRateHelperConvexityAdjustment($W319)),_xll.qlSwapRateHelperSpread($W319))</f>
        <v/>
      </c>
      <c r="AA319" s="5" t="str">
        <f ca="1">IFERROR(_xll.qlRateHelperEarliestDate(W319,Trigger),"")</f>
        <v/>
      </c>
      <c r="AB319" s="5" t="str">
        <f ca="1">IFERROR(_xll.qlRateHelperPillarDate(W319,Trigger),"")</f>
        <v/>
      </c>
      <c r="AC319" s="887" t="e">
        <f ca="1"/>
        <v>#NAME?</v>
      </c>
    </row>
    <row r="320" spans="1:29" x14ac:dyDescent="0.2">
      <c r="A320" s="874" t="s">
        <v>410</v>
      </c>
      <c r="B320" s="876" t="s">
        <v>43</v>
      </c>
      <c r="C320" s="875" t="s">
        <v>42</v>
      </c>
      <c r="D320" s="875" t="s">
        <v>323</v>
      </c>
      <c r="E320" s="875" t="s">
        <v>322</v>
      </c>
      <c r="F320" s="875" t="s">
        <v>221</v>
      </c>
      <c r="G320" s="875" t="str">
        <f t="shared" si="35"/>
        <v>Euribor6M</v>
      </c>
      <c r="H320" s="874" t="str">
        <f t="shared" si="36"/>
        <v>EUR14F13Y_Quote</v>
      </c>
      <c r="I320" s="877">
        <v>0</v>
      </c>
      <c r="J320" s="43"/>
      <c r="L320" s="895" t="str">
        <f t="shared" si="33"/>
        <v>FwdSw</v>
      </c>
      <c r="M320" s="891" t="str">
        <f t="shared" si="34"/>
        <v>--</v>
      </c>
      <c r="N320" s="894" t="str">
        <f ca="1">IFERROR(_xll.qlRateHelperQuoteName(M320,Trigger),"--")</f>
        <v>--</v>
      </c>
      <c r="O320" s="893" t="str">
        <f ca="1">IFERROR(_xll.qlRateHelperQuoteValue($M320,Trigger),"--")</f>
        <v>--</v>
      </c>
      <c r="P320" s="970" t="b">
        <v>0</v>
      </c>
      <c r="Q320" s="891">
        <v>50</v>
      </c>
      <c r="R320" s="891">
        <v>1</v>
      </c>
      <c r="S320" s="890" t="str">
        <f ca="1">IFERROR(_xll.qlRateHelperEarliestDate(M320,Trigger),"--")</f>
        <v>--</v>
      </c>
      <c r="T320" s="890" t="str">
        <f ca="1">IFERROR(_xll.qlRateHelperPillarDate(M320,Trigger),"--")</f>
        <v>--</v>
      </c>
      <c r="V320" s="4" t="str">
        <f t="shared" ca="1" si="32"/>
        <v/>
      </c>
      <c r="W320" s="4" t="e">
        <f ca="1"/>
        <v>#NAME?</v>
      </c>
      <c r="X320" s="4" t="str">
        <f ca="1">IFERROR(_xll.qlRateHelperQuoteName(W320,Trigger),"")</f>
        <v/>
      </c>
      <c r="Y320" s="889" t="str">
        <f ca="1">IFERROR(_xll.qlRateHelperRate(W320,Trigger),"")</f>
        <v/>
      </c>
      <c r="Z320" s="888" t="str">
        <f ca="1">IF(ISERROR(_xll.qlSwapRateHelperSpread($W320)),IF(ISERROR(_xll.qlFuturesRateHelperConvexityAdjustment($W320)),"",_xll.qlFuturesRateHelperConvexityAdjustment($W320)),_xll.qlSwapRateHelperSpread($W320))</f>
        <v/>
      </c>
      <c r="AA320" s="5" t="str">
        <f ca="1">IFERROR(_xll.qlRateHelperEarliestDate(W320,Trigger),"")</f>
        <v/>
      </c>
      <c r="AB320" s="5" t="str">
        <f ca="1">IFERROR(_xll.qlRateHelperPillarDate(W320,Trigger),"")</f>
        <v/>
      </c>
      <c r="AC320" s="887" t="e">
        <f ca="1"/>
        <v>#NAME?</v>
      </c>
    </row>
    <row r="321" spans="1:29" x14ac:dyDescent="0.2">
      <c r="A321" s="874" t="s">
        <v>410</v>
      </c>
      <c r="B321" s="876" t="s">
        <v>42</v>
      </c>
      <c r="C321" s="875" t="s">
        <v>42</v>
      </c>
      <c r="D321" s="875" t="s">
        <v>323</v>
      </c>
      <c r="E321" s="875" t="s">
        <v>322</v>
      </c>
      <c r="F321" s="875" t="s">
        <v>221</v>
      </c>
      <c r="G321" s="875" t="str">
        <f t="shared" si="35"/>
        <v>Euribor6M</v>
      </c>
      <c r="H321" s="874" t="str">
        <f t="shared" si="36"/>
        <v>EUR14F14Y_Quote</v>
      </c>
      <c r="I321" s="877">
        <v>0</v>
      </c>
      <c r="J321" s="43"/>
      <c r="L321" s="895" t="str">
        <f t="shared" si="33"/>
        <v>FwdSw</v>
      </c>
      <c r="M321" s="891" t="str">
        <f t="shared" si="34"/>
        <v>--</v>
      </c>
      <c r="N321" s="894" t="str">
        <f ca="1">IFERROR(_xll.qlRateHelperQuoteName(M321,Trigger),"--")</f>
        <v>--</v>
      </c>
      <c r="O321" s="893" t="str">
        <f ca="1">IFERROR(_xll.qlRateHelperQuoteValue($M321,Trigger),"--")</f>
        <v>--</v>
      </c>
      <c r="P321" s="970" t="b">
        <v>0</v>
      </c>
      <c r="Q321" s="891">
        <v>50</v>
      </c>
      <c r="R321" s="891">
        <v>1</v>
      </c>
      <c r="S321" s="890" t="str">
        <f ca="1">IFERROR(_xll.qlRateHelperEarliestDate(M321,Trigger),"--")</f>
        <v>--</v>
      </c>
      <c r="T321" s="890" t="str">
        <f ca="1">IFERROR(_xll.qlRateHelperPillarDate(M321,Trigger),"--")</f>
        <v>--</v>
      </c>
      <c r="V321" s="4" t="str">
        <f t="shared" ca="1" si="32"/>
        <v/>
      </c>
      <c r="W321" s="4" t="e">
        <f ca="1"/>
        <v>#NAME?</v>
      </c>
      <c r="X321" s="4" t="str">
        <f ca="1">IFERROR(_xll.qlRateHelperQuoteName(W321,Trigger),"")</f>
        <v/>
      </c>
      <c r="Y321" s="889" t="str">
        <f ca="1">IFERROR(_xll.qlRateHelperRate(W321,Trigger),"")</f>
        <v/>
      </c>
      <c r="Z321" s="888" t="str">
        <f ca="1">IF(ISERROR(_xll.qlSwapRateHelperSpread($W321)),IF(ISERROR(_xll.qlFuturesRateHelperConvexityAdjustment($W321)),"",_xll.qlFuturesRateHelperConvexityAdjustment($W321)),_xll.qlSwapRateHelperSpread($W321))</f>
        <v/>
      </c>
      <c r="AA321" s="5" t="str">
        <f ca="1">IFERROR(_xll.qlRateHelperEarliestDate(W321,Trigger),"")</f>
        <v/>
      </c>
      <c r="AB321" s="5" t="str">
        <f ca="1">IFERROR(_xll.qlRateHelperPillarDate(W321,Trigger),"")</f>
        <v/>
      </c>
      <c r="AC321" s="887" t="e">
        <f ca="1"/>
        <v>#NAME?</v>
      </c>
    </row>
    <row r="322" spans="1:29" x14ac:dyDescent="0.2">
      <c r="A322" s="874" t="s">
        <v>410</v>
      </c>
      <c r="B322" s="876" t="s">
        <v>41</v>
      </c>
      <c r="C322" s="875" t="s">
        <v>42</v>
      </c>
      <c r="D322" s="875" t="s">
        <v>323</v>
      </c>
      <c r="E322" s="875" t="s">
        <v>322</v>
      </c>
      <c r="F322" s="875" t="s">
        <v>221</v>
      </c>
      <c r="G322" s="875" t="str">
        <f t="shared" si="35"/>
        <v>Euribor6M</v>
      </c>
      <c r="H322" s="874" t="str">
        <f t="shared" si="36"/>
        <v>EUR14F15Y_Quote</v>
      </c>
      <c r="I322" s="877">
        <v>0</v>
      </c>
      <c r="J322" s="43"/>
      <c r="L322" s="895" t="str">
        <f t="shared" si="33"/>
        <v>FwdSw</v>
      </c>
      <c r="M322" s="891" t="str">
        <f t="shared" si="34"/>
        <v>--</v>
      </c>
      <c r="N322" s="894" t="str">
        <f ca="1">IFERROR(_xll.qlRateHelperQuoteName(M322,Trigger),"--")</f>
        <v>--</v>
      </c>
      <c r="O322" s="893" t="str">
        <f ca="1">IFERROR(_xll.qlRateHelperQuoteValue($M322,Trigger),"--")</f>
        <v>--</v>
      </c>
      <c r="P322" s="970" t="b">
        <v>0</v>
      </c>
      <c r="Q322" s="891">
        <v>50</v>
      </c>
      <c r="R322" s="891">
        <v>1</v>
      </c>
      <c r="S322" s="890" t="str">
        <f ca="1">IFERROR(_xll.qlRateHelperEarliestDate(M322,Trigger),"--")</f>
        <v>--</v>
      </c>
      <c r="T322" s="890" t="str">
        <f ca="1">IFERROR(_xll.qlRateHelperPillarDate(M322,Trigger),"--")</f>
        <v>--</v>
      </c>
      <c r="V322" s="4" t="str">
        <f t="shared" ca="1" si="32"/>
        <v/>
      </c>
      <c r="W322" s="4" t="e">
        <f ca="1"/>
        <v>#NAME?</v>
      </c>
      <c r="X322" s="4" t="str">
        <f ca="1">IFERROR(_xll.qlRateHelperQuoteName(W322,Trigger),"")</f>
        <v/>
      </c>
      <c r="Y322" s="889" t="str">
        <f ca="1">IFERROR(_xll.qlRateHelperRate(W322,Trigger),"")</f>
        <v/>
      </c>
      <c r="Z322" s="888" t="str">
        <f ca="1">IF(ISERROR(_xll.qlSwapRateHelperSpread($W322)),IF(ISERROR(_xll.qlFuturesRateHelperConvexityAdjustment($W322)),"",_xll.qlFuturesRateHelperConvexityAdjustment($W322)),_xll.qlSwapRateHelperSpread($W322))</f>
        <v/>
      </c>
      <c r="AA322" s="5" t="str">
        <f ca="1">IFERROR(_xll.qlRateHelperEarliestDate(W322,Trigger),"")</f>
        <v/>
      </c>
      <c r="AB322" s="5" t="str">
        <f ca="1">IFERROR(_xll.qlRateHelperPillarDate(W322,Trigger),"")</f>
        <v/>
      </c>
      <c r="AC322" s="887" t="e">
        <f ca="1"/>
        <v>#NAME?</v>
      </c>
    </row>
    <row r="323" spans="1:29" x14ac:dyDescent="0.2">
      <c r="A323" s="874" t="s">
        <v>410</v>
      </c>
      <c r="B323" s="876" t="s">
        <v>36</v>
      </c>
      <c r="C323" s="875" t="s">
        <v>42</v>
      </c>
      <c r="D323" s="875" t="s">
        <v>323</v>
      </c>
      <c r="E323" s="875" t="s">
        <v>322</v>
      </c>
      <c r="F323" s="875" t="s">
        <v>221</v>
      </c>
      <c r="G323" s="875" t="str">
        <f t="shared" si="35"/>
        <v>Euribor6M</v>
      </c>
      <c r="H323" s="874" t="str">
        <f t="shared" si="36"/>
        <v>EUR14F20Y_Quote</v>
      </c>
      <c r="I323" s="877">
        <v>0</v>
      </c>
      <c r="J323" s="43"/>
      <c r="L323" s="895" t="str">
        <f t="shared" si="33"/>
        <v>FwdSw</v>
      </c>
      <c r="M323" s="891" t="str">
        <f t="shared" si="34"/>
        <v>--</v>
      </c>
      <c r="N323" s="894" t="str">
        <f ca="1">IFERROR(_xll.qlRateHelperQuoteName(M323,Trigger),"--")</f>
        <v>--</v>
      </c>
      <c r="O323" s="893" t="str">
        <f ca="1">IFERROR(_xll.qlRateHelperQuoteValue($M323,Trigger),"--")</f>
        <v>--</v>
      </c>
      <c r="P323" s="970" t="b">
        <v>0</v>
      </c>
      <c r="Q323" s="891">
        <v>50</v>
      </c>
      <c r="R323" s="891">
        <v>1</v>
      </c>
      <c r="S323" s="890" t="str">
        <f ca="1">IFERROR(_xll.qlRateHelperEarliestDate(M323,Trigger),"--")</f>
        <v>--</v>
      </c>
      <c r="T323" s="890" t="str">
        <f ca="1">IFERROR(_xll.qlRateHelperPillarDate(M323,Trigger),"--")</f>
        <v>--</v>
      </c>
      <c r="V323" s="4" t="str">
        <f t="shared" ref="V323:V391" ca="1" si="37">IFERROR(INDEX($L$3:$L$391,MATCH(X323,$N$3:$N$391,0),1),"")</f>
        <v/>
      </c>
      <c r="W323" s="4" t="e">
        <f ca="1"/>
        <v>#NAME?</v>
      </c>
      <c r="X323" s="4" t="str">
        <f ca="1">IFERROR(_xll.qlRateHelperQuoteName(W323,Trigger),"")</f>
        <v/>
      </c>
      <c r="Y323" s="889" t="str">
        <f ca="1">IFERROR(_xll.qlRateHelperRate(W323,Trigger),"")</f>
        <v/>
      </c>
      <c r="Z323" s="888" t="str">
        <f ca="1">IF(ISERROR(_xll.qlSwapRateHelperSpread($W323)),IF(ISERROR(_xll.qlFuturesRateHelperConvexityAdjustment($W323)),"",_xll.qlFuturesRateHelperConvexityAdjustment($W323)),_xll.qlSwapRateHelperSpread($W323))</f>
        <v/>
      </c>
      <c r="AA323" s="5" t="str">
        <f ca="1">IFERROR(_xll.qlRateHelperEarliestDate(W323,Trigger),"")</f>
        <v/>
      </c>
      <c r="AB323" s="5" t="str">
        <f ca="1">IFERROR(_xll.qlRateHelperPillarDate(W323,Trigger),"")</f>
        <v/>
      </c>
      <c r="AC323" s="887" t="e">
        <f ca="1"/>
        <v>#NAME?</v>
      </c>
    </row>
    <row r="324" spans="1:29" x14ac:dyDescent="0.2">
      <c r="A324" s="874" t="s">
        <v>410</v>
      </c>
      <c r="B324" s="876" t="s">
        <v>31</v>
      </c>
      <c r="C324" s="875" t="s">
        <v>42</v>
      </c>
      <c r="D324" s="875" t="s">
        <v>323</v>
      </c>
      <c r="E324" s="875" t="s">
        <v>322</v>
      </c>
      <c r="F324" s="875" t="s">
        <v>221</v>
      </c>
      <c r="G324" s="875" t="str">
        <f t="shared" si="35"/>
        <v>Euribor6M</v>
      </c>
      <c r="H324" s="874" t="str">
        <f t="shared" si="36"/>
        <v>EUR14F25Y_Quote</v>
      </c>
      <c r="I324" s="877">
        <v>0</v>
      </c>
      <c r="J324" s="43"/>
      <c r="L324" s="895" t="str">
        <f t="shared" ref="L324:L387" si="38">A330</f>
        <v>FwdSw</v>
      </c>
      <c r="M324" s="891" t="str">
        <f t="shared" ref="M324:M387" si="39">IF(ISBLANK(J330),"--",J330)</f>
        <v>--</v>
      </c>
      <c r="N324" s="894" t="str">
        <f ca="1">IFERROR(_xll.qlRateHelperQuoteName(M324,Trigger),"--")</f>
        <v>--</v>
      </c>
      <c r="O324" s="893" t="str">
        <f ca="1">IFERROR(_xll.qlRateHelperQuoteValue($M324,Trigger),"--")</f>
        <v>--</v>
      </c>
      <c r="P324" s="970" t="b">
        <v>0</v>
      </c>
      <c r="Q324" s="891">
        <v>50</v>
      </c>
      <c r="R324" s="891">
        <v>1</v>
      </c>
      <c r="S324" s="890" t="str">
        <f ca="1">IFERROR(_xll.qlRateHelperEarliestDate(M324,Trigger),"--")</f>
        <v>--</v>
      </c>
      <c r="T324" s="890" t="str">
        <f ca="1">IFERROR(_xll.qlRateHelperPillarDate(M324,Trigger),"--")</f>
        <v>--</v>
      </c>
      <c r="V324" s="4" t="str">
        <f t="shared" ca="1" si="37"/>
        <v/>
      </c>
      <c r="W324" s="4" t="e">
        <f ca="1"/>
        <v>#NAME?</v>
      </c>
      <c r="X324" s="4" t="str">
        <f ca="1">IFERROR(_xll.qlRateHelperQuoteName(W324,Trigger),"")</f>
        <v/>
      </c>
      <c r="Y324" s="889" t="str">
        <f ca="1">IFERROR(_xll.qlRateHelperRate(W324,Trigger),"")</f>
        <v/>
      </c>
      <c r="Z324" s="888" t="str">
        <f ca="1">IF(ISERROR(_xll.qlSwapRateHelperSpread($W324)),IF(ISERROR(_xll.qlFuturesRateHelperConvexityAdjustment($W324)),"",_xll.qlFuturesRateHelperConvexityAdjustment($W324)),_xll.qlSwapRateHelperSpread($W324))</f>
        <v/>
      </c>
      <c r="AA324" s="5" t="str">
        <f ca="1">IFERROR(_xll.qlRateHelperEarliestDate(W324,Trigger),"")</f>
        <v/>
      </c>
      <c r="AB324" s="5" t="str">
        <f ca="1">IFERROR(_xll.qlRateHelperPillarDate(W324,Trigger),"")</f>
        <v/>
      </c>
      <c r="AC324" s="887" t="e">
        <f ca="1"/>
        <v>#NAME?</v>
      </c>
    </row>
    <row r="325" spans="1:29" x14ac:dyDescent="0.2">
      <c r="A325" s="870" t="s">
        <v>410</v>
      </c>
      <c r="B325" s="872" t="s">
        <v>26</v>
      </c>
      <c r="C325" s="871" t="s">
        <v>42</v>
      </c>
      <c r="D325" s="871" t="s">
        <v>323</v>
      </c>
      <c r="E325" s="871" t="s">
        <v>322</v>
      </c>
      <c r="F325" s="871" t="s">
        <v>221</v>
      </c>
      <c r="G325" s="871" t="str">
        <f t="shared" si="35"/>
        <v>Euribor6M</v>
      </c>
      <c r="H325" s="870" t="str">
        <f t="shared" si="36"/>
        <v>EUR14F30Y_Quote</v>
      </c>
      <c r="I325" s="985">
        <v>0</v>
      </c>
      <c r="J325" s="38"/>
      <c r="L325" s="895" t="str">
        <f t="shared" si="38"/>
        <v>FwdSw</v>
      </c>
      <c r="M325" s="891" t="str">
        <f t="shared" si="39"/>
        <v>--</v>
      </c>
      <c r="N325" s="894" t="str">
        <f ca="1">IFERROR(_xll.qlRateHelperQuoteName(M325,Trigger),"--")</f>
        <v>--</v>
      </c>
      <c r="O325" s="893" t="str">
        <f ca="1">IFERROR(_xll.qlRateHelperQuoteValue($M325,Trigger),"--")</f>
        <v>--</v>
      </c>
      <c r="P325" s="970" t="b">
        <v>0</v>
      </c>
      <c r="Q325" s="891">
        <v>50</v>
      </c>
      <c r="R325" s="891">
        <v>1</v>
      </c>
      <c r="S325" s="890" t="str">
        <f ca="1">IFERROR(_xll.qlRateHelperEarliestDate(M325,Trigger),"--")</f>
        <v>--</v>
      </c>
      <c r="T325" s="890" t="str">
        <f ca="1">IFERROR(_xll.qlRateHelperPillarDate(M325,Trigger),"--")</f>
        <v>--</v>
      </c>
      <c r="V325" s="4" t="str">
        <f t="shared" ca="1" si="37"/>
        <v/>
      </c>
      <c r="W325" s="4" t="e">
        <f ca="1"/>
        <v>#NAME?</v>
      </c>
      <c r="X325" s="4" t="str">
        <f ca="1">IFERROR(_xll.qlRateHelperQuoteName(W325,Trigger),"")</f>
        <v/>
      </c>
      <c r="Y325" s="889" t="str">
        <f ca="1">IFERROR(_xll.qlRateHelperRate(W325,Trigger),"")</f>
        <v/>
      </c>
      <c r="Z325" s="888" t="str">
        <f ca="1">IF(ISERROR(_xll.qlSwapRateHelperSpread($W325)),IF(ISERROR(_xll.qlFuturesRateHelperConvexityAdjustment($W325)),"",_xll.qlFuturesRateHelperConvexityAdjustment($W325)),_xll.qlSwapRateHelperSpread($W325))</f>
        <v/>
      </c>
      <c r="AA325" s="5" t="str">
        <f ca="1">IFERROR(_xll.qlRateHelperEarliestDate(W325,Trigger),"")</f>
        <v/>
      </c>
      <c r="AB325" s="5" t="str">
        <f ca="1">IFERROR(_xll.qlRateHelperPillarDate(W325,Trigger),"")</f>
        <v/>
      </c>
      <c r="AC325" s="887" t="e">
        <f ca="1"/>
        <v>#NAME?</v>
      </c>
    </row>
    <row r="326" spans="1:29" x14ac:dyDescent="0.2">
      <c r="A326" s="874" t="s">
        <v>410</v>
      </c>
      <c r="B326" s="876" t="s">
        <v>58</v>
      </c>
      <c r="C326" s="875" t="s">
        <v>41</v>
      </c>
      <c r="D326" s="875" t="s">
        <v>323</v>
      </c>
      <c r="E326" s="875" t="s">
        <v>322</v>
      </c>
      <c r="F326" s="875" t="s">
        <v>221</v>
      </c>
      <c r="G326" s="875" t="str">
        <f t="shared" si="35"/>
        <v>Euribor6M</v>
      </c>
      <c r="H326" s="874" t="str">
        <f t="shared" si="36"/>
        <v>EUR15F1Y_Quote</v>
      </c>
      <c r="I326" s="877">
        <v>0</v>
      </c>
      <c r="J326" s="43"/>
      <c r="L326" s="895" t="str">
        <f t="shared" si="38"/>
        <v>FwdSw</v>
      </c>
      <c r="M326" s="891" t="str">
        <f t="shared" si="39"/>
        <v>--</v>
      </c>
      <c r="N326" s="894" t="str">
        <f ca="1">IFERROR(_xll.qlRateHelperQuoteName(M326,Trigger),"--")</f>
        <v>--</v>
      </c>
      <c r="O326" s="893" t="str">
        <f ca="1">IFERROR(_xll.qlRateHelperQuoteValue($M326,Trigger),"--")</f>
        <v>--</v>
      </c>
      <c r="P326" s="970" t="b">
        <v>0</v>
      </c>
      <c r="Q326" s="891">
        <v>50</v>
      </c>
      <c r="R326" s="891">
        <v>1</v>
      </c>
      <c r="S326" s="890" t="str">
        <f ca="1">IFERROR(_xll.qlRateHelperEarliestDate(M326,Trigger),"--")</f>
        <v>--</v>
      </c>
      <c r="T326" s="890" t="str">
        <f ca="1">IFERROR(_xll.qlRateHelperPillarDate(M326,Trigger),"--")</f>
        <v>--</v>
      </c>
      <c r="V326" s="4" t="str">
        <f t="shared" ca="1" si="37"/>
        <v/>
      </c>
      <c r="W326" s="4" t="e">
        <f ca="1"/>
        <v>#NAME?</v>
      </c>
      <c r="X326" s="4" t="str">
        <f ca="1">IFERROR(_xll.qlRateHelperQuoteName(W326,Trigger),"")</f>
        <v/>
      </c>
      <c r="Y326" s="889" t="str">
        <f ca="1">IFERROR(_xll.qlRateHelperRate(W326,Trigger),"")</f>
        <v/>
      </c>
      <c r="Z326" s="888" t="str">
        <f ca="1">IF(ISERROR(_xll.qlSwapRateHelperSpread($W326)),IF(ISERROR(_xll.qlFuturesRateHelperConvexityAdjustment($W326)),"",_xll.qlFuturesRateHelperConvexityAdjustment($W326)),_xll.qlSwapRateHelperSpread($W326))</f>
        <v/>
      </c>
      <c r="AA326" s="5" t="str">
        <f ca="1">IFERROR(_xll.qlRateHelperEarliestDate(W326,Trigger),"")</f>
        <v/>
      </c>
      <c r="AB326" s="5" t="str">
        <f ca="1">IFERROR(_xll.qlRateHelperPillarDate(W326,Trigger),"")</f>
        <v/>
      </c>
      <c r="AC326" s="887" t="e">
        <f ca="1"/>
        <v>#NAME?</v>
      </c>
    </row>
    <row r="327" spans="1:29" x14ac:dyDescent="0.2">
      <c r="A327" s="874" t="s">
        <v>410</v>
      </c>
      <c r="B327" s="876" t="s">
        <v>54</v>
      </c>
      <c r="C327" s="875" t="s">
        <v>41</v>
      </c>
      <c r="D327" s="875" t="s">
        <v>323</v>
      </c>
      <c r="E327" s="875" t="s">
        <v>322</v>
      </c>
      <c r="F327" s="875" t="s">
        <v>221</v>
      </c>
      <c r="G327" s="875" t="str">
        <f t="shared" si="35"/>
        <v>Euribor6M</v>
      </c>
      <c r="H327" s="874" t="str">
        <f t="shared" si="36"/>
        <v>EUR15F2Y_Quote</v>
      </c>
      <c r="I327" s="877">
        <v>0</v>
      </c>
      <c r="J327" s="43"/>
      <c r="L327" s="895" t="str">
        <f t="shared" si="38"/>
        <v>FwdSw</v>
      </c>
      <c r="M327" s="891" t="str">
        <f t="shared" si="39"/>
        <v>--</v>
      </c>
      <c r="N327" s="894" t="str">
        <f ca="1">IFERROR(_xll.qlRateHelperQuoteName(M327,Trigger),"--")</f>
        <v>--</v>
      </c>
      <c r="O327" s="893" t="str">
        <f ca="1">IFERROR(_xll.qlRateHelperQuoteValue($M327,Trigger),"--")</f>
        <v>--</v>
      </c>
      <c r="P327" s="970" t="b">
        <v>0</v>
      </c>
      <c r="Q327" s="891">
        <v>50</v>
      </c>
      <c r="R327" s="891">
        <v>1</v>
      </c>
      <c r="S327" s="890" t="str">
        <f ca="1">IFERROR(_xll.qlRateHelperEarliestDate(M327,Trigger),"--")</f>
        <v>--</v>
      </c>
      <c r="T327" s="890" t="str">
        <f ca="1">IFERROR(_xll.qlRateHelperPillarDate(M327,Trigger),"--")</f>
        <v>--</v>
      </c>
      <c r="V327" s="4" t="str">
        <f t="shared" ca="1" si="37"/>
        <v/>
      </c>
      <c r="W327" s="4" t="e">
        <f ca="1"/>
        <v>#NAME?</v>
      </c>
      <c r="X327" s="4" t="str">
        <f ca="1">IFERROR(_xll.qlRateHelperQuoteName(W327,Trigger),"")</f>
        <v/>
      </c>
      <c r="Y327" s="889" t="str">
        <f ca="1">IFERROR(_xll.qlRateHelperRate(W327,Trigger),"")</f>
        <v/>
      </c>
      <c r="Z327" s="888" t="str">
        <f ca="1">IF(ISERROR(_xll.qlSwapRateHelperSpread($W327)),IF(ISERROR(_xll.qlFuturesRateHelperConvexityAdjustment($W327)),"",_xll.qlFuturesRateHelperConvexityAdjustment($W327)),_xll.qlSwapRateHelperSpread($W327))</f>
        <v/>
      </c>
      <c r="AA327" s="5" t="str">
        <f ca="1">IFERROR(_xll.qlRateHelperEarliestDate(W327,Trigger),"")</f>
        <v/>
      </c>
      <c r="AB327" s="5" t="str">
        <f ca="1">IFERROR(_xll.qlRateHelperPillarDate(W327,Trigger),"")</f>
        <v/>
      </c>
      <c r="AC327" s="887" t="e">
        <f ca="1"/>
        <v>#NAME?</v>
      </c>
    </row>
    <row r="328" spans="1:29" x14ac:dyDescent="0.2">
      <c r="A328" s="874" t="s">
        <v>410</v>
      </c>
      <c r="B328" s="876" t="s">
        <v>53</v>
      </c>
      <c r="C328" s="875" t="s">
        <v>41</v>
      </c>
      <c r="D328" s="875" t="s">
        <v>323</v>
      </c>
      <c r="E328" s="875" t="s">
        <v>322</v>
      </c>
      <c r="F328" s="875" t="s">
        <v>221</v>
      </c>
      <c r="G328" s="875" t="str">
        <f t="shared" si="35"/>
        <v>Euribor6M</v>
      </c>
      <c r="H328" s="874" t="str">
        <f t="shared" si="36"/>
        <v>EUR15F3Y_Quote</v>
      </c>
      <c r="I328" s="877">
        <v>0</v>
      </c>
      <c r="J328" s="43"/>
      <c r="L328" s="895" t="str">
        <f t="shared" si="38"/>
        <v>FwdSw</v>
      </c>
      <c r="M328" s="891" t="str">
        <f t="shared" si="39"/>
        <v>--</v>
      </c>
      <c r="N328" s="894" t="str">
        <f ca="1">IFERROR(_xll.qlRateHelperQuoteName(M328,Trigger),"--")</f>
        <v>--</v>
      </c>
      <c r="O328" s="893" t="str">
        <f ca="1">IFERROR(_xll.qlRateHelperQuoteValue($M328,Trigger),"--")</f>
        <v>--</v>
      </c>
      <c r="P328" s="970" t="b">
        <v>0</v>
      </c>
      <c r="Q328" s="891">
        <v>50</v>
      </c>
      <c r="R328" s="891">
        <v>1</v>
      </c>
      <c r="S328" s="890" t="str">
        <f ca="1">IFERROR(_xll.qlRateHelperEarliestDate(M328,Trigger),"--")</f>
        <v>--</v>
      </c>
      <c r="T328" s="890" t="str">
        <f ca="1">IFERROR(_xll.qlRateHelperPillarDate(M328,Trigger),"--")</f>
        <v>--</v>
      </c>
      <c r="V328" s="4" t="str">
        <f t="shared" ca="1" si="37"/>
        <v/>
      </c>
      <c r="W328" s="4" t="e">
        <f ca="1"/>
        <v>#NAME?</v>
      </c>
      <c r="X328" s="4" t="str">
        <f ca="1">IFERROR(_xll.qlRateHelperQuoteName(W328,Trigger),"")</f>
        <v/>
      </c>
      <c r="Y328" s="889" t="str">
        <f ca="1">IFERROR(_xll.qlRateHelperRate(W328,Trigger),"")</f>
        <v/>
      </c>
      <c r="Z328" s="888" t="str">
        <f ca="1">IF(ISERROR(_xll.qlSwapRateHelperSpread($W328)),IF(ISERROR(_xll.qlFuturesRateHelperConvexityAdjustment($W328)),"",_xll.qlFuturesRateHelperConvexityAdjustment($W328)),_xll.qlSwapRateHelperSpread($W328))</f>
        <v/>
      </c>
      <c r="AA328" s="5" t="str">
        <f ca="1">IFERROR(_xll.qlRateHelperEarliestDate(W328,Trigger),"")</f>
        <v/>
      </c>
      <c r="AB328" s="5" t="str">
        <f ca="1">IFERROR(_xll.qlRateHelperPillarDate(W328,Trigger),"")</f>
        <v/>
      </c>
      <c r="AC328" s="887" t="e">
        <f ca="1"/>
        <v>#NAME?</v>
      </c>
    </row>
    <row r="329" spans="1:29" x14ac:dyDescent="0.2">
      <c r="A329" s="874" t="s">
        <v>410</v>
      </c>
      <c r="B329" s="876" t="s">
        <v>52</v>
      </c>
      <c r="C329" s="875" t="s">
        <v>41</v>
      </c>
      <c r="D329" s="875" t="s">
        <v>323</v>
      </c>
      <c r="E329" s="875" t="s">
        <v>322</v>
      </c>
      <c r="F329" s="875" t="s">
        <v>221</v>
      </c>
      <c r="G329" s="875" t="str">
        <f t="shared" si="35"/>
        <v>Euribor6M</v>
      </c>
      <c r="H329" s="874" t="str">
        <f t="shared" si="36"/>
        <v>EUR15F4Y_Quote</v>
      </c>
      <c r="I329" s="877">
        <v>0</v>
      </c>
      <c r="J329" s="43"/>
      <c r="L329" s="895" t="str">
        <f t="shared" si="38"/>
        <v>FwdSw</v>
      </c>
      <c r="M329" s="891" t="str">
        <f t="shared" si="39"/>
        <v>--</v>
      </c>
      <c r="N329" s="894" t="str">
        <f ca="1">IFERROR(_xll.qlRateHelperQuoteName(M329,Trigger),"--")</f>
        <v>--</v>
      </c>
      <c r="O329" s="893" t="str">
        <f ca="1">IFERROR(_xll.qlRateHelperQuoteValue($M329,Trigger),"--")</f>
        <v>--</v>
      </c>
      <c r="P329" s="970" t="b">
        <v>0</v>
      </c>
      <c r="Q329" s="891">
        <v>50</v>
      </c>
      <c r="R329" s="891">
        <v>1</v>
      </c>
      <c r="S329" s="890" t="str">
        <f ca="1">IFERROR(_xll.qlRateHelperEarliestDate(M329,Trigger),"--")</f>
        <v>--</v>
      </c>
      <c r="T329" s="890" t="str">
        <f ca="1">IFERROR(_xll.qlRateHelperPillarDate(M329,Trigger),"--")</f>
        <v>--</v>
      </c>
      <c r="V329" s="4" t="str">
        <f t="shared" ca="1" si="37"/>
        <v/>
      </c>
      <c r="W329" s="4" t="e">
        <f ca="1"/>
        <v>#NAME?</v>
      </c>
      <c r="X329" s="4" t="str">
        <f ca="1">IFERROR(_xll.qlRateHelperQuoteName(W329,Trigger),"")</f>
        <v/>
      </c>
      <c r="Y329" s="889" t="str">
        <f ca="1">IFERROR(_xll.qlRateHelperRate(W329,Trigger),"")</f>
        <v/>
      </c>
      <c r="Z329" s="888" t="str">
        <f ca="1">IF(ISERROR(_xll.qlSwapRateHelperSpread($W329)),IF(ISERROR(_xll.qlFuturesRateHelperConvexityAdjustment($W329)),"",_xll.qlFuturesRateHelperConvexityAdjustment($W329)),_xll.qlSwapRateHelperSpread($W329))</f>
        <v/>
      </c>
      <c r="AA329" s="5" t="str">
        <f ca="1">IFERROR(_xll.qlRateHelperEarliestDate(W329,Trigger),"")</f>
        <v/>
      </c>
      <c r="AB329" s="5" t="str">
        <f ca="1">IFERROR(_xll.qlRateHelperPillarDate(W329,Trigger),"")</f>
        <v/>
      </c>
      <c r="AC329" s="887" t="e">
        <f ca="1"/>
        <v>#NAME?</v>
      </c>
    </row>
    <row r="330" spans="1:29" x14ac:dyDescent="0.2">
      <c r="A330" s="874" t="s">
        <v>410</v>
      </c>
      <c r="B330" s="876" t="s">
        <v>51</v>
      </c>
      <c r="C330" s="875" t="s">
        <v>41</v>
      </c>
      <c r="D330" s="875" t="s">
        <v>323</v>
      </c>
      <c r="E330" s="875" t="s">
        <v>322</v>
      </c>
      <c r="F330" s="875" t="s">
        <v>221</v>
      </c>
      <c r="G330" s="875" t="str">
        <f t="shared" ref="G330:G397" si="40">PROPER(Currency)&amp;FamilyName&amp;Tenor</f>
        <v>Euribor6M</v>
      </c>
      <c r="H330" s="874" t="str">
        <f t="shared" ref="H330:H397" si="41">Currency&amp;SUBSTITUTE(C330,"Y","F")&amp;B330&amp;QuoteSuffix</f>
        <v>EUR15F5Y_Quote</v>
      </c>
      <c r="I330" s="877">
        <v>0</v>
      </c>
      <c r="J330" s="43"/>
      <c r="L330" s="895" t="str">
        <f t="shared" si="38"/>
        <v>FwdSw</v>
      </c>
      <c r="M330" s="891" t="str">
        <f t="shared" si="39"/>
        <v>--</v>
      </c>
      <c r="N330" s="894" t="str">
        <f ca="1">IFERROR(_xll.qlRateHelperQuoteName(M330,Trigger),"--")</f>
        <v>--</v>
      </c>
      <c r="O330" s="893" t="str">
        <f ca="1">IFERROR(_xll.qlRateHelperQuoteValue($M330,Trigger),"--")</f>
        <v>--</v>
      </c>
      <c r="P330" s="970" t="b">
        <v>0</v>
      </c>
      <c r="Q330" s="891">
        <v>50</v>
      </c>
      <c r="R330" s="891">
        <v>1</v>
      </c>
      <c r="S330" s="890" t="str">
        <f ca="1">IFERROR(_xll.qlRateHelperEarliestDate(M330,Trigger),"--")</f>
        <v>--</v>
      </c>
      <c r="T330" s="890" t="str">
        <f ca="1">IFERROR(_xll.qlRateHelperPillarDate(M330,Trigger),"--")</f>
        <v>--</v>
      </c>
      <c r="V330" s="4" t="str">
        <f t="shared" ca="1" si="37"/>
        <v/>
      </c>
      <c r="W330" s="4" t="e">
        <f ca="1"/>
        <v>#NAME?</v>
      </c>
      <c r="X330" s="4" t="str">
        <f ca="1">IFERROR(_xll.qlRateHelperQuoteName(W330,Trigger),"")</f>
        <v/>
      </c>
      <c r="Y330" s="889" t="str">
        <f ca="1">IFERROR(_xll.qlRateHelperRate(W330,Trigger),"")</f>
        <v/>
      </c>
      <c r="Z330" s="888" t="str">
        <f ca="1">IF(ISERROR(_xll.qlSwapRateHelperSpread($W330)),IF(ISERROR(_xll.qlFuturesRateHelperConvexityAdjustment($W330)),"",_xll.qlFuturesRateHelperConvexityAdjustment($W330)),_xll.qlSwapRateHelperSpread($W330))</f>
        <v/>
      </c>
      <c r="AA330" s="5" t="str">
        <f ca="1">IFERROR(_xll.qlRateHelperEarliestDate(W330,Trigger),"")</f>
        <v/>
      </c>
      <c r="AB330" s="5" t="str">
        <f ca="1">IFERROR(_xll.qlRateHelperPillarDate(W330,Trigger),"")</f>
        <v/>
      </c>
      <c r="AC330" s="887" t="e">
        <f ca="1"/>
        <v>#NAME?</v>
      </c>
    </row>
    <row r="331" spans="1:29" x14ac:dyDescent="0.2">
      <c r="A331" s="874" t="s">
        <v>410</v>
      </c>
      <c r="B331" s="876" t="s">
        <v>50</v>
      </c>
      <c r="C331" s="875" t="s">
        <v>41</v>
      </c>
      <c r="D331" s="875" t="s">
        <v>323</v>
      </c>
      <c r="E331" s="875" t="s">
        <v>322</v>
      </c>
      <c r="F331" s="875" t="s">
        <v>221</v>
      </c>
      <c r="G331" s="875" t="str">
        <f t="shared" si="40"/>
        <v>Euribor6M</v>
      </c>
      <c r="H331" s="874" t="str">
        <f t="shared" si="41"/>
        <v>EUR15F6Y_Quote</v>
      </c>
      <c r="I331" s="877">
        <v>0</v>
      </c>
      <c r="J331" s="43"/>
      <c r="L331" s="895" t="str">
        <f t="shared" si="38"/>
        <v>FwdSw</v>
      </c>
      <c r="M331" s="891" t="str">
        <f t="shared" si="39"/>
        <v>--</v>
      </c>
      <c r="N331" s="894" t="str">
        <f ca="1">IFERROR(_xll.qlRateHelperQuoteName(M331,Trigger),"--")</f>
        <v>--</v>
      </c>
      <c r="O331" s="893" t="str">
        <f ca="1">IFERROR(_xll.qlRateHelperQuoteValue($M331,Trigger),"--")</f>
        <v>--</v>
      </c>
      <c r="P331" s="970" t="b">
        <v>0</v>
      </c>
      <c r="Q331" s="891">
        <v>50</v>
      </c>
      <c r="R331" s="891">
        <v>1</v>
      </c>
      <c r="S331" s="890" t="str">
        <f ca="1">IFERROR(_xll.qlRateHelperEarliestDate(M331,Trigger),"--")</f>
        <v>--</v>
      </c>
      <c r="T331" s="890" t="str">
        <f ca="1">IFERROR(_xll.qlRateHelperPillarDate(M331,Trigger),"--")</f>
        <v>--</v>
      </c>
      <c r="V331" s="4" t="str">
        <f t="shared" ca="1" si="37"/>
        <v/>
      </c>
      <c r="W331" s="4" t="e">
        <f ca="1"/>
        <v>#NAME?</v>
      </c>
      <c r="X331" s="4" t="str">
        <f ca="1">IFERROR(_xll.qlRateHelperQuoteName(W331,Trigger),"")</f>
        <v/>
      </c>
      <c r="Y331" s="889" t="str">
        <f ca="1">IFERROR(_xll.qlRateHelperRate(W331,Trigger),"")</f>
        <v/>
      </c>
      <c r="Z331" s="888" t="str">
        <f ca="1">IF(ISERROR(_xll.qlSwapRateHelperSpread($W331)),IF(ISERROR(_xll.qlFuturesRateHelperConvexityAdjustment($W331)),"",_xll.qlFuturesRateHelperConvexityAdjustment($W331)),_xll.qlSwapRateHelperSpread($W331))</f>
        <v/>
      </c>
      <c r="AA331" s="5" t="str">
        <f ca="1">IFERROR(_xll.qlRateHelperEarliestDate(W331,Trigger),"")</f>
        <v/>
      </c>
      <c r="AB331" s="5" t="str">
        <f ca="1">IFERROR(_xll.qlRateHelperPillarDate(W331,Trigger),"")</f>
        <v/>
      </c>
      <c r="AC331" s="887" t="e">
        <f ca="1"/>
        <v>#NAME?</v>
      </c>
    </row>
    <row r="332" spans="1:29" x14ac:dyDescent="0.2">
      <c r="A332" s="874" t="s">
        <v>410</v>
      </c>
      <c r="B332" s="876" t="s">
        <v>49</v>
      </c>
      <c r="C332" s="875" t="s">
        <v>41</v>
      </c>
      <c r="D332" s="875" t="s">
        <v>323</v>
      </c>
      <c r="E332" s="875" t="s">
        <v>322</v>
      </c>
      <c r="F332" s="875" t="s">
        <v>221</v>
      </c>
      <c r="G332" s="875" t="str">
        <f t="shared" si="40"/>
        <v>Euribor6M</v>
      </c>
      <c r="H332" s="874" t="str">
        <f t="shared" si="41"/>
        <v>EUR15F7Y_Quote</v>
      </c>
      <c r="I332" s="877">
        <v>0</v>
      </c>
      <c r="J332" s="43"/>
      <c r="L332" s="895" t="str">
        <f t="shared" si="38"/>
        <v>FwdSw</v>
      </c>
      <c r="M332" s="891" t="str">
        <f t="shared" si="39"/>
        <v>--</v>
      </c>
      <c r="N332" s="894" t="str">
        <f ca="1">IFERROR(_xll.qlRateHelperQuoteName(M332,Trigger),"--")</f>
        <v>--</v>
      </c>
      <c r="O332" s="893" t="str">
        <f ca="1">IFERROR(_xll.qlRateHelperQuoteValue($M332,Trigger),"--")</f>
        <v>--</v>
      </c>
      <c r="P332" s="970" t="b">
        <v>0</v>
      </c>
      <c r="Q332" s="891">
        <v>50</v>
      </c>
      <c r="R332" s="891">
        <v>1</v>
      </c>
      <c r="S332" s="890" t="str">
        <f ca="1">IFERROR(_xll.qlRateHelperEarliestDate(M332,Trigger),"--")</f>
        <v>--</v>
      </c>
      <c r="T332" s="890" t="str">
        <f ca="1">IFERROR(_xll.qlRateHelperPillarDate(M332,Trigger),"--")</f>
        <v>--</v>
      </c>
      <c r="V332" s="4" t="str">
        <f t="shared" ca="1" si="37"/>
        <v/>
      </c>
      <c r="W332" s="4" t="e">
        <f ca="1"/>
        <v>#NAME?</v>
      </c>
      <c r="X332" s="4" t="str">
        <f ca="1">IFERROR(_xll.qlRateHelperQuoteName(W332,Trigger),"")</f>
        <v/>
      </c>
      <c r="Y332" s="889" t="str">
        <f ca="1">IFERROR(_xll.qlRateHelperRate(W332,Trigger),"")</f>
        <v/>
      </c>
      <c r="Z332" s="888" t="str">
        <f ca="1">IF(ISERROR(_xll.qlSwapRateHelperSpread($W332)),IF(ISERROR(_xll.qlFuturesRateHelperConvexityAdjustment($W332)),"",_xll.qlFuturesRateHelperConvexityAdjustment($W332)),_xll.qlSwapRateHelperSpread($W332))</f>
        <v/>
      </c>
      <c r="AA332" s="5" t="str">
        <f ca="1">IFERROR(_xll.qlRateHelperEarliestDate(W332,Trigger),"")</f>
        <v/>
      </c>
      <c r="AB332" s="5" t="str">
        <f ca="1">IFERROR(_xll.qlRateHelperPillarDate(W332,Trigger),"")</f>
        <v/>
      </c>
      <c r="AC332" s="887" t="e">
        <f ca="1"/>
        <v>#NAME?</v>
      </c>
    </row>
    <row r="333" spans="1:29" x14ac:dyDescent="0.2">
      <c r="A333" s="874" t="s">
        <v>410</v>
      </c>
      <c r="B333" s="876" t="s">
        <v>48</v>
      </c>
      <c r="C333" s="875" t="s">
        <v>41</v>
      </c>
      <c r="D333" s="875" t="s">
        <v>323</v>
      </c>
      <c r="E333" s="875" t="s">
        <v>322</v>
      </c>
      <c r="F333" s="875" t="s">
        <v>221</v>
      </c>
      <c r="G333" s="875" t="str">
        <f t="shared" si="40"/>
        <v>Euribor6M</v>
      </c>
      <c r="H333" s="874" t="str">
        <f t="shared" si="41"/>
        <v>EUR15F8Y_Quote</v>
      </c>
      <c r="I333" s="877">
        <v>0</v>
      </c>
      <c r="J333" s="43"/>
      <c r="L333" s="895" t="str">
        <f t="shared" si="38"/>
        <v>FwdSw</v>
      </c>
      <c r="M333" s="891" t="str">
        <f t="shared" si="39"/>
        <v>--</v>
      </c>
      <c r="N333" s="894" t="str">
        <f ca="1">IFERROR(_xll.qlRateHelperQuoteName(M333,Trigger),"--")</f>
        <v>--</v>
      </c>
      <c r="O333" s="893" t="str">
        <f ca="1">IFERROR(_xll.qlRateHelperQuoteValue($M333,Trigger),"--")</f>
        <v>--</v>
      </c>
      <c r="P333" s="970" t="b">
        <v>0</v>
      </c>
      <c r="Q333" s="891">
        <v>50</v>
      </c>
      <c r="R333" s="891">
        <v>1</v>
      </c>
      <c r="S333" s="890" t="str">
        <f ca="1">IFERROR(_xll.qlRateHelperEarliestDate(M333,Trigger),"--")</f>
        <v>--</v>
      </c>
      <c r="T333" s="890" t="str">
        <f ca="1">IFERROR(_xll.qlRateHelperPillarDate(M333,Trigger),"--")</f>
        <v>--</v>
      </c>
      <c r="V333" s="4" t="str">
        <f t="shared" ca="1" si="37"/>
        <v/>
      </c>
      <c r="W333" s="4" t="e">
        <f ca="1"/>
        <v>#NAME?</v>
      </c>
      <c r="X333" s="4" t="str">
        <f ca="1">IFERROR(_xll.qlRateHelperQuoteName(W333,Trigger),"")</f>
        <v/>
      </c>
      <c r="Y333" s="889" t="str">
        <f ca="1">IFERROR(_xll.qlRateHelperRate(W333,Trigger),"")</f>
        <v/>
      </c>
      <c r="Z333" s="888" t="str">
        <f ca="1">IF(ISERROR(_xll.qlSwapRateHelperSpread($W333)),IF(ISERROR(_xll.qlFuturesRateHelperConvexityAdjustment($W333)),"",_xll.qlFuturesRateHelperConvexityAdjustment($W333)),_xll.qlSwapRateHelperSpread($W333))</f>
        <v/>
      </c>
      <c r="AA333" s="5" t="str">
        <f ca="1">IFERROR(_xll.qlRateHelperEarliestDate(W333,Trigger),"")</f>
        <v/>
      </c>
      <c r="AB333" s="5" t="str">
        <f ca="1">IFERROR(_xll.qlRateHelperPillarDate(W333,Trigger),"")</f>
        <v/>
      </c>
      <c r="AC333" s="887" t="e">
        <f ca="1"/>
        <v>#NAME?</v>
      </c>
    </row>
    <row r="334" spans="1:29" x14ac:dyDescent="0.2">
      <c r="A334" s="874" t="s">
        <v>410</v>
      </c>
      <c r="B334" s="876" t="s">
        <v>47</v>
      </c>
      <c r="C334" s="875" t="s">
        <v>41</v>
      </c>
      <c r="D334" s="875" t="s">
        <v>323</v>
      </c>
      <c r="E334" s="875" t="s">
        <v>322</v>
      </c>
      <c r="F334" s="875" t="s">
        <v>221</v>
      </c>
      <c r="G334" s="875" t="str">
        <f t="shared" si="40"/>
        <v>Euribor6M</v>
      </c>
      <c r="H334" s="874" t="str">
        <f t="shared" si="41"/>
        <v>EUR15F9Y_Quote</v>
      </c>
      <c r="I334" s="877">
        <v>0</v>
      </c>
      <c r="J334" s="43"/>
      <c r="L334" s="895" t="str">
        <f t="shared" si="38"/>
        <v>FwdSw</v>
      </c>
      <c r="M334" s="891" t="str">
        <f t="shared" si="39"/>
        <v>--</v>
      </c>
      <c r="N334" s="894" t="str">
        <f ca="1">IFERROR(_xll.qlRateHelperQuoteName(M334,Trigger),"--")</f>
        <v>--</v>
      </c>
      <c r="O334" s="893" t="str">
        <f ca="1">IFERROR(_xll.qlRateHelperQuoteValue($M334,Trigger),"--")</f>
        <v>--</v>
      </c>
      <c r="P334" s="970" t="b">
        <v>0</v>
      </c>
      <c r="Q334" s="891">
        <v>50</v>
      </c>
      <c r="R334" s="891">
        <v>1</v>
      </c>
      <c r="S334" s="890" t="str">
        <f ca="1">IFERROR(_xll.qlRateHelperEarliestDate(M334,Trigger),"--")</f>
        <v>--</v>
      </c>
      <c r="T334" s="890" t="str">
        <f ca="1">IFERROR(_xll.qlRateHelperPillarDate(M334,Trigger),"--")</f>
        <v>--</v>
      </c>
      <c r="V334" s="4" t="str">
        <f t="shared" ca="1" si="37"/>
        <v/>
      </c>
      <c r="W334" s="4" t="e">
        <f ca="1"/>
        <v>#NAME?</v>
      </c>
      <c r="X334" s="4" t="str">
        <f ca="1">IFERROR(_xll.qlRateHelperQuoteName(W334,Trigger),"")</f>
        <v/>
      </c>
      <c r="Y334" s="889" t="str">
        <f ca="1">IFERROR(_xll.qlRateHelperRate(W334,Trigger),"")</f>
        <v/>
      </c>
      <c r="Z334" s="888" t="str">
        <f ca="1">IF(ISERROR(_xll.qlSwapRateHelperSpread($W334)),IF(ISERROR(_xll.qlFuturesRateHelperConvexityAdjustment($W334)),"",_xll.qlFuturesRateHelperConvexityAdjustment($W334)),_xll.qlSwapRateHelperSpread($W334))</f>
        <v/>
      </c>
      <c r="AA334" s="5" t="str">
        <f ca="1">IFERROR(_xll.qlRateHelperEarliestDate(W334,Trigger),"")</f>
        <v/>
      </c>
      <c r="AB334" s="5" t="str">
        <f ca="1">IFERROR(_xll.qlRateHelperPillarDate(W334,Trigger),"")</f>
        <v/>
      </c>
      <c r="AC334" s="887" t="e">
        <f ca="1"/>
        <v>#NAME?</v>
      </c>
    </row>
    <row r="335" spans="1:29" x14ac:dyDescent="0.2">
      <c r="A335" s="874" t="s">
        <v>410</v>
      </c>
      <c r="B335" s="876" t="s">
        <v>46</v>
      </c>
      <c r="C335" s="875" t="s">
        <v>41</v>
      </c>
      <c r="D335" s="875" t="s">
        <v>323</v>
      </c>
      <c r="E335" s="875" t="s">
        <v>322</v>
      </c>
      <c r="F335" s="875" t="s">
        <v>221</v>
      </c>
      <c r="G335" s="875" t="str">
        <f t="shared" si="40"/>
        <v>Euribor6M</v>
      </c>
      <c r="H335" s="874" t="str">
        <f t="shared" si="41"/>
        <v>EUR15F10Y_Quote</v>
      </c>
      <c r="I335" s="877">
        <v>0</v>
      </c>
      <c r="J335" s="43"/>
      <c r="L335" s="895" t="str">
        <f t="shared" si="38"/>
        <v>FwdSw</v>
      </c>
      <c r="M335" s="891" t="str">
        <f t="shared" si="39"/>
        <v>--</v>
      </c>
      <c r="N335" s="894" t="str">
        <f ca="1">IFERROR(_xll.qlRateHelperQuoteName(M335,Trigger),"--")</f>
        <v>--</v>
      </c>
      <c r="O335" s="893" t="str">
        <f ca="1">IFERROR(_xll.qlRateHelperQuoteValue($M335,Trigger),"--")</f>
        <v>--</v>
      </c>
      <c r="P335" s="970" t="b">
        <v>0</v>
      </c>
      <c r="Q335" s="891">
        <v>50</v>
      </c>
      <c r="R335" s="891">
        <v>1</v>
      </c>
      <c r="S335" s="890" t="str">
        <f ca="1">IFERROR(_xll.qlRateHelperEarliestDate(M335,Trigger),"--")</f>
        <v>--</v>
      </c>
      <c r="T335" s="890" t="str">
        <f ca="1">IFERROR(_xll.qlRateHelperPillarDate(M335,Trigger),"--")</f>
        <v>--</v>
      </c>
      <c r="V335" s="4" t="str">
        <f t="shared" ca="1" si="37"/>
        <v/>
      </c>
      <c r="W335" s="4" t="e">
        <f ca="1"/>
        <v>#NAME?</v>
      </c>
      <c r="X335" s="4" t="str">
        <f ca="1">IFERROR(_xll.qlRateHelperQuoteName(W335,Trigger),"")</f>
        <v/>
      </c>
      <c r="Y335" s="889" t="str">
        <f ca="1">IFERROR(_xll.qlRateHelperRate(W335,Trigger),"")</f>
        <v/>
      </c>
      <c r="Z335" s="888" t="str">
        <f ca="1">IF(ISERROR(_xll.qlSwapRateHelperSpread($W335)),IF(ISERROR(_xll.qlFuturesRateHelperConvexityAdjustment($W335)),"",_xll.qlFuturesRateHelperConvexityAdjustment($W335)),_xll.qlSwapRateHelperSpread($W335))</f>
        <v/>
      </c>
      <c r="AA335" s="5" t="str">
        <f ca="1">IFERROR(_xll.qlRateHelperEarliestDate(W335,Trigger),"")</f>
        <v/>
      </c>
      <c r="AB335" s="5" t="str">
        <f ca="1">IFERROR(_xll.qlRateHelperPillarDate(W335,Trigger),"")</f>
        <v/>
      </c>
      <c r="AC335" s="887" t="e">
        <f ca="1"/>
        <v>#NAME?</v>
      </c>
    </row>
    <row r="336" spans="1:29" x14ac:dyDescent="0.2">
      <c r="A336" s="874" t="s">
        <v>410</v>
      </c>
      <c r="B336" s="876" t="s">
        <v>45</v>
      </c>
      <c r="C336" s="875" t="s">
        <v>41</v>
      </c>
      <c r="D336" s="875" t="s">
        <v>323</v>
      </c>
      <c r="E336" s="875" t="s">
        <v>322</v>
      </c>
      <c r="F336" s="875" t="s">
        <v>221</v>
      </c>
      <c r="G336" s="875" t="str">
        <f t="shared" si="40"/>
        <v>Euribor6M</v>
      </c>
      <c r="H336" s="874" t="str">
        <f t="shared" si="41"/>
        <v>EUR15F11Y_Quote</v>
      </c>
      <c r="I336" s="877">
        <v>0</v>
      </c>
      <c r="J336" s="43"/>
      <c r="L336" s="895" t="str">
        <f t="shared" si="38"/>
        <v>FwdSw</v>
      </c>
      <c r="M336" s="891" t="str">
        <f t="shared" si="39"/>
        <v>--</v>
      </c>
      <c r="N336" s="894" t="str">
        <f ca="1">IFERROR(_xll.qlRateHelperQuoteName(M336,Trigger),"--")</f>
        <v>--</v>
      </c>
      <c r="O336" s="893" t="str">
        <f ca="1">IFERROR(_xll.qlRateHelperQuoteValue($M336,Trigger),"--")</f>
        <v>--</v>
      </c>
      <c r="P336" s="970" t="b">
        <v>0</v>
      </c>
      <c r="Q336" s="891">
        <v>50</v>
      </c>
      <c r="R336" s="891">
        <v>1</v>
      </c>
      <c r="S336" s="890" t="str">
        <f ca="1">IFERROR(_xll.qlRateHelperEarliestDate(M336,Trigger),"--")</f>
        <v>--</v>
      </c>
      <c r="T336" s="890" t="str">
        <f ca="1">IFERROR(_xll.qlRateHelperPillarDate(M336,Trigger),"--")</f>
        <v>--</v>
      </c>
      <c r="V336" s="4" t="str">
        <f t="shared" ca="1" si="37"/>
        <v/>
      </c>
      <c r="W336" s="4" t="e">
        <f ca="1"/>
        <v>#NAME?</v>
      </c>
      <c r="X336" s="4" t="str">
        <f ca="1">IFERROR(_xll.qlRateHelperQuoteName(W336,Trigger),"")</f>
        <v/>
      </c>
      <c r="Y336" s="889" t="str">
        <f ca="1">IFERROR(_xll.qlRateHelperRate(W336,Trigger),"")</f>
        <v/>
      </c>
      <c r="Z336" s="888" t="str">
        <f ca="1">IF(ISERROR(_xll.qlSwapRateHelperSpread($W336)),IF(ISERROR(_xll.qlFuturesRateHelperConvexityAdjustment($W336)),"",_xll.qlFuturesRateHelperConvexityAdjustment($W336)),_xll.qlSwapRateHelperSpread($W336))</f>
        <v/>
      </c>
      <c r="AA336" s="5" t="str">
        <f ca="1">IFERROR(_xll.qlRateHelperEarliestDate(W336,Trigger),"")</f>
        <v/>
      </c>
      <c r="AB336" s="5" t="str">
        <f ca="1">IFERROR(_xll.qlRateHelperPillarDate(W336,Trigger),"")</f>
        <v/>
      </c>
      <c r="AC336" s="887" t="e">
        <f ca="1"/>
        <v>#NAME?</v>
      </c>
    </row>
    <row r="337" spans="1:29" x14ac:dyDescent="0.2">
      <c r="A337" s="874" t="s">
        <v>410</v>
      </c>
      <c r="B337" s="876" t="s">
        <v>44</v>
      </c>
      <c r="C337" s="875" t="s">
        <v>41</v>
      </c>
      <c r="D337" s="875" t="s">
        <v>323</v>
      </c>
      <c r="E337" s="875" t="s">
        <v>322</v>
      </c>
      <c r="F337" s="875" t="s">
        <v>221</v>
      </c>
      <c r="G337" s="875" t="str">
        <f t="shared" si="40"/>
        <v>Euribor6M</v>
      </c>
      <c r="H337" s="874" t="str">
        <f t="shared" si="41"/>
        <v>EUR15F12Y_Quote</v>
      </c>
      <c r="I337" s="877">
        <v>0</v>
      </c>
      <c r="J337" s="43"/>
      <c r="L337" s="895" t="str">
        <f t="shared" si="38"/>
        <v>FwdSw</v>
      </c>
      <c r="M337" s="891" t="e">
        <f t="shared" ca="1" si="39"/>
        <v>#NAME?</v>
      </c>
      <c r="N337" s="894" t="str">
        <f ca="1">IFERROR(_xll.qlRateHelperQuoteName(M337,Trigger),"--")</f>
        <v>--</v>
      </c>
      <c r="O337" s="893" t="str">
        <f ca="1">IFERROR(_xll.qlRateHelperQuoteValue($M337,Trigger),"--")</f>
        <v>--</v>
      </c>
      <c r="P337" s="970" t="b">
        <v>1</v>
      </c>
      <c r="Q337" s="891">
        <v>50</v>
      </c>
      <c r="R337" s="891">
        <v>1</v>
      </c>
      <c r="S337" s="890" t="str">
        <f ca="1">IFERROR(_xll.qlRateHelperEarliestDate(M337,Trigger),"--")</f>
        <v>--</v>
      </c>
      <c r="T337" s="890" t="str">
        <f ca="1">IFERROR(_xll.qlRateHelperPillarDate(M337,Trigger),"--")</f>
        <v>--</v>
      </c>
      <c r="V337" s="4" t="str">
        <f t="shared" ca="1" si="37"/>
        <v/>
      </c>
      <c r="W337" s="4" t="e">
        <f ca="1"/>
        <v>#NAME?</v>
      </c>
      <c r="X337" s="4" t="str">
        <f ca="1">IFERROR(_xll.qlRateHelperQuoteName(W337,Trigger),"")</f>
        <v/>
      </c>
      <c r="Y337" s="889" t="str">
        <f ca="1">IFERROR(_xll.qlRateHelperRate(W337,Trigger),"")</f>
        <v/>
      </c>
      <c r="Z337" s="888" t="str">
        <f ca="1">IF(ISERROR(_xll.qlSwapRateHelperSpread($W337)),IF(ISERROR(_xll.qlFuturesRateHelperConvexityAdjustment($W337)),"",_xll.qlFuturesRateHelperConvexityAdjustment($W337)),_xll.qlSwapRateHelperSpread($W337))</f>
        <v/>
      </c>
      <c r="AA337" s="5" t="str">
        <f ca="1">IFERROR(_xll.qlRateHelperEarliestDate(W337,Trigger),"")</f>
        <v/>
      </c>
      <c r="AB337" s="5" t="str">
        <f ca="1">IFERROR(_xll.qlRateHelperPillarDate(W337,Trigger),"")</f>
        <v/>
      </c>
      <c r="AC337" s="887" t="e">
        <f ca="1"/>
        <v>#NAME?</v>
      </c>
    </row>
    <row r="338" spans="1:29" x14ac:dyDescent="0.2">
      <c r="A338" s="874" t="s">
        <v>410</v>
      </c>
      <c r="B338" s="876" t="s">
        <v>43</v>
      </c>
      <c r="C338" s="875" t="s">
        <v>41</v>
      </c>
      <c r="D338" s="875" t="s">
        <v>323</v>
      </c>
      <c r="E338" s="875" t="s">
        <v>322</v>
      </c>
      <c r="F338" s="875" t="s">
        <v>221</v>
      </c>
      <c r="G338" s="875" t="str">
        <f t="shared" si="40"/>
        <v>Euribor6M</v>
      </c>
      <c r="H338" s="874" t="str">
        <f t="shared" si="41"/>
        <v>EUR15F13Y_Quote</v>
      </c>
      <c r="I338" s="877">
        <v>0</v>
      </c>
      <c r="J338" s="43"/>
      <c r="L338" s="895" t="str">
        <f t="shared" si="38"/>
        <v>FwdSw</v>
      </c>
      <c r="M338" s="891" t="str">
        <f t="shared" si="39"/>
        <v>--</v>
      </c>
      <c r="N338" s="894" t="str">
        <f ca="1">IFERROR(_xll.qlRateHelperQuoteName(M338,Trigger),"--")</f>
        <v>--</v>
      </c>
      <c r="O338" s="893" t="str">
        <f ca="1">IFERROR(_xll.qlRateHelperQuoteValue($M338,Trigger),"--")</f>
        <v>--</v>
      </c>
      <c r="P338" s="970" t="b">
        <v>0</v>
      </c>
      <c r="Q338" s="891">
        <v>50</v>
      </c>
      <c r="R338" s="891">
        <v>1</v>
      </c>
      <c r="S338" s="890" t="str">
        <f ca="1">IFERROR(_xll.qlRateHelperEarliestDate(M338,Trigger),"--")</f>
        <v>--</v>
      </c>
      <c r="T338" s="890" t="str">
        <f ca="1">IFERROR(_xll.qlRateHelperPillarDate(M338,Trigger),"--")</f>
        <v>--</v>
      </c>
      <c r="V338" s="4" t="str">
        <f t="shared" ca="1" si="37"/>
        <v/>
      </c>
      <c r="W338" s="4" t="e">
        <f ca="1"/>
        <v>#NAME?</v>
      </c>
      <c r="X338" s="4" t="str">
        <f ca="1">IFERROR(_xll.qlRateHelperQuoteName(W338,Trigger),"")</f>
        <v/>
      </c>
      <c r="Y338" s="889" t="str">
        <f ca="1">IFERROR(_xll.qlRateHelperRate(W338,Trigger),"")</f>
        <v/>
      </c>
      <c r="Z338" s="888" t="str">
        <f ca="1">IF(ISERROR(_xll.qlSwapRateHelperSpread($W338)),IF(ISERROR(_xll.qlFuturesRateHelperConvexityAdjustment($W338)),"",_xll.qlFuturesRateHelperConvexityAdjustment($W338)),_xll.qlSwapRateHelperSpread($W338))</f>
        <v/>
      </c>
      <c r="AA338" s="5" t="str">
        <f ca="1">IFERROR(_xll.qlRateHelperEarliestDate(W338,Trigger),"")</f>
        <v/>
      </c>
      <c r="AB338" s="5" t="str">
        <f ca="1">IFERROR(_xll.qlRateHelperPillarDate(W338,Trigger),"")</f>
        <v/>
      </c>
      <c r="AC338" s="887" t="e">
        <f ca="1"/>
        <v>#NAME?</v>
      </c>
    </row>
    <row r="339" spans="1:29" x14ac:dyDescent="0.2">
      <c r="A339" s="874" t="s">
        <v>410</v>
      </c>
      <c r="B339" s="876" t="s">
        <v>42</v>
      </c>
      <c r="C339" s="875" t="s">
        <v>41</v>
      </c>
      <c r="D339" s="875" t="s">
        <v>323</v>
      </c>
      <c r="E339" s="875" t="s">
        <v>322</v>
      </c>
      <c r="F339" s="875" t="s">
        <v>221</v>
      </c>
      <c r="G339" s="875" t="str">
        <f t="shared" si="40"/>
        <v>Euribor6M</v>
      </c>
      <c r="H339" s="874" t="str">
        <f t="shared" si="41"/>
        <v>EUR15F14Y_Quote</v>
      </c>
      <c r="I339" s="877">
        <v>0</v>
      </c>
      <c r="J339" s="43"/>
      <c r="L339" s="895" t="str">
        <f t="shared" si="38"/>
        <v>FwdSw</v>
      </c>
      <c r="M339" s="891" t="str">
        <f t="shared" si="39"/>
        <v>--</v>
      </c>
      <c r="N339" s="894" t="str">
        <f ca="1">IFERROR(_xll.qlRateHelperQuoteName(M339,Trigger),"--")</f>
        <v>--</v>
      </c>
      <c r="O339" s="893" t="str">
        <f ca="1">IFERROR(_xll.qlRateHelperQuoteValue($M339,Trigger),"--")</f>
        <v>--</v>
      </c>
      <c r="P339" s="970" t="b">
        <v>0</v>
      </c>
      <c r="Q339" s="891">
        <v>50</v>
      </c>
      <c r="R339" s="891">
        <v>1</v>
      </c>
      <c r="S339" s="890" t="str">
        <f ca="1">IFERROR(_xll.qlRateHelperEarliestDate(M339,Trigger),"--")</f>
        <v>--</v>
      </c>
      <c r="T339" s="890" t="str">
        <f ca="1">IFERROR(_xll.qlRateHelperPillarDate(M339,Trigger),"--")</f>
        <v>--</v>
      </c>
      <c r="V339" s="4" t="str">
        <f t="shared" ca="1" si="37"/>
        <v/>
      </c>
      <c r="W339" s="4" t="e">
        <f ca="1"/>
        <v>#NAME?</v>
      </c>
      <c r="X339" s="4" t="str">
        <f ca="1">IFERROR(_xll.qlRateHelperQuoteName(W339,Trigger),"")</f>
        <v/>
      </c>
      <c r="Y339" s="889" t="str">
        <f ca="1">IFERROR(_xll.qlRateHelperRate(W339,Trigger),"")</f>
        <v/>
      </c>
      <c r="Z339" s="888" t="str">
        <f ca="1">IF(ISERROR(_xll.qlSwapRateHelperSpread($W339)),IF(ISERROR(_xll.qlFuturesRateHelperConvexityAdjustment($W339)),"",_xll.qlFuturesRateHelperConvexityAdjustment($W339)),_xll.qlSwapRateHelperSpread($W339))</f>
        <v/>
      </c>
      <c r="AA339" s="5" t="str">
        <f ca="1">IFERROR(_xll.qlRateHelperEarliestDate(W339,Trigger),"")</f>
        <v/>
      </c>
      <c r="AB339" s="5" t="str">
        <f ca="1">IFERROR(_xll.qlRateHelperPillarDate(W339,Trigger),"")</f>
        <v/>
      </c>
      <c r="AC339" s="887" t="e">
        <f ca="1"/>
        <v>#NAME?</v>
      </c>
    </row>
    <row r="340" spans="1:29" x14ac:dyDescent="0.2">
      <c r="A340" s="874" t="s">
        <v>410</v>
      </c>
      <c r="B340" s="876" t="s">
        <v>41</v>
      </c>
      <c r="C340" s="875" t="s">
        <v>41</v>
      </c>
      <c r="D340" s="875" t="s">
        <v>323</v>
      </c>
      <c r="E340" s="875" t="s">
        <v>322</v>
      </c>
      <c r="F340" s="875" t="s">
        <v>221</v>
      </c>
      <c r="G340" s="875" t="str">
        <f t="shared" si="40"/>
        <v>Euribor6M</v>
      </c>
      <c r="H340" s="874" t="str">
        <f t="shared" si="41"/>
        <v>EUR15F15Y_Quote</v>
      </c>
      <c r="I340" s="877">
        <v>0</v>
      </c>
      <c r="J340" s="43"/>
      <c r="L340" s="895" t="str">
        <f t="shared" si="38"/>
        <v>FwdSw</v>
      </c>
      <c r="M340" s="891" t="str">
        <f t="shared" si="39"/>
        <v>--</v>
      </c>
      <c r="N340" s="894" t="str">
        <f ca="1">IFERROR(_xll.qlRateHelperQuoteName(M340,Trigger),"--")</f>
        <v>--</v>
      </c>
      <c r="O340" s="893" t="str">
        <f ca="1">IFERROR(_xll.qlRateHelperQuoteValue($M340,Trigger),"--")</f>
        <v>--</v>
      </c>
      <c r="P340" s="970" t="b">
        <v>0</v>
      </c>
      <c r="Q340" s="891">
        <v>50</v>
      </c>
      <c r="R340" s="891">
        <v>1</v>
      </c>
      <c r="S340" s="890" t="str">
        <f ca="1">IFERROR(_xll.qlRateHelperEarliestDate(M340,Trigger),"--")</f>
        <v>--</v>
      </c>
      <c r="T340" s="890" t="str">
        <f ca="1">IFERROR(_xll.qlRateHelperPillarDate(M340,Trigger),"--")</f>
        <v>--</v>
      </c>
      <c r="V340" s="4" t="str">
        <f t="shared" ca="1" si="37"/>
        <v/>
      </c>
      <c r="W340" s="4" t="e">
        <f ca="1"/>
        <v>#NAME?</v>
      </c>
      <c r="X340" s="4" t="str">
        <f ca="1">IFERROR(_xll.qlRateHelperQuoteName(W340,Trigger),"")</f>
        <v/>
      </c>
      <c r="Y340" s="889" t="str">
        <f ca="1">IFERROR(_xll.qlRateHelperRate(W340,Trigger),"")</f>
        <v/>
      </c>
      <c r="Z340" s="888" t="str">
        <f ca="1">IF(ISERROR(_xll.qlSwapRateHelperSpread($W340)),IF(ISERROR(_xll.qlFuturesRateHelperConvexityAdjustment($W340)),"",_xll.qlFuturesRateHelperConvexityAdjustment($W340)),_xll.qlSwapRateHelperSpread($W340))</f>
        <v/>
      </c>
      <c r="AA340" s="5" t="str">
        <f ca="1">IFERROR(_xll.qlRateHelperEarliestDate(W340,Trigger),"")</f>
        <v/>
      </c>
      <c r="AB340" s="5" t="str">
        <f ca="1">IFERROR(_xll.qlRateHelperPillarDate(W340,Trigger),"")</f>
        <v/>
      </c>
      <c r="AC340" s="887" t="e">
        <f ca="1"/>
        <v>#NAME?</v>
      </c>
    </row>
    <row r="341" spans="1:29" x14ac:dyDescent="0.2">
      <c r="A341" s="874" t="s">
        <v>410</v>
      </c>
      <c r="B341" s="876" t="s">
        <v>36</v>
      </c>
      <c r="C341" s="875" t="s">
        <v>41</v>
      </c>
      <c r="D341" s="875" t="s">
        <v>323</v>
      </c>
      <c r="E341" s="875" t="s">
        <v>322</v>
      </c>
      <c r="F341" s="875" t="s">
        <v>221</v>
      </c>
      <c r="G341" s="875" t="str">
        <f t="shared" si="40"/>
        <v>Euribor6M</v>
      </c>
      <c r="H341" s="874" t="str">
        <f t="shared" si="41"/>
        <v>EUR15F20Y_Quote</v>
      </c>
      <c r="I341" s="877">
        <v>0</v>
      </c>
      <c r="J341" s="43"/>
      <c r="L341" s="895" t="str">
        <f t="shared" si="38"/>
        <v>FwdSw</v>
      </c>
      <c r="M341" s="891" t="str">
        <f t="shared" si="39"/>
        <v>--</v>
      </c>
      <c r="N341" s="894" t="str">
        <f ca="1">IFERROR(_xll.qlRateHelperQuoteName(M341,Trigger),"--")</f>
        <v>--</v>
      </c>
      <c r="O341" s="893" t="str">
        <f ca="1">IFERROR(_xll.qlRateHelperQuoteValue($M341,Trigger),"--")</f>
        <v>--</v>
      </c>
      <c r="P341" s="970" t="b">
        <v>0</v>
      </c>
      <c r="Q341" s="891">
        <v>50</v>
      </c>
      <c r="R341" s="891">
        <v>1</v>
      </c>
      <c r="S341" s="890" t="str">
        <f ca="1">IFERROR(_xll.qlRateHelperEarliestDate(M341,Trigger),"--")</f>
        <v>--</v>
      </c>
      <c r="T341" s="890" t="str">
        <f ca="1">IFERROR(_xll.qlRateHelperPillarDate(M341,Trigger),"--")</f>
        <v>--</v>
      </c>
      <c r="V341" s="4" t="str">
        <f t="shared" ca="1" si="37"/>
        <v/>
      </c>
      <c r="W341" s="4" t="e">
        <f ca="1"/>
        <v>#NAME?</v>
      </c>
      <c r="X341" s="4" t="str">
        <f ca="1">IFERROR(_xll.qlRateHelperQuoteName(W341,Trigger),"")</f>
        <v/>
      </c>
      <c r="Y341" s="889" t="str">
        <f ca="1">IFERROR(_xll.qlRateHelperRate(W341,Trigger),"")</f>
        <v/>
      </c>
      <c r="Z341" s="888" t="str">
        <f ca="1">IF(ISERROR(_xll.qlSwapRateHelperSpread($W341)),IF(ISERROR(_xll.qlFuturesRateHelperConvexityAdjustment($W341)),"",_xll.qlFuturesRateHelperConvexityAdjustment($W341)),_xll.qlSwapRateHelperSpread($W341))</f>
        <v/>
      </c>
      <c r="AA341" s="5" t="str">
        <f ca="1">IFERROR(_xll.qlRateHelperEarliestDate(W341,Trigger),"")</f>
        <v/>
      </c>
      <c r="AB341" s="5" t="str">
        <f ca="1">IFERROR(_xll.qlRateHelperPillarDate(W341,Trigger),"")</f>
        <v/>
      </c>
      <c r="AC341" s="887" t="e">
        <f ca="1"/>
        <v>#NAME?</v>
      </c>
    </row>
    <row r="342" spans="1:29" x14ac:dyDescent="0.2">
      <c r="A342" s="874" t="s">
        <v>410</v>
      </c>
      <c r="B342" s="876" t="s">
        <v>31</v>
      </c>
      <c r="C342" s="875" t="s">
        <v>41</v>
      </c>
      <c r="D342" s="875" t="s">
        <v>323</v>
      </c>
      <c r="E342" s="875" t="s">
        <v>322</v>
      </c>
      <c r="F342" s="875" t="s">
        <v>221</v>
      </c>
      <c r="G342" s="875" t="str">
        <f t="shared" si="40"/>
        <v>Euribor6M</v>
      </c>
      <c r="H342" s="874" t="str">
        <f t="shared" si="41"/>
        <v>EUR15F25Y_Quote</v>
      </c>
      <c r="I342" s="877">
        <v>0</v>
      </c>
      <c r="J342" s="43"/>
      <c r="L342" s="895" t="str">
        <f t="shared" si="38"/>
        <v>FwdSw</v>
      </c>
      <c r="M342" s="891" t="str">
        <f t="shared" si="39"/>
        <v>--</v>
      </c>
      <c r="N342" s="894" t="str">
        <f ca="1">IFERROR(_xll.qlRateHelperQuoteName(M342,Trigger),"--")</f>
        <v>--</v>
      </c>
      <c r="O342" s="893" t="str">
        <f ca="1">IFERROR(_xll.qlRateHelperQuoteValue($M342,Trigger),"--")</f>
        <v>--</v>
      </c>
      <c r="P342" s="970" t="b">
        <v>0</v>
      </c>
      <c r="Q342" s="891">
        <v>50</v>
      </c>
      <c r="R342" s="891">
        <v>1</v>
      </c>
      <c r="S342" s="890" t="str">
        <f ca="1">IFERROR(_xll.qlRateHelperEarliestDate(M342,Trigger),"--")</f>
        <v>--</v>
      </c>
      <c r="T342" s="890" t="str">
        <f ca="1">IFERROR(_xll.qlRateHelperPillarDate(M342,Trigger),"--")</f>
        <v>--</v>
      </c>
      <c r="V342" s="4" t="str">
        <f t="shared" ca="1" si="37"/>
        <v/>
      </c>
      <c r="W342" s="4" t="e">
        <f ca="1"/>
        <v>#NAME?</v>
      </c>
      <c r="X342" s="4" t="str">
        <f ca="1">IFERROR(_xll.qlRateHelperQuoteName(W342,Trigger),"")</f>
        <v/>
      </c>
      <c r="Y342" s="889" t="str">
        <f ca="1">IFERROR(_xll.qlRateHelperRate(W342,Trigger),"")</f>
        <v/>
      </c>
      <c r="Z342" s="888" t="str">
        <f ca="1">IF(ISERROR(_xll.qlSwapRateHelperSpread($W342)),IF(ISERROR(_xll.qlFuturesRateHelperConvexityAdjustment($W342)),"",_xll.qlFuturesRateHelperConvexityAdjustment($W342)),_xll.qlSwapRateHelperSpread($W342))</f>
        <v/>
      </c>
      <c r="AA342" s="5" t="str">
        <f ca="1">IFERROR(_xll.qlRateHelperEarliestDate(W342,Trigger),"")</f>
        <v/>
      </c>
      <c r="AB342" s="5" t="str">
        <f ca="1">IFERROR(_xll.qlRateHelperPillarDate(W342,Trigger),"")</f>
        <v/>
      </c>
      <c r="AC342" s="887" t="e">
        <f ca="1"/>
        <v>#NAME?</v>
      </c>
    </row>
    <row r="343" spans="1:29" x14ac:dyDescent="0.2">
      <c r="A343" s="874" t="s">
        <v>410</v>
      </c>
      <c r="B343" s="876" t="s">
        <v>26</v>
      </c>
      <c r="C343" s="875" t="s">
        <v>41</v>
      </c>
      <c r="D343" s="875" t="s">
        <v>323</v>
      </c>
      <c r="E343" s="875" t="s">
        <v>322</v>
      </c>
      <c r="F343" s="875" t="s">
        <v>221</v>
      </c>
      <c r="G343" s="875" t="str">
        <f t="shared" si="40"/>
        <v>Euribor6M</v>
      </c>
      <c r="H343" s="874" t="str">
        <f t="shared" si="41"/>
        <v>EUR15F30Y_Quote</v>
      </c>
      <c r="I343" s="877">
        <v>0</v>
      </c>
      <c r="J343" s="43" t="e">
        <f ca="1">_xll.qlSwapRateHelper2(,H343,2,B343,Calendar,D343,E343,F343,G343,I343,C343,Discounting,PillarDate,,Permanent,Trigger,ObjectOverwrite)</f>
        <v>#NAME?</v>
      </c>
      <c r="L343" s="895" t="str">
        <f t="shared" si="38"/>
        <v>FwdSw</v>
      </c>
      <c r="M343" s="891" t="str">
        <f t="shared" si="39"/>
        <v>--</v>
      </c>
      <c r="N343" s="894" t="str">
        <f ca="1">IFERROR(_xll.qlRateHelperQuoteName(M343,Trigger),"--")</f>
        <v>--</v>
      </c>
      <c r="O343" s="893" t="str">
        <f ca="1">IFERROR(_xll.qlRateHelperQuoteValue($M343,Trigger),"--")</f>
        <v>--</v>
      </c>
      <c r="P343" s="970" t="b">
        <v>0</v>
      </c>
      <c r="Q343" s="891">
        <v>50</v>
      </c>
      <c r="R343" s="891">
        <v>1</v>
      </c>
      <c r="S343" s="890" t="str">
        <f ca="1">IFERROR(_xll.qlRateHelperEarliestDate(M343,Trigger),"--")</f>
        <v>--</v>
      </c>
      <c r="T343" s="890" t="str">
        <f ca="1">IFERROR(_xll.qlRateHelperPillarDate(M343,Trigger),"--")</f>
        <v>--</v>
      </c>
      <c r="V343" s="4" t="str">
        <f t="shared" ca="1" si="37"/>
        <v/>
      </c>
      <c r="W343" s="4" t="e">
        <f ca="1"/>
        <v>#NAME?</v>
      </c>
      <c r="X343" s="4" t="str">
        <f ca="1">IFERROR(_xll.qlRateHelperQuoteName(W343,Trigger),"")</f>
        <v/>
      </c>
      <c r="Y343" s="889" t="str">
        <f ca="1">IFERROR(_xll.qlRateHelperRate(W343,Trigger),"")</f>
        <v/>
      </c>
      <c r="Z343" s="888" t="str">
        <f ca="1">IF(ISERROR(_xll.qlSwapRateHelperSpread($W343)),IF(ISERROR(_xll.qlFuturesRateHelperConvexityAdjustment($W343)),"",_xll.qlFuturesRateHelperConvexityAdjustment($W343)),_xll.qlSwapRateHelperSpread($W343))</f>
        <v/>
      </c>
      <c r="AA343" s="5" t="str">
        <f ca="1">IFERROR(_xll.qlRateHelperEarliestDate(W343,Trigger),"")</f>
        <v/>
      </c>
      <c r="AB343" s="5" t="str">
        <f ca="1">IFERROR(_xll.qlRateHelperPillarDate(W343,Trigger),"")</f>
        <v/>
      </c>
      <c r="AC343" s="887" t="e">
        <f ca="1"/>
        <v>#NAME?</v>
      </c>
    </row>
    <row r="344" spans="1:29" x14ac:dyDescent="0.2">
      <c r="A344" s="897" t="s">
        <v>410</v>
      </c>
      <c r="B344" s="899" t="s">
        <v>58</v>
      </c>
      <c r="C344" s="898" t="s">
        <v>36</v>
      </c>
      <c r="D344" s="898" t="s">
        <v>323</v>
      </c>
      <c r="E344" s="898" t="s">
        <v>322</v>
      </c>
      <c r="F344" s="898" t="s">
        <v>221</v>
      </c>
      <c r="G344" s="898" t="str">
        <f t="shared" si="40"/>
        <v>Euribor6M</v>
      </c>
      <c r="H344" s="897" t="str">
        <f t="shared" si="41"/>
        <v>EUR20F1Y_Quote</v>
      </c>
      <c r="I344" s="896">
        <v>0</v>
      </c>
      <c r="J344" s="47"/>
      <c r="L344" s="895" t="str">
        <f t="shared" si="38"/>
        <v>FwdSw</v>
      </c>
      <c r="M344" s="891" t="str">
        <f t="shared" si="39"/>
        <v>--</v>
      </c>
      <c r="N344" s="894" t="str">
        <f ca="1">IFERROR(_xll.qlRateHelperQuoteName(M344,Trigger),"--")</f>
        <v>--</v>
      </c>
      <c r="O344" s="893" t="str">
        <f ca="1">IFERROR(_xll.qlRateHelperQuoteValue($M344,Trigger),"--")</f>
        <v>--</v>
      </c>
      <c r="P344" s="970" t="b">
        <v>0</v>
      </c>
      <c r="Q344" s="891">
        <v>50</v>
      </c>
      <c r="R344" s="891">
        <v>1</v>
      </c>
      <c r="S344" s="890" t="str">
        <f ca="1">IFERROR(_xll.qlRateHelperEarliestDate(M344,Trigger),"--")</f>
        <v>--</v>
      </c>
      <c r="T344" s="890" t="str">
        <f ca="1">IFERROR(_xll.qlRateHelperPillarDate(M344,Trigger),"--")</f>
        <v>--</v>
      </c>
      <c r="V344" s="4" t="str">
        <f t="shared" ca="1" si="37"/>
        <v/>
      </c>
      <c r="W344" s="4" t="e">
        <f ca="1"/>
        <v>#NAME?</v>
      </c>
      <c r="X344" s="4" t="str">
        <f ca="1">IFERROR(_xll.qlRateHelperQuoteName(W344,Trigger),"")</f>
        <v/>
      </c>
      <c r="Y344" s="889" t="str">
        <f ca="1">IFERROR(_xll.qlRateHelperRate(W344,Trigger),"")</f>
        <v/>
      </c>
      <c r="Z344" s="888" t="str">
        <f ca="1">IF(ISERROR(_xll.qlSwapRateHelperSpread($W344)),IF(ISERROR(_xll.qlFuturesRateHelperConvexityAdjustment($W344)),"",_xll.qlFuturesRateHelperConvexityAdjustment($W344)),_xll.qlSwapRateHelperSpread($W344))</f>
        <v/>
      </c>
      <c r="AA344" s="5" t="str">
        <f ca="1">IFERROR(_xll.qlRateHelperEarliestDate(W344,Trigger),"")</f>
        <v/>
      </c>
      <c r="AB344" s="5" t="str">
        <f ca="1">IFERROR(_xll.qlRateHelperPillarDate(W344,Trigger),"")</f>
        <v/>
      </c>
      <c r="AC344" s="887" t="e">
        <f ca="1"/>
        <v>#NAME?</v>
      </c>
    </row>
    <row r="345" spans="1:29" x14ac:dyDescent="0.2">
      <c r="A345" s="874" t="s">
        <v>410</v>
      </c>
      <c r="B345" s="876" t="s">
        <v>54</v>
      </c>
      <c r="C345" s="875" t="s">
        <v>36</v>
      </c>
      <c r="D345" s="875" t="s">
        <v>323</v>
      </c>
      <c r="E345" s="875" t="s">
        <v>322</v>
      </c>
      <c r="F345" s="875" t="s">
        <v>221</v>
      </c>
      <c r="G345" s="875" t="str">
        <f t="shared" si="40"/>
        <v>Euribor6M</v>
      </c>
      <c r="H345" s="874" t="str">
        <f t="shared" si="41"/>
        <v>EUR20F2Y_Quote</v>
      </c>
      <c r="I345" s="877">
        <v>0</v>
      </c>
      <c r="J345" s="43"/>
      <c r="L345" s="895" t="str">
        <f t="shared" si="38"/>
        <v>FwdSw</v>
      </c>
      <c r="M345" s="891" t="str">
        <f t="shared" si="39"/>
        <v>--</v>
      </c>
      <c r="N345" s="894" t="str">
        <f ca="1">IFERROR(_xll.qlRateHelperQuoteName(M345,Trigger),"--")</f>
        <v>--</v>
      </c>
      <c r="O345" s="893" t="str">
        <f ca="1">IFERROR(_xll.qlRateHelperQuoteValue($M345,Trigger),"--")</f>
        <v>--</v>
      </c>
      <c r="P345" s="970" t="b">
        <v>0</v>
      </c>
      <c r="Q345" s="891">
        <v>50</v>
      </c>
      <c r="R345" s="891">
        <v>1</v>
      </c>
      <c r="S345" s="890" t="str">
        <f ca="1">IFERROR(_xll.qlRateHelperEarliestDate(M345,Trigger),"--")</f>
        <v>--</v>
      </c>
      <c r="T345" s="890" t="str">
        <f ca="1">IFERROR(_xll.qlRateHelperPillarDate(M345,Trigger),"--")</f>
        <v>--</v>
      </c>
      <c r="V345" s="4" t="str">
        <f t="shared" ca="1" si="37"/>
        <v/>
      </c>
      <c r="W345" s="4" t="e">
        <f ca="1"/>
        <v>#NAME?</v>
      </c>
      <c r="X345" s="4" t="str">
        <f ca="1">IFERROR(_xll.qlRateHelperQuoteName(W345,Trigger),"")</f>
        <v/>
      </c>
      <c r="Y345" s="889" t="str">
        <f ca="1">IFERROR(_xll.qlRateHelperRate(W345,Trigger),"")</f>
        <v/>
      </c>
      <c r="Z345" s="888" t="str">
        <f ca="1">IF(ISERROR(_xll.qlSwapRateHelperSpread($W345)),IF(ISERROR(_xll.qlFuturesRateHelperConvexityAdjustment($W345)),"",_xll.qlFuturesRateHelperConvexityAdjustment($W345)),_xll.qlSwapRateHelperSpread($W345))</f>
        <v/>
      </c>
      <c r="AA345" s="5" t="str">
        <f ca="1">IFERROR(_xll.qlRateHelperEarliestDate(W345,Trigger),"")</f>
        <v/>
      </c>
      <c r="AB345" s="5" t="str">
        <f ca="1">IFERROR(_xll.qlRateHelperPillarDate(W345,Trigger),"")</f>
        <v/>
      </c>
      <c r="AC345" s="887" t="e">
        <f ca="1"/>
        <v>#NAME?</v>
      </c>
    </row>
    <row r="346" spans="1:29" x14ac:dyDescent="0.2">
      <c r="A346" s="874" t="s">
        <v>410</v>
      </c>
      <c r="B346" s="876" t="s">
        <v>53</v>
      </c>
      <c r="C346" s="875" t="s">
        <v>36</v>
      </c>
      <c r="D346" s="875" t="s">
        <v>323</v>
      </c>
      <c r="E346" s="875" t="s">
        <v>322</v>
      </c>
      <c r="F346" s="875" t="s">
        <v>221</v>
      </c>
      <c r="G346" s="875" t="str">
        <f t="shared" si="40"/>
        <v>Euribor6M</v>
      </c>
      <c r="H346" s="874" t="str">
        <f t="shared" si="41"/>
        <v>EUR20F3Y_Quote</v>
      </c>
      <c r="I346" s="877">
        <v>0</v>
      </c>
      <c r="J346" s="43"/>
      <c r="L346" s="895" t="str">
        <f t="shared" si="38"/>
        <v>FwdSw</v>
      </c>
      <c r="M346" s="891" t="str">
        <f t="shared" si="39"/>
        <v>--</v>
      </c>
      <c r="N346" s="894" t="str">
        <f ca="1">IFERROR(_xll.qlRateHelperQuoteName(M346,Trigger),"--")</f>
        <v>--</v>
      </c>
      <c r="O346" s="893" t="str">
        <f ca="1">IFERROR(_xll.qlRateHelperQuoteValue($M346,Trigger),"--")</f>
        <v>--</v>
      </c>
      <c r="P346" s="970" t="b">
        <v>0</v>
      </c>
      <c r="Q346" s="891">
        <v>50</v>
      </c>
      <c r="R346" s="891">
        <v>1</v>
      </c>
      <c r="S346" s="890" t="str">
        <f ca="1">IFERROR(_xll.qlRateHelperEarliestDate(M346,Trigger),"--")</f>
        <v>--</v>
      </c>
      <c r="T346" s="890" t="str">
        <f ca="1">IFERROR(_xll.qlRateHelperPillarDate(M346,Trigger),"--")</f>
        <v>--</v>
      </c>
      <c r="V346" s="4" t="str">
        <f t="shared" ca="1" si="37"/>
        <v/>
      </c>
      <c r="W346" s="4" t="e">
        <f ca="1"/>
        <v>#NAME?</v>
      </c>
      <c r="X346" s="4" t="str">
        <f ca="1">IFERROR(_xll.qlRateHelperQuoteName(W346,Trigger),"")</f>
        <v/>
      </c>
      <c r="Y346" s="889" t="str">
        <f ca="1">IFERROR(_xll.qlRateHelperRate(W346,Trigger),"")</f>
        <v/>
      </c>
      <c r="Z346" s="888" t="str">
        <f ca="1">IF(ISERROR(_xll.qlSwapRateHelperSpread($W346)),IF(ISERROR(_xll.qlFuturesRateHelperConvexityAdjustment($W346)),"",_xll.qlFuturesRateHelperConvexityAdjustment($W346)),_xll.qlSwapRateHelperSpread($W346))</f>
        <v/>
      </c>
      <c r="AA346" s="5" t="str">
        <f ca="1">IFERROR(_xll.qlRateHelperEarliestDate(W346,Trigger),"")</f>
        <v/>
      </c>
      <c r="AB346" s="5" t="str">
        <f ca="1">IFERROR(_xll.qlRateHelperPillarDate(W346,Trigger),"")</f>
        <v/>
      </c>
      <c r="AC346" s="887" t="e">
        <f ca="1"/>
        <v>#NAME?</v>
      </c>
    </row>
    <row r="347" spans="1:29" x14ac:dyDescent="0.2">
      <c r="A347" s="874" t="s">
        <v>410</v>
      </c>
      <c r="B347" s="876" t="s">
        <v>52</v>
      </c>
      <c r="C347" s="875" t="s">
        <v>36</v>
      </c>
      <c r="D347" s="875" t="s">
        <v>323</v>
      </c>
      <c r="E347" s="875" t="s">
        <v>322</v>
      </c>
      <c r="F347" s="875" t="s">
        <v>221</v>
      </c>
      <c r="G347" s="875" t="str">
        <f t="shared" si="40"/>
        <v>Euribor6M</v>
      </c>
      <c r="H347" s="874" t="str">
        <f t="shared" si="41"/>
        <v>EUR20F4Y_Quote</v>
      </c>
      <c r="I347" s="877">
        <v>0</v>
      </c>
      <c r="J347" s="43"/>
      <c r="L347" s="895" t="str">
        <f t="shared" si="38"/>
        <v>FwdSw</v>
      </c>
      <c r="M347" s="891" t="str">
        <f t="shared" si="39"/>
        <v>--</v>
      </c>
      <c r="N347" s="894" t="str">
        <f ca="1">IFERROR(_xll.qlRateHelperQuoteName(M347,Trigger),"--")</f>
        <v>--</v>
      </c>
      <c r="O347" s="893" t="str">
        <f ca="1">IFERROR(_xll.qlRateHelperQuoteValue($M347,Trigger),"--")</f>
        <v>--</v>
      </c>
      <c r="P347" s="970" t="b">
        <v>0</v>
      </c>
      <c r="Q347" s="891">
        <v>50</v>
      </c>
      <c r="R347" s="891">
        <v>1</v>
      </c>
      <c r="S347" s="890" t="str">
        <f ca="1">IFERROR(_xll.qlRateHelperEarliestDate(M347,Trigger),"--")</f>
        <v>--</v>
      </c>
      <c r="T347" s="890" t="str">
        <f ca="1">IFERROR(_xll.qlRateHelperPillarDate(M347,Trigger),"--")</f>
        <v>--</v>
      </c>
      <c r="V347" s="4" t="str">
        <f t="shared" ca="1" si="37"/>
        <v/>
      </c>
      <c r="W347" s="4" t="e">
        <f ca="1"/>
        <v>#NAME?</v>
      </c>
      <c r="X347" s="4" t="str">
        <f ca="1">IFERROR(_xll.qlRateHelperQuoteName(W347,Trigger),"")</f>
        <v/>
      </c>
      <c r="Y347" s="889" t="str">
        <f ca="1">IFERROR(_xll.qlRateHelperRate(W347,Trigger),"")</f>
        <v/>
      </c>
      <c r="Z347" s="888" t="str">
        <f ca="1">IF(ISERROR(_xll.qlSwapRateHelperSpread($W347)),IF(ISERROR(_xll.qlFuturesRateHelperConvexityAdjustment($W347)),"",_xll.qlFuturesRateHelperConvexityAdjustment($W347)),_xll.qlSwapRateHelperSpread($W347))</f>
        <v/>
      </c>
      <c r="AA347" s="5" t="str">
        <f ca="1">IFERROR(_xll.qlRateHelperEarliestDate(W347,Trigger),"")</f>
        <v/>
      </c>
      <c r="AB347" s="5" t="str">
        <f ca="1">IFERROR(_xll.qlRateHelperPillarDate(W347,Trigger),"")</f>
        <v/>
      </c>
      <c r="AC347" s="887" t="e">
        <f ca="1"/>
        <v>#NAME?</v>
      </c>
    </row>
    <row r="348" spans="1:29" x14ac:dyDescent="0.2">
      <c r="A348" s="874" t="s">
        <v>410</v>
      </c>
      <c r="B348" s="876" t="s">
        <v>51</v>
      </c>
      <c r="C348" s="875" t="s">
        <v>36</v>
      </c>
      <c r="D348" s="875" t="s">
        <v>323</v>
      </c>
      <c r="E348" s="875" t="s">
        <v>322</v>
      </c>
      <c r="F348" s="875" t="s">
        <v>221</v>
      </c>
      <c r="G348" s="875" t="str">
        <f t="shared" si="40"/>
        <v>Euribor6M</v>
      </c>
      <c r="H348" s="874" t="str">
        <f t="shared" si="41"/>
        <v>EUR20F5Y_Quote</v>
      </c>
      <c r="I348" s="877">
        <v>0</v>
      </c>
      <c r="J348" s="43"/>
      <c r="L348" s="895" t="str">
        <f t="shared" si="38"/>
        <v>FwdSw</v>
      </c>
      <c r="M348" s="891" t="str">
        <f t="shared" si="39"/>
        <v>--</v>
      </c>
      <c r="N348" s="894" t="str">
        <f ca="1">IFERROR(_xll.qlRateHelperQuoteName(M348,Trigger),"--")</f>
        <v>--</v>
      </c>
      <c r="O348" s="893" t="str">
        <f ca="1">IFERROR(_xll.qlRateHelperQuoteValue($M348,Trigger),"--")</f>
        <v>--</v>
      </c>
      <c r="P348" s="970" t="b">
        <v>0</v>
      </c>
      <c r="Q348" s="891">
        <v>50</v>
      </c>
      <c r="R348" s="891">
        <v>1</v>
      </c>
      <c r="S348" s="890" t="str">
        <f ca="1">IFERROR(_xll.qlRateHelperEarliestDate(M348,Trigger),"--")</f>
        <v>--</v>
      </c>
      <c r="T348" s="890" t="str">
        <f ca="1">IFERROR(_xll.qlRateHelperPillarDate(M348,Trigger),"--")</f>
        <v>--</v>
      </c>
      <c r="V348" s="4" t="str">
        <f t="shared" ca="1" si="37"/>
        <v/>
      </c>
      <c r="W348" s="4" t="e">
        <f ca="1"/>
        <v>#NAME?</v>
      </c>
      <c r="X348" s="4" t="str">
        <f ca="1">IFERROR(_xll.qlRateHelperQuoteName(W348,Trigger),"")</f>
        <v/>
      </c>
      <c r="Y348" s="889" t="str">
        <f ca="1">IFERROR(_xll.qlRateHelperRate(W348,Trigger),"")</f>
        <v/>
      </c>
      <c r="Z348" s="888" t="str">
        <f ca="1">IF(ISERROR(_xll.qlSwapRateHelperSpread($W348)),IF(ISERROR(_xll.qlFuturesRateHelperConvexityAdjustment($W348)),"",_xll.qlFuturesRateHelperConvexityAdjustment($W348)),_xll.qlSwapRateHelperSpread($W348))</f>
        <v/>
      </c>
      <c r="AA348" s="5" t="str">
        <f ca="1">IFERROR(_xll.qlRateHelperEarliestDate(W348,Trigger),"")</f>
        <v/>
      </c>
      <c r="AB348" s="5" t="str">
        <f ca="1">IFERROR(_xll.qlRateHelperPillarDate(W348,Trigger),"")</f>
        <v/>
      </c>
      <c r="AC348" s="887" t="e">
        <f ca="1"/>
        <v>#NAME?</v>
      </c>
    </row>
    <row r="349" spans="1:29" x14ac:dyDescent="0.2">
      <c r="A349" s="874" t="s">
        <v>410</v>
      </c>
      <c r="B349" s="876" t="s">
        <v>50</v>
      </c>
      <c r="C349" s="875" t="s">
        <v>36</v>
      </c>
      <c r="D349" s="875" t="s">
        <v>323</v>
      </c>
      <c r="E349" s="875" t="s">
        <v>322</v>
      </c>
      <c r="F349" s="875" t="s">
        <v>221</v>
      </c>
      <c r="G349" s="875" t="str">
        <f t="shared" si="40"/>
        <v>Euribor6M</v>
      </c>
      <c r="H349" s="874" t="str">
        <f t="shared" si="41"/>
        <v>EUR20F6Y_Quote</v>
      </c>
      <c r="I349" s="877">
        <v>0</v>
      </c>
      <c r="J349" s="43"/>
      <c r="L349" s="895" t="str">
        <f t="shared" si="38"/>
        <v>FwdSw</v>
      </c>
      <c r="M349" s="891" t="str">
        <f t="shared" si="39"/>
        <v>--</v>
      </c>
      <c r="N349" s="894" t="str">
        <f ca="1">IFERROR(_xll.qlRateHelperQuoteName(M349,Trigger),"--")</f>
        <v>--</v>
      </c>
      <c r="O349" s="893" t="str">
        <f ca="1">IFERROR(_xll.qlRateHelperQuoteValue($M349,Trigger),"--")</f>
        <v>--</v>
      </c>
      <c r="P349" s="970" t="b">
        <v>0</v>
      </c>
      <c r="Q349" s="891">
        <v>50</v>
      </c>
      <c r="R349" s="891">
        <v>1</v>
      </c>
      <c r="S349" s="890" t="str">
        <f ca="1">IFERROR(_xll.qlRateHelperEarliestDate(M349,Trigger),"--")</f>
        <v>--</v>
      </c>
      <c r="T349" s="890" t="str">
        <f ca="1">IFERROR(_xll.qlRateHelperPillarDate(M349,Trigger),"--")</f>
        <v>--</v>
      </c>
      <c r="V349" s="4" t="str">
        <f t="shared" ca="1" si="37"/>
        <v/>
      </c>
      <c r="W349" s="4" t="e">
        <f ca="1"/>
        <v>#NAME?</v>
      </c>
      <c r="X349" s="4" t="str">
        <f ca="1">IFERROR(_xll.qlRateHelperQuoteName(W349,Trigger),"")</f>
        <v/>
      </c>
      <c r="Y349" s="889" t="str">
        <f ca="1">IFERROR(_xll.qlRateHelperRate(W349,Trigger),"")</f>
        <v/>
      </c>
      <c r="Z349" s="888" t="str">
        <f ca="1">IF(ISERROR(_xll.qlSwapRateHelperSpread($W349)),IF(ISERROR(_xll.qlFuturesRateHelperConvexityAdjustment($W349)),"",_xll.qlFuturesRateHelperConvexityAdjustment($W349)),_xll.qlSwapRateHelperSpread($W349))</f>
        <v/>
      </c>
      <c r="AA349" s="5" t="str">
        <f ca="1">IFERROR(_xll.qlRateHelperEarliestDate(W349,Trigger),"")</f>
        <v/>
      </c>
      <c r="AB349" s="5" t="str">
        <f ca="1">IFERROR(_xll.qlRateHelperPillarDate(W349,Trigger),"")</f>
        <v/>
      </c>
      <c r="AC349" s="887" t="e">
        <f ca="1"/>
        <v>#NAME?</v>
      </c>
    </row>
    <row r="350" spans="1:29" x14ac:dyDescent="0.2">
      <c r="A350" s="874" t="s">
        <v>410</v>
      </c>
      <c r="B350" s="876" t="s">
        <v>49</v>
      </c>
      <c r="C350" s="875" t="s">
        <v>36</v>
      </c>
      <c r="D350" s="875" t="s">
        <v>323</v>
      </c>
      <c r="E350" s="875" t="s">
        <v>322</v>
      </c>
      <c r="F350" s="875" t="s">
        <v>221</v>
      </c>
      <c r="G350" s="875" t="str">
        <f t="shared" si="40"/>
        <v>Euribor6M</v>
      </c>
      <c r="H350" s="874" t="str">
        <f t="shared" si="41"/>
        <v>EUR20F7Y_Quote</v>
      </c>
      <c r="I350" s="877">
        <v>0</v>
      </c>
      <c r="J350" s="43"/>
      <c r="L350" s="895" t="str">
        <f t="shared" si="38"/>
        <v>FwdSw</v>
      </c>
      <c r="M350" s="891" t="str">
        <f t="shared" si="39"/>
        <v>--</v>
      </c>
      <c r="N350" s="894" t="str">
        <f ca="1">IFERROR(_xll.qlRateHelperQuoteName(M350,Trigger),"--")</f>
        <v>--</v>
      </c>
      <c r="O350" s="893" t="str">
        <f ca="1">IFERROR(_xll.qlRateHelperQuoteValue($M350,Trigger),"--")</f>
        <v>--</v>
      </c>
      <c r="P350" s="970" t="b">
        <v>0</v>
      </c>
      <c r="Q350" s="891">
        <v>50</v>
      </c>
      <c r="R350" s="891">
        <v>1</v>
      </c>
      <c r="S350" s="890" t="str">
        <f ca="1">IFERROR(_xll.qlRateHelperEarliestDate(M350,Trigger),"--")</f>
        <v>--</v>
      </c>
      <c r="T350" s="890" t="str">
        <f ca="1">IFERROR(_xll.qlRateHelperPillarDate(M350,Trigger),"--")</f>
        <v>--</v>
      </c>
      <c r="V350" s="4" t="str">
        <f t="shared" ca="1" si="37"/>
        <v/>
      </c>
      <c r="W350" s="4" t="e">
        <f ca="1"/>
        <v>#NAME?</v>
      </c>
      <c r="X350" s="4" t="str">
        <f ca="1">IFERROR(_xll.qlRateHelperQuoteName(W350,Trigger),"")</f>
        <v/>
      </c>
      <c r="Y350" s="889" t="str">
        <f ca="1">IFERROR(_xll.qlRateHelperRate(W350,Trigger),"")</f>
        <v/>
      </c>
      <c r="Z350" s="888" t="str">
        <f ca="1">IF(ISERROR(_xll.qlSwapRateHelperSpread($W350)),IF(ISERROR(_xll.qlFuturesRateHelperConvexityAdjustment($W350)),"",_xll.qlFuturesRateHelperConvexityAdjustment($W350)),_xll.qlSwapRateHelperSpread($W350))</f>
        <v/>
      </c>
      <c r="AA350" s="5" t="str">
        <f ca="1">IFERROR(_xll.qlRateHelperEarliestDate(W350,Trigger),"")</f>
        <v/>
      </c>
      <c r="AB350" s="5" t="str">
        <f ca="1">IFERROR(_xll.qlRateHelperPillarDate(W350,Trigger),"")</f>
        <v/>
      </c>
      <c r="AC350" s="887" t="e">
        <f ca="1"/>
        <v>#NAME?</v>
      </c>
    </row>
    <row r="351" spans="1:29" x14ac:dyDescent="0.2">
      <c r="A351" s="874" t="s">
        <v>410</v>
      </c>
      <c r="B351" s="876" t="s">
        <v>48</v>
      </c>
      <c r="C351" s="875" t="s">
        <v>36</v>
      </c>
      <c r="D351" s="875" t="s">
        <v>323</v>
      </c>
      <c r="E351" s="875" t="s">
        <v>322</v>
      </c>
      <c r="F351" s="875" t="s">
        <v>221</v>
      </c>
      <c r="G351" s="875" t="str">
        <f t="shared" si="40"/>
        <v>Euribor6M</v>
      </c>
      <c r="H351" s="874" t="str">
        <f t="shared" si="41"/>
        <v>EUR20F8Y_Quote</v>
      </c>
      <c r="I351" s="877">
        <v>0</v>
      </c>
      <c r="J351" s="43"/>
      <c r="L351" s="895" t="str">
        <f t="shared" si="38"/>
        <v>FwdSw</v>
      </c>
      <c r="M351" s="891" t="str">
        <f t="shared" si="39"/>
        <v>--</v>
      </c>
      <c r="N351" s="894" t="str">
        <f ca="1">IFERROR(_xll.qlRateHelperQuoteName(M351,Trigger),"--")</f>
        <v>--</v>
      </c>
      <c r="O351" s="893" t="str">
        <f ca="1">IFERROR(_xll.qlRateHelperQuoteValue($M351,Trigger),"--")</f>
        <v>--</v>
      </c>
      <c r="P351" s="970" t="b">
        <v>0</v>
      </c>
      <c r="Q351" s="891">
        <v>50</v>
      </c>
      <c r="R351" s="891">
        <v>1</v>
      </c>
      <c r="S351" s="890" t="str">
        <f ca="1">IFERROR(_xll.qlRateHelperEarliestDate(M351,Trigger),"--")</f>
        <v>--</v>
      </c>
      <c r="T351" s="890" t="str">
        <f ca="1">IFERROR(_xll.qlRateHelperPillarDate(M351,Trigger),"--")</f>
        <v>--</v>
      </c>
      <c r="V351" s="4" t="str">
        <f t="shared" ca="1" si="37"/>
        <v/>
      </c>
      <c r="W351" s="4" t="e">
        <f ca="1"/>
        <v>#NAME?</v>
      </c>
      <c r="X351" s="4" t="str">
        <f ca="1">IFERROR(_xll.qlRateHelperQuoteName(W351,Trigger),"")</f>
        <v/>
      </c>
      <c r="Y351" s="889" t="str">
        <f ca="1">IFERROR(_xll.qlRateHelperRate(W351,Trigger),"")</f>
        <v/>
      </c>
      <c r="Z351" s="888" t="str">
        <f ca="1">IF(ISERROR(_xll.qlSwapRateHelperSpread($W351)),IF(ISERROR(_xll.qlFuturesRateHelperConvexityAdjustment($W351)),"",_xll.qlFuturesRateHelperConvexityAdjustment($W351)),_xll.qlSwapRateHelperSpread($W351))</f>
        <v/>
      </c>
      <c r="AA351" s="5" t="str">
        <f ca="1">IFERROR(_xll.qlRateHelperEarliestDate(W351,Trigger),"")</f>
        <v/>
      </c>
      <c r="AB351" s="5" t="str">
        <f ca="1">IFERROR(_xll.qlRateHelperPillarDate(W351,Trigger),"")</f>
        <v/>
      </c>
      <c r="AC351" s="887" t="e">
        <f ca="1"/>
        <v>#NAME?</v>
      </c>
    </row>
    <row r="352" spans="1:29" x14ac:dyDescent="0.2">
      <c r="A352" s="874" t="s">
        <v>410</v>
      </c>
      <c r="B352" s="876" t="s">
        <v>47</v>
      </c>
      <c r="C352" s="875" t="s">
        <v>36</v>
      </c>
      <c r="D352" s="875" t="s">
        <v>323</v>
      </c>
      <c r="E352" s="875" t="s">
        <v>322</v>
      </c>
      <c r="F352" s="875" t="s">
        <v>221</v>
      </c>
      <c r="G352" s="875" t="str">
        <f t="shared" si="40"/>
        <v>Euribor6M</v>
      </c>
      <c r="H352" s="874" t="str">
        <f t="shared" si="41"/>
        <v>EUR20F9Y_Quote</v>
      </c>
      <c r="I352" s="877">
        <v>0</v>
      </c>
      <c r="J352" s="43"/>
      <c r="L352" s="895" t="str">
        <f t="shared" si="38"/>
        <v>FwdSw</v>
      </c>
      <c r="M352" s="891" t="str">
        <f t="shared" si="39"/>
        <v>--</v>
      </c>
      <c r="N352" s="894" t="str">
        <f ca="1">IFERROR(_xll.qlRateHelperQuoteName(M352,Trigger),"--")</f>
        <v>--</v>
      </c>
      <c r="O352" s="893" t="str">
        <f ca="1">IFERROR(_xll.qlRateHelperQuoteValue($M352,Trigger),"--")</f>
        <v>--</v>
      </c>
      <c r="P352" s="970" t="b">
        <v>0</v>
      </c>
      <c r="Q352" s="891">
        <v>50</v>
      </c>
      <c r="R352" s="891">
        <v>1</v>
      </c>
      <c r="S352" s="890" t="str">
        <f ca="1">IFERROR(_xll.qlRateHelperEarliestDate(M352,Trigger),"--")</f>
        <v>--</v>
      </c>
      <c r="T352" s="890" t="str">
        <f ca="1">IFERROR(_xll.qlRateHelperPillarDate(M352,Trigger),"--")</f>
        <v>--</v>
      </c>
      <c r="V352" s="4" t="str">
        <f t="shared" ca="1" si="37"/>
        <v/>
      </c>
      <c r="W352" s="4" t="e">
        <f ca="1"/>
        <v>#NAME?</v>
      </c>
      <c r="X352" s="4" t="str">
        <f ca="1">IFERROR(_xll.qlRateHelperQuoteName(W352,Trigger),"")</f>
        <v/>
      </c>
      <c r="Y352" s="889" t="str">
        <f ca="1">IFERROR(_xll.qlRateHelperRate(W352,Trigger),"")</f>
        <v/>
      </c>
      <c r="Z352" s="888" t="str">
        <f ca="1">IF(ISERROR(_xll.qlSwapRateHelperSpread($W352)),IF(ISERROR(_xll.qlFuturesRateHelperConvexityAdjustment($W352)),"",_xll.qlFuturesRateHelperConvexityAdjustment($W352)),_xll.qlSwapRateHelperSpread($W352))</f>
        <v/>
      </c>
      <c r="AA352" s="5" t="str">
        <f ca="1">IFERROR(_xll.qlRateHelperEarliestDate(W352,Trigger),"")</f>
        <v/>
      </c>
      <c r="AB352" s="5" t="str">
        <f ca="1">IFERROR(_xll.qlRateHelperPillarDate(W352,Trigger),"")</f>
        <v/>
      </c>
      <c r="AC352" s="887" t="e">
        <f ca="1"/>
        <v>#NAME?</v>
      </c>
    </row>
    <row r="353" spans="1:29" x14ac:dyDescent="0.2">
      <c r="A353" s="874" t="s">
        <v>410</v>
      </c>
      <c r="B353" s="876" t="s">
        <v>46</v>
      </c>
      <c r="C353" s="875" t="s">
        <v>36</v>
      </c>
      <c r="D353" s="875" t="s">
        <v>323</v>
      </c>
      <c r="E353" s="875" t="s">
        <v>322</v>
      </c>
      <c r="F353" s="875" t="s">
        <v>221</v>
      </c>
      <c r="G353" s="875" t="str">
        <f t="shared" si="40"/>
        <v>Euribor6M</v>
      </c>
      <c r="H353" s="874" t="str">
        <f t="shared" si="41"/>
        <v>EUR20F10Y_Quote</v>
      </c>
      <c r="I353" s="877">
        <v>0</v>
      </c>
      <c r="J353" s="43"/>
      <c r="L353" s="895" t="str">
        <f t="shared" si="38"/>
        <v>FwdSw</v>
      </c>
      <c r="M353" s="891" t="str">
        <f t="shared" si="39"/>
        <v>--</v>
      </c>
      <c r="N353" s="894" t="str">
        <f ca="1">IFERROR(_xll.qlRateHelperQuoteName(M353,Trigger),"--")</f>
        <v>--</v>
      </c>
      <c r="O353" s="893" t="str">
        <f ca="1">IFERROR(_xll.qlRateHelperQuoteValue($M353,Trigger),"--")</f>
        <v>--</v>
      </c>
      <c r="P353" s="970" t="b">
        <v>0</v>
      </c>
      <c r="Q353" s="891">
        <v>50</v>
      </c>
      <c r="R353" s="891">
        <v>1</v>
      </c>
      <c r="S353" s="890" t="str">
        <f ca="1">IFERROR(_xll.qlRateHelperEarliestDate(M353,Trigger),"--")</f>
        <v>--</v>
      </c>
      <c r="T353" s="890" t="str">
        <f ca="1">IFERROR(_xll.qlRateHelperPillarDate(M353,Trigger),"--")</f>
        <v>--</v>
      </c>
      <c r="V353" s="4" t="str">
        <f t="shared" ca="1" si="37"/>
        <v/>
      </c>
      <c r="W353" s="4" t="e">
        <f ca="1"/>
        <v>#NAME?</v>
      </c>
      <c r="X353" s="4" t="str">
        <f ca="1">IFERROR(_xll.qlRateHelperQuoteName(W353,Trigger),"")</f>
        <v/>
      </c>
      <c r="Y353" s="889" t="str">
        <f ca="1">IFERROR(_xll.qlRateHelperRate(W353,Trigger),"")</f>
        <v/>
      </c>
      <c r="Z353" s="888" t="str">
        <f ca="1">IF(ISERROR(_xll.qlSwapRateHelperSpread($W353)),IF(ISERROR(_xll.qlFuturesRateHelperConvexityAdjustment($W353)),"",_xll.qlFuturesRateHelperConvexityAdjustment($W353)),_xll.qlSwapRateHelperSpread($W353))</f>
        <v/>
      </c>
      <c r="AA353" s="5" t="str">
        <f ca="1">IFERROR(_xll.qlRateHelperEarliestDate(W353,Trigger),"")</f>
        <v/>
      </c>
      <c r="AB353" s="5" t="str">
        <f ca="1">IFERROR(_xll.qlRateHelperPillarDate(W353,Trigger),"")</f>
        <v/>
      </c>
      <c r="AC353" s="887" t="e">
        <f ca="1"/>
        <v>#NAME?</v>
      </c>
    </row>
    <row r="354" spans="1:29" x14ac:dyDescent="0.2">
      <c r="A354" s="874" t="s">
        <v>410</v>
      </c>
      <c r="B354" s="876" t="s">
        <v>45</v>
      </c>
      <c r="C354" s="875" t="s">
        <v>36</v>
      </c>
      <c r="D354" s="875" t="s">
        <v>323</v>
      </c>
      <c r="E354" s="875" t="s">
        <v>322</v>
      </c>
      <c r="F354" s="875" t="s">
        <v>221</v>
      </c>
      <c r="G354" s="875" t="str">
        <f t="shared" si="40"/>
        <v>Euribor6M</v>
      </c>
      <c r="H354" s="874" t="str">
        <f t="shared" si="41"/>
        <v>EUR20F11Y_Quote</v>
      </c>
      <c r="I354" s="877">
        <v>0</v>
      </c>
      <c r="J354" s="43"/>
      <c r="L354" s="895" t="str">
        <f t="shared" si="38"/>
        <v>FwdSw</v>
      </c>
      <c r="M354" s="891" t="str">
        <f t="shared" si="39"/>
        <v>--</v>
      </c>
      <c r="N354" s="894" t="str">
        <f ca="1">IFERROR(_xll.qlRateHelperQuoteName(M354,Trigger),"--")</f>
        <v>--</v>
      </c>
      <c r="O354" s="893" t="str">
        <f ca="1">IFERROR(_xll.qlRateHelperQuoteValue($M354,Trigger),"--")</f>
        <v>--</v>
      </c>
      <c r="P354" s="970" t="b">
        <v>0</v>
      </c>
      <c r="Q354" s="891">
        <v>50</v>
      </c>
      <c r="R354" s="891">
        <v>1</v>
      </c>
      <c r="S354" s="890" t="str">
        <f ca="1">IFERROR(_xll.qlRateHelperEarliestDate(M354,Trigger),"--")</f>
        <v>--</v>
      </c>
      <c r="T354" s="890" t="str">
        <f ca="1">IFERROR(_xll.qlRateHelperPillarDate(M354,Trigger),"--")</f>
        <v>--</v>
      </c>
      <c r="V354" s="4" t="str">
        <f t="shared" ca="1" si="37"/>
        <v/>
      </c>
      <c r="W354" s="4" t="e">
        <f ca="1"/>
        <v>#NAME?</v>
      </c>
      <c r="X354" s="4" t="str">
        <f ca="1">IFERROR(_xll.qlRateHelperQuoteName(W354,Trigger),"")</f>
        <v/>
      </c>
      <c r="Y354" s="889" t="str">
        <f ca="1">IFERROR(_xll.qlRateHelperRate(W354,Trigger),"")</f>
        <v/>
      </c>
      <c r="Z354" s="888" t="str">
        <f ca="1">IF(ISERROR(_xll.qlSwapRateHelperSpread($W354)),IF(ISERROR(_xll.qlFuturesRateHelperConvexityAdjustment($W354)),"",_xll.qlFuturesRateHelperConvexityAdjustment($W354)),_xll.qlSwapRateHelperSpread($W354))</f>
        <v/>
      </c>
      <c r="AA354" s="5" t="str">
        <f ca="1">IFERROR(_xll.qlRateHelperEarliestDate(W354,Trigger),"")</f>
        <v/>
      </c>
      <c r="AB354" s="5" t="str">
        <f ca="1">IFERROR(_xll.qlRateHelperPillarDate(W354,Trigger),"")</f>
        <v/>
      </c>
      <c r="AC354" s="887" t="e">
        <f ca="1"/>
        <v>#NAME?</v>
      </c>
    </row>
    <row r="355" spans="1:29" x14ac:dyDescent="0.2">
      <c r="A355" s="874" t="s">
        <v>410</v>
      </c>
      <c r="B355" s="876" t="s">
        <v>44</v>
      </c>
      <c r="C355" s="875" t="s">
        <v>36</v>
      </c>
      <c r="D355" s="875" t="s">
        <v>323</v>
      </c>
      <c r="E355" s="875" t="s">
        <v>322</v>
      </c>
      <c r="F355" s="875" t="s">
        <v>221</v>
      </c>
      <c r="G355" s="875" t="str">
        <f t="shared" si="40"/>
        <v>Euribor6M</v>
      </c>
      <c r="H355" s="874" t="str">
        <f t="shared" si="41"/>
        <v>EUR20F12Y_Quote</v>
      </c>
      <c r="I355" s="877">
        <v>0</v>
      </c>
      <c r="J355" s="43"/>
      <c r="L355" s="895" t="str">
        <f t="shared" si="38"/>
        <v>FwdSw</v>
      </c>
      <c r="M355" s="891" t="str">
        <f t="shared" si="39"/>
        <v>--</v>
      </c>
      <c r="N355" s="894" t="str">
        <f ca="1">IFERROR(_xll.qlRateHelperQuoteName(M355,Trigger),"--")</f>
        <v>--</v>
      </c>
      <c r="O355" s="893" t="str">
        <f ca="1">IFERROR(_xll.qlRateHelperQuoteValue($M355,Trigger),"--")</f>
        <v>--</v>
      </c>
      <c r="P355" s="970" t="b">
        <v>0</v>
      </c>
      <c r="Q355" s="891">
        <v>50</v>
      </c>
      <c r="R355" s="891">
        <v>1</v>
      </c>
      <c r="S355" s="890" t="str">
        <f ca="1">IFERROR(_xll.qlRateHelperEarliestDate(M355,Trigger),"--")</f>
        <v>--</v>
      </c>
      <c r="T355" s="890" t="str">
        <f ca="1">IFERROR(_xll.qlRateHelperPillarDate(M355,Trigger),"--")</f>
        <v>--</v>
      </c>
      <c r="V355" s="4" t="str">
        <f t="shared" ca="1" si="37"/>
        <v/>
      </c>
      <c r="W355" s="4" t="e">
        <f ca="1"/>
        <v>#NAME?</v>
      </c>
      <c r="X355" s="4" t="str">
        <f ca="1">IFERROR(_xll.qlRateHelperQuoteName(W355,Trigger),"")</f>
        <v/>
      </c>
      <c r="Y355" s="889" t="str">
        <f ca="1">IFERROR(_xll.qlRateHelperRate(W355,Trigger),"")</f>
        <v/>
      </c>
      <c r="Z355" s="888" t="str">
        <f ca="1">IF(ISERROR(_xll.qlSwapRateHelperSpread($W355)),IF(ISERROR(_xll.qlFuturesRateHelperConvexityAdjustment($W355)),"",_xll.qlFuturesRateHelperConvexityAdjustment($W355)),_xll.qlSwapRateHelperSpread($W355))</f>
        <v/>
      </c>
      <c r="AA355" s="5" t="str">
        <f ca="1">IFERROR(_xll.qlRateHelperEarliestDate(W355,Trigger),"")</f>
        <v/>
      </c>
      <c r="AB355" s="5" t="str">
        <f ca="1">IFERROR(_xll.qlRateHelperPillarDate(W355,Trigger),"")</f>
        <v/>
      </c>
      <c r="AC355" s="887" t="e">
        <f ca="1"/>
        <v>#NAME?</v>
      </c>
    </row>
    <row r="356" spans="1:29" x14ac:dyDescent="0.2">
      <c r="A356" s="874" t="s">
        <v>410</v>
      </c>
      <c r="B356" s="876" t="s">
        <v>43</v>
      </c>
      <c r="C356" s="875" t="s">
        <v>36</v>
      </c>
      <c r="D356" s="875" t="s">
        <v>323</v>
      </c>
      <c r="E356" s="875" t="s">
        <v>322</v>
      </c>
      <c r="F356" s="875" t="s">
        <v>221</v>
      </c>
      <c r="G356" s="875" t="str">
        <f t="shared" si="40"/>
        <v>Euribor6M</v>
      </c>
      <c r="H356" s="874" t="str">
        <f t="shared" si="41"/>
        <v>EUR20F13Y_Quote</v>
      </c>
      <c r="I356" s="877">
        <v>0</v>
      </c>
      <c r="J356" s="43"/>
      <c r="L356" s="895" t="str">
        <f t="shared" si="38"/>
        <v>FwdSw</v>
      </c>
      <c r="M356" s="891" t="str">
        <f t="shared" si="39"/>
        <v>--</v>
      </c>
      <c r="N356" s="894" t="str">
        <f ca="1">IFERROR(_xll.qlRateHelperQuoteName(M356,Trigger),"--")</f>
        <v>--</v>
      </c>
      <c r="O356" s="893" t="str">
        <f ca="1">IFERROR(_xll.qlRateHelperQuoteValue($M356,Trigger),"--")</f>
        <v>--</v>
      </c>
      <c r="P356" s="970" t="b">
        <v>0</v>
      </c>
      <c r="Q356" s="891">
        <v>50</v>
      </c>
      <c r="R356" s="891">
        <v>1</v>
      </c>
      <c r="S356" s="890" t="str">
        <f ca="1">IFERROR(_xll.qlRateHelperEarliestDate(M356,Trigger),"--")</f>
        <v>--</v>
      </c>
      <c r="T356" s="890" t="str">
        <f ca="1">IFERROR(_xll.qlRateHelperPillarDate(M356,Trigger),"--")</f>
        <v>--</v>
      </c>
      <c r="V356" s="4" t="str">
        <f t="shared" ca="1" si="37"/>
        <v/>
      </c>
      <c r="W356" s="4" t="e">
        <f ca="1"/>
        <v>#NAME?</v>
      </c>
      <c r="X356" s="4" t="str">
        <f ca="1">IFERROR(_xll.qlRateHelperQuoteName(W356,Trigger),"")</f>
        <v/>
      </c>
      <c r="Y356" s="889" t="str">
        <f ca="1">IFERROR(_xll.qlRateHelperRate(W356,Trigger),"")</f>
        <v/>
      </c>
      <c r="Z356" s="888" t="str">
        <f ca="1">IF(ISERROR(_xll.qlSwapRateHelperSpread($W356)),IF(ISERROR(_xll.qlFuturesRateHelperConvexityAdjustment($W356)),"",_xll.qlFuturesRateHelperConvexityAdjustment($W356)),_xll.qlSwapRateHelperSpread($W356))</f>
        <v/>
      </c>
      <c r="AA356" s="5" t="str">
        <f ca="1">IFERROR(_xll.qlRateHelperEarliestDate(W356,Trigger),"")</f>
        <v/>
      </c>
      <c r="AB356" s="5" t="str">
        <f ca="1">IFERROR(_xll.qlRateHelperPillarDate(W356,Trigger),"")</f>
        <v/>
      </c>
      <c r="AC356" s="887" t="e">
        <f ca="1"/>
        <v>#NAME?</v>
      </c>
    </row>
    <row r="357" spans="1:29" x14ac:dyDescent="0.2">
      <c r="A357" s="874" t="s">
        <v>410</v>
      </c>
      <c r="B357" s="876" t="s">
        <v>42</v>
      </c>
      <c r="C357" s="875" t="s">
        <v>36</v>
      </c>
      <c r="D357" s="875" t="s">
        <v>323</v>
      </c>
      <c r="E357" s="875" t="s">
        <v>322</v>
      </c>
      <c r="F357" s="875" t="s">
        <v>221</v>
      </c>
      <c r="G357" s="875" t="str">
        <f t="shared" si="40"/>
        <v>Euribor6M</v>
      </c>
      <c r="H357" s="874" t="str">
        <f t="shared" si="41"/>
        <v>EUR20F14Y_Quote</v>
      </c>
      <c r="I357" s="877">
        <v>0</v>
      </c>
      <c r="J357" s="43"/>
      <c r="L357" s="895" t="str">
        <f t="shared" si="38"/>
        <v>FwdSw</v>
      </c>
      <c r="M357" s="891" t="str">
        <f t="shared" si="39"/>
        <v>--</v>
      </c>
      <c r="N357" s="894" t="str">
        <f ca="1">IFERROR(_xll.qlRateHelperQuoteName(M357,Trigger),"--")</f>
        <v>--</v>
      </c>
      <c r="O357" s="893" t="str">
        <f ca="1">IFERROR(_xll.qlRateHelperQuoteValue($M357,Trigger),"--")</f>
        <v>--</v>
      </c>
      <c r="P357" s="970" t="b">
        <v>0</v>
      </c>
      <c r="Q357" s="891">
        <v>50</v>
      </c>
      <c r="R357" s="891">
        <v>1</v>
      </c>
      <c r="S357" s="890" t="str">
        <f ca="1">IFERROR(_xll.qlRateHelperEarliestDate(M357,Trigger),"--")</f>
        <v>--</v>
      </c>
      <c r="T357" s="890" t="str">
        <f ca="1">IFERROR(_xll.qlRateHelperPillarDate(M357,Trigger),"--")</f>
        <v>--</v>
      </c>
      <c r="V357" s="4" t="str">
        <f t="shared" ca="1" si="37"/>
        <v/>
      </c>
      <c r="W357" s="4" t="e">
        <f ca="1"/>
        <v>#NAME?</v>
      </c>
      <c r="X357" s="4" t="str">
        <f ca="1">IFERROR(_xll.qlRateHelperQuoteName(W357,Trigger),"")</f>
        <v/>
      </c>
      <c r="Y357" s="889" t="str">
        <f ca="1">IFERROR(_xll.qlRateHelperRate(W357,Trigger),"")</f>
        <v/>
      </c>
      <c r="Z357" s="888" t="str">
        <f ca="1">IF(ISERROR(_xll.qlSwapRateHelperSpread($W357)),IF(ISERROR(_xll.qlFuturesRateHelperConvexityAdjustment($W357)),"",_xll.qlFuturesRateHelperConvexityAdjustment($W357)),_xll.qlSwapRateHelperSpread($W357))</f>
        <v/>
      </c>
      <c r="AA357" s="5" t="str">
        <f ca="1">IFERROR(_xll.qlRateHelperEarliestDate(W357,Trigger),"")</f>
        <v/>
      </c>
      <c r="AB357" s="5" t="str">
        <f ca="1">IFERROR(_xll.qlRateHelperPillarDate(W357,Trigger),"")</f>
        <v/>
      </c>
      <c r="AC357" s="887" t="e">
        <f ca="1"/>
        <v>#NAME?</v>
      </c>
    </row>
    <row r="358" spans="1:29" x14ac:dyDescent="0.2">
      <c r="A358" s="874" t="s">
        <v>410</v>
      </c>
      <c r="B358" s="876" t="s">
        <v>41</v>
      </c>
      <c r="C358" s="875" t="s">
        <v>36</v>
      </c>
      <c r="D358" s="875" t="s">
        <v>323</v>
      </c>
      <c r="E358" s="875" t="s">
        <v>322</v>
      </c>
      <c r="F358" s="875" t="s">
        <v>221</v>
      </c>
      <c r="G358" s="875" t="str">
        <f t="shared" si="40"/>
        <v>Euribor6M</v>
      </c>
      <c r="H358" s="874" t="str">
        <f t="shared" si="41"/>
        <v>EUR20F15Y_Quote</v>
      </c>
      <c r="I358" s="877">
        <v>0</v>
      </c>
      <c r="J358" s="43"/>
      <c r="L358" s="895" t="str">
        <f t="shared" si="38"/>
        <v>FwdSw</v>
      </c>
      <c r="M358" s="891" t="str">
        <f t="shared" si="39"/>
        <v>--</v>
      </c>
      <c r="N358" s="894" t="str">
        <f ca="1">IFERROR(_xll.qlRateHelperQuoteName(M358,Trigger),"--")</f>
        <v>--</v>
      </c>
      <c r="O358" s="893" t="str">
        <f ca="1">IFERROR(_xll.qlRateHelperQuoteValue($M358,Trigger),"--")</f>
        <v>--</v>
      </c>
      <c r="P358" s="970" t="b">
        <v>0</v>
      </c>
      <c r="Q358" s="891">
        <v>50</v>
      </c>
      <c r="R358" s="891">
        <v>1</v>
      </c>
      <c r="S358" s="890" t="str">
        <f ca="1">IFERROR(_xll.qlRateHelperEarliestDate(M358,Trigger),"--")</f>
        <v>--</v>
      </c>
      <c r="T358" s="890" t="str">
        <f ca="1">IFERROR(_xll.qlRateHelperPillarDate(M358,Trigger),"--")</f>
        <v>--</v>
      </c>
      <c r="V358" s="4" t="str">
        <f t="shared" ca="1" si="37"/>
        <v/>
      </c>
      <c r="W358" s="4" t="e">
        <f ca="1"/>
        <v>#NAME?</v>
      </c>
      <c r="X358" s="4" t="str">
        <f ca="1">IFERROR(_xll.qlRateHelperQuoteName(W358,Trigger),"")</f>
        <v/>
      </c>
      <c r="Y358" s="889" t="str">
        <f ca="1">IFERROR(_xll.qlRateHelperRate(W358,Trigger),"")</f>
        <v/>
      </c>
      <c r="Z358" s="888" t="str">
        <f ca="1">IF(ISERROR(_xll.qlSwapRateHelperSpread($W358)),IF(ISERROR(_xll.qlFuturesRateHelperConvexityAdjustment($W358)),"",_xll.qlFuturesRateHelperConvexityAdjustment($W358)),_xll.qlSwapRateHelperSpread($W358))</f>
        <v/>
      </c>
      <c r="AA358" s="5" t="str">
        <f ca="1">IFERROR(_xll.qlRateHelperEarliestDate(W358,Trigger),"")</f>
        <v/>
      </c>
      <c r="AB358" s="5" t="str">
        <f ca="1">IFERROR(_xll.qlRateHelperPillarDate(W358,Trigger),"")</f>
        <v/>
      </c>
      <c r="AC358" s="887" t="e">
        <f ca="1"/>
        <v>#NAME?</v>
      </c>
    </row>
    <row r="359" spans="1:29" x14ac:dyDescent="0.2">
      <c r="A359" s="874" t="s">
        <v>410</v>
      </c>
      <c r="B359" s="876" t="s">
        <v>36</v>
      </c>
      <c r="C359" s="875" t="s">
        <v>36</v>
      </c>
      <c r="D359" s="875" t="s">
        <v>323</v>
      </c>
      <c r="E359" s="875" t="s">
        <v>322</v>
      </c>
      <c r="F359" s="875" t="s">
        <v>221</v>
      </c>
      <c r="G359" s="875" t="str">
        <f t="shared" si="40"/>
        <v>Euribor6M</v>
      </c>
      <c r="H359" s="874" t="str">
        <f t="shared" si="41"/>
        <v>EUR20F20Y_Quote</v>
      </c>
      <c r="I359" s="877">
        <v>0</v>
      </c>
      <c r="J359" s="43"/>
      <c r="L359" s="895" t="str">
        <f t="shared" si="38"/>
        <v>FwdSw</v>
      </c>
      <c r="M359" s="891" t="str">
        <f t="shared" si="39"/>
        <v>--</v>
      </c>
      <c r="N359" s="894" t="str">
        <f ca="1">IFERROR(_xll.qlRateHelperQuoteName(M359,Trigger),"--")</f>
        <v>--</v>
      </c>
      <c r="O359" s="893" t="str">
        <f ca="1">IFERROR(_xll.qlRateHelperQuoteValue($M359,Trigger),"--")</f>
        <v>--</v>
      </c>
      <c r="P359" s="970" t="b">
        <v>0</v>
      </c>
      <c r="Q359" s="891">
        <v>50</v>
      </c>
      <c r="R359" s="891">
        <v>1</v>
      </c>
      <c r="S359" s="890" t="str">
        <f ca="1">IFERROR(_xll.qlRateHelperEarliestDate(M359,Trigger),"--")</f>
        <v>--</v>
      </c>
      <c r="T359" s="890" t="str">
        <f ca="1">IFERROR(_xll.qlRateHelperPillarDate(M359,Trigger),"--")</f>
        <v>--</v>
      </c>
      <c r="V359" s="4" t="str">
        <f t="shared" ca="1" si="37"/>
        <v/>
      </c>
      <c r="W359" s="4" t="e">
        <f ca="1"/>
        <v>#NAME?</v>
      </c>
      <c r="X359" s="4" t="str">
        <f ca="1">IFERROR(_xll.qlRateHelperQuoteName(W359,Trigger),"")</f>
        <v/>
      </c>
      <c r="Y359" s="889" t="str">
        <f ca="1">IFERROR(_xll.qlRateHelperRate(W359,Trigger),"")</f>
        <v/>
      </c>
      <c r="Z359" s="888" t="str">
        <f ca="1">IF(ISERROR(_xll.qlSwapRateHelperSpread($W359)),IF(ISERROR(_xll.qlFuturesRateHelperConvexityAdjustment($W359)),"",_xll.qlFuturesRateHelperConvexityAdjustment($W359)),_xll.qlSwapRateHelperSpread($W359))</f>
        <v/>
      </c>
      <c r="AA359" s="5" t="str">
        <f ca="1">IFERROR(_xll.qlRateHelperEarliestDate(W359,Trigger),"")</f>
        <v/>
      </c>
      <c r="AB359" s="5" t="str">
        <f ca="1">IFERROR(_xll.qlRateHelperPillarDate(W359,Trigger),"")</f>
        <v/>
      </c>
      <c r="AC359" s="887" t="e">
        <f ca="1"/>
        <v>#NAME?</v>
      </c>
    </row>
    <row r="360" spans="1:29" x14ac:dyDescent="0.2">
      <c r="A360" s="874" t="s">
        <v>410</v>
      </c>
      <c r="B360" s="876" t="s">
        <v>31</v>
      </c>
      <c r="C360" s="875" t="s">
        <v>36</v>
      </c>
      <c r="D360" s="875" t="s">
        <v>323</v>
      </c>
      <c r="E360" s="875" t="s">
        <v>322</v>
      </c>
      <c r="F360" s="875" t="s">
        <v>221</v>
      </c>
      <c r="G360" s="875" t="str">
        <f t="shared" si="40"/>
        <v>Euribor6M</v>
      </c>
      <c r="H360" s="874" t="str">
        <f t="shared" si="41"/>
        <v>EUR20F25Y_Quote</v>
      </c>
      <c r="I360" s="877">
        <v>0</v>
      </c>
      <c r="J360" s="43"/>
      <c r="L360" s="895" t="str">
        <f t="shared" si="38"/>
        <v>FwdSw</v>
      </c>
      <c r="M360" s="891" t="str">
        <f t="shared" si="39"/>
        <v>--</v>
      </c>
      <c r="N360" s="894" t="str">
        <f ca="1">IFERROR(_xll.qlRateHelperQuoteName(M360,Trigger),"--")</f>
        <v>--</v>
      </c>
      <c r="O360" s="893" t="str">
        <f ca="1">IFERROR(_xll.qlRateHelperQuoteValue($M360,Trigger),"--")</f>
        <v>--</v>
      </c>
      <c r="P360" s="970" t="b">
        <v>0</v>
      </c>
      <c r="Q360" s="891">
        <v>50</v>
      </c>
      <c r="R360" s="891">
        <v>1</v>
      </c>
      <c r="S360" s="890" t="str">
        <f ca="1">IFERROR(_xll.qlRateHelperEarliestDate(M360,Trigger),"--")</f>
        <v>--</v>
      </c>
      <c r="T360" s="890" t="str">
        <f ca="1">IFERROR(_xll.qlRateHelperPillarDate(M360,Trigger),"--")</f>
        <v>--</v>
      </c>
      <c r="V360" s="4" t="str">
        <f t="shared" ca="1" si="37"/>
        <v/>
      </c>
      <c r="W360" s="4" t="e">
        <f ca="1"/>
        <v>#NAME?</v>
      </c>
      <c r="X360" s="4" t="str">
        <f ca="1">IFERROR(_xll.qlRateHelperQuoteName(W360,Trigger),"")</f>
        <v/>
      </c>
      <c r="Y360" s="889" t="str">
        <f ca="1">IFERROR(_xll.qlRateHelperRate(W360,Trigger),"")</f>
        <v/>
      </c>
      <c r="Z360" s="888" t="str">
        <f ca="1">IF(ISERROR(_xll.qlSwapRateHelperSpread($W360)),IF(ISERROR(_xll.qlFuturesRateHelperConvexityAdjustment($W360)),"",_xll.qlFuturesRateHelperConvexityAdjustment($W360)),_xll.qlSwapRateHelperSpread($W360))</f>
        <v/>
      </c>
      <c r="AA360" s="5" t="str">
        <f ca="1">IFERROR(_xll.qlRateHelperEarliestDate(W360,Trigger),"")</f>
        <v/>
      </c>
      <c r="AB360" s="5" t="str">
        <f ca="1">IFERROR(_xll.qlRateHelperPillarDate(W360,Trigger),"")</f>
        <v/>
      </c>
      <c r="AC360" s="887" t="e">
        <f ca="1"/>
        <v>#NAME?</v>
      </c>
    </row>
    <row r="361" spans="1:29" x14ac:dyDescent="0.2">
      <c r="A361" s="870" t="s">
        <v>410</v>
      </c>
      <c r="B361" s="872" t="s">
        <v>26</v>
      </c>
      <c r="C361" s="871" t="s">
        <v>36</v>
      </c>
      <c r="D361" s="871" t="s">
        <v>323</v>
      </c>
      <c r="E361" s="871" t="s">
        <v>322</v>
      </c>
      <c r="F361" s="871" t="s">
        <v>221</v>
      </c>
      <c r="G361" s="871" t="str">
        <f t="shared" si="40"/>
        <v>Euribor6M</v>
      </c>
      <c r="H361" s="870" t="str">
        <f t="shared" si="41"/>
        <v>EUR20F30Y_Quote</v>
      </c>
      <c r="I361" s="985">
        <v>0</v>
      </c>
      <c r="J361" s="38"/>
      <c r="L361" s="895" t="str">
        <f t="shared" si="38"/>
        <v>FwdSw</v>
      </c>
      <c r="M361" s="891" t="str">
        <f t="shared" si="39"/>
        <v>--</v>
      </c>
      <c r="N361" s="894" t="str">
        <f ca="1">IFERROR(_xll.qlRateHelperQuoteName(M361,Trigger),"--")</f>
        <v>--</v>
      </c>
      <c r="O361" s="893" t="str">
        <f ca="1">IFERROR(_xll.qlRateHelperQuoteValue($M361,Trigger),"--")</f>
        <v>--</v>
      </c>
      <c r="P361" s="970" t="b">
        <v>0</v>
      </c>
      <c r="Q361" s="891">
        <v>50</v>
      </c>
      <c r="R361" s="891">
        <v>1</v>
      </c>
      <c r="S361" s="890" t="str">
        <f ca="1">IFERROR(_xll.qlRateHelperEarliestDate(M361,Trigger),"--")</f>
        <v>--</v>
      </c>
      <c r="T361" s="890" t="str">
        <f ca="1">IFERROR(_xll.qlRateHelperPillarDate(M361,Trigger),"--")</f>
        <v>--</v>
      </c>
      <c r="V361" s="4" t="str">
        <f t="shared" ca="1" si="37"/>
        <v/>
      </c>
      <c r="W361" s="4" t="e">
        <f ca="1"/>
        <v>#NAME?</v>
      </c>
      <c r="X361" s="4" t="str">
        <f ca="1">IFERROR(_xll.qlRateHelperQuoteName(W361,Trigger),"")</f>
        <v/>
      </c>
      <c r="Y361" s="889" t="str">
        <f ca="1">IFERROR(_xll.qlRateHelperRate(W361,Trigger),"")</f>
        <v/>
      </c>
      <c r="Z361" s="888" t="str">
        <f ca="1">IF(ISERROR(_xll.qlSwapRateHelperSpread($W361)),IF(ISERROR(_xll.qlFuturesRateHelperConvexityAdjustment($W361)),"",_xll.qlFuturesRateHelperConvexityAdjustment($W361)),_xll.qlSwapRateHelperSpread($W361))</f>
        <v/>
      </c>
      <c r="AA361" s="5" t="str">
        <f ca="1">IFERROR(_xll.qlRateHelperEarliestDate(W361,Trigger),"")</f>
        <v/>
      </c>
      <c r="AB361" s="5" t="str">
        <f ca="1">IFERROR(_xll.qlRateHelperPillarDate(W361,Trigger),"")</f>
        <v/>
      </c>
      <c r="AC361" s="887" t="e">
        <f ca="1"/>
        <v>#NAME?</v>
      </c>
    </row>
    <row r="362" spans="1:29" x14ac:dyDescent="0.2">
      <c r="A362" s="874" t="s">
        <v>410</v>
      </c>
      <c r="B362" s="876" t="s">
        <v>58</v>
      </c>
      <c r="C362" s="875" t="s">
        <v>31</v>
      </c>
      <c r="D362" s="875" t="s">
        <v>323</v>
      </c>
      <c r="E362" s="875" t="s">
        <v>322</v>
      </c>
      <c r="F362" s="875" t="s">
        <v>221</v>
      </c>
      <c r="G362" s="875" t="str">
        <f t="shared" si="40"/>
        <v>Euribor6M</v>
      </c>
      <c r="H362" s="874" t="str">
        <f t="shared" si="41"/>
        <v>EUR25F1Y_Quote</v>
      </c>
      <c r="I362" s="877">
        <v>0</v>
      </c>
      <c r="J362" s="43"/>
      <c r="L362" s="895" t="str">
        <f t="shared" si="38"/>
        <v>FwdSw</v>
      </c>
      <c r="M362" s="891" t="str">
        <f t="shared" si="39"/>
        <v>--</v>
      </c>
      <c r="N362" s="894" t="str">
        <f ca="1">IFERROR(_xll.qlRateHelperQuoteName(M362,Trigger),"--")</f>
        <v>--</v>
      </c>
      <c r="O362" s="893" t="str">
        <f ca="1">IFERROR(_xll.qlRateHelperQuoteValue($M362,Trigger),"--")</f>
        <v>--</v>
      </c>
      <c r="P362" s="970" t="b">
        <v>0</v>
      </c>
      <c r="Q362" s="891">
        <v>50</v>
      </c>
      <c r="R362" s="891">
        <v>1</v>
      </c>
      <c r="S362" s="890" t="str">
        <f ca="1">IFERROR(_xll.qlRateHelperEarliestDate(M362,Trigger),"--")</f>
        <v>--</v>
      </c>
      <c r="T362" s="890" t="str">
        <f ca="1">IFERROR(_xll.qlRateHelperPillarDate(M362,Trigger),"--")</f>
        <v>--</v>
      </c>
      <c r="V362" s="4" t="str">
        <f t="shared" ca="1" si="37"/>
        <v/>
      </c>
      <c r="W362" s="4" t="e">
        <f ca="1"/>
        <v>#NAME?</v>
      </c>
      <c r="X362" s="4" t="str">
        <f ca="1">IFERROR(_xll.qlRateHelperQuoteName(W362,Trigger),"")</f>
        <v/>
      </c>
      <c r="Y362" s="889" t="str">
        <f ca="1">IFERROR(_xll.qlRateHelperRate(W362,Trigger),"")</f>
        <v/>
      </c>
      <c r="Z362" s="888" t="str">
        <f ca="1">IF(ISERROR(_xll.qlSwapRateHelperSpread($W362)),IF(ISERROR(_xll.qlFuturesRateHelperConvexityAdjustment($W362)),"",_xll.qlFuturesRateHelperConvexityAdjustment($W362)),_xll.qlSwapRateHelperSpread($W362))</f>
        <v/>
      </c>
      <c r="AA362" s="5" t="str">
        <f ca="1">IFERROR(_xll.qlRateHelperEarliestDate(W362,Trigger),"")</f>
        <v/>
      </c>
      <c r="AB362" s="5" t="str">
        <f ca="1">IFERROR(_xll.qlRateHelperPillarDate(W362,Trigger),"")</f>
        <v/>
      </c>
      <c r="AC362" s="887" t="e">
        <f ca="1"/>
        <v>#NAME?</v>
      </c>
    </row>
    <row r="363" spans="1:29" x14ac:dyDescent="0.2">
      <c r="A363" s="874" t="s">
        <v>410</v>
      </c>
      <c r="B363" s="876" t="s">
        <v>54</v>
      </c>
      <c r="C363" s="875" t="s">
        <v>31</v>
      </c>
      <c r="D363" s="875" t="s">
        <v>323</v>
      </c>
      <c r="E363" s="875" t="s">
        <v>322</v>
      </c>
      <c r="F363" s="875" t="s">
        <v>221</v>
      </c>
      <c r="G363" s="875" t="str">
        <f t="shared" si="40"/>
        <v>Euribor6M</v>
      </c>
      <c r="H363" s="874" t="str">
        <f t="shared" si="41"/>
        <v>EUR25F2Y_Quote</v>
      </c>
      <c r="I363" s="877">
        <v>0</v>
      </c>
      <c r="J363" s="43"/>
      <c r="L363" s="895" t="str">
        <f t="shared" si="38"/>
        <v>FwdSw</v>
      </c>
      <c r="M363" s="891" t="str">
        <f t="shared" si="39"/>
        <v>--</v>
      </c>
      <c r="N363" s="894" t="str">
        <f ca="1">IFERROR(_xll.qlRateHelperQuoteName(M363,Trigger),"--")</f>
        <v>--</v>
      </c>
      <c r="O363" s="893" t="str">
        <f ca="1">IFERROR(_xll.qlRateHelperQuoteValue($M363,Trigger),"--")</f>
        <v>--</v>
      </c>
      <c r="P363" s="970" t="b">
        <v>0</v>
      </c>
      <c r="Q363" s="891">
        <v>50</v>
      </c>
      <c r="R363" s="891">
        <v>1</v>
      </c>
      <c r="S363" s="890" t="str">
        <f ca="1">IFERROR(_xll.qlRateHelperEarliestDate(M363,Trigger),"--")</f>
        <v>--</v>
      </c>
      <c r="T363" s="890" t="str">
        <f ca="1">IFERROR(_xll.qlRateHelperPillarDate(M363,Trigger),"--")</f>
        <v>--</v>
      </c>
      <c r="V363" s="4" t="str">
        <f t="shared" ca="1" si="37"/>
        <v/>
      </c>
      <c r="W363" s="4" t="e">
        <f ca="1"/>
        <v>#NAME?</v>
      </c>
      <c r="X363" s="4" t="str">
        <f ca="1">IFERROR(_xll.qlRateHelperQuoteName(W363,Trigger),"")</f>
        <v/>
      </c>
      <c r="Y363" s="889" t="str">
        <f ca="1">IFERROR(_xll.qlRateHelperRate(W363,Trigger),"")</f>
        <v/>
      </c>
      <c r="Z363" s="888" t="str">
        <f ca="1">IF(ISERROR(_xll.qlSwapRateHelperSpread($W363)),IF(ISERROR(_xll.qlFuturesRateHelperConvexityAdjustment($W363)),"",_xll.qlFuturesRateHelperConvexityAdjustment($W363)),_xll.qlSwapRateHelperSpread($W363))</f>
        <v/>
      </c>
      <c r="AA363" s="5" t="str">
        <f ca="1">IFERROR(_xll.qlRateHelperEarliestDate(W363,Trigger),"")</f>
        <v/>
      </c>
      <c r="AB363" s="5" t="str">
        <f ca="1">IFERROR(_xll.qlRateHelperPillarDate(W363,Trigger),"")</f>
        <v/>
      </c>
      <c r="AC363" s="887" t="e">
        <f ca="1"/>
        <v>#NAME?</v>
      </c>
    </row>
    <row r="364" spans="1:29" x14ac:dyDescent="0.2">
      <c r="A364" s="874" t="s">
        <v>410</v>
      </c>
      <c r="B364" s="876" t="s">
        <v>53</v>
      </c>
      <c r="C364" s="875" t="s">
        <v>31</v>
      </c>
      <c r="D364" s="875" t="s">
        <v>323</v>
      </c>
      <c r="E364" s="875" t="s">
        <v>322</v>
      </c>
      <c r="F364" s="875" t="s">
        <v>221</v>
      </c>
      <c r="G364" s="875" t="str">
        <f t="shared" si="40"/>
        <v>Euribor6M</v>
      </c>
      <c r="H364" s="874" t="str">
        <f t="shared" si="41"/>
        <v>EUR25F3Y_Quote</v>
      </c>
      <c r="I364" s="877">
        <v>0</v>
      </c>
      <c r="J364" s="43"/>
      <c r="L364" s="895" t="str">
        <f t="shared" si="38"/>
        <v>FwdSw</v>
      </c>
      <c r="M364" s="891" t="str">
        <f t="shared" si="39"/>
        <v>--</v>
      </c>
      <c r="N364" s="894" t="str">
        <f ca="1">IFERROR(_xll.qlRateHelperQuoteName(M364,Trigger),"--")</f>
        <v>--</v>
      </c>
      <c r="O364" s="893" t="str">
        <f ca="1">IFERROR(_xll.qlRateHelperQuoteValue($M364,Trigger),"--")</f>
        <v>--</v>
      </c>
      <c r="P364" s="970" t="b">
        <v>0</v>
      </c>
      <c r="Q364" s="891">
        <v>50</v>
      </c>
      <c r="R364" s="891">
        <v>1</v>
      </c>
      <c r="S364" s="890" t="str">
        <f ca="1">IFERROR(_xll.qlRateHelperEarliestDate(M364,Trigger),"--")</f>
        <v>--</v>
      </c>
      <c r="T364" s="890" t="str">
        <f ca="1">IFERROR(_xll.qlRateHelperPillarDate(M364,Trigger),"--")</f>
        <v>--</v>
      </c>
      <c r="V364" s="4" t="str">
        <f t="shared" ca="1" si="37"/>
        <v/>
      </c>
      <c r="W364" s="4" t="e">
        <f ca="1"/>
        <v>#NAME?</v>
      </c>
      <c r="X364" s="4" t="str">
        <f ca="1">IFERROR(_xll.qlRateHelperQuoteName(W364,Trigger),"")</f>
        <v/>
      </c>
      <c r="Y364" s="889" t="str">
        <f ca="1">IFERROR(_xll.qlRateHelperRate(W364,Trigger),"")</f>
        <v/>
      </c>
      <c r="Z364" s="888" t="str">
        <f ca="1">IF(ISERROR(_xll.qlSwapRateHelperSpread($W364)),IF(ISERROR(_xll.qlFuturesRateHelperConvexityAdjustment($W364)),"",_xll.qlFuturesRateHelperConvexityAdjustment($W364)),_xll.qlSwapRateHelperSpread($W364))</f>
        <v/>
      </c>
      <c r="AA364" s="5" t="str">
        <f ca="1">IFERROR(_xll.qlRateHelperEarliestDate(W364,Trigger),"")</f>
        <v/>
      </c>
      <c r="AB364" s="5" t="str">
        <f ca="1">IFERROR(_xll.qlRateHelperPillarDate(W364,Trigger),"")</f>
        <v/>
      </c>
      <c r="AC364" s="887" t="e">
        <f ca="1"/>
        <v>#NAME?</v>
      </c>
    </row>
    <row r="365" spans="1:29" x14ac:dyDescent="0.2">
      <c r="A365" s="874" t="s">
        <v>410</v>
      </c>
      <c r="B365" s="876" t="s">
        <v>52</v>
      </c>
      <c r="C365" s="875" t="s">
        <v>31</v>
      </c>
      <c r="D365" s="875" t="s">
        <v>323</v>
      </c>
      <c r="E365" s="875" t="s">
        <v>322</v>
      </c>
      <c r="F365" s="875" t="s">
        <v>221</v>
      </c>
      <c r="G365" s="875" t="str">
        <f t="shared" si="40"/>
        <v>Euribor6M</v>
      </c>
      <c r="H365" s="874" t="str">
        <f t="shared" si="41"/>
        <v>EUR25F4Y_Quote</v>
      </c>
      <c r="I365" s="877">
        <v>0</v>
      </c>
      <c r="J365" s="43"/>
      <c r="L365" s="895" t="str">
        <f t="shared" si="38"/>
        <v>FwdSw</v>
      </c>
      <c r="M365" s="891" t="str">
        <f t="shared" si="39"/>
        <v>--</v>
      </c>
      <c r="N365" s="894" t="str">
        <f ca="1">IFERROR(_xll.qlRateHelperQuoteName(M365,Trigger),"--")</f>
        <v>--</v>
      </c>
      <c r="O365" s="893" t="str">
        <f ca="1">IFERROR(_xll.qlRateHelperQuoteValue($M365,Trigger),"--")</f>
        <v>--</v>
      </c>
      <c r="P365" s="970" t="b">
        <v>0</v>
      </c>
      <c r="Q365" s="891">
        <v>50</v>
      </c>
      <c r="R365" s="891">
        <v>1</v>
      </c>
      <c r="S365" s="890" t="str">
        <f ca="1">IFERROR(_xll.qlRateHelperEarliestDate(M365,Trigger),"--")</f>
        <v>--</v>
      </c>
      <c r="T365" s="890" t="str">
        <f ca="1">IFERROR(_xll.qlRateHelperPillarDate(M365,Trigger),"--")</f>
        <v>--</v>
      </c>
      <c r="V365" s="4" t="str">
        <f t="shared" ca="1" si="37"/>
        <v/>
      </c>
      <c r="W365" s="4" t="e">
        <f ca="1"/>
        <v>#NAME?</v>
      </c>
      <c r="X365" s="4" t="str">
        <f ca="1">IFERROR(_xll.qlRateHelperQuoteName(W365,Trigger),"")</f>
        <v/>
      </c>
      <c r="Y365" s="889" t="str">
        <f ca="1">IFERROR(_xll.qlRateHelperRate(W365,Trigger),"")</f>
        <v/>
      </c>
      <c r="Z365" s="888" t="str">
        <f ca="1">IF(ISERROR(_xll.qlSwapRateHelperSpread($W365)),IF(ISERROR(_xll.qlFuturesRateHelperConvexityAdjustment($W365)),"",_xll.qlFuturesRateHelperConvexityAdjustment($W365)),_xll.qlSwapRateHelperSpread($W365))</f>
        <v/>
      </c>
      <c r="AA365" s="5" t="str">
        <f ca="1">IFERROR(_xll.qlRateHelperEarliestDate(W365,Trigger),"")</f>
        <v/>
      </c>
      <c r="AB365" s="5" t="str">
        <f ca="1">IFERROR(_xll.qlRateHelperPillarDate(W365,Trigger),"")</f>
        <v/>
      </c>
      <c r="AC365" s="887" t="e">
        <f ca="1"/>
        <v>#NAME?</v>
      </c>
    </row>
    <row r="366" spans="1:29" x14ac:dyDescent="0.2">
      <c r="A366" s="874" t="s">
        <v>410</v>
      </c>
      <c r="B366" s="876" t="s">
        <v>51</v>
      </c>
      <c r="C366" s="875" t="s">
        <v>31</v>
      </c>
      <c r="D366" s="875" t="s">
        <v>323</v>
      </c>
      <c r="E366" s="875" t="s">
        <v>322</v>
      </c>
      <c r="F366" s="875" t="s">
        <v>221</v>
      </c>
      <c r="G366" s="875" t="str">
        <f t="shared" si="40"/>
        <v>Euribor6M</v>
      </c>
      <c r="H366" s="874" t="str">
        <f t="shared" si="41"/>
        <v>EUR25F5Y_Quote</v>
      </c>
      <c r="I366" s="877">
        <v>0</v>
      </c>
      <c r="J366" s="43"/>
      <c r="L366" s="895" t="str">
        <f t="shared" si="38"/>
        <v>FwdSw</v>
      </c>
      <c r="M366" s="891" t="str">
        <f t="shared" si="39"/>
        <v>--</v>
      </c>
      <c r="N366" s="894" t="str">
        <f ca="1">IFERROR(_xll.qlRateHelperQuoteName(M366,Trigger),"--")</f>
        <v>--</v>
      </c>
      <c r="O366" s="893" t="str">
        <f ca="1">IFERROR(_xll.qlRateHelperQuoteValue($M366,Trigger),"--")</f>
        <v>--</v>
      </c>
      <c r="P366" s="970" t="b">
        <v>0</v>
      </c>
      <c r="Q366" s="891">
        <v>50</v>
      </c>
      <c r="R366" s="891">
        <v>1</v>
      </c>
      <c r="S366" s="890" t="str">
        <f ca="1">IFERROR(_xll.qlRateHelperEarliestDate(M366,Trigger),"--")</f>
        <v>--</v>
      </c>
      <c r="T366" s="890" t="str">
        <f ca="1">IFERROR(_xll.qlRateHelperPillarDate(M366,Trigger),"--")</f>
        <v>--</v>
      </c>
      <c r="V366" s="4" t="str">
        <f t="shared" ca="1" si="37"/>
        <v/>
      </c>
      <c r="W366" s="4" t="e">
        <f ca="1"/>
        <v>#NAME?</v>
      </c>
      <c r="X366" s="4" t="str">
        <f ca="1">IFERROR(_xll.qlRateHelperQuoteName(W366,Trigger),"")</f>
        <v/>
      </c>
      <c r="Y366" s="889" t="str">
        <f ca="1">IFERROR(_xll.qlRateHelperRate(W366,Trigger),"")</f>
        <v/>
      </c>
      <c r="Z366" s="888" t="str">
        <f ca="1">IF(ISERROR(_xll.qlSwapRateHelperSpread($W366)),IF(ISERROR(_xll.qlFuturesRateHelperConvexityAdjustment($W366)),"",_xll.qlFuturesRateHelperConvexityAdjustment($W366)),_xll.qlSwapRateHelperSpread($W366))</f>
        <v/>
      </c>
      <c r="AA366" s="5" t="str">
        <f ca="1">IFERROR(_xll.qlRateHelperEarliestDate(W366,Trigger),"")</f>
        <v/>
      </c>
      <c r="AB366" s="5" t="str">
        <f ca="1">IFERROR(_xll.qlRateHelperPillarDate(W366,Trigger),"")</f>
        <v/>
      </c>
      <c r="AC366" s="887" t="e">
        <f ca="1"/>
        <v>#NAME?</v>
      </c>
    </row>
    <row r="367" spans="1:29" x14ac:dyDescent="0.2">
      <c r="A367" s="874" t="s">
        <v>410</v>
      </c>
      <c r="B367" s="876" t="s">
        <v>50</v>
      </c>
      <c r="C367" s="875" t="s">
        <v>31</v>
      </c>
      <c r="D367" s="875" t="s">
        <v>323</v>
      </c>
      <c r="E367" s="875" t="s">
        <v>322</v>
      </c>
      <c r="F367" s="875" t="s">
        <v>221</v>
      </c>
      <c r="G367" s="875" t="str">
        <f t="shared" si="40"/>
        <v>Euribor6M</v>
      </c>
      <c r="H367" s="874" t="str">
        <f t="shared" si="41"/>
        <v>EUR25F6Y_Quote</v>
      </c>
      <c r="I367" s="877">
        <v>0</v>
      </c>
      <c r="J367" s="43"/>
      <c r="L367" s="895" t="str">
        <f t="shared" si="38"/>
        <v>FwdSw</v>
      </c>
      <c r="M367" s="891" t="str">
        <f t="shared" si="39"/>
        <v>--</v>
      </c>
      <c r="N367" s="894" t="str">
        <f ca="1">IFERROR(_xll.qlRateHelperQuoteName(M367,Trigger),"--")</f>
        <v>--</v>
      </c>
      <c r="O367" s="893" t="str">
        <f ca="1">IFERROR(_xll.qlRateHelperQuoteValue($M367,Trigger),"--")</f>
        <v>--</v>
      </c>
      <c r="P367" s="970" t="b">
        <v>0</v>
      </c>
      <c r="Q367" s="891">
        <v>50</v>
      </c>
      <c r="R367" s="891">
        <v>1</v>
      </c>
      <c r="S367" s="890" t="str">
        <f ca="1">IFERROR(_xll.qlRateHelperEarliestDate(M367,Trigger),"--")</f>
        <v>--</v>
      </c>
      <c r="T367" s="890" t="str">
        <f ca="1">IFERROR(_xll.qlRateHelperPillarDate(M367,Trigger),"--")</f>
        <v>--</v>
      </c>
      <c r="V367" s="4" t="str">
        <f t="shared" ca="1" si="37"/>
        <v/>
      </c>
      <c r="W367" s="4" t="e">
        <f ca="1"/>
        <v>#NAME?</v>
      </c>
      <c r="X367" s="4" t="str">
        <f ca="1">IFERROR(_xll.qlRateHelperQuoteName(W367,Trigger),"")</f>
        <v/>
      </c>
      <c r="Y367" s="889" t="str">
        <f ca="1">IFERROR(_xll.qlRateHelperRate(W367,Trigger),"")</f>
        <v/>
      </c>
      <c r="Z367" s="888" t="str">
        <f ca="1">IF(ISERROR(_xll.qlSwapRateHelperSpread($W367)),IF(ISERROR(_xll.qlFuturesRateHelperConvexityAdjustment($W367)),"",_xll.qlFuturesRateHelperConvexityAdjustment($W367)),_xll.qlSwapRateHelperSpread($W367))</f>
        <v/>
      </c>
      <c r="AA367" s="5" t="str">
        <f ca="1">IFERROR(_xll.qlRateHelperEarliestDate(W367,Trigger),"")</f>
        <v/>
      </c>
      <c r="AB367" s="5" t="str">
        <f ca="1">IFERROR(_xll.qlRateHelperPillarDate(W367,Trigger),"")</f>
        <v/>
      </c>
      <c r="AC367" s="887" t="e">
        <f ca="1"/>
        <v>#NAME?</v>
      </c>
    </row>
    <row r="368" spans="1:29" x14ac:dyDescent="0.2">
      <c r="A368" s="874" t="s">
        <v>410</v>
      </c>
      <c r="B368" s="876" t="s">
        <v>49</v>
      </c>
      <c r="C368" s="875" t="s">
        <v>31</v>
      </c>
      <c r="D368" s="875" t="s">
        <v>323</v>
      </c>
      <c r="E368" s="875" t="s">
        <v>322</v>
      </c>
      <c r="F368" s="875" t="s">
        <v>221</v>
      </c>
      <c r="G368" s="875" t="str">
        <f t="shared" si="40"/>
        <v>Euribor6M</v>
      </c>
      <c r="H368" s="874" t="str">
        <f t="shared" si="41"/>
        <v>EUR25F7Y_Quote</v>
      </c>
      <c r="I368" s="877">
        <v>0</v>
      </c>
      <c r="J368" s="43"/>
      <c r="L368" s="895" t="str">
        <f t="shared" si="38"/>
        <v>FwdSw</v>
      </c>
      <c r="M368" s="891" t="str">
        <f t="shared" si="39"/>
        <v>--</v>
      </c>
      <c r="N368" s="894" t="str">
        <f ca="1">IFERROR(_xll.qlRateHelperQuoteName(M368,Trigger),"--")</f>
        <v>--</v>
      </c>
      <c r="O368" s="893" t="str">
        <f ca="1">IFERROR(_xll.qlRateHelperQuoteValue($M368,Trigger),"--")</f>
        <v>--</v>
      </c>
      <c r="P368" s="970" t="b">
        <v>0</v>
      </c>
      <c r="Q368" s="891">
        <v>50</v>
      </c>
      <c r="R368" s="891">
        <v>1</v>
      </c>
      <c r="S368" s="890" t="str">
        <f ca="1">IFERROR(_xll.qlRateHelperEarliestDate(M368,Trigger),"--")</f>
        <v>--</v>
      </c>
      <c r="T368" s="890" t="str">
        <f ca="1">IFERROR(_xll.qlRateHelperPillarDate(M368,Trigger),"--")</f>
        <v>--</v>
      </c>
      <c r="V368" s="4" t="str">
        <f t="shared" ca="1" si="37"/>
        <v/>
      </c>
      <c r="W368" s="4" t="e">
        <f ca="1"/>
        <v>#NAME?</v>
      </c>
      <c r="X368" s="4" t="str">
        <f ca="1">IFERROR(_xll.qlRateHelperQuoteName(W368,Trigger),"")</f>
        <v/>
      </c>
      <c r="Y368" s="889" t="str">
        <f ca="1">IFERROR(_xll.qlRateHelperRate(W368,Trigger),"")</f>
        <v/>
      </c>
      <c r="Z368" s="888" t="str">
        <f ca="1">IF(ISERROR(_xll.qlSwapRateHelperSpread($W368)),IF(ISERROR(_xll.qlFuturesRateHelperConvexityAdjustment($W368)),"",_xll.qlFuturesRateHelperConvexityAdjustment($W368)),_xll.qlSwapRateHelperSpread($W368))</f>
        <v/>
      </c>
      <c r="AA368" s="5" t="str">
        <f ca="1">IFERROR(_xll.qlRateHelperEarliestDate(W368,Trigger),"")</f>
        <v/>
      </c>
      <c r="AB368" s="5" t="str">
        <f ca="1">IFERROR(_xll.qlRateHelperPillarDate(W368,Trigger),"")</f>
        <v/>
      </c>
      <c r="AC368" s="887" t="e">
        <f ca="1"/>
        <v>#NAME?</v>
      </c>
    </row>
    <row r="369" spans="1:29" x14ac:dyDescent="0.2">
      <c r="A369" s="874" t="s">
        <v>410</v>
      </c>
      <c r="B369" s="876" t="s">
        <v>48</v>
      </c>
      <c r="C369" s="875" t="s">
        <v>31</v>
      </c>
      <c r="D369" s="875" t="s">
        <v>323</v>
      </c>
      <c r="E369" s="875" t="s">
        <v>322</v>
      </c>
      <c r="F369" s="875" t="s">
        <v>221</v>
      </c>
      <c r="G369" s="875" t="str">
        <f t="shared" si="40"/>
        <v>Euribor6M</v>
      </c>
      <c r="H369" s="874" t="str">
        <f t="shared" si="41"/>
        <v>EUR25F8Y_Quote</v>
      </c>
      <c r="I369" s="877">
        <v>0</v>
      </c>
      <c r="J369" s="43"/>
      <c r="L369" s="895" t="str">
        <f t="shared" si="38"/>
        <v>FwdSw</v>
      </c>
      <c r="M369" s="891" t="str">
        <f t="shared" si="39"/>
        <v>--</v>
      </c>
      <c r="N369" s="894" t="str">
        <f ca="1">IFERROR(_xll.qlRateHelperQuoteName(M369,Trigger),"--")</f>
        <v>--</v>
      </c>
      <c r="O369" s="893" t="str">
        <f ca="1">IFERROR(_xll.qlRateHelperQuoteValue($M369,Trigger),"--")</f>
        <v>--</v>
      </c>
      <c r="P369" s="970" t="b">
        <v>0</v>
      </c>
      <c r="Q369" s="891">
        <v>50</v>
      </c>
      <c r="R369" s="891">
        <v>1</v>
      </c>
      <c r="S369" s="890" t="str">
        <f ca="1">IFERROR(_xll.qlRateHelperEarliestDate(M369,Trigger),"--")</f>
        <v>--</v>
      </c>
      <c r="T369" s="890" t="str">
        <f ca="1">IFERROR(_xll.qlRateHelperPillarDate(M369,Trigger),"--")</f>
        <v>--</v>
      </c>
      <c r="V369" s="4" t="str">
        <f t="shared" ca="1" si="37"/>
        <v/>
      </c>
      <c r="W369" s="4" t="e">
        <f ca="1"/>
        <v>#NAME?</v>
      </c>
      <c r="X369" s="4" t="str">
        <f ca="1">IFERROR(_xll.qlRateHelperQuoteName(W369,Trigger),"")</f>
        <v/>
      </c>
      <c r="Y369" s="889" t="str">
        <f ca="1">IFERROR(_xll.qlRateHelperRate(W369,Trigger),"")</f>
        <v/>
      </c>
      <c r="Z369" s="888" t="str">
        <f ca="1">IF(ISERROR(_xll.qlSwapRateHelperSpread($W369)),IF(ISERROR(_xll.qlFuturesRateHelperConvexityAdjustment($W369)),"",_xll.qlFuturesRateHelperConvexityAdjustment($W369)),_xll.qlSwapRateHelperSpread($W369))</f>
        <v/>
      </c>
      <c r="AA369" s="5" t="str">
        <f ca="1">IFERROR(_xll.qlRateHelperEarliestDate(W369,Trigger),"")</f>
        <v/>
      </c>
      <c r="AB369" s="5" t="str">
        <f ca="1">IFERROR(_xll.qlRateHelperPillarDate(W369,Trigger),"")</f>
        <v/>
      </c>
      <c r="AC369" s="887" t="e">
        <f ca="1"/>
        <v>#NAME?</v>
      </c>
    </row>
    <row r="370" spans="1:29" x14ac:dyDescent="0.2">
      <c r="A370" s="874" t="s">
        <v>410</v>
      </c>
      <c r="B370" s="876" t="s">
        <v>47</v>
      </c>
      <c r="C370" s="875" t="s">
        <v>31</v>
      </c>
      <c r="D370" s="875" t="s">
        <v>323</v>
      </c>
      <c r="E370" s="875" t="s">
        <v>322</v>
      </c>
      <c r="F370" s="875" t="s">
        <v>221</v>
      </c>
      <c r="G370" s="875" t="str">
        <f t="shared" si="40"/>
        <v>Euribor6M</v>
      </c>
      <c r="H370" s="874" t="str">
        <f t="shared" si="41"/>
        <v>EUR25F9Y_Quote</v>
      </c>
      <c r="I370" s="877">
        <v>0</v>
      </c>
      <c r="J370" s="43"/>
      <c r="L370" s="895" t="str">
        <f t="shared" si="38"/>
        <v>FwdSw</v>
      </c>
      <c r="M370" s="891" t="str">
        <f t="shared" si="39"/>
        <v>--</v>
      </c>
      <c r="N370" s="894" t="str">
        <f ca="1">IFERROR(_xll.qlRateHelperQuoteName(M370,Trigger),"--")</f>
        <v>--</v>
      </c>
      <c r="O370" s="893" t="str">
        <f ca="1">IFERROR(_xll.qlRateHelperQuoteValue($M370,Trigger),"--")</f>
        <v>--</v>
      </c>
      <c r="P370" s="970" t="b">
        <v>0</v>
      </c>
      <c r="Q370" s="891">
        <v>50</v>
      </c>
      <c r="R370" s="891">
        <v>1</v>
      </c>
      <c r="S370" s="890" t="str">
        <f ca="1">IFERROR(_xll.qlRateHelperEarliestDate(M370,Trigger),"--")</f>
        <v>--</v>
      </c>
      <c r="T370" s="890" t="str">
        <f ca="1">IFERROR(_xll.qlRateHelperPillarDate(M370,Trigger),"--")</f>
        <v>--</v>
      </c>
      <c r="V370" s="4" t="str">
        <f t="shared" ca="1" si="37"/>
        <v/>
      </c>
      <c r="W370" s="4" t="e">
        <f ca="1"/>
        <v>#NAME?</v>
      </c>
      <c r="X370" s="4" t="str">
        <f ca="1">IFERROR(_xll.qlRateHelperQuoteName(W370,Trigger),"")</f>
        <v/>
      </c>
      <c r="Y370" s="889" t="str">
        <f ca="1">IFERROR(_xll.qlRateHelperRate(W370,Trigger),"")</f>
        <v/>
      </c>
      <c r="Z370" s="888" t="str">
        <f ca="1">IF(ISERROR(_xll.qlSwapRateHelperSpread($W370)),IF(ISERROR(_xll.qlFuturesRateHelperConvexityAdjustment($W370)),"",_xll.qlFuturesRateHelperConvexityAdjustment($W370)),_xll.qlSwapRateHelperSpread($W370))</f>
        <v/>
      </c>
      <c r="AA370" s="5" t="str">
        <f ca="1">IFERROR(_xll.qlRateHelperEarliestDate(W370,Trigger),"")</f>
        <v/>
      </c>
      <c r="AB370" s="5" t="str">
        <f ca="1">IFERROR(_xll.qlRateHelperPillarDate(W370,Trigger),"")</f>
        <v/>
      </c>
      <c r="AC370" s="887" t="e">
        <f ca="1"/>
        <v>#NAME?</v>
      </c>
    </row>
    <row r="371" spans="1:29" x14ac:dyDescent="0.2">
      <c r="A371" s="874" t="s">
        <v>410</v>
      </c>
      <c r="B371" s="876" t="s">
        <v>46</v>
      </c>
      <c r="C371" s="875" t="s">
        <v>31</v>
      </c>
      <c r="D371" s="875" t="s">
        <v>323</v>
      </c>
      <c r="E371" s="875" t="s">
        <v>322</v>
      </c>
      <c r="F371" s="875" t="s">
        <v>221</v>
      </c>
      <c r="G371" s="875" t="str">
        <f t="shared" si="40"/>
        <v>Euribor6M</v>
      </c>
      <c r="H371" s="874" t="str">
        <f t="shared" si="41"/>
        <v>EUR25F10Y_Quote</v>
      </c>
      <c r="I371" s="877">
        <v>0</v>
      </c>
      <c r="J371" s="43"/>
      <c r="L371" s="895" t="str">
        <f t="shared" si="38"/>
        <v>FwdSw</v>
      </c>
      <c r="M371" s="891" t="str">
        <f t="shared" si="39"/>
        <v>--</v>
      </c>
      <c r="N371" s="894" t="str">
        <f ca="1">IFERROR(_xll.qlRateHelperQuoteName(M371,Trigger),"--")</f>
        <v>--</v>
      </c>
      <c r="O371" s="893" t="str">
        <f ca="1">IFERROR(_xll.qlRateHelperQuoteValue($M371,Trigger),"--")</f>
        <v>--</v>
      </c>
      <c r="P371" s="970" t="b">
        <v>0</v>
      </c>
      <c r="Q371" s="891">
        <v>50</v>
      </c>
      <c r="R371" s="891">
        <v>1</v>
      </c>
      <c r="S371" s="890" t="str">
        <f ca="1">IFERROR(_xll.qlRateHelperEarliestDate(M371,Trigger),"--")</f>
        <v>--</v>
      </c>
      <c r="T371" s="890" t="str">
        <f ca="1">IFERROR(_xll.qlRateHelperPillarDate(M371,Trigger),"--")</f>
        <v>--</v>
      </c>
      <c r="V371" s="4" t="str">
        <f t="shared" ca="1" si="37"/>
        <v/>
      </c>
      <c r="W371" s="4" t="e">
        <f ca="1"/>
        <v>#NAME?</v>
      </c>
      <c r="X371" s="4" t="str">
        <f ca="1">IFERROR(_xll.qlRateHelperQuoteName(W371,Trigger),"")</f>
        <v/>
      </c>
      <c r="Y371" s="889" t="str">
        <f ca="1">IFERROR(_xll.qlRateHelperRate(W371,Trigger),"")</f>
        <v/>
      </c>
      <c r="Z371" s="888" t="str">
        <f ca="1">IF(ISERROR(_xll.qlSwapRateHelperSpread($W371)),IF(ISERROR(_xll.qlFuturesRateHelperConvexityAdjustment($W371)),"",_xll.qlFuturesRateHelperConvexityAdjustment($W371)),_xll.qlSwapRateHelperSpread($W371))</f>
        <v/>
      </c>
      <c r="AA371" s="5" t="str">
        <f ca="1">IFERROR(_xll.qlRateHelperEarliestDate(W371,Trigger),"")</f>
        <v/>
      </c>
      <c r="AB371" s="5" t="str">
        <f ca="1">IFERROR(_xll.qlRateHelperPillarDate(W371,Trigger),"")</f>
        <v/>
      </c>
      <c r="AC371" s="887" t="e">
        <f ca="1"/>
        <v>#NAME?</v>
      </c>
    </row>
    <row r="372" spans="1:29" x14ac:dyDescent="0.2">
      <c r="A372" s="874" t="s">
        <v>410</v>
      </c>
      <c r="B372" s="876" t="s">
        <v>45</v>
      </c>
      <c r="C372" s="875" t="s">
        <v>31</v>
      </c>
      <c r="D372" s="875" t="s">
        <v>323</v>
      </c>
      <c r="E372" s="875" t="s">
        <v>322</v>
      </c>
      <c r="F372" s="875" t="s">
        <v>221</v>
      </c>
      <c r="G372" s="875" t="str">
        <f t="shared" si="40"/>
        <v>Euribor6M</v>
      </c>
      <c r="H372" s="874" t="str">
        <f t="shared" si="41"/>
        <v>EUR25F11Y_Quote</v>
      </c>
      <c r="I372" s="877">
        <v>0</v>
      </c>
      <c r="J372" s="43"/>
      <c r="L372" s="895" t="str">
        <f t="shared" si="38"/>
        <v>FwdSw</v>
      </c>
      <c r="M372" s="891" t="str">
        <f t="shared" si="39"/>
        <v>--</v>
      </c>
      <c r="N372" s="894" t="str">
        <f ca="1">IFERROR(_xll.qlRateHelperQuoteName(M372,Trigger),"--")</f>
        <v>--</v>
      </c>
      <c r="O372" s="893" t="str">
        <f ca="1">IFERROR(_xll.qlRateHelperQuoteValue($M372,Trigger),"--")</f>
        <v>--</v>
      </c>
      <c r="P372" s="970" t="b">
        <v>0</v>
      </c>
      <c r="Q372" s="891">
        <v>50</v>
      </c>
      <c r="R372" s="891">
        <v>1</v>
      </c>
      <c r="S372" s="890" t="str">
        <f ca="1">IFERROR(_xll.qlRateHelperEarliestDate(M372,Trigger),"--")</f>
        <v>--</v>
      </c>
      <c r="T372" s="890" t="str">
        <f ca="1">IFERROR(_xll.qlRateHelperPillarDate(M372,Trigger),"--")</f>
        <v>--</v>
      </c>
      <c r="V372" s="4" t="str">
        <f t="shared" ca="1" si="37"/>
        <v/>
      </c>
      <c r="W372" s="4" t="e">
        <f ca="1"/>
        <v>#NAME?</v>
      </c>
      <c r="X372" s="4" t="str">
        <f ca="1">IFERROR(_xll.qlRateHelperQuoteName(W372,Trigger),"")</f>
        <v/>
      </c>
      <c r="Y372" s="889" t="str">
        <f ca="1">IFERROR(_xll.qlRateHelperRate(W372,Trigger),"")</f>
        <v/>
      </c>
      <c r="Z372" s="888" t="str">
        <f ca="1">IF(ISERROR(_xll.qlSwapRateHelperSpread($W372)),IF(ISERROR(_xll.qlFuturesRateHelperConvexityAdjustment($W372)),"",_xll.qlFuturesRateHelperConvexityAdjustment($W372)),_xll.qlSwapRateHelperSpread($W372))</f>
        <v/>
      </c>
      <c r="AA372" s="5" t="str">
        <f ca="1">IFERROR(_xll.qlRateHelperEarliestDate(W372,Trigger),"")</f>
        <v/>
      </c>
      <c r="AB372" s="5" t="str">
        <f ca="1">IFERROR(_xll.qlRateHelperPillarDate(W372,Trigger),"")</f>
        <v/>
      </c>
      <c r="AC372" s="887" t="e">
        <f ca="1"/>
        <v>#NAME?</v>
      </c>
    </row>
    <row r="373" spans="1:29" x14ac:dyDescent="0.2">
      <c r="A373" s="874" t="s">
        <v>410</v>
      </c>
      <c r="B373" s="876" t="s">
        <v>44</v>
      </c>
      <c r="C373" s="875" t="s">
        <v>31</v>
      </c>
      <c r="D373" s="875" t="s">
        <v>323</v>
      </c>
      <c r="E373" s="875" t="s">
        <v>322</v>
      </c>
      <c r="F373" s="875" t="s">
        <v>221</v>
      </c>
      <c r="G373" s="875" t="str">
        <f t="shared" si="40"/>
        <v>Euribor6M</v>
      </c>
      <c r="H373" s="874" t="str">
        <f t="shared" si="41"/>
        <v>EUR25F12Y_Quote</v>
      </c>
      <c r="I373" s="877">
        <v>0</v>
      </c>
      <c r="J373" s="43"/>
      <c r="L373" s="895" t="str">
        <f t="shared" si="38"/>
        <v>FwdSw</v>
      </c>
      <c r="M373" s="891" t="e">
        <f t="shared" ca="1" si="39"/>
        <v>#NAME?</v>
      </c>
      <c r="N373" s="894" t="str">
        <f ca="1">IFERROR(_xll.qlRateHelperQuoteName(M373,Trigger),"--")</f>
        <v>--</v>
      </c>
      <c r="O373" s="893" t="str">
        <f ca="1">IFERROR(_xll.qlRateHelperQuoteValue($M373,Trigger),"--")</f>
        <v>--</v>
      </c>
      <c r="P373" s="970" t="b">
        <v>1</v>
      </c>
      <c r="Q373" s="891">
        <v>50</v>
      </c>
      <c r="R373" s="891">
        <v>1</v>
      </c>
      <c r="S373" s="890" t="str">
        <f ca="1">IFERROR(_xll.qlRateHelperEarliestDate(M373,Trigger),"--")</f>
        <v>--</v>
      </c>
      <c r="T373" s="890" t="str">
        <f ca="1">IFERROR(_xll.qlRateHelperPillarDate(M373,Trigger),"--")</f>
        <v>--</v>
      </c>
      <c r="V373" s="4" t="str">
        <f t="shared" ca="1" si="37"/>
        <v/>
      </c>
      <c r="W373" s="4" t="e">
        <f ca="1"/>
        <v>#NAME?</v>
      </c>
      <c r="X373" s="4" t="str">
        <f ca="1">IFERROR(_xll.qlRateHelperQuoteName(W373,Trigger),"")</f>
        <v/>
      </c>
      <c r="Y373" s="889" t="str">
        <f ca="1">IFERROR(_xll.qlRateHelperRate(W373,Trigger),"")</f>
        <v/>
      </c>
      <c r="Z373" s="888" t="str">
        <f ca="1">IF(ISERROR(_xll.qlSwapRateHelperSpread($W373)),IF(ISERROR(_xll.qlFuturesRateHelperConvexityAdjustment($W373)),"",_xll.qlFuturesRateHelperConvexityAdjustment($W373)),_xll.qlSwapRateHelperSpread($W373))</f>
        <v/>
      </c>
      <c r="AA373" s="5" t="str">
        <f ca="1">IFERROR(_xll.qlRateHelperEarliestDate(W373,Trigger),"")</f>
        <v/>
      </c>
      <c r="AB373" s="5" t="str">
        <f ca="1">IFERROR(_xll.qlRateHelperPillarDate(W373,Trigger),"")</f>
        <v/>
      </c>
      <c r="AC373" s="887" t="e">
        <f ca="1"/>
        <v>#NAME?</v>
      </c>
    </row>
    <row r="374" spans="1:29" x14ac:dyDescent="0.2">
      <c r="A374" s="874" t="s">
        <v>410</v>
      </c>
      <c r="B374" s="876" t="s">
        <v>43</v>
      </c>
      <c r="C374" s="875" t="s">
        <v>31</v>
      </c>
      <c r="D374" s="875" t="s">
        <v>323</v>
      </c>
      <c r="E374" s="875" t="s">
        <v>322</v>
      </c>
      <c r="F374" s="875" t="s">
        <v>221</v>
      </c>
      <c r="G374" s="875" t="str">
        <f t="shared" si="40"/>
        <v>Euribor6M</v>
      </c>
      <c r="H374" s="874" t="str">
        <f t="shared" si="41"/>
        <v>EUR25F13Y_Quote</v>
      </c>
      <c r="I374" s="877">
        <v>0</v>
      </c>
      <c r="J374" s="43"/>
      <c r="L374" s="895" t="str">
        <f t="shared" si="38"/>
        <v>FwdSw</v>
      </c>
      <c r="M374" s="891" t="str">
        <f t="shared" si="39"/>
        <v>--</v>
      </c>
      <c r="N374" s="894" t="str">
        <f ca="1">IFERROR(_xll.qlRateHelperQuoteName(M374,Trigger),"--")</f>
        <v>--</v>
      </c>
      <c r="O374" s="893" t="str">
        <f ca="1">IFERROR(_xll.qlRateHelperQuoteValue($M374,Trigger),"--")</f>
        <v>--</v>
      </c>
      <c r="P374" s="970" t="b">
        <v>0</v>
      </c>
      <c r="Q374" s="891">
        <v>50</v>
      </c>
      <c r="R374" s="891">
        <v>1</v>
      </c>
      <c r="S374" s="890" t="str">
        <f ca="1">IFERROR(_xll.qlRateHelperEarliestDate(M374,Trigger),"--")</f>
        <v>--</v>
      </c>
      <c r="T374" s="890" t="str">
        <f ca="1">IFERROR(_xll.qlRateHelperPillarDate(M374,Trigger),"--")</f>
        <v>--</v>
      </c>
      <c r="V374" s="4" t="str">
        <f t="shared" ca="1" si="37"/>
        <v/>
      </c>
      <c r="W374" s="4" t="e">
        <f ca="1"/>
        <v>#NAME?</v>
      </c>
      <c r="X374" s="4" t="str">
        <f ca="1">IFERROR(_xll.qlRateHelperQuoteName(W374,Trigger),"")</f>
        <v/>
      </c>
      <c r="Y374" s="889" t="str">
        <f ca="1">IFERROR(_xll.qlRateHelperRate(W374,Trigger),"")</f>
        <v/>
      </c>
      <c r="Z374" s="888" t="str">
        <f ca="1">IF(ISERROR(_xll.qlSwapRateHelperSpread($W374)),IF(ISERROR(_xll.qlFuturesRateHelperConvexityAdjustment($W374)),"",_xll.qlFuturesRateHelperConvexityAdjustment($W374)),_xll.qlSwapRateHelperSpread($W374))</f>
        <v/>
      </c>
      <c r="AA374" s="5" t="str">
        <f ca="1">IFERROR(_xll.qlRateHelperEarliestDate(W374,Trigger),"")</f>
        <v/>
      </c>
      <c r="AB374" s="5" t="str">
        <f ca="1">IFERROR(_xll.qlRateHelperPillarDate(W374,Trigger),"")</f>
        <v/>
      </c>
      <c r="AC374" s="887" t="e">
        <f ca="1"/>
        <v>#NAME?</v>
      </c>
    </row>
    <row r="375" spans="1:29" x14ac:dyDescent="0.2">
      <c r="A375" s="874" t="s">
        <v>410</v>
      </c>
      <c r="B375" s="876" t="s">
        <v>42</v>
      </c>
      <c r="C375" s="875" t="s">
        <v>31</v>
      </c>
      <c r="D375" s="875" t="s">
        <v>323</v>
      </c>
      <c r="E375" s="875" t="s">
        <v>322</v>
      </c>
      <c r="F375" s="875" t="s">
        <v>221</v>
      </c>
      <c r="G375" s="875" t="str">
        <f t="shared" si="40"/>
        <v>Euribor6M</v>
      </c>
      <c r="H375" s="874" t="str">
        <f t="shared" si="41"/>
        <v>EUR25F14Y_Quote</v>
      </c>
      <c r="I375" s="877">
        <v>0</v>
      </c>
      <c r="J375" s="43"/>
      <c r="L375" s="895" t="str">
        <f t="shared" si="38"/>
        <v>FwdSw</v>
      </c>
      <c r="M375" s="891" t="str">
        <f t="shared" si="39"/>
        <v>--</v>
      </c>
      <c r="N375" s="894" t="str">
        <f ca="1">IFERROR(_xll.qlRateHelperQuoteName(M375,Trigger),"--")</f>
        <v>--</v>
      </c>
      <c r="O375" s="893" t="str">
        <f ca="1">IFERROR(_xll.qlRateHelperQuoteValue($M375,Trigger),"--")</f>
        <v>--</v>
      </c>
      <c r="P375" s="970" t="b">
        <v>0</v>
      </c>
      <c r="Q375" s="891">
        <v>50</v>
      </c>
      <c r="R375" s="891">
        <v>1</v>
      </c>
      <c r="S375" s="890" t="str">
        <f ca="1">IFERROR(_xll.qlRateHelperEarliestDate(M375,Trigger),"--")</f>
        <v>--</v>
      </c>
      <c r="T375" s="890" t="str">
        <f ca="1">IFERROR(_xll.qlRateHelperPillarDate(M375,Trigger),"--")</f>
        <v>--</v>
      </c>
      <c r="V375" s="4" t="str">
        <f t="shared" ca="1" si="37"/>
        <v/>
      </c>
      <c r="W375" s="4" t="e">
        <f ca="1"/>
        <v>#NAME?</v>
      </c>
      <c r="X375" s="4" t="str">
        <f ca="1">IFERROR(_xll.qlRateHelperQuoteName(W375,Trigger),"")</f>
        <v/>
      </c>
      <c r="Y375" s="889" t="str">
        <f ca="1">IFERROR(_xll.qlRateHelperRate(W375,Trigger),"")</f>
        <v/>
      </c>
      <c r="Z375" s="888" t="str">
        <f ca="1">IF(ISERROR(_xll.qlSwapRateHelperSpread($W375)),IF(ISERROR(_xll.qlFuturesRateHelperConvexityAdjustment($W375)),"",_xll.qlFuturesRateHelperConvexityAdjustment($W375)),_xll.qlSwapRateHelperSpread($W375))</f>
        <v/>
      </c>
      <c r="AA375" s="5" t="str">
        <f ca="1">IFERROR(_xll.qlRateHelperEarliestDate(W375,Trigger),"")</f>
        <v/>
      </c>
      <c r="AB375" s="5" t="str">
        <f ca="1">IFERROR(_xll.qlRateHelperPillarDate(W375,Trigger),"")</f>
        <v/>
      </c>
      <c r="AC375" s="887" t="e">
        <f ca="1"/>
        <v>#NAME?</v>
      </c>
    </row>
    <row r="376" spans="1:29" x14ac:dyDescent="0.2">
      <c r="A376" s="874" t="s">
        <v>410</v>
      </c>
      <c r="B376" s="876" t="s">
        <v>41</v>
      </c>
      <c r="C376" s="875" t="s">
        <v>31</v>
      </c>
      <c r="D376" s="875" t="s">
        <v>323</v>
      </c>
      <c r="E376" s="875" t="s">
        <v>322</v>
      </c>
      <c r="F376" s="875" t="s">
        <v>221</v>
      </c>
      <c r="G376" s="875" t="str">
        <f t="shared" si="40"/>
        <v>Euribor6M</v>
      </c>
      <c r="H376" s="874" t="str">
        <f t="shared" si="41"/>
        <v>EUR25F15Y_Quote</v>
      </c>
      <c r="I376" s="877">
        <v>0</v>
      </c>
      <c r="J376" s="43"/>
      <c r="L376" s="895" t="str">
        <f t="shared" si="38"/>
        <v>FwdSw</v>
      </c>
      <c r="M376" s="891" t="str">
        <f t="shared" si="39"/>
        <v>--</v>
      </c>
      <c r="N376" s="894" t="str">
        <f ca="1">IFERROR(_xll.qlRateHelperQuoteName(M376,Trigger),"--")</f>
        <v>--</v>
      </c>
      <c r="O376" s="893" t="str">
        <f ca="1">IFERROR(_xll.qlRateHelperQuoteValue($M376,Trigger),"--")</f>
        <v>--</v>
      </c>
      <c r="P376" s="970" t="b">
        <v>0</v>
      </c>
      <c r="Q376" s="891">
        <v>50</v>
      </c>
      <c r="R376" s="891">
        <v>1</v>
      </c>
      <c r="S376" s="890" t="str">
        <f ca="1">IFERROR(_xll.qlRateHelperEarliestDate(M376,Trigger),"--")</f>
        <v>--</v>
      </c>
      <c r="T376" s="890" t="str">
        <f ca="1">IFERROR(_xll.qlRateHelperPillarDate(M376,Trigger),"--")</f>
        <v>--</v>
      </c>
      <c r="V376" s="4" t="str">
        <f t="shared" ca="1" si="37"/>
        <v/>
      </c>
      <c r="W376" s="4" t="e">
        <f ca="1"/>
        <v>#NAME?</v>
      </c>
      <c r="X376" s="4" t="str">
        <f ca="1">IFERROR(_xll.qlRateHelperQuoteName(W376,Trigger),"")</f>
        <v/>
      </c>
      <c r="Y376" s="889" t="str">
        <f ca="1">IFERROR(_xll.qlRateHelperRate(W376,Trigger),"")</f>
        <v/>
      </c>
      <c r="Z376" s="888" t="str">
        <f ca="1">IF(ISERROR(_xll.qlSwapRateHelperSpread($W376)),IF(ISERROR(_xll.qlFuturesRateHelperConvexityAdjustment($W376)),"",_xll.qlFuturesRateHelperConvexityAdjustment($W376)),_xll.qlSwapRateHelperSpread($W376))</f>
        <v/>
      </c>
      <c r="AA376" s="5" t="str">
        <f ca="1">IFERROR(_xll.qlRateHelperEarliestDate(W376,Trigger),"")</f>
        <v/>
      </c>
      <c r="AB376" s="5" t="str">
        <f ca="1">IFERROR(_xll.qlRateHelperPillarDate(W376,Trigger),"")</f>
        <v/>
      </c>
      <c r="AC376" s="887" t="e">
        <f ca="1"/>
        <v>#NAME?</v>
      </c>
    </row>
    <row r="377" spans="1:29" x14ac:dyDescent="0.2">
      <c r="A377" s="874" t="s">
        <v>410</v>
      </c>
      <c r="B377" s="876" t="s">
        <v>36</v>
      </c>
      <c r="C377" s="875" t="s">
        <v>31</v>
      </c>
      <c r="D377" s="875" t="s">
        <v>323</v>
      </c>
      <c r="E377" s="875" t="s">
        <v>322</v>
      </c>
      <c r="F377" s="875" t="s">
        <v>221</v>
      </c>
      <c r="G377" s="875" t="str">
        <f t="shared" si="40"/>
        <v>Euribor6M</v>
      </c>
      <c r="H377" s="874" t="str">
        <f t="shared" si="41"/>
        <v>EUR25F20Y_Quote</v>
      </c>
      <c r="I377" s="877">
        <v>0</v>
      </c>
      <c r="J377" s="43"/>
      <c r="L377" s="895" t="str">
        <f t="shared" si="38"/>
        <v>FwdSw</v>
      </c>
      <c r="M377" s="891" t="str">
        <f t="shared" si="39"/>
        <v>--</v>
      </c>
      <c r="N377" s="894" t="str">
        <f ca="1">IFERROR(_xll.qlRateHelperQuoteName(M377,Trigger),"--")</f>
        <v>--</v>
      </c>
      <c r="O377" s="893" t="str">
        <f ca="1">IFERROR(_xll.qlRateHelperQuoteValue($M377,Trigger),"--")</f>
        <v>--</v>
      </c>
      <c r="P377" s="970" t="b">
        <v>0</v>
      </c>
      <c r="Q377" s="891">
        <v>50</v>
      </c>
      <c r="R377" s="891">
        <v>1</v>
      </c>
      <c r="S377" s="890" t="str">
        <f ca="1">IFERROR(_xll.qlRateHelperEarliestDate(M377,Trigger),"--")</f>
        <v>--</v>
      </c>
      <c r="T377" s="890" t="str">
        <f ca="1">IFERROR(_xll.qlRateHelperPillarDate(M377,Trigger),"--")</f>
        <v>--</v>
      </c>
      <c r="V377" s="4" t="str">
        <f t="shared" ca="1" si="37"/>
        <v/>
      </c>
      <c r="W377" s="4" t="e">
        <f ca="1"/>
        <v>#NAME?</v>
      </c>
      <c r="X377" s="4" t="str">
        <f ca="1">IFERROR(_xll.qlRateHelperQuoteName(W377,Trigger),"")</f>
        <v/>
      </c>
      <c r="Y377" s="889" t="str">
        <f ca="1">IFERROR(_xll.qlRateHelperRate(W377,Trigger),"")</f>
        <v/>
      </c>
      <c r="Z377" s="888" t="str">
        <f ca="1">IF(ISERROR(_xll.qlSwapRateHelperSpread($W377)),IF(ISERROR(_xll.qlFuturesRateHelperConvexityAdjustment($W377)),"",_xll.qlFuturesRateHelperConvexityAdjustment($W377)),_xll.qlSwapRateHelperSpread($W377))</f>
        <v/>
      </c>
      <c r="AA377" s="5" t="str">
        <f ca="1">IFERROR(_xll.qlRateHelperEarliestDate(W377,Trigger),"")</f>
        <v/>
      </c>
      <c r="AB377" s="5" t="str">
        <f ca="1">IFERROR(_xll.qlRateHelperPillarDate(W377,Trigger),"")</f>
        <v/>
      </c>
      <c r="AC377" s="887" t="e">
        <f ca="1"/>
        <v>#NAME?</v>
      </c>
    </row>
    <row r="378" spans="1:29" x14ac:dyDescent="0.2">
      <c r="A378" s="874" t="s">
        <v>410</v>
      </c>
      <c r="B378" s="876" t="s">
        <v>31</v>
      </c>
      <c r="C378" s="875" t="s">
        <v>31</v>
      </c>
      <c r="D378" s="875" t="s">
        <v>323</v>
      </c>
      <c r="E378" s="875" t="s">
        <v>322</v>
      </c>
      <c r="F378" s="875" t="s">
        <v>221</v>
      </c>
      <c r="G378" s="875" t="str">
        <f t="shared" si="40"/>
        <v>Euribor6M</v>
      </c>
      <c r="H378" s="874" t="str">
        <f t="shared" si="41"/>
        <v>EUR25F25Y_Quote</v>
      </c>
      <c r="I378" s="877">
        <v>0</v>
      </c>
      <c r="J378" s="43"/>
      <c r="L378" s="895" t="str">
        <f t="shared" si="38"/>
        <v>FwdSw</v>
      </c>
      <c r="M378" s="891" t="str">
        <f t="shared" si="39"/>
        <v>--</v>
      </c>
      <c r="N378" s="894" t="str">
        <f ca="1">IFERROR(_xll.qlRateHelperQuoteName(M378,Trigger),"--")</f>
        <v>--</v>
      </c>
      <c r="O378" s="893" t="str">
        <f ca="1">IFERROR(_xll.qlRateHelperQuoteValue($M378,Trigger),"--")</f>
        <v>--</v>
      </c>
      <c r="P378" s="970" t="b">
        <v>0</v>
      </c>
      <c r="Q378" s="891">
        <v>50</v>
      </c>
      <c r="R378" s="891">
        <v>1</v>
      </c>
      <c r="S378" s="890" t="str">
        <f ca="1">IFERROR(_xll.qlRateHelperEarliestDate(M378,Trigger),"--")</f>
        <v>--</v>
      </c>
      <c r="T378" s="890" t="str">
        <f ca="1">IFERROR(_xll.qlRateHelperPillarDate(M378,Trigger),"--")</f>
        <v>--</v>
      </c>
      <c r="V378" s="4" t="str">
        <f t="shared" ca="1" si="37"/>
        <v/>
      </c>
      <c r="W378" s="4" t="e">
        <f ca="1"/>
        <v>#NAME?</v>
      </c>
      <c r="X378" s="4" t="str">
        <f ca="1">IFERROR(_xll.qlRateHelperQuoteName(W378,Trigger),"")</f>
        <v/>
      </c>
      <c r="Y378" s="889" t="str">
        <f ca="1">IFERROR(_xll.qlRateHelperRate(W378,Trigger),"")</f>
        <v/>
      </c>
      <c r="Z378" s="888" t="str">
        <f ca="1">IF(ISERROR(_xll.qlSwapRateHelperSpread($W378)),IF(ISERROR(_xll.qlFuturesRateHelperConvexityAdjustment($W378)),"",_xll.qlFuturesRateHelperConvexityAdjustment($W378)),_xll.qlSwapRateHelperSpread($W378))</f>
        <v/>
      </c>
      <c r="AA378" s="5" t="str">
        <f ca="1">IFERROR(_xll.qlRateHelperEarliestDate(W378,Trigger),"")</f>
        <v/>
      </c>
      <c r="AB378" s="5" t="str">
        <f ca="1">IFERROR(_xll.qlRateHelperPillarDate(W378,Trigger),"")</f>
        <v/>
      </c>
      <c r="AC378" s="887" t="e">
        <f ca="1"/>
        <v>#NAME?</v>
      </c>
    </row>
    <row r="379" spans="1:29" x14ac:dyDescent="0.2">
      <c r="A379" s="874" t="s">
        <v>410</v>
      </c>
      <c r="B379" s="876" t="s">
        <v>26</v>
      </c>
      <c r="C379" s="875" t="s">
        <v>31</v>
      </c>
      <c r="D379" s="875" t="s">
        <v>323</v>
      </c>
      <c r="E379" s="875" t="s">
        <v>322</v>
      </c>
      <c r="F379" s="875" t="s">
        <v>221</v>
      </c>
      <c r="G379" s="875" t="str">
        <f t="shared" si="40"/>
        <v>Euribor6M</v>
      </c>
      <c r="H379" s="874" t="str">
        <f t="shared" si="41"/>
        <v>EUR25F30Y_Quote</v>
      </c>
      <c r="I379" s="877">
        <v>0</v>
      </c>
      <c r="J379" s="43" t="e">
        <f ca="1">_xll.qlSwapRateHelper2(,H379,2,B379,Calendar,D379,E379,F379,G379,I379,C379,Discounting,PillarDate,,Permanent,Trigger,ObjectOverwrite)</f>
        <v>#NAME?</v>
      </c>
      <c r="L379" s="895" t="str">
        <f t="shared" si="38"/>
        <v>FwdSw</v>
      </c>
      <c r="M379" s="891" t="str">
        <f t="shared" si="39"/>
        <v>--</v>
      </c>
      <c r="N379" s="894" t="str">
        <f ca="1">IFERROR(_xll.qlRateHelperQuoteName(M379,Trigger),"--")</f>
        <v>--</v>
      </c>
      <c r="O379" s="893" t="str">
        <f ca="1">IFERROR(_xll.qlRateHelperQuoteValue($M379,Trigger),"--")</f>
        <v>--</v>
      </c>
      <c r="P379" s="970" t="b">
        <v>0</v>
      </c>
      <c r="Q379" s="891">
        <v>50</v>
      </c>
      <c r="R379" s="891">
        <v>1</v>
      </c>
      <c r="S379" s="890" t="str">
        <f ca="1">IFERROR(_xll.qlRateHelperEarliestDate(M379,Trigger),"--")</f>
        <v>--</v>
      </c>
      <c r="T379" s="890" t="str">
        <f ca="1">IFERROR(_xll.qlRateHelperPillarDate(M379,Trigger),"--")</f>
        <v>--</v>
      </c>
      <c r="V379" s="4" t="str">
        <f t="shared" ca="1" si="37"/>
        <v/>
      </c>
      <c r="W379" s="4" t="e">
        <f ca="1"/>
        <v>#NAME?</v>
      </c>
      <c r="X379" s="4" t="str">
        <f ca="1">IFERROR(_xll.qlRateHelperQuoteName(W379,Trigger),"")</f>
        <v/>
      </c>
      <c r="Y379" s="889" t="str">
        <f ca="1">IFERROR(_xll.qlRateHelperRate(W379,Trigger),"")</f>
        <v/>
      </c>
      <c r="Z379" s="888" t="str">
        <f ca="1">IF(ISERROR(_xll.qlSwapRateHelperSpread($W379)),IF(ISERROR(_xll.qlFuturesRateHelperConvexityAdjustment($W379)),"",_xll.qlFuturesRateHelperConvexityAdjustment($W379)),_xll.qlSwapRateHelperSpread($W379))</f>
        <v/>
      </c>
      <c r="AA379" s="5" t="str">
        <f ca="1">IFERROR(_xll.qlRateHelperEarliestDate(W379,Trigger),"")</f>
        <v/>
      </c>
      <c r="AB379" s="5" t="str">
        <f ca="1">IFERROR(_xll.qlRateHelperPillarDate(W379,Trigger),"")</f>
        <v/>
      </c>
      <c r="AC379" s="887" t="e">
        <f ca="1"/>
        <v>#NAME?</v>
      </c>
    </row>
    <row r="380" spans="1:29" x14ac:dyDescent="0.2">
      <c r="A380" s="897" t="s">
        <v>410</v>
      </c>
      <c r="B380" s="899" t="s">
        <v>58</v>
      </c>
      <c r="C380" s="898" t="s">
        <v>26</v>
      </c>
      <c r="D380" s="898" t="s">
        <v>323</v>
      </c>
      <c r="E380" s="898" t="s">
        <v>322</v>
      </c>
      <c r="F380" s="898" t="s">
        <v>221</v>
      </c>
      <c r="G380" s="898" t="str">
        <f t="shared" si="40"/>
        <v>Euribor6M</v>
      </c>
      <c r="H380" s="897" t="str">
        <f t="shared" si="41"/>
        <v>EUR30F1Y_Quote</v>
      </c>
      <c r="I380" s="896">
        <v>0</v>
      </c>
      <c r="J380" s="47"/>
      <c r="L380" s="895" t="str">
        <f t="shared" si="38"/>
        <v>FwdSw</v>
      </c>
      <c r="M380" s="891" t="str">
        <f t="shared" si="39"/>
        <v>--</v>
      </c>
      <c r="N380" s="894" t="str">
        <f ca="1">IFERROR(_xll.qlRateHelperQuoteName(M380,Trigger),"--")</f>
        <v>--</v>
      </c>
      <c r="O380" s="893" t="str">
        <f ca="1">IFERROR(_xll.qlRateHelperQuoteValue($M380,Trigger),"--")</f>
        <v>--</v>
      </c>
      <c r="P380" s="970" t="b">
        <v>0</v>
      </c>
      <c r="Q380" s="891">
        <v>50</v>
      </c>
      <c r="R380" s="891">
        <v>1</v>
      </c>
      <c r="S380" s="890" t="str">
        <f ca="1">IFERROR(_xll.qlRateHelperEarliestDate(M380,Trigger),"--")</f>
        <v>--</v>
      </c>
      <c r="T380" s="890" t="str">
        <f ca="1">IFERROR(_xll.qlRateHelperPillarDate(M380,Trigger),"--")</f>
        <v>--</v>
      </c>
      <c r="V380" s="4" t="str">
        <f t="shared" ca="1" si="37"/>
        <v/>
      </c>
      <c r="W380" s="4" t="e">
        <f ca="1"/>
        <v>#NAME?</v>
      </c>
      <c r="X380" s="4" t="str">
        <f ca="1">IFERROR(_xll.qlRateHelperQuoteName(W380,Trigger),"")</f>
        <v/>
      </c>
      <c r="Y380" s="889" t="str">
        <f ca="1">IFERROR(_xll.qlRateHelperRate(W380,Trigger),"")</f>
        <v/>
      </c>
      <c r="Z380" s="888" t="str">
        <f ca="1">IF(ISERROR(_xll.qlSwapRateHelperSpread($W380)),IF(ISERROR(_xll.qlFuturesRateHelperConvexityAdjustment($W380)),"",_xll.qlFuturesRateHelperConvexityAdjustment($W380)),_xll.qlSwapRateHelperSpread($W380))</f>
        <v/>
      </c>
      <c r="AA380" s="5" t="str">
        <f ca="1">IFERROR(_xll.qlRateHelperEarliestDate(W380,Trigger),"")</f>
        <v/>
      </c>
      <c r="AB380" s="5" t="str">
        <f ca="1">IFERROR(_xll.qlRateHelperPillarDate(W380,Trigger),"")</f>
        <v/>
      </c>
      <c r="AC380" s="887" t="e">
        <f ca="1"/>
        <v>#NAME?</v>
      </c>
    </row>
    <row r="381" spans="1:29" x14ac:dyDescent="0.2">
      <c r="A381" s="874" t="s">
        <v>410</v>
      </c>
      <c r="B381" s="876" t="s">
        <v>54</v>
      </c>
      <c r="C381" s="875" t="s">
        <v>26</v>
      </c>
      <c r="D381" s="875" t="s">
        <v>323</v>
      </c>
      <c r="E381" s="875" t="s">
        <v>322</v>
      </c>
      <c r="F381" s="875" t="s">
        <v>221</v>
      </c>
      <c r="G381" s="875" t="str">
        <f t="shared" si="40"/>
        <v>Euribor6M</v>
      </c>
      <c r="H381" s="874" t="str">
        <f t="shared" si="41"/>
        <v>EUR30F2Y_Quote</v>
      </c>
      <c r="I381" s="877">
        <v>0</v>
      </c>
      <c r="J381" s="43"/>
      <c r="L381" s="895" t="str">
        <f t="shared" si="38"/>
        <v>FwdSw</v>
      </c>
      <c r="M381" s="891" t="str">
        <f t="shared" si="39"/>
        <v>--</v>
      </c>
      <c r="N381" s="894" t="str">
        <f ca="1">IFERROR(_xll.qlRateHelperQuoteName(M381,Trigger),"--")</f>
        <v>--</v>
      </c>
      <c r="O381" s="893" t="str">
        <f ca="1">IFERROR(_xll.qlRateHelperQuoteValue($M381,Trigger),"--")</f>
        <v>--</v>
      </c>
      <c r="P381" s="970" t="b">
        <v>0</v>
      </c>
      <c r="Q381" s="891">
        <v>50</v>
      </c>
      <c r="R381" s="891">
        <v>1</v>
      </c>
      <c r="S381" s="890" t="str">
        <f ca="1">IFERROR(_xll.qlRateHelperEarliestDate(M381,Trigger),"--")</f>
        <v>--</v>
      </c>
      <c r="T381" s="890" t="str">
        <f ca="1">IFERROR(_xll.qlRateHelperPillarDate(M381,Trigger),"--")</f>
        <v>--</v>
      </c>
      <c r="V381" s="4" t="str">
        <f t="shared" ca="1" si="37"/>
        <v/>
      </c>
      <c r="W381" s="4" t="e">
        <f ca="1"/>
        <v>#NAME?</v>
      </c>
      <c r="X381" s="4" t="str">
        <f ca="1">IFERROR(_xll.qlRateHelperQuoteName(W381,Trigger),"")</f>
        <v/>
      </c>
      <c r="Y381" s="889" t="str">
        <f ca="1">IFERROR(_xll.qlRateHelperRate(W381,Trigger),"")</f>
        <v/>
      </c>
      <c r="Z381" s="888" t="str">
        <f ca="1">IF(ISERROR(_xll.qlSwapRateHelperSpread($W381)),IF(ISERROR(_xll.qlFuturesRateHelperConvexityAdjustment($W381)),"",_xll.qlFuturesRateHelperConvexityAdjustment($W381)),_xll.qlSwapRateHelperSpread($W381))</f>
        <v/>
      </c>
      <c r="AA381" s="5" t="str">
        <f ca="1">IFERROR(_xll.qlRateHelperEarliestDate(W381,Trigger),"")</f>
        <v/>
      </c>
      <c r="AB381" s="5" t="str">
        <f ca="1">IFERROR(_xll.qlRateHelperPillarDate(W381,Trigger),"")</f>
        <v/>
      </c>
      <c r="AC381" s="887" t="e">
        <f ca="1"/>
        <v>#NAME?</v>
      </c>
    </row>
    <row r="382" spans="1:29" x14ac:dyDescent="0.2">
      <c r="A382" s="874" t="s">
        <v>410</v>
      </c>
      <c r="B382" s="876" t="s">
        <v>53</v>
      </c>
      <c r="C382" s="875" t="s">
        <v>26</v>
      </c>
      <c r="D382" s="875" t="s">
        <v>323</v>
      </c>
      <c r="E382" s="875" t="s">
        <v>322</v>
      </c>
      <c r="F382" s="875" t="s">
        <v>221</v>
      </c>
      <c r="G382" s="875" t="str">
        <f t="shared" si="40"/>
        <v>Euribor6M</v>
      </c>
      <c r="H382" s="874" t="str">
        <f t="shared" si="41"/>
        <v>EUR30F3Y_Quote</v>
      </c>
      <c r="I382" s="877">
        <v>0</v>
      </c>
      <c r="J382" s="43"/>
      <c r="L382" s="895" t="str">
        <f t="shared" si="38"/>
        <v>FwdSw</v>
      </c>
      <c r="M382" s="891" t="str">
        <f t="shared" si="39"/>
        <v>--</v>
      </c>
      <c r="N382" s="894" t="str">
        <f ca="1">IFERROR(_xll.qlRateHelperQuoteName(M382,Trigger),"--")</f>
        <v>--</v>
      </c>
      <c r="O382" s="893" t="str">
        <f ca="1">IFERROR(_xll.qlRateHelperQuoteValue($M382,Trigger),"--")</f>
        <v>--</v>
      </c>
      <c r="P382" s="970" t="b">
        <v>0</v>
      </c>
      <c r="Q382" s="891">
        <v>50</v>
      </c>
      <c r="R382" s="891">
        <v>1</v>
      </c>
      <c r="S382" s="890" t="str">
        <f ca="1">IFERROR(_xll.qlRateHelperEarliestDate(M382,Trigger),"--")</f>
        <v>--</v>
      </c>
      <c r="T382" s="890" t="str">
        <f ca="1">IFERROR(_xll.qlRateHelperPillarDate(M382,Trigger),"--")</f>
        <v>--</v>
      </c>
      <c r="V382" s="4" t="str">
        <f t="shared" ca="1" si="37"/>
        <v/>
      </c>
      <c r="W382" s="4" t="e">
        <f ca="1"/>
        <v>#NAME?</v>
      </c>
      <c r="X382" s="4" t="str">
        <f ca="1">IFERROR(_xll.qlRateHelperQuoteName(W382,Trigger),"")</f>
        <v/>
      </c>
      <c r="Y382" s="889" t="str">
        <f ca="1">IFERROR(_xll.qlRateHelperRate(W382,Trigger),"")</f>
        <v/>
      </c>
      <c r="Z382" s="888" t="str">
        <f ca="1">IF(ISERROR(_xll.qlSwapRateHelperSpread($W382)),IF(ISERROR(_xll.qlFuturesRateHelperConvexityAdjustment($W382)),"",_xll.qlFuturesRateHelperConvexityAdjustment($W382)),_xll.qlSwapRateHelperSpread($W382))</f>
        <v/>
      </c>
      <c r="AA382" s="5" t="str">
        <f ca="1">IFERROR(_xll.qlRateHelperEarliestDate(W382,Trigger),"")</f>
        <v/>
      </c>
      <c r="AB382" s="5" t="str">
        <f ca="1">IFERROR(_xll.qlRateHelperPillarDate(W382,Trigger),"")</f>
        <v/>
      </c>
      <c r="AC382" s="887" t="e">
        <f ca="1"/>
        <v>#NAME?</v>
      </c>
    </row>
    <row r="383" spans="1:29" x14ac:dyDescent="0.2">
      <c r="A383" s="874" t="s">
        <v>410</v>
      </c>
      <c r="B383" s="876" t="s">
        <v>52</v>
      </c>
      <c r="C383" s="875" t="s">
        <v>26</v>
      </c>
      <c r="D383" s="875" t="s">
        <v>323</v>
      </c>
      <c r="E383" s="875" t="s">
        <v>322</v>
      </c>
      <c r="F383" s="875" t="s">
        <v>221</v>
      </c>
      <c r="G383" s="875" t="str">
        <f t="shared" si="40"/>
        <v>Euribor6M</v>
      </c>
      <c r="H383" s="874" t="str">
        <f t="shared" si="41"/>
        <v>EUR30F4Y_Quote</v>
      </c>
      <c r="I383" s="877">
        <v>0</v>
      </c>
      <c r="J383" s="43"/>
      <c r="L383" s="895" t="str">
        <f t="shared" si="38"/>
        <v>FwdSw</v>
      </c>
      <c r="M383" s="891" t="str">
        <f t="shared" si="39"/>
        <v>--</v>
      </c>
      <c r="N383" s="894" t="str">
        <f ca="1">IFERROR(_xll.qlRateHelperQuoteName(M383,Trigger),"--")</f>
        <v>--</v>
      </c>
      <c r="O383" s="893" t="str">
        <f ca="1">IFERROR(_xll.qlRateHelperQuoteValue($M383,Trigger),"--")</f>
        <v>--</v>
      </c>
      <c r="P383" s="970" t="b">
        <v>0</v>
      </c>
      <c r="Q383" s="891">
        <v>50</v>
      </c>
      <c r="R383" s="891">
        <v>1</v>
      </c>
      <c r="S383" s="890" t="str">
        <f ca="1">IFERROR(_xll.qlRateHelperEarliestDate(M383,Trigger),"--")</f>
        <v>--</v>
      </c>
      <c r="T383" s="890" t="str">
        <f ca="1">IFERROR(_xll.qlRateHelperPillarDate(M383,Trigger),"--")</f>
        <v>--</v>
      </c>
      <c r="V383" s="4" t="str">
        <f t="shared" ca="1" si="37"/>
        <v/>
      </c>
      <c r="W383" s="4" t="e">
        <f ca="1"/>
        <v>#NAME?</v>
      </c>
      <c r="X383" s="4" t="str">
        <f ca="1">IFERROR(_xll.qlRateHelperQuoteName(W383,Trigger),"")</f>
        <v/>
      </c>
      <c r="Y383" s="889" t="str">
        <f ca="1">IFERROR(_xll.qlRateHelperRate(W383,Trigger),"")</f>
        <v/>
      </c>
      <c r="Z383" s="888" t="str">
        <f ca="1">IF(ISERROR(_xll.qlSwapRateHelperSpread($W383)),IF(ISERROR(_xll.qlFuturesRateHelperConvexityAdjustment($W383)),"",_xll.qlFuturesRateHelperConvexityAdjustment($W383)),_xll.qlSwapRateHelperSpread($W383))</f>
        <v/>
      </c>
      <c r="AA383" s="5" t="str">
        <f ca="1">IFERROR(_xll.qlRateHelperEarliestDate(W383,Trigger),"")</f>
        <v/>
      </c>
      <c r="AB383" s="5" t="str">
        <f ca="1">IFERROR(_xll.qlRateHelperPillarDate(W383,Trigger),"")</f>
        <v/>
      </c>
      <c r="AC383" s="887" t="e">
        <f ca="1"/>
        <v>#NAME?</v>
      </c>
    </row>
    <row r="384" spans="1:29" x14ac:dyDescent="0.2">
      <c r="A384" s="874" t="s">
        <v>410</v>
      </c>
      <c r="B384" s="876" t="s">
        <v>51</v>
      </c>
      <c r="C384" s="875" t="s">
        <v>26</v>
      </c>
      <c r="D384" s="875" t="s">
        <v>323</v>
      </c>
      <c r="E384" s="875" t="s">
        <v>322</v>
      </c>
      <c r="F384" s="875" t="s">
        <v>221</v>
      </c>
      <c r="G384" s="875" t="str">
        <f t="shared" si="40"/>
        <v>Euribor6M</v>
      </c>
      <c r="H384" s="874" t="str">
        <f t="shared" si="41"/>
        <v>EUR30F5Y_Quote</v>
      </c>
      <c r="I384" s="877">
        <v>0</v>
      </c>
      <c r="J384" s="43"/>
      <c r="L384" s="895" t="str">
        <f t="shared" si="38"/>
        <v>FwdSw</v>
      </c>
      <c r="M384" s="891" t="str">
        <f t="shared" si="39"/>
        <v>--</v>
      </c>
      <c r="N384" s="894" t="str">
        <f ca="1">IFERROR(_xll.qlRateHelperQuoteName(M384,Trigger),"--")</f>
        <v>--</v>
      </c>
      <c r="O384" s="893" t="str">
        <f ca="1">IFERROR(_xll.qlRateHelperQuoteValue($M384,Trigger),"--")</f>
        <v>--</v>
      </c>
      <c r="P384" s="970" t="b">
        <v>0</v>
      </c>
      <c r="Q384" s="891">
        <v>50</v>
      </c>
      <c r="R384" s="891">
        <v>1</v>
      </c>
      <c r="S384" s="890" t="str">
        <f ca="1">IFERROR(_xll.qlRateHelperEarliestDate(M384,Trigger),"--")</f>
        <v>--</v>
      </c>
      <c r="T384" s="890" t="str">
        <f ca="1">IFERROR(_xll.qlRateHelperPillarDate(M384,Trigger),"--")</f>
        <v>--</v>
      </c>
      <c r="V384" s="4" t="str">
        <f t="shared" ca="1" si="37"/>
        <v/>
      </c>
      <c r="W384" s="4" t="e">
        <f ca="1"/>
        <v>#NAME?</v>
      </c>
      <c r="X384" s="4" t="str">
        <f ca="1">IFERROR(_xll.qlRateHelperQuoteName(W384,Trigger),"")</f>
        <v/>
      </c>
      <c r="Y384" s="889" t="str">
        <f ca="1">IFERROR(_xll.qlRateHelperRate(W384,Trigger),"")</f>
        <v/>
      </c>
      <c r="Z384" s="888" t="str">
        <f ca="1">IF(ISERROR(_xll.qlSwapRateHelperSpread($W384)),IF(ISERROR(_xll.qlFuturesRateHelperConvexityAdjustment($W384)),"",_xll.qlFuturesRateHelperConvexityAdjustment($W384)),_xll.qlSwapRateHelperSpread($W384))</f>
        <v/>
      </c>
      <c r="AA384" s="5" t="str">
        <f ca="1">IFERROR(_xll.qlRateHelperEarliestDate(W384,Trigger),"")</f>
        <v/>
      </c>
      <c r="AB384" s="5" t="str">
        <f ca="1">IFERROR(_xll.qlRateHelperPillarDate(W384,Trigger),"")</f>
        <v/>
      </c>
      <c r="AC384" s="887" t="e">
        <f ca="1"/>
        <v>#NAME?</v>
      </c>
    </row>
    <row r="385" spans="1:29" x14ac:dyDescent="0.2">
      <c r="A385" s="874" t="s">
        <v>410</v>
      </c>
      <c r="B385" s="876" t="s">
        <v>50</v>
      </c>
      <c r="C385" s="875" t="s">
        <v>26</v>
      </c>
      <c r="D385" s="875" t="s">
        <v>323</v>
      </c>
      <c r="E385" s="875" t="s">
        <v>322</v>
      </c>
      <c r="F385" s="875" t="s">
        <v>221</v>
      </c>
      <c r="G385" s="875" t="str">
        <f t="shared" si="40"/>
        <v>Euribor6M</v>
      </c>
      <c r="H385" s="874" t="str">
        <f t="shared" si="41"/>
        <v>EUR30F6Y_Quote</v>
      </c>
      <c r="I385" s="877">
        <v>0</v>
      </c>
      <c r="J385" s="43"/>
      <c r="L385" s="895" t="str">
        <f t="shared" si="38"/>
        <v>FwdSw</v>
      </c>
      <c r="M385" s="891" t="str">
        <f t="shared" si="39"/>
        <v>--</v>
      </c>
      <c r="N385" s="894" t="str">
        <f ca="1">IFERROR(_xll.qlRateHelperQuoteName(M385,Trigger),"--")</f>
        <v>--</v>
      </c>
      <c r="O385" s="893" t="str">
        <f ca="1">IFERROR(_xll.qlRateHelperQuoteValue($M385,Trigger),"--")</f>
        <v>--</v>
      </c>
      <c r="P385" s="970" t="b">
        <v>0</v>
      </c>
      <c r="Q385" s="891">
        <v>50</v>
      </c>
      <c r="R385" s="891">
        <v>1</v>
      </c>
      <c r="S385" s="890" t="str">
        <f ca="1">IFERROR(_xll.qlRateHelperEarliestDate(M385,Trigger),"--")</f>
        <v>--</v>
      </c>
      <c r="T385" s="890" t="str">
        <f ca="1">IFERROR(_xll.qlRateHelperPillarDate(M385,Trigger),"--")</f>
        <v>--</v>
      </c>
      <c r="V385" s="4" t="str">
        <f t="shared" ca="1" si="37"/>
        <v/>
      </c>
      <c r="W385" s="4" t="e">
        <f ca="1"/>
        <v>#NAME?</v>
      </c>
      <c r="X385" s="4" t="str">
        <f ca="1">IFERROR(_xll.qlRateHelperQuoteName(W385,Trigger),"")</f>
        <v/>
      </c>
      <c r="Y385" s="889" t="str">
        <f ca="1">IFERROR(_xll.qlRateHelperRate(W385,Trigger),"")</f>
        <v/>
      </c>
      <c r="Z385" s="888" t="str">
        <f ca="1">IF(ISERROR(_xll.qlSwapRateHelperSpread($W385)),IF(ISERROR(_xll.qlFuturesRateHelperConvexityAdjustment($W385)),"",_xll.qlFuturesRateHelperConvexityAdjustment($W385)),_xll.qlSwapRateHelperSpread($W385))</f>
        <v/>
      </c>
      <c r="AA385" s="5" t="str">
        <f ca="1">IFERROR(_xll.qlRateHelperEarliestDate(W385,Trigger),"")</f>
        <v/>
      </c>
      <c r="AB385" s="5" t="str">
        <f ca="1">IFERROR(_xll.qlRateHelperPillarDate(W385,Trigger),"")</f>
        <v/>
      </c>
      <c r="AC385" s="887" t="e">
        <f ca="1"/>
        <v>#NAME?</v>
      </c>
    </row>
    <row r="386" spans="1:29" x14ac:dyDescent="0.2">
      <c r="A386" s="874" t="s">
        <v>410</v>
      </c>
      <c r="B386" s="876" t="s">
        <v>49</v>
      </c>
      <c r="C386" s="875" t="s">
        <v>26</v>
      </c>
      <c r="D386" s="875" t="s">
        <v>323</v>
      </c>
      <c r="E386" s="875" t="s">
        <v>322</v>
      </c>
      <c r="F386" s="875" t="s">
        <v>221</v>
      </c>
      <c r="G386" s="875" t="str">
        <f t="shared" si="40"/>
        <v>Euribor6M</v>
      </c>
      <c r="H386" s="874" t="str">
        <f t="shared" si="41"/>
        <v>EUR30F7Y_Quote</v>
      </c>
      <c r="I386" s="877">
        <v>0</v>
      </c>
      <c r="J386" s="43"/>
      <c r="L386" s="895" t="str">
        <f t="shared" si="38"/>
        <v>FwdSw</v>
      </c>
      <c r="M386" s="891" t="str">
        <f t="shared" si="39"/>
        <v>--</v>
      </c>
      <c r="N386" s="894" t="str">
        <f ca="1">IFERROR(_xll.qlRateHelperQuoteName(M386,Trigger),"--")</f>
        <v>--</v>
      </c>
      <c r="O386" s="893" t="str">
        <f ca="1">IFERROR(_xll.qlRateHelperQuoteValue($M386,Trigger),"--")</f>
        <v>--</v>
      </c>
      <c r="P386" s="970" t="b">
        <v>0</v>
      </c>
      <c r="Q386" s="891">
        <v>50</v>
      </c>
      <c r="R386" s="891">
        <v>1</v>
      </c>
      <c r="S386" s="890" t="str">
        <f ca="1">IFERROR(_xll.qlRateHelperEarliestDate(M386,Trigger),"--")</f>
        <v>--</v>
      </c>
      <c r="T386" s="890" t="str">
        <f ca="1">IFERROR(_xll.qlRateHelperPillarDate(M386,Trigger),"--")</f>
        <v>--</v>
      </c>
      <c r="V386" s="4" t="str">
        <f t="shared" ca="1" si="37"/>
        <v/>
      </c>
      <c r="W386" s="4" t="e">
        <f ca="1"/>
        <v>#NAME?</v>
      </c>
      <c r="X386" s="4" t="str">
        <f ca="1">IFERROR(_xll.qlRateHelperQuoteName(W386,Trigger),"")</f>
        <v/>
      </c>
      <c r="Y386" s="889" t="str">
        <f ca="1">IFERROR(_xll.qlRateHelperRate(W386,Trigger),"")</f>
        <v/>
      </c>
      <c r="Z386" s="888" t="str">
        <f ca="1">IF(ISERROR(_xll.qlSwapRateHelperSpread($W386)),IF(ISERROR(_xll.qlFuturesRateHelperConvexityAdjustment($W386)),"",_xll.qlFuturesRateHelperConvexityAdjustment($W386)),_xll.qlSwapRateHelperSpread($W386))</f>
        <v/>
      </c>
      <c r="AA386" s="5" t="str">
        <f ca="1">IFERROR(_xll.qlRateHelperEarliestDate(W386,Trigger),"")</f>
        <v/>
      </c>
      <c r="AB386" s="5" t="str">
        <f ca="1">IFERROR(_xll.qlRateHelperPillarDate(W386,Trigger),"")</f>
        <v/>
      </c>
      <c r="AC386" s="887" t="e">
        <f ca="1"/>
        <v>#NAME?</v>
      </c>
    </row>
    <row r="387" spans="1:29" x14ac:dyDescent="0.2">
      <c r="A387" s="874" t="s">
        <v>410</v>
      </c>
      <c r="B387" s="876" t="s">
        <v>48</v>
      </c>
      <c r="C387" s="875" t="s">
        <v>26</v>
      </c>
      <c r="D387" s="875" t="s">
        <v>323</v>
      </c>
      <c r="E387" s="875" t="s">
        <v>322</v>
      </c>
      <c r="F387" s="875" t="s">
        <v>221</v>
      </c>
      <c r="G387" s="875" t="str">
        <f t="shared" si="40"/>
        <v>Euribor6M</v>
      </c>
      <c r="H387" s="874" t="str">
        <f t="shared" si="41"/>
        <v>EUR30F8Y_Quote</v>
      </c>
      <c r="I387" s="877">
        <v>0</v>
      </c>
      <c r="J387" s="43"/>
      <c r="L387" s="895" t="str">
        <f t="shared" si="38"/>
        <v>FwdSw</v>
      </c>
      <c r="M387" s="891" t="str">
        <f t="shared" si="39"/>
        <v>--</v>
      </c>
      <c r="N387" s="894" t="str">
        <f ca="1">IFERROR(_xll.qlRateHelperQuoteName(M387,Trigger),"--")</f>
        <v>--</v>
      </c>
      <c r="O387" s="893" t="str">
        <f ca="1">IFERROR(_xll.qlRateHelperQuoteValue($M387,Trigger),"--")</f>
        <v>--</v>
      </c>
      <c r="P387" s="970" t="b">
        <v>0</v>
      </c>
      <c r="Q387" s="891">
        <v>50</v>
      </c>
      <c r="R387" s="891">
        <v>1</v>
      </c>
      <c r="S387" s="890" t="str">
        <f ca="1">IFERROR(_xll.qlRateHelperEarliestDate(M387,Trigger),"--")</f>
        <v>--</v>
      </c>
      <c r="T387" s="890" t="str">
        <f ca="1">IFERROR(_xll.qlRateHelperPillarDate(M387,Trigger),"--")</f>
        <v>--</v>
      </c>
      <c r="V387" s="4" t="str">
        <f t="shared" ca="1" si="37"/>
        <v/>
      </c>
      <c r="W387" s="4" t="e">
        <f ca="1"/>
        <v>#NAME?</v>
      </c>
      <c r="X387" s="4" t="str">
        <f ca="1">IFERROR(_xll.qlRateHelperQuoteName(W387,Trigger),"")</f>
        <v/>
      </c>
      <c r="Y387" s="889" t="str">
        <f ca="1">IFERROR(_xll.qlRateHelperRate(W387,Trigger),"")</f>
        <v/>
      </c>
      <c r="Z387" s="888" t="str">
        <f ca="1">IF(ISERROR(_xll.qlSwapRateHelperSpread($W387)),IF(ISERROR(_xll.qlFuturesRateHelperConvexityAdjustment($W387)),"",_xll.qlFuturesRateHelperConvexityAdjustment($W387)),_xll.qlSwapRateHelperSpread($W387))</f>
        <v/>
      </c>
      <c r="AA387" s="5" t="str">
        <f ca="1">IFERROR(_xll.qlRateHelperEarliestDate(W387,Trigger),"")</f>
        <v/>
      </c>
      <c r="AB387" s="5" t="str">
        <f ca="1">IFERROR(_xll.qlRateHelperPillarDate(W387,Trigger),"")</f>
        <v/>
      </c>
      <c r="AC387" s="887" t="e">
        <f ca="1"/>
        <v>#NAME?</v>
      </c>
    </row>
    <row r="388" spans="1:29" x14ac:dyDescent="0.2">
      <c r="A388" s="874" t="s">
        <v>410</v>
      </c>
      <c r="B388" s="876" t="s">
        <v>47</v>
      </c>
      <c r="C388" s="875" t="s">
        <v>26</v>
      </c>
      <c r="D388" s="875" t="s">
        <v>323</v>
      </c>
      <c r="E388" s="875" t="s">
        <v>322</v>
      </c>
      <c r="F388" s="875" t="s">
        <v>221</v>
      </c>
      <c r="G388" s="875" t="str">
        <f t="shared" si="40"/>
        <v>Euribor6M</v>
      </c>
      <c r="H388" s="874" t="str">
        <f t="shared" si="41"/>
        <v>EUR30F9Y_Quote</v>
      </c>
      <c r="I388" s="877">
        <v>0</v>
      </c>
      <c r="J388" s="43"/>
      <c r="L388" s="895" t="str">
        <f t="shared" ref="L388:L391" si="42">A394</f>
        <v>FwdSw</v>
      </c>
      <c r="M388" s="891" t="str">
        <f t="shared" ref="M388:M391" si="43">IF(ISBLANK(J394),"--",J394)</f>
        <v>--</v>
      </c>
      <c r="N388" s="894" t="str">
        <f ca="1">IFERROR(_xll.qlRateHelperQuoteName(M388,Trigger),"--")</f>
        <v>--</v>
      </c>
      <c r="O388" s="893" t="str">
        <f ca="1">IFERROR(_xll.qlRateHelperQuoteValue($M388,Trigger),"--")</f>
        <v>--</v>
      </c>
      <c r="P388" s="970" t="b">
        <v>0</v>
      </c>
      <c r="Q388" s="891">
        <v>50</v>
      </c>
      <c r="R388" s="891">
        <v>1</v>
      </c>
      <c r="S388" s="890" t="str">
        <f ca="1">IFERROR(_xll.qlRateHelperEarliestDate(M388,Trigger),"--")</f>
        <v>--</v>
      </c>
      <c r="T388" s="890" t="str">
        <f ca="1">IFERROR(_xll.qlRateHelperPillarDate(M388,Trigger),"--")</f>
        <v>--</v>
      </c>
      <c r="V388" s="4" t="str">
        <f t="shared" ca="1" si="37"/>
        <v/>
      </c>
      <c r="W388" s="4" t="e">
        <f ca="1"/>
        <v>#NAME?</v>
      </c>
      <c r="X388" s="4" t="str">
        <f ca="1">IFERROR(_xll.qlRateHelperQuoteName(W388,Trigger),"")</f>
        <v/>
      </c>
      <c r="Y388" s="889" t="str">
        <f ca="1">IFERROR(_xll.qlRateHelperRate(W388,Trigger),"")</f>
        <v/>
      </c>
      <c r="Z388" s="888" t="str">
        <f ca="1">IF(ISERROR(_xll.qlSwapRateHelperSpread($W388)),IF(ISERROR(_xll.qlFuturesRateHelperConvexityAdjustment($W388)),"",_xll.qlFuturesRateHelperConvexityAdjustment($W388)),_xll.qlSwapRateHelperSpread($W388))</f>
        <v/>
      </c>
      <c r="AA388" s="5" t="str">
        <f ca="1">IFERROR(_xll.qlRateHelperEarliestDate(W388,Trigger),"")</f>
        <v/>
      </c>
      <c r="AB388" s="5" t="str">
        <f ca="1">IFERROR(_xll.qlRateHelperPillarDate(W388,Trigger),"")</f>
        <v/>
      </c>
      <c r="AC388" s="887" t="e">
        <f ca="1"/>
        <v>#NAME?</v>
      </c>
    </row>
    <row r="389" spans="1:29" x14ac:dyDescent="0.2">
      <c r="A389" s="874" t="s">
        <v>410</v>
      </c>
      <c r="B389" s="876" t="s">
        <v>46</v>
      </c>
      <c r="C389" s="875" t="s">
        <v>26</v>
      </c>
      <c r="D389" s="875" t="s">
        <v>323</v>
      </c>
      <c r="E389" s="875" t="s">
        <v>322</v>
      </c>
      <c r="F389" s="875" t="s">
        <v>221</v>
      </c>
      <c r="G389" s="875" t="str">
        <f t="shared" si="40"/>
        <v>Euribor6M</v>
      </c>
      <c r="H389" s="874" t="str">
        <f t="shared" si="41"/>
        <v>EUR30F10Y_Quote</v>
      </c>
      <c r="I389" s="877">
        <v>0</v>
      </c>
      <c r="J389" s="43"/>
      <c r="L389" s="895" t="str">
        <f t="shared" si="42"/>
        <v>FwdSw</v>
      </c>
      <c r="M389" s="891" t="str">
        <f t="shared" si="43"/>
        <v>--</v>
      </c>
      <c r="N389" s="894" t="str">
        <f ca="1">IFERROR(_xll.qlRateHelperQuoteName(M389,Trigger),"--")</f>
        <v>--</v>
      </c>
      <c r="O389" s="893" t="str">
        <f ca="1">IFERROR(_xll.qlRateHelperQuoteValue($M389,Trigger),"--")</f>
        <v>--</v>
      </c>
      <c r="P389" s="970" t="b">
        <v>0</v>
      </c>
      <c r="Q389" s="891">
        <v>50</v>
      </c>
      <c r="R389" s="891">
        <v>1</v>
      </c>
      <c r="S389" s="890" t="str">
        <f ca="1">IFERROR(_xll.qlRateHelperEarliestDate(M389,Trigger),"--")</f>
        <v>--</v>
      </c>
      <c r="T389" s="890" t="str">
        <f ca="1">IFERROR(_xll.qlRateHelperPillarDate(M389,Trigger),"--")</f>
        <v>--</v>
      </c>
      <c r="V389" s="4" t="str">
        <f t="shared" ca="1" si="37"/>
        <v/>
      </c>
      <c r="W389" s="4" t="e">
        <f ca="1"/>
        <v>#NAME?</v>
      </c>
      <c r="X389" s="4" t="str">
        <f ca="1">IFERROR(_xll.qlRateHelperQuoteName(W389,Trigger),"")</f>
        <v/>
      </c>
      <c r="Y389" s="889" t="str">
        <f ca="1">IFERROR(_xll.qlRateHelperRate(W389,Trigger),"")</f>
        <v/>
      </c>
      <c r="Z389" s="888" t="str">
        <f ca="1">IF(ISERROR(_xll.qlSwapRateHelperSpread($W389)),IF(ISERROR(_xll.qlFuturesRateHelperConvexityAdjustment($W389)),"",_xll.qlFuturesRateHelperConvexityAdjustment($W389)),_xll.qlSwapRateHelperSpread($W389))</f>
        <v/>
      </c>
      <c r="AA389" s="5" t="str">
        <f ca="1">IFERROR(_xll.qlRateHelperEarliestDate(W389,Trigger),"")</f>
        <v/>
      </c>
      <c r="AB389" s="5" t="str">
        <f ca="1">IFERROR(_xll.qlRateHelperPillarDate(W389,Trigger),"")</f>
        <v/>
      </c>
      <c r="AC389" s="887" t="e">
        <f ca="1"/>
        <v>#NAME?</v>
      </c>
    </row>
    <row r="390" spans="1:29" x14ac:dyDescent="0.2">
      <c r="A390" s="874" t="s">
        <v>410</v>
      </c>
      <c r="B390" s="876" t="s">
        <v>45</v>
      </c>
      <c r="C390" s="875" t="s">
        <v>26</v>
      </c>
      <c r="D390" s="875" t="s">
        <v>323</v>
      </c>
      <c r="E390" s="875" t="s">
        <v>322</v>
      </c>
      <c r="F390" s="875" t="s">
        <v>221</v>
      </c>
      <c r="G390" s="875" t="str">
        <f t="shared" si="40"/>
        <v>Euribor6M</v>
      </c>
      <c r="H390" s="874" t="str">
        <f t="shared" si="41"/>
        <v>EUR30F11Y_Quote</v>
      </c>
      <c r="I390" s="877">
        <v>0</v>
      </c>
      <c r="J390" s="43"/>
      <c r="L390" s="895" t="str">
        <f t="shared" si="42"/>
        <v>FwdSw</v>
      </c>
      <c r="M390" s="891" t="str">
        <f t="shared" si="43"/>
        <v>--</v>
      </c>
      <c r="N390" s="894" t="str">
        <f ca="1">IFERROR(_xll.qlRateHelperQuoteName(M390,Trigger),"--")</f>
        <v>--</v>
      </c>
      <c r="O390" s="893" t="str">
        <f ca="1">IFERROR(_xll.qlRateHelperQuoteValue($M390,Trigger),"--")</f>
        <v>--</v>
      </c>
      <c r="P390" s="970" t="b">
        <v>0</v>
      </c>
      <c r="Q390" s="891">
        <v>50</v>
      </c>
      <c r="R390" s="891">
        <v>1</v>
      </c>
      <c r="S390" s="890" t="str">
        <f ca="1">IFERROR(_xll.qlRateHelperEarliestDate(M390,Trigger),"--")</f>
        <v>--</v>
      </c>
      <c r="T390" s="890" t="str">
        <f ca="1">IFERROR(_xll.qlRateHelperPillarDate(M390,Trigger),"--")</f>
        <v>--</v>
      </c>
      <c r="V390" s="4" t="str">
        <f t="shared" ca="1" si="37"/>
        <v/>
      </c>
      <c r="W390" s="4" t="e">
        <f ca="1"/>
        <v>#NAME?</v>
      </c>
      <c r="X390" s="4" t="str">
        <f ca="1">IFERROR(_xll.qlRateHelperQuoteName(W390,Trigger),"")</f>
        <v/>
      </c>
      <c r="Y390" s="889" t="str">
        <f ca="1">IFERROR(_xll.qlRateHelperRate(W390,Trigger),"")</f>
        <v/>
      </c>
      <c r="Z390" s="888" t="str">
        <f ca="1">IF(ISERROR(_xll.qlSwapRateHelperSpread($W390)),IF(ISERROR(_xll.qlFuturesRateHelperConvexityAdjustment($W390)),"",_xll.qlFuturesRateHelperConvexityAdjustment($W390)),_xll.qlSwapRateHelperSpread($W390))</f>
        <v/>
      </c>
      <c r="AA390" s="5" t="str">
        <f ca="1">IFERROR(_xll.qlRateHelperEarliestDate(W390,Trigger),"")</f>
        <v/>
      </c>
      <c r="AB390" s="5" t="str">
        <f ca="1">IFERROR(_xll.qlRateHelperPillarDate(W390,Trigger),"")</f>
        <v/>
      </c>
      <c r="AC390" s="887" t="e">
        <f ca="1"/>
        <v>#NAME?</v>
      </c>
    </row>
    <row r="391" spans="1:29" x14ac:dyDescent="0.2">
      <c r="A391" s="874" t="s">
        <v>410</v>
      </c>
      <c r="B391" s="876" t="s">
        <v>44</v>
      </c>
      <c r="C391" s="875" t="s">
        <v>26</v>
      </c>
      <c r="D391" s="875" t="s">
        <v>323</v>
      </c>
      <c r="E391" s="875" t="s">
        <v>322</v>
      </c>
      <c r="F391" s="875" t="s">
        <v>221</v>
      </c>
      <c r="G391" s="875" t="str">
        <f t="shared" si="40"/>
        <v>Euribor6M</v>
      </c>
      <c r="H391" s="874" t="str">
        <f t="shared" si="41"/>
        <v>EUR30F12Y_Quote</v>
      </c>
      <c r="I391" s="877">
        <v>0</v>
      </c>
      <c r="J391" s="43"/>
      <c r="L391" s="886" t="str">
        <f t="shared" si="42"/>
        <v>FwdSw</v>
      </c>
      <c r="M391" s="882" t="str">
        <f t="shared" si="43"/>
        <v>--</v>
      </c>
      <c r="N391" s="885" t="str">
        <f ca="1">IFERROR(_xll.qlRateHelperQuoteName(M391,Trigger),"--")</f>
        <v>--</v>
      </c>
      <c r="O391" s="884" t="str">
        <f ca="1">IFERROR(_xll.qlRateHelperQuoteValue($M391,Trigger),"--")</f>
        <v>--</v>
      </c>
      <c r="P391" s="969" t="b">
        <v>0</v>
      </c>
      <c r="Q391" s="882">
        <v>50</v>
      </c>
      <c r="R391" s="882">
        <v>1</v>
      </c>
      <c r="S391" s="881" t="str">
        <f ca="1">IFERROR(_xll.qlRateHelperEarliestDate(M391,Trigger),"--")</f>
        <v>--</v>
      </c>
      <c r="T391" s="881" t="str">
        <f ca="1">IFERROR(_xll.qlRateHelperPillarDate(M391,Trigger),"--")</f>
        <v>--</v>
      </c>
      <c r="V391" s="2" t="str">
        <f t="shared" ca="1" si="37"/>
        <v/>
      </c>
      <c r="W391" s="2" t="e">
        <f ca="1"/>
        <v>#NAME?</v>
      </c>
      <c r="X391" s="2" t="str">
        <f ca="1">IFERROR(_xll.qlRateHelperQuoteName(W391,Trigger),"")</f>
        <v/>
      </c>
      <c r="Y391" s="880" t="str">
        <f ca="1">IFERROR(_xll.qlRateHelperRate(W391,Trigger),"")</f>
        <v/>
      </c>
      <c r="Z391" s="879" t="str">
        <f ca="1">IF(ISERROR(_xll.qlSwapRateHelperSpread($W391)),IF(ISERROR(_xll.qlFuturesRateHelperConvexityAdjustment($W391)),"",_xll.qlFuturesRateHelperConvexityAdjustment($W391)),_xll.qlSwapRateHelperSpread($W391))</f>
        <v/>
      </c>
      <c r="AA391" s="3" t="str">
        <f ca="1">IFERROR(_xll.qlRateHelperEarliestDate(W391,Trigger),"")</f>
        <v/>
      </c>
      <c r="AB391" s="3" t="str">
        <f ca="1">IFERROR(_xll.qlRateHelperPillarDate(W391,Trigger),"")</f>
        <v/>
      </c>
      <c r="AC391" s="878" t="e">
        <f ca="1"/>
        <v>#NAME?</v>
      </c>
    </row>
    <row r="392" spans="1:29" x14ac:dyDescent="0.2">
      <c r="A392" s="874" t="s">
        <v>410</v>
      </c>
      <c r="B392" s="876" t="s">
        <v>43</v>
      </c>
      <c r="C392" s="875" t="s">
        <v>26</v>
      </c>
      <c r="D392" s="875" t="s">
        <v>323</v>
      </c>
      <c r="E392" s="875" t="s">
        <v>322</v>
      </c>
      <c r="F392" s="875" t="s">
        <v>221</v>
      </c>
      <c r="G392" s="875" t="str">
        <f t="shared" si="40"/>
        <v>Euribor6M</v>
      </c>
      <c r="H392" s="874" t="str">
        <f t="shared" si="41"/>
        <v>EUR30F13Y_Quote</v>
      </c>
      <c r="I392" s="877">
        <v>0</v>
      </c>
      <c r="J392" s="43"/>
    </row>
    <row r="393" spans="1:29" x14ac:dyDescent="0.2">
      <c r="A393" s="874" t="s">
        <v>410</v>
      </c>
      <c r="B393" s="876" t="s">
        <v>42</v>
      </c>
      <c r="C393" s="875" t="s">
        <v>26</v>
      </c>
      <c r="D393" s="875" t="s">
        <v>323</v>
      </c>
      <c r="E393" s="875" t="s">
        <v>322</v>
      </c>
      <c r="F393" s="875" t="s">
        <v>221</v>
      </c>
      <c r="G393" s="875" t="str">
        <f t="shared" si="40"/>
        <v>Euribor6M</v>
      </c>
      <c r="H393" s="874" t="str">
        <f t="shared" si="41"/>
        <v>EUR30F14Y_Quote</v>
      </c>
      <c r="I393" s="877">
        <v>0</v>
      </c>
      <c r="J393" s="43"/>
    </row>
    <row r="394" spans="1:29" x14ac:dyDescent="0.2">
      <c r="A394" s="874" t="s">
        <v>410</v>
      </c>
      <c r="B394" s="876" t="s">
        <v>41</v>
      </c>
      <c r="C394" s="875" t="s">
        <v>26</v>
      </c>
      <c r="D394" s="875" t="s">
        <v>323</v>
      </c>
      <c r="E394" s="875" t="s">
        <v>322</v>
      </c>
      <c r="F394" s="875" t="s">
        <v>221</v>
      </c>
      <c r="G394" s="875" t="str">
        <f t="shared" si="40"/>
        <v>Euribor6M</v>
      </c>
      <c r="H394" s="874" t="str">
        <f t="shared" si="41"/>
        <v>EUR30F15Y_Quote</v>
      </c>
      <c r="I394" s="877">
        <v>0</v>
      </c>
      <c r="J394" s="43"/>
    </row>
    <row r="395" spans="1:29" x14ac:dyDescent="0.2">
      <c r="A395" s="874" t="s">
        <v>410</v>
      </c>
      <c r="B395" s="876" t="s">
        <v>36</v>
      </c>
      <c r="C395" s="875" t="s">
        <v>26</v>
      </c>
      <c r="D395" s="875" t="s">
        <v>323</v>
      </c>
      <c r="E395" s="875" t="s">
        <v>322</v>
      </c>
      <c r="F395" s="875" t="s">
        <v>221</v>
      </c>
      <c r="G395" s="875" t="str">
        <f t="shared" si="40"/>
        <v>Euribor6M</v>
      </c>
      <c r="H395" s="874" t="str">
        <f t="shared" si="41"/>
        <v>EUR30F20Y_Quote</v>
      </c>
      <c r="I395" s="877">
        <v>0</v>
      </c>
      <c r="J395" s="43"/>
    </row>
    <row r="396" spans="1:29" x14ac:dyDescent="0.2">
      <c r="A396" s="874" t="s">
        <v>410</v>
      </c>
      <c r="B396" s="876" t="s">
        <v>31</v>
      </c>
      <c r="C396" s="875" t="s">
        <v>26</v>
      </c>
      <c r="D396" s="875" t="s">
        <v>323</v>
      </c>
      <c r="E396" s="875" t="s">
        <v>322</v>
      </c>
      <c r="F396" s="875" t="s">
        <v>221</v>
      </c>
      <c r="G396" s="875" t="str">
        <f t="shared" si="40"/>
        <v>Euribor6M</v>
      </c>
      <c r="H396" s="874" t="str">
        <f t="shared" si="41"/>
        <v>EUR30F25Y_Quote</v>
      </c>
      <c r="I396" s="877">
        <v>0</v>
      </c>
      <c r="J396" s="43"/>
    </row>
    <row r="397" spans="1:29" x14ac:dyDescent="0.2">
      <c r="A397" s="870" t="s">
        <v>410</v>
      </c>
      <c r="B397" s="872" t="s">
        <v>26</v>
      </c>
      <c r="C397" s="871" t="s">
        <v>26</v>
      </c>
      <c r="D397" s="871" t="s">
        <v>323</v>
      </c>
      <c r="E397" s="871" t="s">
        <v>322</v>
      </c>
      <c r="F397" s="871" t="s">
        <v>221</v>
      </c>
      <c r="G397" s="871" t="str">
        <f t="shared" si="40"/>
        <v>Euribor6M</v>
      </c>
      <c r="H397" s="870" t="str">
        <f t="shared" si="41"/>
        <v>EUR30F30Y_Quote</v>
      </c>
      <c r="I397" s="985">
        <v>0</v>
      </c>
      <c r="J397" s="38"/>
    </row>
  </sheetData>
  <dataValidations count="4">
    <dataValidation type="list" allowBlank="1" showInputMessage="1" showErrorMessage="1" sqref="D35:D71 D74:D397">
      <formula1>"Annual,Semiannual,EveryFourthMonth,Quarterly,Bimonthly,Monthly,Biweekly,Weekly,Daily,Once,NoFrequency"</formula1>
    </dataValidation>
    <dataValidation type="list" allowBlank="1" showInputMessage="1" showErrorMessage="1" sqref="E3 E35:E71 E74:E397">
      <formula1>"Following,Modified Following,Preceding,Modified Preceding,Unadjusted,Half-Month Modified Following"</formula1>
    </dataValidation>
    <dataValidation type="list" allowBlank="1" showInputMessage="1" showErrorMessage="1" sqref="F3 F35:F71 F74:F397">
      <formula1>"Actual/Actual (ISDA),Actual/360,30/360 (Bond Basis),30E/360 (Eurobond Basis),Actual/365 (Fixed),Actual/Actual (ISMA),Actual/Actual (AFB),1/1,30/360 (Italian),Simple"</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dimension ref="A1:AN98"/>
  <sheetViews>
    <sheetView showGridLines="0" topLeftCell="O1" zoomScaleNormal="100" workbookViewId="0">
      <selection activeCell="AN3" sqref="AN3:AN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3.42578125" style="867" customWidth="1" outlineLevel="1"/>
    <col min="9" max="9" width="17.28515625"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21.42578125" style="1" hidden="1" customWidth="1" outlineLevel="1"/>
    <col min="34" max="34" width="7" style="1" hidden="1" customWidth="1" outlineLevel="1"/>
    <col min="35" max="35" width="11" style="1" hidden="1" customWidth="1" outlineLevel="1"/>
    <col min="36" max="36" width="9" style="1" bestFit="1" customWidth="1" collapsed="1"/>
    <col min="37" max="37" width="10" style="1" customWidth="1"/>
    <col min="38" max="38" width="24.42578125" style="1" bestFit="1" customWidth="1"/>
    <col min="39" max="16384" width="9.140625" style="1"/>
  </cols>
  <sheetData>
    <row r="1" spans="1:40" ht="18" customHeight="1" x14ac:dyDescent="0.2">
      <c r="G1" s="239" t="s">
        <v>175</v>
      </c>
      <c r="H1" s="239" t="str">
        <f>"_SYNTH"&amp;$G$1</f>
        <v>_SYNTH1M</v>
      </c>
      <c r="L1" s="965" t="s">
        <v>383</v>
      </c>
      <c r="M1" s="964"/>
      <c r="N1" s="964"/>
      <c r="O1" s="964"/>
      <c r="P1" s="964"/>
      <c r="Q1" s="964"/>
      <c r="R1" s="964"/>
      <c r="S1" s="964"/>
      <c r="T1" s="963"/>
      <c r="U1" s="958"/>
      <c r="V1" s="962" t="str">
        <f>Currency&amp;$G$1</f>
        <v>EUR1M</v>
      </c>
      <c r="W1" s="960"/>
      <c r="X1" s="960"/>
      <c r="Y1" s="961"/>
      <c r="Z1" s="961"/>
      <c r="AA1" s="960"/>
      <c r="AB1" s="960"/>
      <c r="AC1" s="959" t="s">
        <v>378</v>
      </c>
    </row>
    <row r="2" spans="1:40"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92" ca="1">_xll.qlPiecewiseYieldCurveData(YieldCurve_1M,Trigger)</f>
        <v>#NAME?</v>
      </c>
      <c r="AF2" s="954" t="s">
        <v>397</v>
      </c>
      <c r="AG2" s="994"/>
      <c r="AH2" s="994"/>
      <c r="AI2" s="994"/>
      <c r="AJ2" s="953"/>
    </row>
    <row r="3" spans="1:40"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Currency&amp;$B3&amp;"D"&amp;$H$1&amp;QuoteSuffix</f>
        <v>EURSND_SYNTH1M_Quote</v>
      </c>
      <c r="I3" s="947"/>
      <c r="J3" s="946"/>
      <c r="K3" s="154"/>
      <c r="L3" s="909" t="str">
        <f>A3</f>
        <v>Dp</v>
      </c>
      <c r="M3" s="905" t="str">
        <f>IF(ISBLANK(J3),"--",J3)</f>
        <v>--</v>
      </c>
      <c r="N3" s="908" t="str">
        <f ca="1">IFERROR(_xll.qlRateHelperQuoteName(M3,Trigger),"--")</f>
        <v>--</v>
      </c>
      <c r="O3" s="907" t="str">
        <f ca="1">IFERROR(_xll.qlRateHelperQuoteValue($M3,Trigger),"--")</f>
        <v>--</v>
      </c>
      <c r="P3" s="971" t="b">
        <v>0</v>
      </c>
      <c r="Q3" s="905">
        <v>10</v>
      </c>
      <c r="R3" s="905">
        <v>1</v>
      </c>
      <c r="S3" s="904" t="str">
        <f ca="1">IFERROR(_xll.qlRateHelperEarliestDate(M3,Trigger),"--")</f>
        <v>--</v>
      </c>
      <c r="T3" s="904" t="str">
        <f ca="1">IFERROR(_xll.qlRateHelperPillarDate(M3,Trigger),"--")</f>
        <v>--</v>
      </c>
      <c r="V3" s="4" t="str">
        <f t="shared" ref="V3:V34" ca="1" si="0">IFERROR(INDEX($L$3:$L$92,MATCH(X3,$N$3:$N$92,0),1),"")</f>
        <v/>
      </c>
      <c r="W3" s="4" t="e">
        <f t="array" aca="1" ref="W3:W92" ca="1">_xll.qlRateHelperSelection(_xll.ohFilter(RateHelpers,IncludeFlag),_xll.ohFilter(Priority,IncludeFlag),$AJ$3,$AJ$4,$AJ$5,$AJ$6,_xll.ohFilter(MinDistance,IncludeFlag),Trigger)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72"/>
      <c r="AF3" s="993" t="s">
        <v>396</v>
      </c>
      <c r="AJ3" s="992">
        <v>0</v>
      </c>
      <c r="AM3" s="1361" t="s">
        <v>529</v>
      </c>
      <c r="AN3" s="1364" t="e">
        <f ca="1">_xll.ohTrigger(GeneralSettings!Trigger)</f>
        <v>#NAME?</v>
      </c>
    </row>
    <row r="4" spans="1:40" ht="11.25" customHeight="1" thickBot="1" x14ac:dyDescent="0.3">
      <c r="A4" s="897" t="s">
        <v>391</v>
      </c>
      <c r="B4" s="899" t="s">
        <v>178</v>
      </c>
      <c r="C4" s="917" t="s">
        <v>353</v>
      </c>
      <c r="D4" s="915"/>
      <c r="E4" s="915"/>
      <c r="F4" s="915"/>
      <c r="G4" s="898" t="str">
        <f>PROPER(Currency)&amp;FamilyName&amp;B4</f>
        <v>EuriborSW</v>
      </c>
      <c r="H4" s="945" t="str">
        <f>Currency&amp;$B4&amp;"D"&amp;$H$1&amp;QuoteSuffix</f>
        <v>EURSWD_SYNTH1M_Quote</v>
      </c>
      <c r="I4" s="915"/>
      <c r="J4" s="47" t="e">
        <f ca="1">_xll.qlDepositRateHelper(,H4,G4,Permanent,Trigger,ObjectOverwrite)</f>
        <v>#NAME?</v>
      </c>
      <c r="K4" s="23"/>
      <c r="L4" s="895" t="str">
        <f>A4</f>
        <v>Dp</v>
      </c>
      <c r="M4" s="891" t="e">
        <f ca="1">IF(ISBLANK(J4),"--",J4)</f>
        <v>#NAME?</v>
      </c>
      <c r="N4" s="894" t="str">
        <f ca="1">IFERROR(_xll.qlRateHelperQuoteName(M4,Trigger),"--")</f>
        <v>--</v>
      </c>
      <c r="O4" s="893" t="str">
        <f ca="1">IFERROR(_xll.qlRateHelperQuoteValue($M4,Trigger),"--")</f>
        <v>--</v>
      </c>
      <c r="P4" s="970" t="b">
        <v>1</v>
      </c>
      <c r="Q4" s="891">
        <v>10</v>
      </c>
      <c r="R4" s="891">
        <v>1</v>
      </c>
      <c r="S4" s="890" t="str">
        <f ca="1">IFERROR(_xll.qlRateHelperEarliestDate(M4,Trigger),"--")</f>
        <v>--</v>
      </c>
      <c r="T4" s="890" t="str">
        <f ca="1">IFERROR(_xll.qlRateHelperPillarDate(M4,Trigger),"--")</f>
        <v>--</v>
      </c>
      <c r="V4" s="4" t="str">
        <f t="shared" ca="1" si="0"/>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72"/>
      <c r="AF4" s="936" t="s">
        <v>395</v>
      </c>
      <c r="AJ4" s="944">
        <v>0</v>
      </c>
      <c r="AM4" s="1362" t="s">
        <v>530</v>
      </c>
      <c r="AN4" s="1365" t="e">
        <f ca="1">_xll.ohTrigger(RateHelpers)</f>
        <v>#NAME?</v>
      </c>
    </row>
    <row r="5" spans="1:40" ht="11.25" customHeight="1" x14ac:dyDescent="0.2">
      <c r="A5" s="874" t="s">
        <v>391</v>
      </c>
      <c r="B5" s="876" t="s">
        <v>177</v>
      </c>
      <c r="C5" s="912" t="str">
        <f>B5</f>
        <v>2W</v>
      </c>
      <c r="D5" s="910"/>
      <c r="E5" s="910"/>
      <c r="F5" s="910"/>
      <c r="G5" s="875" t="str">
        <f>PROPER(Currency)&amp;FamilyName&amp;B5</f>
        <v>Euribor2W</v>
      </c>
      <c r="H5" s="934" t="str">
        <f>Currency&amp;$B5&amp;"D"&amp;$H$1&amp;QuoteSuffix</f>
        <v>EUR2WD_SYNTH1M_Quote</v>
      </c>
      <c r="I5" s="910"/>
      <c r="J5" s="43" t="e">
        <f ca="1">_xll.qlDepositRateHelper(,H5,G5,Permanent,Trigger,ObjectOverwrite)</f>
        <v>#NAME?</v>
      </c>
      <c r="K5" s="23"/>
      <c r="L5" s="895" t="str">
        <f>A5</f>
        <v>Dp</v>
      </c>
      <c r="M5" s="891" t="e">
        <f ca="1">IF(ISBLANK(J5),"--",J5)</f>
        <v>#NAME?</v>
      </c>
      <c r="N5" s="894" t="str">
        <f ca="1">IFERROR(_xll.qlRateHelperQuoteName(M5,Trigger),"--")</f>
        <v>--</v>
      </c>
      <c r="O5" s="893" t="str">
        <f ca="1">IFERROR(_xll.qlRateHelperQuoteValue($M5,Trigger),"--")</f>
        <v>--</v>
      </c>
      <c r="P5" s="970" t="b">
        <v>1</v>
      </c>
      <c r="Q5" s="891">
        <v>10</v>
      </c>
      <c r="R5" s="891">
        <v>1</v>
      </c>
      <c r="S5" s="890" t="str">
        <f ca="1">IFERROR(_xll.qlRateHelperEarliestDate(M5,Trigger),"--")</f>
        <v>--</v>
      </c>
      <c r="T5" s="890" t="str">
        <f ca="1">IFERROR(_xll.qlRateHelperPillarDate(M5,Trigger),"--")</f>
        <v>--</v>
      </c>
      <c r="V5" s="4" t="str">
        <f t="shared" ca="1" si="0"/>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72"/>
      <c r="AE5" s="972"/>
      <c r="AF5" s="936" t="s">
        <v>394</v>
      </c>
      <c r="AJ5" s="944">
        <v>0</v>
      </c>
    </row>
    <row r="6" spans="1:40" ht="11.25" customHeight="1" x14ac:dyDescent="0.2">
      <c r="A6" s="943" t="s">
        <v>391</v>
      </c>
      <c r="B6" s="942" t="s">
        <v>176</v>
      </c>
      <c r="C6" s="941" t="str">
        <f>B6</f>
        <v>3W</v>
      </c>
      <c r="D6" s="938"/>
      <c r="E6" s="938"/>
      <c r="F6" s="938"/>
      <c r="G6" s="940" t="e">
        <f ca="1">_xll.qlEuribor(,C6,,Permanent,Trigger,ObjectOverwrite)</f>
        <v>#NAME?</v>
      </c>
      <c r="H6" s="939" t="str">
        <f>Currency&amp;$B6&amp;"D"&amp;$H$1&amp;QuoteSuffix</f>
        <v>EUR3WD_SYNTH1M_Quote</v>
      </c>
      <c r="I6" s="938"/>
      <c r="J6" s="937" t="e">
        <f ca="1">_xll.qlDepositRateHelper(,H6,G6,Permanent,Trigger,ObjectOverwrite)</f>
        <v>#NAME?</v>
      </c>
      <c r="K6" s="23"/>
      <c r="L6" s="895" t="str">
        <f>A6</f>
        <v>Dp</v>
      </c>
      <c r="M6" s="891" t="e">
        <f ca="1">IF(ISBLANK(J6),"--",J6)</f>
        <v>#NAME?</v>
      </c>
      <c r="N6" s="894" t="str">
        <f ca="1">IFERROR(_xll.qlRateHelperQuoteName(M6,Trigger),"--")</f>
        <v>--</v>
      </c>
      <c r="O6" s="893" t="str">
        <f ca="1">IFERROR(_xll.qlRateHelperQuoteValue($M6,Trigger),"--")</f>
        <v>--</v>
      </c>
      <c r="P6" s="970" t="b">
        <v>1</v>
      </c>
      <c r="Q6" s="891">
        <v>10</v>
      </c>
      <c r="R6" s="891">
        <v>1</v>
      </c>
      <c r="S6" s="890" t="str">
        <f ca="1">IFERROR(_xll.qlRateHelperEarliestDate(M6,Trigger),"--")</f>
        <v>--</v>
      </c>
      <c r="T6" s="890" t="str">
        <f ca="1">IFERROR(_xll.qlRateHelperPillarDate(M6,Trigger),"--")</f>
        <v>--</v>
      </c>
      <c r="V6" s="4" t="str">
        <f t="shared" ca="1" si="0"/>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72"/>
      <c r="AF6" s="936" t="s">
        <v>393</v>
      </c>
      <c r="AJ6" s="935" t="s">
        <v>392</v>
      </c>
    </row>
    <row r="7" spans="1:40" ht="11.25" customHeight="1" x14ac:dyDescent="0.2">
      <c r="A7" s="870" t="s">
        <v>391</v>
      </c>
      <c r="B7" s="872" t="s">
        <v>175</v>
      </c>
      <c r="C7" s="902" t="str">
        <f>B7</f>
        <v>1M</v>
      </c>
      <c r="D7" s="900"/>
      <c r="E7" s="900"/>
      <c r="F7" s="900"/>
      <c r="G7" s="871" t="str">
        <f>PROPER(Currency)&amp;FamilyName&amp;B7</f>
        <v>Euribor1M</v>
      </c>
      <c r="H7" s="919" t="str">
        <f>Currency&amp;$B7&amp;"D"&amp;$H$1&amp;QuoteSuffix</f>
        <v>EUR1MD_SYNTH1M_Quote</v>
      </c>
      <c r="I7" s="900"/>
      <c r="J7" s="38" t="e">
        <f ca="1">_xll.qlDepositRateHelper(,H7,G7,Permanent,Trigger,ObjectOverwrite)</f>
        <v>#NAME?</v>
      </c>
      <c r="K7" s="23"/>
      <c r="L7" s="895" t="str">
        <f>A7</f>
        <v>Dp</v>
      </c>
      <c r="M7" s="891" t="e">
        <f ca="1">IF(ISBLANK(J7),"--",J7)</f>
        <v>#NAME?</v>
      </c>
      <c r="N7" s="894" t="str">
        <f ca="1">IFERROR(_xll.qlRateHelperQuoteName(M7,Trigger),"--")</f>
        <v>--</v>
      </c>
      <c r="O7" s="893" t="str">
        <f ca="1">IFERROR(_xll.qlRateHelperQuoteValue($M7,Trigger),"--")</f>
        <v>--</v>
      </c>
      <c r="P7" s="970" t="b">
        <v>1</v>
      </c>
      <c r="Q7" s="891">
        <v>10</v>
      </c>
      <c r="R7" s="891">
        <v>1</v>
      </c>
      <c r="S7" s="890" t="str">
        <f ca="1">IFERROR(_xll.qlRateHelperEarliestDate(M7,Trigger),"--")</f>
        <v>--</v>
      </c>
      <c r="T7" s="890" t="str">
        <f ca="1">IFERROR(_xll.qlRateHelperPillarDate(M7,Trigger),"--")</f>
        <v>--</v>
      </c>
      <c r="V7" s="4" t="str">
        <f t="shared" ca="1" si="0"/>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72"/>
    </row>
    <row r="8" spans="1:40" ht="11.25" customHeight="1" x14ac:dyDescent="0.2">
      <c r="B8" s="1"/>
      <c r="C8" s="1"/>
      <c r="D8" s="1"/>
      <c r="E8" s="1"/>
      <c r="F8" s="1"/>
      <c r="G8" s="1" t="s">
        <v>112</v>
      </c>
      <c r="H8" s="1"/>
      <c r="K8" s="23"/>
      <c r="L8" s="909" t="str">
        <f t="shared" ref="L8:L18" si="1">A10</f>
        <v>Sw</v>
      </c>
      <c r="M8" s="905" t="e">
        <f t="shared" ref="M8:M18" ca="1" si="2">IF(ISBLANK(J10),"--",J10)</f>
        <v>#NAME?</v>
      </c>
      <c r="N8" s="908" t="str">
        <f ca="1">IFERROR(_xll.qlRateHelperQuoteName(M8,Trigger),"--")</f>
        <v>--</v>
      </c>
      <c r="O8" s="907" t="str">
        <f ca="1">IFERROR(_xll.qlRateHelperQuoteValue($M8,Trigger),"--")</f>
        <v>--</v>
      </c>
      <c r="P8" s="971" t="b">
        <v>1</v>
      </c>
      <c r="Q8" s="905">
        <v>40</v>
      </c>
      <c r="R8" s="905">
        <v>1</v>
      </c>
      <c r="S8" s="904" t="str">
        <f ca="1">IFERROR(_xll.qlRateHelperEarliestDate(M8,Trigger),"--")</f>
        <v>--</v>
      </c>
      <c r="T8" s="904" t="str">
        <f ca="1">IFERROR(_xll.qlRateHelperPillarDate(M8,Trigger),"--")</f>
        <v>--</v>
      </c>
      <c r="V8" s="4" t="str">
        <f t="shared" ca="1" si="0"/>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72"/>
    </row>
    <row r="9" spans="1:40" ht="11.25" customHeight="1" x14ac:dyDescent="0.2">
      <c r="A9" s="146" t="s">
        <v>388</v>
      </c>
      <c r="B9" s="146" t="s">
        <v>107</v>
      </c>
      <c r="C9" s="146" t="s">
        <v>387</v>
      </c>
      <c r="D9" s="146" t="s">
        <v>330</v>
      </c>
      <c r="E9" s="146" t="s">
        <v>386</v>
      </c>
      <c r="F9" s="146" t="s">
        <v>385</v>
      </c>
      <c r="G9" s="146" t="s">
        <v>14</v>
      </c>
      <c r="H9" s="146" t="s">
        <v>384</v>
      </c>
      <c r="I9" s="146" t="s">
        <v>62</v>
      </c>
      <c r="J9" s="146" t="s">
        <v>383</v>
      </c>
      <c r="K9" s="23"/>
      <c r="L9" s="895" t="str">
        <f t="shared" si="1"/>
        <v>Sw</v>
      </c>
      <c r="M9" s="891" t="e">
        <f t="shared" ca="1" si="2"/>
        <v>#NAME?</v>
      </c>
      <c r="N9" s="894" t="str">
        <f ca="1">IFERROR(_xll.qlRateHelperQuoteName(M9,Trigger),"--")</f>
        <v>--</v>
      </c>
      <c r="O9" s="893" t="str">
        <f ca="1">IFERROR(_xll.qlRateHelperQuoteValue($M9,Trigger),"--")</f>
        <v>--</v>
      </c>
      <c r="P9" s="970" t="b">
        <v>1</v>
      </c>
      <c r="Q9" s="891">
        <v>40</v>
      </c>
      <c r="R9" s="891">
        <v>1</v>
      </c>
      <c r="S9" s="890" t="str">
        <f ca="1">IFERROR(_xll.qlRateHelperEarliestDate(M9,Trigger),"--")</f>
        <v>--</v>
      </c>
      <c r="T9" s="890" t="str">
        <f ca="1">IFERROR(_xll.qlRateHelperPillarDate(M9,Trigger),"--")</f>
        <v>--</v>
      </c>
      <c r="V9" s="4" t="str">
        <f t="shared" ca="1" si="0"/>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72"/>
      <c r="AG9" s="1" t="s">
        <v>276</v>
      </c>
    </row>
    <row r="10" spans="1:40" ht="11.25" customHeight="1" x14ac:dyDescent="0.2">
      <c r="A10" s="897" t="s">
        <v>404</v>
      </c>
      <c r="B10" s="899" t="s">
        <v>174</v>
      </c>
      <c r="C10" s="898" t="s">
        <v>324</v>
      </c>
      <c r="D10" s="898" t="s">
        <v>323</v>
      </c>
      <c r="E10" s="898" t="s">
        <v>322</v>
      </c>
      <c r="F10" s="898" t="s">
        <v>295</v>
      </c>
      <c r="G10" s="898" t="str">
        <f t="shared" ref="G10:G20" si="3">PROPER(Currency)&amp;FamilyName&amp;Tenor</f>
        <v>Euribor1M</v>
      </c>
      <c r="H10" s="897" t="str">
        <f t="shared" ref="H10:H20" si="4">Currency&amp;SUBSTITUTE($B10,"M","")&amp;$G$8&amp;QuoteSuffix</f>
        <v>EUR2X1S_Quote</v>
      </c>
      <c r="I10" s="896">
        <v>0</v>
      </c>
      <c r="J10" s="43" t="e">
        <f ca="1">_xll.qlSwapRateHelper2(,H10,2,B10,Calendar,D10,E10,F10,G10,I10,C10,Discounting,PillarDate,,Permanent,Trigger,ObjectOverwrite)</f>
        <v>#NAME?</v>
      </c>
      <c r="K10" s="23"/>
      <c r="L10" s="895" t="str">
        <f t="shared" si="1"/>
        <v>Sw</v>
      </c>
      <c r="M10" s="891" t="e">
        <f t="shared" ca="1" si="2"/>
        <v>#NAME?</v>
      </c>
      <c r="N10" s="894" t="str">
        <f ca="1">IFERROR(_xll.qlRateHelperQuoteName(M10,Trigger),"--")</f>
        <v>--</v>
      </c>
      <c r="O10" s="893" t="str">
        <f ca="1">IFERROR(_xll.qlRateHelperQuoteValue($M10,Trigger),"--")</f>
        <v>--</v>
      </c>
      <c r="P10" s="970" t="b">
        <v>1</v>
      </c>
      <c r="Q10" s="891">
        <v>40</v>
      </c>
      <c r="R10" s="891">
        <v>1</v>
      </c>
      <c r="S10" s="890" t="str">
        <f ca="1">IFERROR(_xll.qlRateHelperEarliestDate(M10,Trigger),"--")</f>
        <v>--</v>
      </c>
      <c r="T10" s="890" t="str">
        <f ca="1">IFERROR(_xll.qlRateHelperPillarDate(M10,Trigger),"--")</f>
        <v>--</v>
      </c>
      <c r="V10" s="4" t="str">
        <f t="shared" ca="1" si="0"/>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72"/>
      <c r="AE10" s="956" t="s">
        <v>89</v>
      </c>
      <c r="AF10" s="956" t="s">
        <v>409</v>
      </c>
      <c r="AG10" s="956" t="s">
        <v>408</v>
      </c>
      <c r="AH10" s="956" t="s">
        <v>275</v>
      </c>
      <c r="AI10" s="956" t="s">
        <v>407</v>
      </c>
      <c r="AJ10" s="956" t="s">
        <v>406</v>
      </c>
      <c r="AK10" s="956" t="s">
        <v>265</v>
      </c>
      <c r="AL10" s="956" t="s">
        <v>405</v>
      </c>
    </row>
    <row r="11" spans="1:40" ht="11.25" customHeight="1" x14ac:dyDescent="0.2">
      <c r="A11" s="874" t="s">
        <v>404</v>
      </c>
      <c r="B11" s="876" t="s">
        <v>127</v>
      </c>
      <c r="C11" s="875" t="s">
        <v>324</v>
      </c>
      <c r="D11" s="875" t="s">
        <v>323</v>
      </c>
      <c r="E11" s="875" t="s">
        <v>322</v>
      </c>
      <c r="F11" s="875" t="s">
        <v>295</v>
      </c>
      <c r="G11" s="875" t="str">
        <f t="shared" si="3"/>
        <v>Euribor1M</v>
      </c>
      <c r="H11" s="874" t="str">
        <f t="shared" si="4"/>
        <v>EUR3X1S_Quote</v>
      </c>
      <c r="I11" s="877">
        <v>0</v>
      </c>
      <c r="J11" s="43" t="e">
        <f ca="1">_xll.qlSwapRateHelper2(,H11,2,B11,Calendar,D11,E11,F11,G11,I11,C11,Discounting,PillarDate,,Permanent,Trigger,ObjectOverwrite)</f>
        <v>#NAME?</v>
      </c>
      <c r="K11" s="23"/>
      <c r="L11" s="895" t="str">
        <f t="shared" si="1"/>
        <v>Sw</v>
      </c>
      <c r="M11" s="891" t="e">
        <f t="shared" ca="1" si="2"/>
        <v>#NAME?</v>
      </c>
      <c r="N11" s="894" t="str">
        <f ca="1">IFERROR(_xll.qlRateHelperQuoteName(M11,Trigger),"--")</f>
        <v>--</v>
      </c>
      <c r="O11" s="893" t="str">
        <f ca="1">IFERROR(_xll.qlRateHelperQuoteValue($M11,Trigger),"--")</f>
        <v>--</v>
      </c>
      <c r="P11" s="970" t="b">
        <v>1</v>
      </c>
      <c r="Q11" s="891">
        <v>40</v>
      </c>
      <c r="R11" s="891">
        <v>1</v>
      </c>
      <c r="S11" s="890" t="str">
        <f ca="1">IFERROR(_xll.qlRateHelperEarliestDate(M11,Trigger),"--")</f>
        <v>--</v>
      </c>
      <c r="T11" s="890" t="str">
        <f ca="1">IFERROR(_xll.qlRateHelperPillarDate(M11,Trigger),"--")</f>
        <v>--</v>
      </c>
      <c r="V11" s="4" t="str">
        <f t="shared" ca="1" si="0"/>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72"/>
      <c r="AE11" s="990">
        <v>1</v>
      </c>
      <c r="AF11" s="991" t="e">
        <f ca="1">_xll.qlCalendarEndOfMonth(Calendar,Settlementdate,Trigger)</f>
        <v>#NAME?</v>
      </c>
      <c r="AG11" s="990" t="str">
        <f t="shared" ref="AG11:AG23" si="5">Currency&amp;$AG$9&amp;AE11&amp;JumpSuffix&amp;QuoteSuffix</f>
        <v>EURJump1_SYNTHON_Quote</v>
      </c>
      <c r="AH11" s="989" t="e">
        <f ca="1">_xll.qlDayCounterYearFraction("actual/360",AF11,_xll.qlCalendarAdvance(Calendar,AF11,"1D",,,Trigger))</f>
        <v>#NAME?</v>
      </c>
      <c r="AI11" s="986" t="e">
        <f ca="1">IF(_xll.qlQuoteIsValid(AG11,Trigger),_xll.qlQuoteValue(AG11,Trigger),1)</f>
        <v>#NAME?</v>
      </c>
      <c r="AJ11" s="988" t="e">
        <f t="shared" ref="AJ11:AJ23" ca="1" si="6">-LN(AI11)/AH11</f>
        <v>#NAME?</v>
      </c>
      <c r="AK11" s="987">
        <v>0</v>
      </c>
      <c r="AL11" s="986" t="e">
        <f t="shared" ref="AL11:AL23" ca="1" si="7">IF(ISBLANK(AK11),AG11,EXP(-AK11*AH11))</f>
        <v>#NAME?</v>
      </c>
    </row>
    <row r="12" spans="1:40" ht="11.25" customHeight="1" x14ac:dyDescent="0.2">
      <c r="A12" s="874" t="s">
        <v>404</v>
      </c>
      <c r="B12" s="876" t="s">
        <v>173</v>
      </c>
      <c r="C12" s="875" t="s">
        <v>324</v>
      </c>
      <c r="D12" s="875" t="s">
        <v>323</v>
      </c>
      <c r="E12" s="875" t="s">
        <v>322</v>
      </c>
      <c r="F12" s="875" t="s">
        <v>295</v>
      </c>
      <c r="G12" s="875" t="str">
        <f t="shared" si="3"/>
        <v>Euribor1M</v>
      </c>
      <c r="H12" s="874" t="str">
        <f t="shared" si="4"/>
        <v>EUR4X1S_Quote</v>
      </c>
      <c r="I12" s="877">
        <v>0</v>
      </c>
      <c r="J12" s="43" t="e">
        <f ca="1">_xll.qlSwapRateHelper2(,H12,2,B12,Calendar,D12,E12,F12,G12,I12,C12,Discounting,PillarDate,,Permanent,Trigger,ObjectOverwrite)</f>
        <v>#NAME?</v>
      </c>
      <c r="K12" s="23" t="s">
        <v>148</v>
      </c>
      <c r="L12" s="895" t="str">
        <f t="shared" si="1"/>
        <v>Sw</v>
      </c>
      <c r="M12" s="891" t="e">
        <f t="shared" ca="1" si="2"/>
        <v>#NAME?</v>
      </c>
      <c r="N12" s="894" t="str">
        <f ca="1">IFERROR(_xll.qlRateHelperQuoteName(M12,Trigger),"--")</f>
        <v>--</v>
      </c>
      <c r="O12" s="893" t="str">
        <f ca="1">IFERROR(_xll.qlRateHelperQuoteValue($M12,Trigger),"--")</f>
        <v>--</v>
      </c>
      <c r="P12" s="970" t="b">
        <v>1</v>
      </c>
      <c r="Q12" s="891">
        <v>40</v>
      </c>
      <c r="R12" s="891">
        <v>1</v>
      </c>
      <c r="S12" s="890" t="str">
        <f ca="1">IFERROR(_xll.qlRateHelperEarliestDate(M12,Trigger),"--")</f>
        <v>--</v>
      </c>
      <c r="T12" s="890" t="str">
        <f ca="1">IFERROR(_xll.qlRateHelperPillarDate(M12,Trigger),"--")</f>
        <v>--</v>
      </c>
      <c r="V12" s="4" t="str">
        <f t="shared" ca="1" si="0"/>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72"/>
      <c r="AE12" s="983">
        <v>2</v>
      </c>
      <c r="AF12" s="984" t="e">
        <f ca="1">_xll.qlCalendarEndOfMonth(Calendar,_xll.qlCalendarAdvance(Calendar,AF11,"1m","mf",TRUE),Trigger)</f>
        <v>#NAME?</v>
      </c>
      <c r="AG12" s="983" t="str">
        <f t="shared" si="5"/>
        <v>EURJump2_SYNTHON_Quote</v>
      </c>
      <c r="AH12" s="982" t="e">
        <f ca="1">_xll.qlDayCounterYearFraction("actual/360",AF12,_xll.qlCalendarAdvance(Calendar,AF12,"1D",,,Trigger))</f>
        <v>#NAME?</v>
      </c>
      <c r="AI12" s="979" t="e">
        <f ca="1">IF(_xll.qlQuoteIsValid(AG12,Trigger),_xll.qlQuoteValue(AG12,Trigger),1)</f>
        <v>#NAME?</v>
      </c>
      <c r="AJ12" s="981" t="e">
        <f t="shared" ca="1" si="6"/>
        <v>#NAME?</v>
      </c>
      <c r="AK12" s="980">
        <v>0</v>
      </c>
      <c r="AL12" s="979" t="e">
        <f t="shared" ca="1" si="7"/>
        <v>#NAME?</v>
      </c>
    </row>
    <row r="13" spans="1:40" ht="11.25" customHeight="1" x14ac:dyDescent="0.2">
      <c r="A13" s="874" t="s">
        <v>404</v>
      </c>
      <c r="B13" s="876" t="s">
        <v>172</v>
      </c>
      <c r="C13" s="875" t="s">
        <v>324</v>
      </c>
      <c r="D13" s="875" t="s">
        <v>323</v>
      </c>
      <c r="E13" s="875" t="s">
        <v>322</v>
      </c>
      <c r="F13" s="875" t="s">
        <v>295</v>
      </c>
      <c r="G13" s="875" t="str">
        <f t="shared" si="3"/>
        <v>Euribor1M</v>
      </c>
      <c r="H13" s="874" t="str">
        <f t="shared" si="4"/>
        <v>EUR5X1S_Quote</v>
      </c>
      <c r="I13" s="877">
        <v>0</v>
      </c>
      <c r="J13" s="43" t="e">
        <f ca="1">_xll.qlSwapRateHelper2(,H13,2,B13,Calendar,D13,E13,F13,G13,I13,C13,Discounting,PillarDate,,Permanent,Trigger,ObjectOverwrite)</f>
        <v>#NAME?</v>
      </c>
      <c r="K13" s="23"/>
      <c r="L13" s="895" t="str">
        <f t="shared" si="1"/>
        <v>Sw</v>
      </c>
      <c r="M13" s="891" t="e">
        <f t="shared" ca="1" si="2"/>
        <v>#NAME?</v>
      </c>
      <c r="N13" s="894" t="str">
        <f ca="1">IFERROR(_xll.qlRateHelperQuoteName(M13,Trigger),"--")</f>
        <v>--</v>
      </c>
      <c r="O13" s="893" t="str">
        <f ca="1">IFERROR(_xll.qlRateHelperQuoteValue($M13,Trigger),"--")</f>
        <v>--</v>
      </c>
      <c r="P13" s="970" t="b">
        <v>1</v>
      </c>
      <c r="Q13" s="891">
        <v>40</v>
      </c>
      <c r="R13" s="891">
        <v>1</v>
      </c>
      <c r="S13" s="890" t="str">
        <f ca="1">IFERROR(_xll.qlRateHelperEarliestDate(M13,Trigger),"--")</f>
        <v>--</v>
      </c>
      <c r="T13" s="890" t="str">
        <f ca="1">IFERROR(_xll.qlRateHelperPillarDate(M13,Trigger),"--")</f>
        <v>--</v>
      </c>
      <c r="V13" s="4" t="str">
        <f t="shared" ca="1" si="0"/>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72"/>
      <c r="AE13" s="983">
        <v>3</v>
      </c>
      <c r="AF13" s="984" t="e">
        <f ca="1">_xll.qlCalendarEndOfMonth(Calendar,_xll.qlCalendarAdvance(Calendar,AF12,"1m","mf",TRUE),Trigger)</f>
        <v>#NAME?</v>
      </c>
      <c r="AG13" s="983" t="str">
        <f t="shared" si="5"/>
        <v>EURJump3_SYNTHON_Quote</v>
      </c>
      <c r="AH13" s="982" t="e">
        <f ca="1">_xll.qlDayCounterYearFraction("actual/360",AF13,_xll.qlCalendarAdvance(Calendar,AF13,"1D",,,Trigger))</f>
        <v>#NAME?</v>
      </c>
      <c r="AI13" s="979" t="e">
        <f ca="1">IF(_xll.qlQuoteIsValid(AG13,Trigger),_xll.qlQuoteValue(AG13,Trigger),1)</f>
        <v>#NAME?</v>
      </c>
      <c r="AJ13" s="981" t="e">
        <f t="shared" ca="1" si="6"/>
        <v>#NAME?</v>
      </c>
      <c r="AK13" s="980">
        <v>0</v>
      </c>
      <c r="AL13" s="979" t="e">
        <f t="shared" ca="1" si="7"/>
        <v>#NAME?</v>
      </c>
    </row>
    <row r="14" spans="1:40" ht="11.25" customHeight="1" x14ac:dyDescent="0.2">
      <c r="A14" s="874" t="s">
        <v>404</v>
      </c>
      <c r="B14" s="876" t="s">
        <v>92</v>
      </c>
      <c r="C14" s="875" t="s">
        <v>324</v>
      </c>
      <c r="D14" s="875" t="s">
        <v>323</v>
      </c>
      <c r="E14" s="875" t="s">
        <v>322</v>
      </c>
      <c r="F14" s="875" t="s">
        <v>295</v>
      </c>
      <c r="G14" s="875" t="str">
        <f t="shared" si="3"/>
        <v>Euribor1M</v>
      </c>
      <c r="H14" s="874" t="str">
        <f t="shared" si="4"/>
        <v>EUR6X1S_Quote</v>
      </c>
      <c r="I14" s="877">
        <v>0</v>
      </c>
      <c r="J14" s="43" t="e">
        <f ca="1">_xll.qlSwapRateHelper2(,H14,2,B14,Calendar,D14,E14,F14,G14,I14,C14,Discounting,PillarDate,,Permanent,Trigger,ObjectOverwrite)</f>
        <v>#NAME?</v>
      </c>
      <c r="K14" s="23"/>
      <c r="L14" s="895" t="str">
        <f t="shared" si="1"/>
        <v>Sw</v>
      </c>
      <c r="M14" s="891" t="e">
        <f t="shared" ca="1" si="2"/>
        <v>#NAME?</v>
      </c>
      <c r="N14" s="894" t="str">
        <f ca="1">IFERROR(_xll.qlRateHelperQuoteName(M14,Trigger),"--")</f>
        <v>--</v>
      </c>
      <c r="O14" s="893" t="str">
        <f ca="1">IFERROR(_xll.qlRateHelperQuoteValue($M14,Trigger),"--")</f>
        <v>--</v>
      </c>
      <c r="P14" s="970" t="b">
        <v>1</v>
      </c>
      <c r="Q14" s="891">
        <v>40</v>
      </c>
      <c r="R14" s="891">
        <v>1</v>
      </c>
      <c r="S14" s="890" t="str">
        <f ca="1">IFERROR(_xll.qlRateHelperEarliestDate(M14,Trigger),"--")</f>
        <v>--</v>
      </c>
      <c r="T14" s="890" t="str">
        <f ca="1">IFERROR(_xll.qlRateHelperPillarDate(M14,Trigger),"--")</f>
        <v>--</v>
      </c>
      <c r="V14" s="4" t="str">
        <f t="shared" ca="1" si="0"/>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72"/>
      <c r="AE14" s="983">
        <v>4</v>
      </c>
      <c r="AF14" s="984" t="e">
        <f ca="1">_xll.qlCalendarEndOfMonth(Calendar,_xll.qlCalendarAdvance(Calendar,AF13,"1m","mf",TRUE),Trigger)</f>
        <v>#NAME?</v>
      </c>
      <c r="AG14" s="983" t="str">
        <f t="shared" si="5"/>
        <v>EURJump4_SYNTHON_Quote</v>
      </c>
      <c r="AH14" s="982" t="e">
        <f ca="1">_xll.qlDayCounterYearFraction("actual/360",AF14,_xll.qlCalendarAdvance(Calendar,AF14,"1D",,,Trigger))</f>
        <v>#NAME?</v>
      </c>
      <c r="AI14" s="979" t="e">
        <f ca="1">IF(_xll.qlQuoteIsValid(AG14,Trigger),_xll.qlQuoteValue(AG14,Trigger),1)</f>
        <v>#NAME?</v>
      </c>
      <c r="AJ14" s="981" t="e">
        <f t="shared" ca="1" si="6"/>
        <v>#NAME?</v>
      </c>
      <c r="AK14" s="980">
        <v>0</v>
      </c>
      <c r="AL14" s="979" t="e">
        <f t="shared" ca="1" si="7"/>
        <v>#NAME?</v>
      </c>
    </row>
    <row r="15" spans="1:40" ht="11.25" customHeight="1" x14ac:dyDescent="0.2">
      <c r="A15" s="874" t="s">
        <v>404</v>
      </c>
      <c r="B15" s="876" t="s">
        <v>171</v>
      </c>
      <c r="C15" s="875" t="s">
        <v>324</v>
      </c>
      <c r="D15" s="875" t="s">
        <v>323</v>
      </c>
      <c r="E15" s="875" t="s">
        <v>322</v>
      </c>
      <c r="F15" s="875" t="s">
        <v>295</v>
      </c>
      <c r="G15" s="875" t="str">
        <f t="shared" si="3"/>
        <v>Euribor1M</v>
      </c>
      <c r="H15" s="874" t="str">
        <f t="shared" si="4"/>
        <v>EUR7X1S_Quote</v>
      </c>
      <c r="I15" s="877">
        <v>0</v>
      </c>
      <c r="J15" s="43" t="e">
        <f ca="1">_xll.qlSwapRateHelper2(,H15,2,B15,Calendar,D15,E15,F15,G15,I15,C15,Discounting,PillarDate,,Permanent,Trigger,ObjectOverwrite)</f>
        <v>#NAME?</v>
      </c>
      <c r="K15" s="23"/>
      <c r="L15" s="895" t="str">
        <f t="shared" si="1"/>
        <v>Sw</v>
      </c>
      <c r="M15" s="891" t="e">
        <f t="shared" ca="1" si="2"/>
        <v>#NAME?</v>
      </c>
      <c r="N15" s="894" t="str">
        <f ca="1">IFERROR(_xll.qlRateHelperQuoteName(M15,Trigger),"--")</f>
        <v>--</v>
      </c>
      <c r="O15" s="893" t="str">
        <f ca="1">IFERROR(_xll.qlRateHelperQuoteValue($M15,Trigger),"--")</f>
        <v>--</v>
      </c>
      <c r="P15" s="970" t="b">
        <v>1</v>
      </c>
      <c r="Q15" s="891">
        <v>40</v>
      </c>
      <c r="R15" s="891">
        <v>1</v>
      </c>
      <c r="S15" s="890" t="str">
        <f ca="1">IFERROR(_xll.qlRateHelperEarliestDate(M15,Trigger),"--")</f>
        <v>--</v>
      </c>
      <c r="T15" s="890" t="str">
        <f ca="1">IFERROR(_xll.qlRateHelperPillarDate(M15,Trigger),"--")</f>
        <v>--</v>
      </c>
      <c r="V15" s="4" t="str">
        <f t="shared" ca="1" si="0"/>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72"/>
      <c r="AE15" s="983">
        <v>5</v>
      </c>
      <c r="AF15" s="984" t="e">
        <f ca="1">_xll.qlCalendarEndOfMonth(Calendar,_xll.qlCalendarAdvance(Calendar,AF14,"1m","mf",TRUE),Trigger)</f>
        <v>#NAME?</v>
      </c>
      <c r="AG15" s="983" t="str">
        <f t="shared" si="5"/>
        <v>EURJump5_SYNTHON_Quote</v>
      </c>
      <c r="AH15" s="982" t="e">
        <f ca="1">_xll.qlDayCounterYearFraction("actual/360",AF15,_xll.qlCalendarAdvance(Calendar,AF15,"1D",,,Trigger))</f>
        <v>#NAME?</v>
      </c>
      <c r="AI15" s="979" t="e">
        <f ca="1">IF(_xll.qlQuoteIsValid(AG15,Trigger),_xll.qlQuoteValue(AG15,Trigger),1)</f>
        <v>#NAME?</v>
      </c>
      <c r="AJ15" s="981" t="e">
        <f t="shared" ca="1" si="6"/>
        <v>#NAME?</v>
      </c>
      <c r="AK15" s="980">
        <v>0</v>
      </c>
      <c r="AL15" s="979" t="e">
        <f t="shared" ca="1" si="7"/>
        <v>#NAME?</v>
      </c>
    </row>
    <row r="16" spans="1:40" ht="11.25" customHeight="1" x14ac:dyDescent="0.2">
      <c r="A16" s="874" t="s">
        <v>404</v>
      </c>
      <c r="B16" s="876" t="s">
        <v>170</v>
      </c>
      <c r="C16" s="875" t="s">
        <v>324</v>
      </c>
      <c r="D16" s="875" t="s">
        <v>323</v>
      </c>
      <c r="E16" s="875" t="s">
        <v>322</v>
      </c>
      <c r="F16" s="875" t="s">
        <v>295</v>
      </c>
      <c r="G16" s="875" t="str">
        <f t="shared" si="3"/>
        <v>Euribor1M</v>
      </c>
      <c r="H16" s="874" t="str">
        <f t="shared" si="4"/>
        <v>EUR8X1S_Quote</v>
      </c>
      <c r="I16" s="877">
        <v>0</v>
      </c>
      <c r="J16" s="43" t="e">
        <f ca="1">_xll.qlSwapRateHelper2(,H16,2,B16,Calendar,D16,E16,F16,G16,I16,C16,Discounting,PillarDate,,Permanent,Trigger,ObjectOverwrite)</f>
        <v>#NAME?</v>
      </c>
      <c r="K16" s="23"/>
      <c r="L16" s="895" t="str">
        <f t="shared" si="1"/>
        <v>Sw</v>
      </c>
      <c r="M16" s="891" t="e">
        <f t="shared" ca="1" si="2"/>
        <v>#NAME?</v>
      </c>
      <c r="N16" s="894" t="str">
        <f ca="1">IFERROR(_xll.qlRateHelperQuoteName(M16,Trigger),"--")</f>
        <v>--</v>
      </c>
      <c r="O16" s="893" t="str">
        <f ca="1">IFERROR(_xll.qlRateHelperQuoteValue($M16,Trigger),"--")</f>
        <v>--</v>
      </c>
      <c r="P16" s="970" t="b">
        <v>1</v>
      </c>
      <c r="Q16" s="891">
        <v>40</v>
      </c>
      <c r="R16" s="891">
        <v>1</v>
      </c>
      <c r="S16" s="890" t="str">
        <f ca="1">IFERROR(_xll.qlRateHelperEarliestDate(M16,Trigger),"--")</f>
        <v>--</v>
      </c>
      <c r="T16" s="890" t="str">
        <f ca="1">IFERROR(_xll.qlRateHelperPillarDate(M16,Trigger),"--")</f>
        <v>--</v>
      </c>
      <c r="V16" s="4" t="str">
        <f t="shared" ca="1" si="0"/>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72"/>
      <c r="AE16" s="983">
        <v>6</v>
      </c>
      <c r="AF16" s="984" t="e">
        <f ca="1">_xll.qlCalendarEndOfMonth(Calendar,_xll.qlCalendarAdvance(Calendar,AF15,"1m","mf",TRUE),Trigger)</f>
        <v>#NAME?</v>
      </c>
      <c r="AG16" s="983" t="str">
        <f t="shared" si="5"/>
        <v>EURJump6_SYNTHON_Quote</v>
      </c>
      <c r="AH16" s="982" t="e">
        <f ca="1">_xll.qlDayCounterYearFraction("actual/360",AF16,_xll.qlCalendarAdvance(Calendar,AF16,"1D",,,Trigger))</f>
        <v>#NAME?</v>
      </c>
      <c r="AI16" s="979" t="e">
        <f ca="1">IF(_xll.qlQuoteIsValid(AG16,Trigger),_xll.qlQuoteValue(AG16,Trigger),1)</f>
        <v>#NAME?</v>
      </c>
      <c r="AJ16" s="981" t="e">
        <f t="shared" ca="1" si="6"/>
        <v>#NAME?</v>
      </c>
      <c r="AK16" s="980">
        <v>0</v>
      </c>
      <c r="AL16" s="979" t="e">
        <f t="shared" ca="1" si="7"/>
        <v>#NAME?</v>
      </c>
    </row>
    <row r="17" spans="1:38" ht="11.25" customHeight="1" x14ac:dyDescent="0.2">
      <c r="A17" s="874" t="s">
        <v>404</v>
      </c>
      <c r="B17" s="876" t="s">
        <v>169</v>
      </c>
      <c r="C17" s="875" t="s">
        <v>324</v>
      </c>
      <c r="D17" s="875" t="s">
        <v>323</v>
      </c>
      <c r="E17" s="875" t="s">
        <v>322</v>
      </c>
      <c r="F17" s="875" t="s">
        <v>295</v>
      </c>
      <c r="G17" s="875" t="str">
        <f t="shared" si="3"/>
        <v>Euribor1M</v>
      </c>
      <c r="H17" s="874" t="str">
        <f t="shared" si="4"/>
        <v>EUR9X1S_Quote</v>
      </c>
      <c r="I17" s="877">
        <v>0</v>
      </c>
      <c r="J17" s="43" t="e">
        <f ca="1">_xll.qlSwapRateHelper2(,H17,2,B17,Calendar,D17,E17,F17,G17,I17,C17,Discounting,PillarDate,,Permanent,Trigger,ObjectOverwrite)</f>
        <v>#NAME?</v>
      </c>
      <c r="K17" s="23"/>
      <c r="L17" s="895" t="str">
        <f t="shared" si="1"/>
        <v>Sw</v>
      </c>
      <c r="M17" s="891" t="e">
        <f t="shared" ca="1" si="2"/>
        <v>#NAME?</v>
      </c>
      <c r="N17" s="894" t="str">
        <f ca="1">IFERROR(_xll.qlRateHelperQuoteName(M17,Trigger),"--")</f>
        <v>--</v>
      </c>
      <c r="O17" s="893" t="str">
        <f ca="1">IFERROR(_xll.qlRateHelperQuoteValue($M17,Trigger),"--")</f>
        <v>--</v>
      </c>
      <c r="P17" s="970" t="b">
        <v>1</v>
      </c>
      <c r="Q17" s="891">
        <v>40</v>
      </c>
      <c r="R17" s="891">
        <v>1</v>
      </c>
      <c r="S17" s="890" t="str">
        <f ca="1">IFERROR(_xll.qlRateHelperEarliestDate(M17,Trigger),"--")</f>
        <v>--</v>
      </c>
      <c r="T17" s="890" t="str">
        <f ca="1">IFERROR(_xll.qlRateHelperPillarDate(M17,Trigger),"--")</f>
        <v>--</v>
      </c>
      <c r="V17" s="4" t="str">
        <f t="shared" ca="1" si="0"/>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72"/>
      <c r="AE17" s="983">
        <v>7</v>
      </c>
      <c r="AF17" s="984" t="e">
        <f ca="1">_xll.qlCalendarEndOfMonth(Calendar,_xll.qlCalendarAdvance(Calendar,AF16,"1m","mf",TRUE),Trigger)</f>
        <v>#NAME?</v>
      </c>
      <c r="AG17" s="983" t="str">
        <f t="shared" si="5"/>
        <v>EURJump7_SYNTHON_Quote</v>
      </c>
      <c r="AH17" s="982" t="e">
        <f ca="1">_xll.qlDayCounterYearFraction("actual/360",AF17,_xll.qlCalendarAdvance(Calendar,AF17,"1D",,,Trigger))</f>
        <v>#NAME?</v>
      </c>
      <c r="AI17" s="979" t="e">
        <f ca="1">IF(_xll.qlQuoteIsValid(AG17,Trigger),_xll.qlQuoteValue(AG17,Trigger),1)</f>
        <v>#NAME?</v>
      </c>
      <c r="AJ17" s="981" t="e">
        <f t="shared" ca="1" si="6"/>
        <v>#NAME?</v>
      </c>
      <c r="AK17" s="980">
        <v>0</v>
      </c>
      <c r="AL17" s="979" t="e">
        <f t="shared" ca="1" si="7"/>
        <v>#NAME?</v>
      </c>
    </row>
    <row r="18" spans="1:38" ht="11.25" customHeight="1" x14ac:dyDescent="0.2">
      <c r="A18" s="874" t="s">
        <v>404</v>
      </c>
      <c r="B18" s="876" t="s">
        <v>168</v>
      </c>
      <c r="C18" s="875" t="s">
        <v>324</v>
      </c>
      <c r="D18" s="875" t="s">
        <v>323</v>
      </c>
      <c r="E18" s="875" t="s">
        <v>322</v>
      </c>
      <c r="F18" s="875" t="s">
        <v>295</v>
      </c>
      <c r="G18" s="875" t="str">
        <f t="shared" si="3"/>
        <v>Euribor1M</v>
      </c>
      <c r="H18" s="874" t="str">
        <f t="shared" si="4"/>
        <v>EUR10X1S_Quote</v>
      </c>
      <c r="I18" s="877">
        <v>0</v>
      </c>
      <c r="J18" s="43" t="e">
        <f ca="1">_xll.qlSwapRateHelper2(,H18,2,B18,Calendar,D18,E18,F18,G18,I18,C18,Discounting,PillarDate,,Permanent,Trigger,ObjectOverwrite)</f>
        <v>#NAME?</v>
      </c>
      <c r="K18" s="23"/>
      <c r="L18" s="886" t="str">
        <f t="shared" si="1"/>
        <v>Sw</v>
      </c>
      <c r="M18" s="882" t="e">
        <f t="shared" ca="1" si="2"/>
        <v>#NAME?</v>
      </c>
      <c r="N18" s="885" t="str">
        <f ca="1">IFERROR(_xll.qlRateHelperQuoteName(M18,Trigger),"--")</f>
        <v>--</v>
      </c>
      <c r="O18" s="884" t="str">
        <f ca="1">IFERROR(_xll.qlRateHelperQuoteValue($M18,Trigger),"--")</f>
        <v>--</v>
      </c>
      <c r="P18" s="969" t="b">
        <v>1</v>
      </c>
      <c r="Q18" s="882">
        <v>40</v>
      </c>
      <c r="R18" s="882">
        <v>1</v>
      </c>
      <c r="S18" s="881" t="str">
        <f ca="1">IFERROR(_xll.qlRateHelperEarliestDate(M18,Trigger),"--")</f>
        <v>--</v>
      </c>
      <c r="T18" s="881" t="str">
        <f ca="1">IFERROR(_xll.qlRateHelperPillarDate(M18,Trigger),"--")</f>
        <v>--</v>
      </c>
      <c r="V18" s="4" t="str">
        <f t="shared" ca="1" si="0"/>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72"/>
      <c r="AE18" s="983">
        <v>8</v>
      </c>
      <c r="AF18" s="984" t="e">
        <f ca="1">_xll.qlCalendarEndOfMonth(Calendar,_xll.qlCalendarAdvance(Calendar,AF17,"1m","mf",TRUE),Trigger)</f>
        <v>#NAME?</v>
      </c>
      <c r="AG18" s="983" t="str">
        <f t="shared" si="5"/>
        <v>EURJump8_SYNTHON_Quote</v>
      </c>
      <c r="AH18" s="982" t="e">
        <f ca="1">_xll.qlDayCounterYearFraction("actual/360",AF18,_xll.qlCalendarAdvance(Calendar,AF18,"1D",,,Trigger))</f>
        <v>#NAME?</v>
      </c>
      <c r="AI18" s="979" t="e">
        <f ca="1">IF(_xll.qlQuoteIsValid(AG18,Trigger),_xll.qlQuoteValue(AG18,Trigger),1)</f>
        <v>#NAME?</v>
      </c>
      <c r="AJ18" s="981" t="e">
        <f t="shared" ca="1" si="6"/>
        <v>#NAME?</v>
      </c>
      <c r="AK18" s="980">
        <v>0</v>
      </c>
      <c r="AL18" s="979" t="e">
        <f t="shared" ca="1" si="7"/>
        <v>#NAME?</v>
      </c>
    </row>
    <row r="19" spans="1:38" ht="11.25" customHeight="1" x14ac:dyDescent="0.2">
      <c r="A19" s="874" t="s">
        <v>404</v>
      </c>
      <c r="B19" s="876" t="s">
        <v>167</v>
      </c>
      <c r="C19" s="875" t="s">
        <v>324</v>
      </c>
      <c r="D19" s="875" t="s">
        <v>323</v>
      </c>
      <c r="E19" s="875" t="s">
        <v>322</v>
      </c>
      <c r="F19" s="875" t="s">
        <v>295</v>
      </c>
      <c r="G19" s="875" t="str">
        <f t="shared" si="3"/>
        <v>Euribor1M</v>
      </c>
      <c r="H19" s="874" t="str">
        <f t="shared" si="4"/>
        <v>EUR11X1S_Quote</v>
      </c>
      <c r="I19" s="877">
        <v>0</v>
      </c>
      <c r="J19" s="43" t="e">
        <f ca="1">_xll.qlSwapRateHelper2(,H19,2,B19,Calendar,D19,E19,F19,G19,I19,C19,Discounting,PillarDate,,Permanent,Trigger,ObjectOverwrite)</f>
        <v>#NAME?</v>
      </c>
      <c r="K19" s="23"/>
      <c r="L19" s="895" t="str">
        <f t="shared" ref="L19:L55" si="8">A23</f>
        <v>Sw</v>
      </c>
      <c r="M19" s="891" t="str">
        <f t="shared" ref="M19:M55" si="9">IF(ISBLANK(J23),"--",J23)</f>
        <v>--</v>
      </c>
      <c r="N19" s="894" t="str">
        <f ca="1">IFERROR(_xll.qlRateHelperQuoteName(M19,Trigger),"--")</f>
        <v>--</v>
      </c>
      <c r="O19" s="893" t="str">
        <f ca="1">IFERROR(_xll.qlRateHelperQuoteValue($M19,Trigger),"--")</f>
        <v>--</v>
      </c>
      <c r="P19" s="970" t="b">
        <v>0</v>
      </c>
      <c r="Q19" s="891">
        <v>50</v>
      </c>
      <c r="R19" s="891">
        <v>1</v>
      </c>
      <c r="S19" s="890" t="str">
        <f ca="1">IFERROR(_xll.qlRateHelperEarliestDate(M19,Trigger),"--")</f>
        <v>--</v>
      </c>
      <c r="T19" s="890" t="str">
        <f ca="1">IFERROR(_xll.qlRateHelperPillarDate(M19,Trigger),"--")</f>
        <v>--</v>
      </c>
      <c r="V19" s="4" t="str">
        <f t="shared" ca="1" si="0"/>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72"/>
      <c r="AE19" s="983">
        <v>9</v>
      </c>
      <c r="AF19" s="984" t="e">
        <f ca="1">_xll.qlCalendarEndOfMonth(Calendar,_xll.qlCalendarAdvance(Calendar,AF18,"1m","mf",TRUE),Trigger)</f>
        <v>#NAME?</v>
      </c>
      <c r="AG19" s="983" t="str">
        <f t="shared" si="5"/>
        <v>EURJump9_SYNTHON_Quote</v>
      </c>
      <c r="AH19" s="982" t="e">
        <f ca="1">_xll.qlDayCounterYearFraction("actual/360",AF19,_xll.qlCalendarAdvance(Calendar,AF19,"1D",,,Trigger))</f>
        <v>#NAME?</v>
      </c>
      <c r="AI19" s="979" t="e">
        <f ca="1">IF(_xll.qlQuoteIsValid(AG19,Trigger),_xll.qlQuoteValue(AG19,Trigger),1)</f>
        <v>#NAME?</v>
      </c>
      <c r="AJ19" s="981" t="e">
        <f t="shared" ca="1" si="6"/>
        <v>#NAME?</v>
      </c>
      <c r="AK19" s="980">
        <v>0</v>
      </c>
      <c r="AL19" s="979" t="e">
        <f t="shared" ca="1" si="7"/>
        <v>#NAME?</v>
      </c>
    </row>
    <row r="20" spans="1:38" ht="11.25" customHeight="1" x14ac:dyDescent="0.2">
      <c r="A20" s="870" t="s">
        <v>404</v>
      </c>
      <c r="B20" s="872" t="s">
        <v>318</v>
      </c>
      <c r="C20" s="871" t="s">
        <v>324</v>
      </c>
      <c r="D20" s="871" t="s">
        <v>323</v>
      </c>
      <c r="E20" s="871" t="s">
        <v>322</v>
      </c>
      <c r="F20" s="871" t="s">
        <v>295</v>
      </c>
      <c r="G20" s="871" t="str">
        <f t="shared" si="3"/>
        <v>Euribor1M</v>
      </c>
      <c r="H20" s="870" t="str">
        <f t="shared" si="4"/>
        <v>EUR12X1S_Quote</v>
      </c>
      <c r="I20" s="985">
        <v>0</v>
      </c>
      <c r="J20" s="38" t="e">
        <f ca="1">_xll.qlSwapRateHelper2(,H20,2,B20,Calendar,D20,E20,F20,G20,I20,C20,Discounting,PillarDate,,Permanent,Trigger,ObjectOverwrite)</f>
        <v>#NAME?</v>
      </c>
      <c r="K20" s="23"/>
      <c r="L20" s="895" t="str">
        <f t="shared" si="8"/>
        <v>Sw</v>
      </c>
      <c r="M20" s="891" t="str">
        <f t="shared" si="9"/>
        <v>--</v>
      </c>
      <c r="N20" s="894" t="str">
        <f ca="1">IFERROR(_xll.qlRateHelperQuoteName(M20,Trigger),"--")</f>
        <v>--</v>
      </c>
      <c r="O20" s="893" t="str">
        <f ca="1">IFERROR(_xll.qlRateHelperQuoteValue($M20,Trigger),"--")</f>
        <v>--</v>
      </c>
      <c r="P20" s="970" t="b">
        <v>0</v>
      </c>
      <c r="Q20" s="891">
        <v>50</v>
      </c>
      <c r="R20" s="891">
        <v>1</v>
      </c>
      <c r="S20" s="890" t="str">
        <f ca="1">IFERROR(_xll.qlRateHelperEarliestDate(M20,Trigger),"--")</f>
        <v>--</v>
      </c>
      <c r="T20" s="890" t="str">
        <f ca="1">IFERROR(_xll.qlRateHelperPillarDate(M20,Trigger),"--")</f>
        <v>--</v>
      </c>
      <c r="V20" s="4" t="str">
        <f t="shared" ca="1" si="0"/>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72"/>
      <c r="AE20" s="983">
        <v>10</v>
      </c>
      <c r="AF20" s="984" t="e">
        <f ca="1">_xll.qlCalendarEndOfMonth(Calendar,_xll.qlCalendarAdvance(Calendar,AF19,"1m","mf",TRUE),Trigger)</f>
        <v>#NAME?</v>
      </c>
      <c r="AG20" s="983" t="str">
        <f t="shared" si="5"/>
        <v>EURJump10_SYNTHON_Quote</v>
      </c>
      <c r="AH20" s="982" t="e">
        <f ca="1">_xll.qlDayCounterYearFraction("actual/360",AF20,_xll.qlCalendarAdvance(Calendar,AF20,"1D",,,Trigger))</f>
        <v>#NAME?</v>
      </c>
      <c r="AI20" s="979" t="e">
        <f ca="1">IF(_xll.qlQuoteIsValid(AG20,Trigger),_xll.qlQuoteValue(AG20,Trigger),1)</f>
        <v>#NAME?</v>
      </c>
      <c r="AJ20" s="981" t="e">
        <f t="shared" ca="1" si="6"/>
        <v>#NAME?</v>
      </c>
      <c r="AK20" s="980">
        <v>0</v>
      </c>
      <c r="AL20" s="979" t="e">
        <f t="shared" ca="1" si="7"/>
        <v>#NAME?</v>
      </c>
    </row>
    <row r="21" spans="1:38" ht="11.25" customHeight="1" x14ac:dyDescent="0.2">
      <c r="G21" s="239" t="s">
        <v>21</v>
      </c>
      <c r="H21" s="239" t="s">
        <v>71</v>
      </c>
      <c r="K21" s="23"/>
      <c r="L21" s="895" t="str">
        <f t="shared" si="8"/>
        <v>Sw</v>
      </c>
      <c r="M21" s="891" t="str">
        <f t="shared" si="9"/>
        <v>--</v>
      </c>
      <c r="N21" s="894" t="str">
        <f ca="1">IFERROR(_xll.qlRateHelperQuoteName(M21,Trigger),"--")</f>
        <v>--</v>
      </c>
      <c r="O21" s="893" t="str">
        <f ca="1">IFERROR(_xll.qlRateHelperQuoteValue($M21,Trigger),"--")</f>
        <v>--</v>
      </c>
      <c r="P21" s="970" t="b">
        <v>0</v>
      </c>
      <c r="Q21" s="891">
        <v>50</v>
      </c>
      <c r="R21" s="891">
        <v>1</v>
      </c>
      <c r="S21" s="890" t="str">
        <f ca="1">IFERROR(_xll.qlRateHelperEarliestDate(M21,Trigger),"--")</f>
        <v>--</v>
      </c>
      <c r="T21" s="890" t="str">
        <f ca="1">IFERROR(_xll.qlRateHelperPillarDate(M21,Trigger),"--")</f>
        <v>--</v>
      </c>
      <c r="V21" s="4" t="str">
        <f t="shared" ca="1" si="0"/>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72"/>
      <c r="AE21" s="983">
        <v>11</v>
      </c>
      <c r="AF21" s="984" t="e">
        <f ca="1">_xll.qlCalendarEndOfMonth(Calendar,_xll.qlCalendarAdvance(Calendar,AF20,"1m","mf",TRUE),Trigger)</f>
        <v>#NAME?</v>
      </c>
      <c r="AG21" s="983" t="str">
        <f t="shared" si="5"/>
        <v>EURJump11_SYNTHON_Quote</v>
      </c>
      <c r="AH21" s="982" t="e">
        <f ca="1">_xll.qlDayCounterYearFraction("actual/360",AF21,_xll.qlCalendarAdvance(Calendar,AF21,"1D",,,Trigger))</f>
        <v>#NAME?</v>
      </c>
      <c r="AI21" s="979" t="e">
        <f ca="1">IF(_xll.qlQuoteIsValid(AG21,Trigger),_xll.qlQuoteValue(AG21,Trigger),1)</f>
        <v>#NAME?</v>
      </c>
      <c r="AJ21" s="981" t="e">
        <f t="shared" ca="1" si="6"/>
        <v>#NAME?</v>
      </c>
      <c r="AK21" s="980">
        <v>0</v>
      </c>
      <c r="AL21" s="979" t="e">
        <f t="shared" ca="1" si="7"/>
        <v>#NAME?</v>
      </c>
    </row>
    <row r="22" spans="1:38" ht="11.25" customHeight="1" x14ac:dyDescent="0.2">
      <c r="A22" s="146" t="s">
        <v>388</v>
      </c>
      <c r="B22" s="146" t="s">
        <v>107</v>
      </c>
      <c r="C22" s="146" t="s">
        <v>387</v>
      </c>
      <c r="D22" s="146" t="s">
        <v>330</v>
      </c>
      <c r="E22" s="146" t="s">
        <v>386</v>
      </c>
      <c r="F22" s="146" t="s">
        <v>385</v>
      </c>
      <c r="G22" s="146" t="s">
        <v>14</v>
      </c>
      <c r="H22" s="146" t="s">
        <v>384</v>
      </c>
      <c r="I22" s="146" t="s">
        <v>62</v>
      </c>
      <c r="J22" s="146" t="s">
        <v>383</v>
      </c>
      <c r="K22" s="23"/>
      <c r="L22" s="895" t="str">
        <f t="shared" si="8"/>
        <v>Sw</v>
      </c>
      <c r="M22" s="891" t="str">
        <f t="shared" si="9"/>
        <v>--</v>
      </c>
      <c r="N22" s="894" t="str">
        <f ca="1">IFERROR(_xll.qlRateHelperQuoteName(M22,Trigger),"--")</f>
        <v>--</v>
      </c>
      <c r="O22" s="893" t="str">
        <f ca="1">IFERROR(_xll.qlRateHelperQuoteValue($M22,Trigger),"--")</f>
        <v>--</v>
      </c>
      <c r="P22" s="970" t="b">
        <v>0</v>
      </c>
      <c r="Q22" s="891">
        <v>50</v>
      </c>
      <c r="R22" s="891">
        <v>1</v>
      </c>
      <c r="S22" s="890" t="str">
        <f ca="1">IFERROR(_xll.qlRateHelperEarliestDate(M22,Trigger),"--")</f>
        <v>--</v>
      </c>
      <c r="T22" s="890" t="str">
        <f ca="1">IFERROR(_xll.qlRateHelperPillarDate(M22,Trigger),"--")</f>
        <v>--</v>
      </c>
      <c r="V22" s="4" t="str">
        <f t="shared" ca="1" si="0"/>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72"/>
      <c r="AE22" s="983">
        <v>12</v>
      </c>
      <c r="AF22" s="984" t="e">
        <f ca="1">_xll.qlCalendarEndOfMonth(Calendar,_xll.qlCalendarAdvance(Calendar,AF21,"1m","mf",TRUE),Trigger)</f>
        <v>#NAME?</v>
      </c>
      <c r="AG22" s="983" t="str">
        <f t="shared" si="5"/>
        <v>EURJump12_SYNTHON_Quote</v>
      </c>
      <c r="AH22" s="982" t="e">
        <f ca="1">_xll.qlDayCounterYearFraction("actual/360",AF22,_xll.qlCalendarAdvance(Calendar,AF22,"1D",,,Trigger))</f>
        <v>#NAME?</v>
      </c>
      <c r="AI22" s="979" t="e">
        <f ca="1">IF(_xll.qlQuoteIsValid(AG22,Trigger),_xll.qlQuoteValue(AG22,Trigger),1)</f>
        <v>#NAME?</v>
      </c>
      <c r="AJ22" s="981" t="e">
        <f t="shared" ca="1" si="6"/>
        <v>#NAME?</v>
      </c>
      <c r="AK22" s="980">
        <v>0</v>
      </c>
      <c r="AL22" s="979" t="e">
        <f t="shared" ca="1" si="7"/>
        <v>#NAME?</v>
      </c>
    </row>
    <row r="23" spans="1:38" ht="11.25" customHeight="1" x14ac:dyDescent="0.2">
      <c r="A23" s="874" t="s">
        <v>404</v>
      </c>
      <c r="B23" s="876" t="s">
        <v>58</v>
      </c>
      <c r="C23" s="875" t="s">
        <v>324</v>
      </c>
      <c r="D23" s="875" t="s">
        <v>323</v>
      </c>
      <c r="E23" s="875" t="s">
        <v>322</v>
      </c>
      <c r="F23" s="875" t="s">
        <v>221</v>
      </c>
      <c r="G23" s="875" t="str">
        <f t="shared" ref="G23:G59" si="10">PROPER(Currency)&amp;FamilyName&amp;Tenor</f>
        <v>Euribor1M</v>
      </c>
      <c r="H23" s="874" t="str">
        <f t="shared" ref="H23:H59" si="11">Currency&amp;$G$21&amp;$H$21&amp;$B23&amp;QuoteSuffix</f>
        <v>EURAB1E1Y_Quote</v>
      </c>
      <c r="I23" s="967">
        <v>0</v>
      </c>
      <c r="J23" s="43"/>
      <c r="K23" s="23"/>
      <c r="L23" s="895" t="str">
        <f t="shared" si="8"/>
        <v>Sw</v>
      </c>
      <c r="M23" s="891" t="e">
        <f t="shared" ca="1" si="9"/>
        <v>#NAME?</v>
      </c>
      <c r="N23" s="894" t="str">
        <f ca="1">IFERROR(_xll.qlRateHelperQuoteName(M23,Trigger),"--")</f>
        <v>--</v>
      </c>
      <c r="O23" s="893" t="str">
        <f ca="1">IFERROR(_xll.qlRateHelperQuoteValue($M23,Trigger),"--")</f>
        <v>--</v>
      </c>
      <c r="P23" s="970" t="b">
        <v>1</v>
      </c>
      <c r="Q23" s="891">
        <v>50</v>
      </c>
      <c r="R23" s="891">
        <v>1</v>
      </c>
      <c r="S23" s="890" t="str">
        <f ca="1">IFERROR(_xll.qlRateHelperEarliestDate(M23,Trigger),"--")</f>
        <v>--</v>
      </c>
      <c r="T23" s="890" t="str">
        <f ca="1">IFERROR(_xll.qlRateHelperPillarDate(M23,Trigger),"--")</f>
        <v>--</v>
      </c>
      <c r="V23" s="4" t="str">
        <f t="shared" ca="1" si="0"/>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72"/>
      <c r="AE23" s="977">
        <v>13</v>
      </c>
      <c r="AF23" s="978" t="e">
        <f ca="1">_xll.qlCalendarAdjust(Calendar,DATE(YEAR(AF11)+1,12,31),"preceding",Trigger)</f>
        <v>#NAME?</v>
      </c>
      <c r="AG23" s="977" t="str">
        <f t="shared" si="5"/>
        <v>EURJump13_SYNTHON_Quote</v>
      </c>
      <c r="AH23" s="976" t="e">
        <f ca="1">_xll.qlDayCounterYearFraction("actual/360",AF23,_xll.qlCalendarAdvance(Calendar,AF23,"1D",,,Trigger))</f>
        <v>#NAME?</v>
      </c>
      <c r="AI23" s="973" t="e">
        <f ca="1">IF(_xll.qlQuoteIsValid(AG23,Trigger),_xll.qlQuoteValue(AG23,Trigger),1)</f>
        <v>#NAME?</v>
      </c>
      <c r="AJ23" s="975" t="e">
        <f t="shared" ca="1" si="6"/>
        <v>#NAME?</v>
      </c>
      <c r="AK23" s="974">
        <v>0</v>
      </c>
      <c r="AL23" s="973" t="e">
        <f t="shared" ca="1" si="7"/>
        <v>#NAME?</v>
      </c>
    </row>
    <row r="24" spans="1:38" ht="11.25" customHeight="1" x14ac:dyDescent="0.2">
      <c r="A24" s="874" t="s">
        <v>404</v>
      </c>
      <c r="B24" s="876" t="s">
        <v>57</v>
      </c>
      <c r="C24" s="875" t="s">
        <v>324</v>
      </c>
      <c r="D24" s="875" t="s">
        <v>323</v>
      </c>
      <c r="E24" s="875" t="s">
        <v>322</v>
      </c>
      <c r="F24" s="875" t="s">
        <v>221</v>
      </c>
      <c r="G24" s="875" t="str">
        <f t="shared" si="10"/>
        <v>Euribor1M</v>
      </c>
      <c r="H24" s="874" t="str">
        <f t="shared" si="11"/>
        <v>EURAB1E15M_Quote</v>
      </c>
      <c r="I24" s="967">
        <v>0</v>
      </c>
      <c r="J24" s="43"/>
      <c r="K24" s="23"/>
      <c r="L24" s="895" t="str">
        <f t="shared" si="8"/>
        <v>Sw</v>
      </c>
      <c r="M24" s="891" t="e">
        <f t="shared" ca="1" si="9"/>
        <v>#NAME?</v>
      </c>
      <c r="N24" s="894" t="str">
        <f ca="1">IFERROR(_xll.qlRateHelperQuoteName(M24,Trigger),"--")</f>
        <v>--</v>
      </c>
      <c r="O24" s="893" t="str">
        <f ca="1">IFERROR(_xll.qlRateHelperQuoteValue($M24,Trigger),"--")</f>
        <v>--</v>
      </c>
      <c r="P24" s="970" t="b">
        <v>1</v>
      </c>
      <c r="Q24" s="891">
        <v>50</v>
      </c>
      <c r="R24" s="891">
        <v>1</v>
      </c>
      <c r="S24" s="890" t="str">
        <f ca="1">IFERROR(_xll.qlRateHelperEarliestDate(M24,Trigger),"--")</f>
        <v>--</v>
      </c>
      <c r="T24" s="890" t="str">
        <f ca="1">IFERROR(_xll.qlRateHelperPillarDate(M24,Trigger),"--")</f>
        <v>--</v>
      </c>
      <c r="V24" s="4" t="str">
        <f t="shared" ca="1" si="0"/>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72"/>
    </row>
    <row r="25" spans="1:38" ht="11.25" customHeight="1" x14ac:dyDescent="0.2">
      <c r="A25" s="874" t="s">
        <v>404</v>
      </c>
      <c r="B25" s="876" t="s">
        <v>56</v>
      </c>
      <c r="C25" s="875" t="s">
        <v>324</v>
      </c>
      <c r="D25" s="875" t="s">
        <v>323</v>
      </c>
      <c r="E25" s="875" t="s">
        <v>322</v>
      </c>
      <c r="F25" s="875" t="s">
        <v>221</v>
      </c>
      <c r="G25" s="875" t="str">
        <f t="shared" si="10"/>
        <v>Euribor1M</v>
      </c>
      <c r="H25" s="874" t="str">
        <f t="shared" si="11"/>
        <v>EURAB1E18M_Quote</v>
      </c>
      <c r="I25" s="967">
        <v>0</v>
      </c>
      <c r="J25" s="43"/>
      <c r="K25" s="23"/>
      <c r="L25" s="895" t="str">
        <f t="shared" si="8"/>
        <v>Sw</v>
      </c>
      <c r="M25" s="891" t="e">
        <f t="shared" ca="1" si="9"/>
        <v>#NAME?</v>
      </c>
      <c r="N25" s="894" t="str">
        <f ca="1">IFERROR(_xll.qlRateHelperQuoteName(M25,Trigger),"--")</f>
        <v>--</v>
      </c>
      <c r="O25" s="893" t="str">
        <f ca="1">IFERROR(_xll.qlRateHelperQuoteValue($M25,Trigger),"--")</f>
        <v>--</v>
      </c>
      <c r="P25" s="970" t="b">
        <v>1</v>
      </c>
      <c r="Q25" s="891">
        <v>50</v>
      </c>
      <c r="R25" s="891">
        <v>1</v>
      </c>
      <c r="S25" s="890" t="str">
        <f ca="1">IFERROR(_xll.qlRateHelperEarliestDate(M25,Trigger),"--")</f>
        <v>--</v>
      </c>
      <c r="T25" s="890" t="str">
        <f ca="1">IFERROR(_xll.qlRateHelperPillarDate(M25,Trigger),"--")</f>
        <v>--</v>
      </c>
      <c r="V25" s="4" t="str">
        <f t="shared" ca="1" si="0"/>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72"/>
    </row>
    <row r="26" spans="1:38" ht="11.25" customHeight="1" x14ac:dyDescent="0.2">
      <c r="A26" s="874" t="s">
        <v>404</v>
      </c>
      <c r="B26" s="876" t="s">
        <v>55</v>
      </c>
      <c r="C26" s="875" t="s">
        <v>324</v>
      </c>
      <c r="D26" s="875" t="s">
        <v>323</v>
      </c>
      <c r="E26" s="875" t="s">
        <v>322</v>
      </c>
      <c r="F26" s="875" t="s">
        <v>221</v>
      </c>
      <c r="G26" s="875" t="str">
        <f t="shared" si="10"/>
        <v>Euribor1M</v>
      </c>
      <c r="H26" s="874" t="str">
        <f t="shared" si="11"/>
        <v>EURAB1E21M_Quote</v>
      </c>
      <c r="I26" s="967">
        <v>0</v>
      </c>
      <c r="J26" s="43"/>
      <c r="K26" s="23"/>
      <c r="L26" s="895" t="str">
        <f t="shared" si="8"/>
        <v>Sw</v>
      </c>
      <c r="M26" s="891" t="e">
        <f t="shared" ca="1" si="9"/>
        <v>#NAME?</v>
      </c>
      <c r="N26" s="894" t="str">
        <f ca="1">IFERROR(_xll.qlRateHelperQuoteName(M26,Trigger),"--")</f>
        <v>--</v>
      </c>
      <c r="O26" s="893" t="str">
        <f ca="1">IFERROR(_xll.qlRateHelperQuoteValue($M26,Trigger),"--")</f>
        <v>--</v>
      </c>
      <c r="P26" s="970" t="b">
        <v>1</v>
      </c>
      <c r="Q26" s="891">
        <v>50</v>
      </c>
      <c r="R26" s="891">
        <v>1</v>
      </c>
      <c r="S26" s="890" t="str">
        <f ca="1">IFERROR(_xll.qlRateHelperEarliestDate(M26,Trigger),"--")</f>
        <v>--</v>
      </c>
      <c r="T26" s="890" t="str">
        <f ca="1">IFERROR(_xll.qlRateHelperPillarDate(M26,Trigger),"--")</f>
        <v>--</v>
      </c>
      <c r="V26" s="4" t="str">
        <f t="shared" ca="1" si="0"/>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72"/>
    </row>
    <row r="27" spans="1:38" ht="11.25" customHeight="1" x14ac:dyDescent="0.2">
      <c r="A27" s="874" t="s">
        <v>404</v>
      </c>
      <c r="B27" s="876" t="s">
        <v>54</v>
      </c>
      <c r="C27" s="875" t="s">
        <v>324</v>
      </c>
      <c r="D27" s="875" t="s">
        <v>323</v>
      </c>
      <c r="E27" s="875" t="s">
        <v>322</v>
      </c>
      <c r="F27" s="875" t="s">
        <v>221</v>
      </c>
      <c r="G27" s="875" t="str">
        <f t="shared" si="10"/>
        <v>Euribor1M</v>
      </c>
      <c r="H27" s="874" t="str">
        <f t="shared" si="11"/>
        <v>EURAB1E2Y_Quote</v>
      </c>
      <c r="I27" s="967">
        <v>0</v>
      </c>
      <c r="J27" s="43" t="e">
        <f ca="1">_xll.qlSwapRateHelper2(,H27,2,B27,Calendar,D27,E27,F27,G27,I27,C27,Discounting,PillarDate,,Permanent,Trigger,ObjectOverwrite)</f>
        <v>#NAME?</v>
      </c>
      <c r="K27" s="23"/>
      <c r="L27" s="895" t="str">
        <f t="shared" si="8"/>
        <v>Sw</v>
      </c>
      <c r="M27" s="891" t="e">
        <f t="shared" ca="1" si="9"/>
        <v>#NAME?</v>
      </c>
      <c r="N27" s="894" t="str">
        <f ca="1">IFERROR(_xll.qlRateHelperQuoteName(M27,Trigger),"--")</f>
        <v>--</v>
      </c>
      <c r="O27" s="893" t="str">
        <f ca="1">IFERROR(_xll.qlRateHelperQuoteValue($M27,Trigger),"--")</f>
        <v>--</v>
      </c>
      <c r="P27" s="970" t="b">
        <v>1</v>
      </c>
      <c r="Q27" s="891">
        <v>50</v>
      </c>
      <c r="R27" s="891">
        <v>1</v>
      </c>
      <c r="S27" s="890" t="str">
        <f ca="1">IFERROR(_xll.qlRateHelperEarliestDate(M27,Trigger),"--")</f>
        <v>--</v>
      </c>
      <c r="T27" s="890" t="str">
        <f ca="1">IFERROR(_xll.qlRateHelperPillarDate(M27,Trigger),"--")</f>
        <v>--</v>
      </c>
      <c r="V27" s="4" t="str">
        <f t="shared" ca="1" si="0"/>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72"/>
    </row>
    <row r="28" spans="1:38" ht="11.25" customHeight="1" x14ac:dyDescent="0.2">
      <c r="A28" s="874" t="s">
        <v>404</v>
      </c>
      <c r="B28" s="876" t="s">
        <v>53</v>
      </c>
      <c r="C28" s="875" t="s">
        <v>324</v>
      </c>
      <c r="D28" s="875" t="s">
        <v>323</v>
      </c>
      <c r="E28" s="875" t="s">
        <v>322</v>
      </c>
      <c r="F28" s="875" t="s">
        <v>221</v>
      </c>
      <c r="G28" s="875" t="str">
        <f t="shared" si="10"/>
        <v>Euribor1M</v>
      </c>
      <c r="H28" s="874" t="str">
        <f t="shared" si="11"/>
        <v>EURAB1E3Y_Quote</v>
      </c>
      <c r="I28" s="967">
        <v>0</v>
      </c>
      <c r="J28" s="43" t="e">
        <f ca="1">_xll.qlSwapRateHelper2(,H28,2,B28,Calendar,D28,E28,F28,G28,I28,C28,Discounting,PillarDate,,Permanent,Trigger,ObjectOverwrite)</f>
        <v>#NAME?</v>
      </c>
      <c r="K28" s="23"/>
      <c r="L28" s="895" t="str">
        <f t="shared" si="8"/>
        <v>Sw</v>
      </c>
      <c r="M28" s="891" t="e">
        <f t="shared" ca="1" si="9"/>
        <v>#NAME?</v>
      </c>
      <c r="N28" s="894" t="str">
        <f ca="1">IFERROR(_xll.qlRateHelperQuoteName(M28,Trigger),"--")</f>
        <v>--</v>
      </c>
      <c r="O28" s="893" t="str">
        <f ca="1">IFERROR(_xll.qlRateHelperQuoteValue($M28,Trigger),"--")</f>
        <v>--</v>
      </c>
      <c r="P28" s="970" t="b">
        <v>1</v>
      </c>
      <c r="Q28" s="891">
        <v>50</v>
      </c>
      <c r="R28" s="891">
        <v>1</v>
      </c>
      <c r="S28" s="890" t="str">
        <f ca="1">IFERROR(_xll.qlRateHelperEarliestDate(M28,Trigger),"--")</f>
        <v>--</v>
      </c>
      <c r="T28" s="890" t="str">
        <f ca="1">IFERROR(_xll.qlRateHelperPillarDate(M28,Trigger),"--")</f>
        <v>--</v>
      </c>
      <c r="V28" s="4" t="str">
        <f t="shared" ca="1" si="0"/>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72"/>
    </row>
    <row r="29" spans="1:38" ht="11.25" customHeight="1" x14ac:dyDescent="0.2">
      <c r="A29" s="874" t="s">
        <v>404</v>
      </c>
      <c r="B29" s="876" t="s">
        <v>52</v>
      </c>
      <c r="C29" s="875" t="s">
        <v>324</v>
      </c>
      <c r="D29" s="875" t="s">
        <v>323</v>
      </c>
      <c r="E29" s="875" t="s">
        <v>322</v>
      </c>
      <c r="F29" s="875" t="s">
        <v>221</v>
      </c>
      <c r="G29" s="875" t="str">
        <f t="shared" si="10"/>
        <v>Euribor1M</v>
      </c>
      <c r="H29" s="874" t="str">
        <f t="shared" si="11"/>
        <v>EURAB1E4Y_Quote</v>
      </c>
      <c r="I29" s="967">
        <v>0</v>
      </c>
      <c r="J29" s="43" t="e">
        <f ca="1">_xll.qlSwapRateHelper2(,H29,2,B29,Calendar,D29,E29,F29,G29,I29,C29,Discounting,PillarDate,,Permanent,Trigger,ObjectOverwrite)</f>
        <v>#NAME?</v>
      </c>
      <c r="K29" s="23"/>
      <c r="L29" s="895" t="str">
        <f t="shared" si="8"/>
        <v>Sw</v>
      </c>
      <c r="M29" s="891" t="e">
        <f t="shared" ca="1" si="9"/>
        <v>#NAME?</v>
      </c>
      <c r="N29" s="894" t="str">
        <f ca="1">IFERROR(_xll.qlRateHelperQuoteName(M29,Trigger),"--")</f>
        <v>--</v>
      </c>
      <c r="O29" s="893" t="str">
        <f ca="1">IFERROR(_xll.qlRateHelperQuoteValue($M29,Trigger),"--")</f>
        <v>--</v>
      </c>
      <c r="P29" s="970" t="b">
        <v>1</v>
      </c>
      <c r="Q29" s="891">
        <v>50</v>
      </c>
      <c r="R29" s="891">
        <v>1</v>
      </c>
      <c r="S29" s="890" t="str">
        <f ca="1">IFERROR(_xll.qlRateHelperEarliestDate(M29,Trigger),"--")</f>
        <v>--</v>
      </c>
      <c r="T29" s="890" t="str">
        <f ca="1">IFERROR(_xll.qlRateHelperPillarDate(M29,Trigger),"--")</f>
        <v>--</v>
      </c>
      <c r="V29" s="4" t="str">
        <f t="shared" ca="1" si="0"/>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72"/>
    </row>
    <row r="30" spans="1:38" ht="11.25" customHeight="1" x14ac:dyDescent="0.2">
      <c r="A30" s="874" t="s">
        <v>404</v>
      </c>
      <c r="B30" s="876" t="s">
        <v>51</v>
      </c>
      <c r="C30" s="875" t="s">
        <v>324</v>
      </c>
      <c r="D30" s="875" t="s">
        <v>323</v>
      </c>
      <c r="E30" s="875" t="s">
        <v>322</v>
      </c>
      <c r="F30" s="875" t="s">
        <v>221</v>
      </c>
      <c r="G30" s="875" t="str">
        <f t="shared" si="10"/>
        <v>Euribor1M</v>
      </c>
      <c r="H30" s="874" t="str">
        <f t="shared" si="11"/>
        <v>EURAB1E5Y_Quote</v>
      </c>
      <c r="I30" s="967">
        <v>0</v>
      </c>
      <c r="J30" s="43" t="e">
        <f ca="1">_xll.qlSwapRateHelper2(,H30,2,B30,Calendar,D30,E30,F30,G30,I30,C30,Discounting,PillarDate,,Permanent,Trigger,ObjectOverwrite)</f>
        <v>#NAME?</v>
      </c>
      <c r="K30" s="23"/>
      <c r="L30" s="895" t="str">
        <f t="shared" si="8"/>
        <v>Sw</v>
      </c>
      <c r="M30" s="891" t="e">
        <f t="shared" ca="1" si="9"/>
        <v>#NAME?</v>
      </c>
      <c r="N30" s="894" t="str">
        <f ca="1">IFERROR(_xll.qlRateHelperQuoteName(M30,Trigger),"--")</f>
        <v>--</v>
      </c>
      <c r="O30" s="893" t="str">
        <f ca="1">IFERROR(_xll.qlRateHelperQuoteValue($M30,Trigger),"--")</f>
        <v>--</v>
      </c>
      <c r="P30" s="970" t="b">
        <v>1</v>
      </c>
      <c r="Q30" s="891">
        <v>50</v>
      </c>
      <c r="R30" s="891">
        <v>1</v>
      </c>
      <c r="S30" s="890" t="str">
        <f ca="1">IFERROR(_xll.qlRateHelperEarliestDate(M30,Trigger),"--")</f>
        <v>--</v>
      </c>
      <c r="T30" s="890" t="str">
        <f ca="1">IFERROR(_xll.qlRateHelperPillarDate(M30,Trigger),"--")</f>
        <v>--</v>
      </c>
      <c r="V30" s="4" t="str">
        <f t="shared" ca="1" si="0"/>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72"/>
    </row>
    <row r="31" spans="1:38" ht="11.25" customHeight="1" x14ac:dyDescent="0.2">
      <c r="A31" s="874" t="s">
        <v>404</v>
      </c>
      <c r="B31" s="876" t="s">
        <v>50</v>
      </c>
      <c r="C31" s="875" t="s">
        <v>324</v>
      </c>
      <c r="D31" s="875" t="s">
        <v>323</v>
      </c>
      <c r="E31" s="875" t="s">
        <v>322</v>
      </c>
      <c r="F31" s="875" t="s">
        <v>221</v>
      </c>
      <c r="G31" s="875" t="str">
        <f t="shared" si="10"/>
        <v>Euribor1M</v>
      </c>
      <c r="H31" s="874" t="str">
        <f t="shared" si="11"/>
        <v>EURAB1E6Y_Quote</v>
      </c>
      <c r="I31" s="967">
        <v>0</v>
      </c>
      <c r="J31" s="43" t="e">
        <f ca="1">_xll.qlSwapRateHelper2(,H31,2,B31,Calendar,D31,E31,F31,G31,I31,C31,Discounting,PillarDate,,Permanent,Trigger,ObjectOverwrite)</f>
        <v>#NAME?</v>
      </c>
      <c r="K31" s="23"/>
      <c r="L31" s="895" t="str">
        <f t="shared" si="8"/>
        <v>Sw</v>
      </c>
      <c r="M31" s="891" t="e">
        <f t="shared" ca="1" si="9"/>
        <v>#NAME?</v>
      </c>
      <c r="N31" s="894" t="str">
        <f ca="1">IFERROR(_xll.qlRateHelperQuoteName(M31,Trigger),"--")</f>
        <v>--</v>
      </c>
      <c r="O31" s="893" t="str">
        <f ca="1">IFERROR(_xll.qlRateHelperQuoteValue($M31,Trigger),"--")</f>
        <v>--</v>
      </c>
      <c r="P31" s="970" t="b">
        <v>1</v>
      </c>
      <c r="Q31" s="891">
        <v>50</v>
      </c>
      <c r="R31" s="891">
        <v>1</v>
      </c>
      <c r="S31" s="890" t="str">
        <f ca="1">IFERROR(_xll.qlRateHelperEarliestDate(M31,Trigger),"--")</f>
        <v>--</v>
      </c>
      <c r="T31" s="890" t="str">
        <f ca="1">IFERROR(_xll.qlRateHelperPillarDate(M31,Trigger),"--")</f>
        <v>--</v>
      </c>
      <c r="V31" s="4" t="str">
        <f t="shared" ca="1" si="0"/>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72"/>
    </row>
    <row r="32" spans="1:38" ht="11.25" customHeight="1" x14ac:dyDescent="0.2">
      <c r="A32" s="874" t="s">
        <v>404</v>
      </c>
      <c r="B32" s="876" t="s">
        <v>49</v>
      </c>
      <c r="C32" s="875" t="s">
        <v>324</v>
      </c>
      <c r="D32" s="875" t="s">
        <v>323</v>
      </c>
      <c r="E32" s="875" t="s">
        <v>322</v>
      </c>
      <c r="F32" s="875" t="s">
        <v>221</v>
      </c>
      <c r="G32" s="875" t="str">
        <f t="shared" si="10"/>
        <v>Euribor1M</v>
      </c>
      <c r="H32" s="874" t="str">
        <f t="shared" si="11"/>
        <v>EURAB1E7Y_Quote</v>
      </c>
      <c r="I32" s="967">
        <v>0</v>
      </c>
      <c r="J32" s="43" t="e">
        <f ca="1">_xll.qlSwapRateHelper2(,H32,2,B32,Calendar,D32,E32,F32,G32,I32,C32,Discounting,PillarDate,,Permanent,Trigger,ObjectOverwrite)</f>
        <v>#NAME?</v>
      </c>
      <c r="K32" s="23"/>
      <c r="L32" s="895" t="str">
        <f t="shared" si="8"/>
        <v>Sw</v>
      </c>
      <c r="M32" s="891" t="str">
        <f t="shared" si="9"/>
        <v>--</v>
      </c>
      <c r="N32" s="894" t="str">
        <f ca="1">IFERROR(_xll.qlRateHelperQuoteName(M32,Trigger),"--")</f>
        <v>--</v>
      </c>
      <c r="O32" s="893" t="str">
        <f ca="1">IFERROR(_xll.qlRateHelperQuoteValue($M32,Trigger),"--")</f>
        <v>--</v>
      </c>
      <c r="P32" s="970" t="b">
        <v>0</v>
      </c>
      <c r="Q32" s="891">
        <v>50</v>
      </c>
      <c r="R32" s="891">
        <v>1</v>
      </c>
      <c r="S32" s="890" t="str">
        <f ca="1">IFERROR(_xll.qlRateHelperEarliestDate(M32,Trigger),"--")</f>
        <v>--</v>
      </c>
      <c r="T32" s="890" t="str">
        <f ca="1">IFERROR(_xll.qlRateHelperPillarDate(M32,Trigger),"--")</f>
        <v>--</v>
      </c>
      <c r="V32" s="4" t="str">
        <f t="shared" ca="1" si="0"/>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72"/>
    </row>
    <row r="33" spans="1:30" ht="11.25" customHeight="1" x14ac:dyDescent="0.2">
      <c r="A33" s="874" t="s">
        <v>404</v>
      </c>
      <c r="B33" s="876" t="s">
        <v>48</v>
      </c>
      <c r="C33" s="875" t="s">
        <v>324</v>
      </c>
      <c r="D33" s="875" t="s">
        <v>323</v>
      </c>
      <c r="E33" s="875" t="s">
        <v>322</v>
      </c>
      <c r="F33" s="875" t="s">
        <v>221</v>
      </c>
      <c r="G33" s="875" t="str">
        <f t="shared" si="10"/>
        <v>Euribor1M</v>
      </c>
      <c r="H33" s="874" t="str">
        <f t="shared" si="11"/>
        <v>EURAB1E8Y_Quote</v>
      </c>
      <c r="I33" s="967">
        <v>0</v>
      </c>
      <c r="J33" s="43" t="e">
        <f ca="1">_xll.qlSwapRateHelper2(,H33,2,B33,Calendar,D33,E33,F33,G33,I33,C33,Discounting,PillarDate,,Permanent,Trigger,ObjectOverwrite)</f>
        <v>#NAME?</v>
      </c>
      <c r="K33" s="23"/>
      <c r="L33" s="895" t="str">
        <f t="shared" si="8"/>
        <v>Sw</v>
      </c>
      <c r="M33" s="891" t="e">
        <f t="shared" ca="1" si="9"/>
        <v>#NAME?</v>
      </c>
      <c r="N33" s="894" t="str">
        <f ca="1">IFERROR(_xll.qlRateHelperQuoteName(M33,Trigger),"--")</f>
        <v>--</v>
      </c>
      <c r="O33" s="893" t="str">
        <f ca="1">IFERROR(_xll.qlRateHelperQuoteValue($M33,Trigger),"--")</f>
        <v>--</v>
      </c>
      <c r="P33" s="970" t="b">
        <v>1</v>
      </c>
      <c r="Q33" s="891">
        <v>50</v>
      </c>
      <c r="R33" s="891">
        <v>1</v>
      </c>
      <c r="S33" s="890" t="str">
        <f ca="1">IFERROR(_xll.qlRateHelperEarliestDate(M33,Trigger),"--")</f>
        <v>--</v>
      </c>
      <c r="T33" s="890" t="str">
        <f ca="1">IFERROR(_xll.qlRateHelperPillarDate(M33,Trigger),"--")</f>
        <v>--</v>
      </c>
      <c r="V33" s="4" t="str">
        <f t="shared" ca="1" si="0"/>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72"/>
    </row>
    <row r="34" spans="1:30" ht="11.25" customHeight="1" x14ac:dyDescent="0.2">
      <c r="A34" s="874" t="s">
        <v>404</v>
      </c>
      <c r="B34" s="876" t="s">
        <v>47</v>
      </c>
      <c r="C34" s="875" t="s">
        <v>324</v>
      </c>
      <c r="D34" s="875" t="s">
        <v>323</v>
      </c>
      <c r="E34" s="875" t="s">
        <v>322</v>
      </c>
      <c r="F34" s="875" t="s">
        <v>221</v>
      </c>
      <c r="G34" s="875" t="str">
        <f t="shared" si="10"/>
        <v>Euribor1M</v>
      </c>
      <c r="H34" s="874" t="str">
        <f t="shared" si="11"/>
        <v>EURAB1E9Y_Quote</v>
      </c>
      <c r="I34" s="967">
        <v>0</v>
      </c>
      <c r="J34" s="43" t="e">
        <f ca="1">_xll.qlSwapRateHelper2(,H34,2,B34,Calendar,D34,E34,F34,G34,I34,C34,Discounting,PillarDate,,Permanent,Trigger,ObjectOverwrite)</f>
        <v>#NAME?</v>
      </c>
      <c r="K34" s="23"/>
      <c r="L34" s="895" t="str">
        <f t="shared" si="8"/>
        <v>Sw</v>
      </c>
      <c r="M34" s="891" t="str">
        <f t="shared" si="9"/>
        <v>--</v>
      </c>
      <c r="N34" s="894" t="str">
        <f ca="1">IFERROR(_xll.qlRateHelperQuoteName(M34,Trigger),"--")</f>
        <v>--</v>
      </c>
      <c r="O34" s="893" t="str">
        <f ca="1">IFERROR(_xll.qlRateHelperQuoteValue($M34,Trigger),"--")</f>
        <v>--</v>
      </c>
      <c r="P34" s="970" t="b">
        <v>0</v>
      </c>
      <c r="Q34" s="891">
        <v>50</v>
      </c>
      <c r="R34" s="891">
        <v>1</v>
      </c>
      <c r="S34" s="890" t="str">
        <f ca="1">IFERROR(_xll.qlRateHelperEarliestDate(M34,Trigger),"--")</f>
        <v>--</v>
      </c>
      <c r="T34" s="890" t="str">
        <f ca="1">IFERROR(_xll.qlRateHelperPillarDate(M34,Trigger),"--")</f>
        <v>--</v>
      </c>
      <c r="V34" s="4" t="str">
        <f t="shared" ca="1" si="0"/>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72"/>
    </row>
    <row r="35" spans="1:30" ht="11.25" customHeight="1" x14ac:dyDescent="0.2">
      <c r="A35" s="874" t="s">
        <v>404</v>
      </c>
      <c r="B35" s="876" t="s">
        <v>46</v>
      </c>
      <c r="C35" s="875" t="s">
        <v>324</v>
      </c>
      <c r="D35" s="875" t="s">
        <v>323</v>
      </c>
      <c r="E35" s="875" t="s">
        <v>322</v>
      </c>
      <c r="F35" s="875" t="s">
        <v>221</v>
      </c>
      <c r="G35" s="875" t="str">
        <f t="shared" si="10"/>
        <v>Euribor1M</v>
      </c>
      <c r="H35" s="874" t="str">
        <f t="shared" si="11"/>
        <v>EURAB1E10Y_Quote</v>
      </c>
      <c r="I35" s="967">
        <v>0</v>
      </c>
      <c r="J35" s="43" t="e">
        <f ca="1">_xll.qlSwapRateHelper2(,H35,2,B35,Calendar,D35,E35,F35,G35,I35,C35,Discounting,PillarDate,,Permanent,Trigger,ObjectOverwrite)</f>
        <v>#NAME?</v>
      </c>
      <c r="K35" s="23"/>
      <c r="L35" s="895" t="str">
        <f t="shared" si="8"/>
        <v>Sw</v>
      </c>
      <c r="M35" s="891" t="str">
        <f t="shared" si="9"/>
        <v>--</v>
      </c>
      <c r="N35" s="894" t="str">
        <f ca="1">IFERROR(_xll.qlRateHelperQuoteName(M35,Trigger),"--")</f>
        <v>--</v>
      </c>
      <c r="O35" s="893" t="str">
        <f ca="1">IFERROR(_xll.qlRateHelperQuoteValue($M35,Trigger),"--")</f>
        <v>--</v>
      </c>
      <c r="P35" s="970" t="b">
        <v>0</v>
      </c>
      <c r="Q35" s="891">
        <v>50</v>
      </c>
      <c r="R35" s="891">
        <v>1</v>
      </c>
      <c r="S35" s="890" t="str">
        <f ca="1">IFERROR(_xll.qlRateHelperEarliestDate(M35,Trigger),"--")</f>
        <v>--</v>
      </c>
      <c r="T35" s="890" t="str">
        <f ca="1">IFERROR(_xll.qlRateHelperPillarDate(M35,Trigger),"--")</f>
        <v>--</v>
      </c>
      <c r="V35" s="4" t="str">
        <f t="shared" ref="V35:V66" ca="1" si="12">IFERROR(INDEX($L$3:$L$92,MATCH(X35,$N$3:$N$92,0),1),"")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404</v>
      </c>
      <c r="B36" s="876" t="s">
        <v>45</v>
      </c>
      <c r="C36" s="875" t="s">
        <v>324</v>
      </c>
      <c r="D36" s="875" t="s">
        <v>323</v>
      </c>
      <c r="E36" s="875" t="s">
        <v>322</v>
      </c>
      <c r="F36" s="875" t="s">
        <v>221</v>
      </c>
      <c r="G36" s="875" t="str">
        <f t="shared" si="10"/>
        <v>Euribor1M</v>
      </c>
      <c r="H36" s="874" t="str">
        <f t="shared" si="11"/>
        <v>EURAB1E11Y_Quote</v>
      </c>
      <c r="I36" s="967">
        <v>0</v>
      </c>
      <c r="J36" s="43"/>
      <c r="K36" s="23"/>
      <c r="L36" s="895" t="str">
        <f t="shared" si="8"/>
        <v>Sw</v>
      </c>
      <c r="M36" s="891" t="e">
        <f t="shared" ca="1" si="9"/>
        <v>#NAME?</v>
      </c>
      <c r="N36" s="894" t="str">
        <f ca="1">IFERROR(_xll.qlRateHelperQuoteName(M36,Trigger),"--")</f>
        <v>--</v>
      </c>
      <c r="O36" s="893" t="str">
        <f ca="1">IFERROR(_xll.qlRateHelperQuoteValue($M36,Trigger),"--")</f>
        <v>--</v>
      </c>
      <c r="P36" s="970" t="b">
        <v>1</v>
      </c>
      <c r="Q36" s="891">
        <v>50</v>
      </c>
      <c r="R36" s="891">
        <v>1</v>
      </c>
      <c r="S36" s="890" t="str">
        <f ca="1">IFERROR(_xll.qlRateHelperEarliestDate(M36,Trigger),"--")</f>
        <v>--</v>
      </c>
      <c r="T36" s="890" t="str">
        <f ca="1">IFERROR(_xll.qlRateHelperPillarDate(M36,Trigger),"--")</f>
        <v>--</v>
      </c>
      <c r="V36" s="4" t="str">
        <f t="shared" ca="1" si="12"/>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404</v>
      </c>
      <c r="B37" s="876" t="s">
        <v>44</v>
      </c>
      <c r="C37" s="875" t="s">
        <v>324</v>
      </c>
      <c r="D37" s="875" t="s">
        <v>323</v>
      </c>
      <c r="E37" s="875" t="s">
        <v>322</v>
      </c>
      <c r="F37" s="875" t="s">
        <v>221</v>
      </c>
      <c r="G37" s="875" t="str">
        <f t="shared" si="10"/>
        <v>Euribor1M</v>
      </c>
      <c r="H37" s="874" t="str">
        <f t="shared" si="11"/>
        <v>EURAB1E12Y_Quote</v>
      </c>
      <c r="I37" s="967">
        <v>0</v>
      </c>
      <c r="J37" s="43" t="e">
        <f ca="1">_xll.qlSwapRateHelper2(,H37,2,B37,Calendar,D37,E37,F37,G37,I37,C37,Discounting,PillarDate,,Permanent,Trigger,ObjectOverwrite)</f>
        <v>#NAME?</v>
      </c>
      <c r="K37" s="23"/>
      <c r="L37" s="895" t="str">
        <f t="shared" si="8"/>
        <v>Sw</v>
      </c>
      <c r="M37" s="891" t="str">
        <f t="shared" si="9"/>
        <v>--</v>
      </c>
      <c r="N37" s="894" t="str">
        <f ca="1">IFERROR(_xll.qlRateHelperQuoteName(M37,Trigger),"--")</f>
        <v>--</v>
      </c>
      <c r="O37" s="893" t="str">
        <f ca="1">IFERROR(_xll.qlRateHelperQuoteValue($M37,Trigger),"--")</f>
        <v>--</v>
      </c>
      <c r="P37" s="970" t="b">
        <v>0</v>
      </c>
      <c r="Q37" s="891">
        <v>50</v>
      </c>
      <c r="R37" s="891">
        <v>1</v>
      </c>
      <c r="S37" s="890" t="str">
        <f ca="1">IFERROR(_xll.qlRateHelperEarliestDate(M37,Trigger),"--")</f>
        <v>--</v>
      </c>
      <c r="T37" s="890" t="str">
        <f ca="1">IFERROR(_xll.qlRateHelperPillarDate(M37,Trigger),"--")</f>
        <v>--</v>
      </c>
      <c r="V37" s="4" t="str">
        <f t="shared" ca="1" si="12"/>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404</v>
      </c>
      <c r="B38" s="876" t="s">
        <v>43</v>
      </c>
      <c r="C38" s="875" t="s">
        <v>324</v>
      </c>
      <c r="D38" s="875" t="s">
        <v>323</v>
      </c>
      <c r="E38" s="875" t="s">
        <v>322</v>
      </c>
      <c r="F38" s="875" t="s">
        <v>221</v>
      </c>
      <c r="G38" s="875" t="str">
        <f t="shared" si="10"/>
        <v>Euribor1M</v>
      </c>
      <c r="H38" s="874" t="str">
        <f t="shared" si="11"/>
        <v>EURAB1E13Y_Quote</v>
      </c>
      <c r="I38" s="967">
        <v>0</v>
      </c>
      <c r="J38" s="43"/>
      <c r="K38" s="23"/>
      <c r="L38" s="895" t="str">
        <f t="shared" si="8"/>
        <v>Sw</v>
      </c>
      <c r="M38" s="891" t="str">
        <f t="shared" si="9"/>
        <v>--</v>
      </c>
      <c r="N38" s="894" t="str">
        <f ca="1">IFERROR(_xll.qlRateHelperQuoteName(M38,Trigger),"--")</f>
        <v>--</v>
      </c>
      <c r="O38" s="893" t="str">
        <f ca="1">IFERROR(_xll.qlRateHelperQuoteValue($M38,Trigger),"--")</f>
        <v>--</v>
      </c>
      <c r="P38" s="970" t="b">
        <v>0</v>
      </c>
      <c r="Q38" s="891">
        <v>50</v>
      </c>
      <c r="R38" s="891">
        <v>1</v>
      </c>
      <c r="S38" s="890" t="str">
        <f ca="1">IFERROR(_xll.qlRateHelperEarliestDate(M38,Trigger),"--")</f>
        <v>--</v>
      </c>
      <c r="T38" s="890" t="str">
        <f ca="1">IFERROR(_xll.qlRateHelperPillarDate(M38,Trigger),"--")</f>
        <v>--</v>
      </c>
      <c r="V38" s="4" t="str">
        <f t="shared" ca="1" si="12"/>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404</v>
      </c>
      <c r="B39" s="876" t="s">
        <v>42</v>
      </c>
      <c r="C39" s="875" t="s">
        <v>324</v>
      </c>
      <c r="D39" s="875" t="s">
        <v>323</v>
      </c>
      <c r="E39" s="875" t="s">
        <v>322</v>
      </c>
      <c r="F39" s="875" t="s">
        <v>221</v>
      </c>
      <c r="G39" s="875" t="str">
        <f t="shared" si="10"/>
        <v>Euribor1M</v>
      </c>
      <c r="H39" s="874" t="str">
        <f t="shared" si="11"/>
        <v>EURAB1E14Y_Quote</v>
      </c>
      <c r="I39" s="967">
        <v>0</v>
      </c>
      <c r="J39" s="43"/>
      <c r="K39" s="23"/>
      <c r="L39" s="895" t="str">
        <f t="shared" si="8"/>
        <v>Sw</v>
      </c>
      <c r="M39" s="891" t="str">
        <f t="shared" si="9"/>
        <v>--</v>
      </c>
      <c r="N39" s="894" t="str">
        <f ca="1">IFERROR(_xll.qlRateHelperQuoteName(M39,Trigger),"--")</f>
        <v>--</v>
      </c>
      <c r="O39" s="893" t="str">
        <f ca="1">IFERROR(_xll.qlRateHelperQuoteValue($M39,Trigger),"--")</f>
        <v>--</v>
      </c>
      <c r="P39" s="970" t="b">
        <v>0</v>
      </c>
      <c r="Q39" s="891">
        <v>50</v>
      </c>
      <c r="R39" s="891">
        <v>1</v>
      </c>
      <c r="S39" s="890" t="str">
        <f ca="1">IFERROR(_xll.qlRateHelperEarliestDate(M39,Trigger),"--")</f>
        <v>--</v>
      </c>
      <c r="T39" s="890" t="str">
        <f ca="1">IFERROR(_xll.qlRateHelperPillarDate(M39,Trigger),"--")</f>
        <v>--</v>
      </c>
      <c r="V39" s="4" t="str">
        <f t="shared" ca="1" si="12"/>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404</v>
      </c>
      <c r="B40" s="876" t="s">
        <v>41</v>
      </c>
      <c r="C40" s="875" t="s">
        <v>324</v>
      </c>
      <c r="D40" s="875" t="s">
        <v>323</v>
      </c>
      <c r="E40" s="875" t="s">
        <v>322</v>
      </c>
      <c r="F40" s="875" t="s">
        <v>221</v>
      </c>
      <c r="G40" s="875" t="str">
        <f t="shared" si="10"/>
        <v>Euribor1M</v>
      </c>
      <c r="H40" s="874" t="str">
        <f t="shared" si="11"/>
        <v>EURAB1E15Y_Quote</v>
      </c>
      <c r="I40" s="967">
        <v>0</v>
      </c>
      <c r="J40" s="43" t="e">
        <f ca="1">_xll.qlSwapRateHelper2(,H40,2,B40,Calendar,D40,E40,F40,G40,I40,C40,Discounting,PillarDate,,Permanent,Trigger,ObjectOverwrite)</f>
        <v>#NAME?</v>
      </c>
      <c r="K40" s="23"/>
      <c r="L40" s="895" t="str">
        <f t="shared" si="8"/>
        <v>Sw</v>
      </c>
      <c r="M40" s="891" t="str">
        <f t="shared" si="9"/>
        <v>--</v>
      </c>
      <c r="N40" s="894" t="str">
        <f ca="1">IFERROR(_xll.qlRateHelperQuoteName(M40,Trigger),"--")</f>
        <v>--</v>
      </c>
      <c r="O40" s="893" t="str">
        <f ca="1">IFERROR(_xll.qlRateHelperQuoteValue($M40,Trigger),"--")</f>
        <v>--</v>
      </c>
      <c r="P40" s="970" t="b">
        <v>0</v>
      </c>
      <c r="Q40" s="891">
        <v>50</v>
      </c>
      <c r="R40" s="891">
        <v>1</v>
      </c>
      <c r="S40" s="890" t="str">
        <f ca="1">IFERROR(_xll.qlRateHelperEarliestDate(M40,Trigger),"--")</f>
        <v>--</v>
      </c>
      <c r="T40" s="890" t="str">
        <f ca="1">IFERROR(_xll.qlRateHelperPillarDate(M40,Trigger),"--")</f>
        <v>--</v>
      </c>
      <c r="V40" s="4" t="str">
        <f t="shared" ca="1" si="12"/>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404</v>
      </c>
      <c r="B41" s="876" t="s">
        <v>40</v>
      </c>
      <c r="C41" s="875" t="s">
        <v>324</v>
      </c>
      <c r="D41" s="875" t="s">
        <v>323</v>
      </c>
      <c r="E41" s="875" t="s">
        <v>322</v>
      </c>
      <c r="F41" s="875" t="s">
        <v>221</v>
      </c>
      <c r="G41" s="875" t="str">
        <f t="shared" si="10"/>
        <v>Euribor1M</v>
      </c>
      <c r="H41" s="874" t="str">
        <f t="shared" si="11"/>
        <v>EURAB1E16Y_Quote</v>
      </c>
      <c r="I41" s="967">
        <v>0</v>
      </c>
      <c r="J41" s="43"/>
      <c r="L41" s="895" t="str">
        <f t="shared" si="8"/>
        <v>Sw</v>
      </c>
      <c r="M41" s="891" t="e">
        <f t="shared" ca="1" si="9"/>
        <v>#NAME?</v>
      </c>
      <c r="N41" s="894" t="str">
        <f ca="1">IFERROR(_xll.qlRateHelperQuoteName(M41,Trigger),"--")</f>
        <v>--</v>
      </c>
      <c r="O41" s="893" t="str">
        <f ca="1">IFERROR(_xll.qlRateHelperQuoteValue($M41,Trigger),"--")</f>
        <v>--</v>
      </c>
      <c r="P41" s="970" t="b">
        <v>1</v>
      </c>
      <c r="Q41" s="891">
        <v>50</v>
      </c>
      <c r="R41" s="891">
        <v>1</v>
      </c>
      <c r="S41" s="890" t="str">
        <f ca="1">IFERROR(_xll.qlRateHelperEarliestDate(M41,Trigger),"--")</f>
        <v>--</v>
      </c>
      <c r="T41" s="890" t="str">
        <f ca="1">IFERROR(_xll.qlRateHelperPillarDate(M41,Trigger),"--")</f>
        <v>--</v>
      </c>
      <c r="V41" s="4" t="str">
        <f t="shared" ca="1" si="12"/>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404</v>
      </c>
      <c r="B42" s="876" t="s">
        <v>39</v>
      </c>
      <c r="C42" s="875" t="s">
        <v>324</v>
      </c>
      <c r="D42" s="875" t="s">
        <v>323</v>
      </c>
      <c r="E42" s="875" t="s">
        <v>322</v>
      </c>
      <c r="F42" s="875" t="s">
        <v>221</v>
      </c>
      <c r="G42" s="875" t="str">
        <f t="shared" si="10"/>
        <v>Euribor1M</v>
      </c>
      <c r="H42" s="874" t="str">
        <f t="shared" si="11"/>
        <v>EURAB1E17Y_Quote</v>
      </c>
      <c r="I42" s="967">
        <v>0</v>
      </c>
      <c r="J42" s="43"/>
      <c r="L42" s="895" t="str">
        <f t="shared" si="8"/>
        <v>Sw</v>
      </c>
      <c r="M42" s="891" t="str">
        <f t="shared" si="9"/>
        <v>--</v>
      </c>
      <c r="N42" s="894" t="str">
        <f ca="1">IFERROR(_xll.qlRateHelperQuoteName(M42,Trigger),"--")</f>
        <v>--</v>
      </c>
      <c r="O42" s="893" t="str">
        <f ca="1">IFERROR(_xll.qlRateHelperQuoteValue($M42,Trigger),"--")</f>
        <v>--</v>
      </c>
      <c r="P42" s="970" t="b">
        <v>0</v>
      </c>
      <c r="Q42" s="891">
        <v>50</v>
      </c>
      <c r="R42" s="891">
        <v>1</v>
      </c>
      <c r="S42" s="890" t="str">
        <f ca="1">IFERROR(_xll.qlRateHelperEarliestDate(M42,Trigger),"--")</f>
        <v>--</v>
      </c>
      <c r="T42" s="890" t="str">
        <f ca="1">IFERROR(_xll.qlRateHelperPillarDate(M42,Trigger),"--")</f>
        <v>--</v>
      </c>
      <c r="V42" s="4" t="str">
        <f t="shared" ca="1" si="12"/>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404</v>
      </c>
      <c r="B43" s="876" t="s">
        <v>38</v>
      </c>
      <c r="C43" s="875" t="s">
        <v>324</v>
      </c>
      <c r="D43" s="875" t="s">
        <v>323</v>
      </c>
      <c r="E43" s="875" t="s">
        <v>322</v>
      </c>
      <c r="F43" s="875" t="s">
        <v>221</v>
      </c>
      <c r="G43" s="875" t="str">
        <f t="shared" si="10"/>
        <v>Euribor1M</v>
      </c>
      <c r="H43" s="874" t="str">
        <f t="shared" si="11"/>
        <v>EURAB1E18Y_Quote</v>
      </c>
      <c r="I43" s="967">
        <v>0</v>
      </c>
      <c r="J43" s="43"/>
      <c r="L43" s="895" t="str">
        <f t="shared" si="8"/>
        <v>Sw</v>
      </c>
      <c r="M43" s="891" t="str">
        <f t="shared" si="9"/>
        <v>--</v>
      </c>
      <c r="N43" s="894" t="str">
        <f ca="1">IFERROR(_xll.qlRateHelperQuoteName(M43,Trigger),"--")</f>
        <v>--</v>
      </c>
      <c r="O43" s="893" t="str">
        <f ca="1">IFERROR(_xll.qlRateHelperQuoteValue($M43,Trigger),"--")</f>
        <v>--</v>
      </c>
      <c r="P43" s="970" t="b">
        <v>0</v>
      </c>
      <c r="Q43" s="891">
        <v>50</v>
      </c>
      <c r="R43" s="891">
        <v>1</v>
      </c>
      <c r="S43" s="890" t="str">
        <f ca="1">IFERROR(_xll.qlRateHelperEarliestDate(M43,Trigger),"--")</f>
        <v>--</v>
      </c>
      <c r="T43" s="890" t="str">
        <f ca="1">IFERROR(_xll.qlRateHelperPillarDate(M43,Trigger),"--")</f>
        <v>--</v>
      </c>
      <c r="V43" s="4" t="str">
        <f t="shared" ca="1" si="12"/>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4" t="s">
        <v>404</v>
      </c>
      <c r="B44" s="876" t="s">
        <v>37</v>
      </c>
      <c r="C44" s="875" t="s">
        <v>324</v>
      </c>
      <c r="D44" s="875" t="s">
        <v>323</v>
      </c>
      <c r="E44" s="875" t="s">
        <v>322</v>
      </c>
      <c r="F44" s="875" t="s">
        <v>221</v>
      </c>
      <c r="G44" s="875" t="str">
        <f t="shared" si="10"/>
        <v>Euribor1M</v>
      </c>
      <c r="H44" s="874" t="str">
        <f t="shared" si="11"/>
        <v>EURAB1E19Y_Quote</v>
      </c>
      <c r="I44" s="967">
        <v>0</v>
      </c>
      <c r="J44" s="43"/>
      <c r="L44" s="895" t="str">
        <f t="shared" si="8"/>
        <v>Sw</v>
      </c>
      <c r="M44" s="891" t="str">
        <f t="shared" si="9"/>
        <v>--</v>
      </c>
      <c r="N44" s="894" t="str">
        <f ca="1">IFERROR(_xll.qlRateHelperQuoteName(M44,Trigger),"--")</f>
        <v>--</v>
      </c>
      <c r="O44" s="893" t="str">
        <f ca="1">IFERROR(_xll.qlRateHelperQuoteValue($M44,Trigger),"--")</f>
        <v>--</v>
      </c>
      <c r="P44" s="970" t="b">
        <v>0</v>
      </c>
      <c r="Q44" s="891">
        <v>50</v>
      </c>
      <c r="R44" s="891">
        <v>1</v>
      </c>
      <c r="S44" s="890" t="str">
        <f ca="1">IFERROR(_xll.qlRateHelperEarliestDate(M44,Trigger),"--")</f>
        <v>--</v>
      </c>
      <c r="T44" s="890" t="str">
        <f ca="1">IFERROR(_xll.qlRateHelperPillarDate(M44,Trigger),"--")</f>
        <v>--</v>
      </c>
      <c r="V44" s="4" t="str">
        <f t="shared" ca="1" si="12"/>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A45" s="874" t="s">
        <v>404</v>
      </c>
      <c r="B45" s="876" t="s">
        <v>36</v>
      </c>
      <c r="C45" s="875" t="s">
        <v>324</v>
      </c>
      <c r="D45" s="875" t="s">
        <v>323</v>
      </c>
      <c r="E45" s="875" t="s">
        <v>322</v>
      </c>
      <c r="F45" s="875" t="s">
        <v>221</v>
      </c>
      <c r="G45" s="875" t="str">
        <f t="shared" si="10"/>
        <v>Euribor1M</v>
      </c>
      <c r="H45" s="874" t="str">
        <f t="shared" si="11"/>
        <v>EURAB1E20Y_Quote</v>
      </c>
      <c r="I45" s="967">
        <v>0</v>
      </c>
      <c r="J45" s="43" t="e">
        <f ca="1">_xll.qlSwapRateHelper2(,H45,2,B45,Calendar,D45,E45,F45,G45,I45,C45,Discounting,PillarDate,,Permanent,Trigger,ObjectOverwrite)</f>
        <v>#NAME?</v>
      </c>
      <c r="L45" s="895" t="str">
        <f t="shared" si="8"/>
        <v>Sw</v>
      </c>
      <c r="M45" s="891" t="str">
        <f t="shared" si="9"/>
        <v>--</v>
      </c>
      <c r="N45" s="894" t="str">
        <f ca="1">IFERROR(_xll.qlRateHelperQuoteName(M45,Trigger),"--")</f>
        <v>--</v>
      </c>
      <c r="O45" s="893" t="str">
        <f ca="1">IFERROR(_xll.qlRateHelperQuoteValue($M45,Trigger),"--")</f>
        <v>--</v>
      </c>
      <c r="P45" s="970" t="b">
        <v>0</v>
      </c>
      <c r="Q45" s="891">
        <v>50</v>
      </c>
      <c r="R45" s="891">
        <v>1</v>
      </c>
      <c r="S45" s="890" t="str">
        <f ca="1">IFERROR(_xll.qlRateHelperEarliestDate(M45,Trigger),"--")</f>
        <v>--</v>
      </c>
      <c r="T45" s="890" t="str">
        <f ca="1">IFERROR(_xll.qlRateHelperPillarDate(M45,Trigger),"--")</f>
        <v>--</v>
      </c>
      <c r="V45" s="4" t="str">
        <f t="shared" ca="1" si="12"/>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874" t="s">
        <v>404</v>
      </c>
      <c r="B46" s="876" t="s">
        <v>35</v>
      </c>
      <c r="C46" s="875" t="s">
        <v>324</v>
      </c>
      <c r="D46" s="875" t="s">
        <v>323</v>
      </c>
      <c r="E46" s="875" t="s">
        <v>322</v>
      </c>
      <c r="F46" s="875" t="s">
        <v>221</v>
      </c>
      <c r="G46" s="875" t="str">
        <f t="shared" si="10"/>
        <v>Euribor1M</v>
      </c>
      <c r="H46" s="874" t="str">
        <f t="shared" si="11"/>
        <v>EURAB1E21Y_Quote</v>
      </c>
      <c r="I46" s="967">
        <v>0</v>
      </c>
      <c r="J46" s="43"/>
      <c r="L46" s="895" t="str">
        <f t="shared" si="8"/>
        <v>Sw</v>
      </c>
      <c r="M46" s="891" t="e">
        <f t="shared" ca="1" si="9"/>
        <v>#NAME?</v>
      </c>
      <c r="N46" s="894" t="str">
        <f ca="1">IFERROR(_xll.qlRateHelperQuoteName(M46,Trigger),"--")</f>
        <v>--</v>
      </c>
      <c r="O46" s="893" t="str">
        <f ca="1">IFERROR(_xll.qlRateHelperQuoteValue($M46,Trigger),"--")</f>
        <v>--</v>
      </c>
      <c r="P46" s="970" t="b">
        <v>1</v>
      </c>
      <c r="Q46" s="891">
        <v>50</v>
      </c>
      <c r="R46" s="891">
        <v>1</v>
      </c>
      <c r="S46" s="890" t="str">
        <f ca="1">IFERROR(_xll.qlRateHelperEarliestDate(M46,Trigger),"--")</f>
        <v>--</v>
      </c>
      <c r="T46" s="890" t="str">
        <f ca="1">IFERROR(_xll.qlRateHelperPillarDate(M46,Trigger),"--")</f>
        <v>--</v>
      </c>
      <c r="V46" s="4" t="str">
        <f t="shared" ca="1" si="12"/>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74" t="s">
        <v>404</v>
      </c>
      <c r="B47" s="876" t="s">
        <v>34</v>
      </c>
      <c r="C47" s="875" t="s">
        <v>324</v>
      </c>
      <c r="D47" s="875" t="s">
        <v>323</v>
      </c>
      <c r="E47" s="875" t="s">
        <v>322</v>
      </c>
      <c r="F47" s="875" t="s">
        <v>221</v>
      </c>
      <c r="G47" s="875" t="str">
        <f t="shared" si="10"/>
        <v>Euribor1M</v>
      </c>
      <c r="H47" s="874" t="str">
        <f t="shared" si="11"/>
        <v>EURAB1E22Y_Quote</v>
      </c>
      <c r="I47" s="967">
        <v>0</v>
      </c>
      <c r="J47" s="43"/>
      <c r="L47" s="895" t="str">
        <f t="shared" si="8"/>
        <v>Sw</v>
      </c>
      <c r="M47" s="891" t="str">
        <f t="shared" si="9"/>
        <v>--</v>
      </c>
      <c r="N47" s="894" t="str">
        <f ca="1">IFERROR(_xll.qlRateHelperQuoteName(M47,Trigger),"--")</f>
        <v>--</v>
      </c>
      <c r="O47" s="893" t="str">
        <f ca="1">IFERROR(_xll.qlRateHelperQuoteValue($M47,Trigger),"--")</f>
        <v>--</v>
      </c>
      <c r="P47" s="970" t="b">
        <v>0</v>
      </c>
      <c r="Q47" s="891">
        <v>50</v>
      </c>
      <c r="R47" s="891">
        <v>1</v>
      </c>
      <c r="S47" s="890" t="str">
        <f ca="1">IFERROR(_xll.qlRateHelperEarliestDate(M47,Trigger),"--")</f>
        <v>--</v>
      </c>
      <c r="T47" s="890" t="str">
        <f ca="1">IFERROR(_xll.qlRateHelperPillarDate(M47,Trigger),"--")</f>
        <v>--</v>
      </c>
      <c r="V47" s="4" t="str">
        <f t="shared" ca="1" si="12"/>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404</v>
      </c>
      <c r="B48" s="876" t="s">
        <v>33</v>
      </c>
      <c r="C48" s="875" t="s">
        <v>324</v>
      </c>
      <c r="D48" s="875" t="s">
        <v>323</v>
      </c>
      <c r="E48" s="875" t="s">
        <v>322</v>
      </c>
      <c r="F48" s="875" t="s">
        <v>221</v>
      </c>
      <c r="G48" s="875" t="str">
        <f t="shared" si="10"/>
        <v>Euribor1M</v>
      </c>
      <c r="H48" s="874" t="str">
        <f t="shared" si="11"/>
        <v>EURAB1E23Y_Quote</v>
      </c>
      <c r="I48" s="967">
        <v>0</v>
      </c>
      <c r="J48" s="43"/>
      <c r="L48" s="895" t="str">
        <f t="shared" si="8"/>
        <v>Sw</v>
      </c>
      <c r="M48" s="891" t="str">
        <f t="shared" si="9"/>
        <v>--</v>
      </c>
      <c r="N48" s="894" t="str">
        <f ca="1">IFERROR(_xll.qlRateHelperQuoteName(M48,Trigger),"--")</f>
        <v>--</v>
      </c>
      <c r="O48" s="893" t="str">
        <f ca="1">IFERROR(_xll.qlRateHelperQuoteValue($M48,Trigger),"--")</f>
        <v>--</v>
      </c>
      <c r="P48" s="970" t="b">
        <v>0</v>
      </c>
      <c r="Q48" s="891">
        <v>50</v>
      </c>
      <c r="R48" s="891">
        <v>1</v>
      </c>
      <c r="S48" s="890" t="str">
        <f ca="1">IFERROR(_xll.qlRateHelperEarliestDate(M48,Trigger),"--")</f>
        <v>--</v>
      </c>
      <c r="T48" s="890" t="str">
        <f ca="1">IFERROR(_xll.qlRateHelperPillarDate(M48,Trigger),"--")</f>
        <v>--</v>
      </c>
      <c r="V48" s="4" t="str">
        <f t="shared" ca="1" si="12"/>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404</v>
      </c>
      <c r="B49" s="876" t="s">
        <v>32</v>
      </c>
      <c r="C49" s="875" t="s">
        <v>324</v>
      </c>
      <c r="D49" s="875" t="s">
        <v>323</v>
      </c>
      <c r="E49" s="875" t="s">
        <v>322</v>
      </c>
      <c r="F49" s="875" t="s">
        <v>221</v>
      </c>
      <c r="G49" s="875" t="str">
        <f t="shared" si="10"/>
        <v>Euribor1M</v>
      </c>
      <c r="H49" s="874" t="str">
        <f t="shared" si="11"/>
        <v>EURAB1E24Y_Quote</v>
      </c>
      <c r="I49" s="967">
        <v>0</v>
      </c>
      <c r="J49" s="43"/>
      <c r="L49" s="895" t="str">
        <f t="shared" si="8"/>
        <v>Sw</v>
      </c>
      <c r="M49" s="891" t="str">
        <f t="shared" si="9"/>
        <v>--</v>
      </c>
      <c r="N49" s="894" t="str">
        <f ca="1">IFERROR(_xll.qlRateHelperQuoteName(M49,Trigger),"--")</f>
        <v>--</v>
      </c>
      <c r="O49" s="893" t="str">
        <f ca="1">IFERROR(_xll.qlRateHelperQuoteValue($M49,Trigger),"--")</f>
        <v>--</v>
      </c>
      <c r="P49" s="970" t="b">
        <v>0</v>
      </c>
      <c r="Q49" s="891">
        <v>50</v>
      </c>
      <c r="R49" s="891">
        <v>1</v>
      </c>
      <c r="S49" s="890" t="str">
        <f ca="1">IFERROR(_xll.qlRateHelperEarliestDate(M49,Trigger),"--")</f>
        <v>--</v>
      </c>
      <c r="T49" s="890" t="str">
        <f ca="1">IFERROR(_xll.qlRateHelperPillarDate(M49,Trigger),"--")</f>
        <v>--</v>
      </c>
      <c r="V49" s="4" t="str">
        <f t="shared" ca="1" si="12"/>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404</v>
      </c>
      <c r="B50" s="876" t="s">
        <v>31</v>
      </c>
      <c r="C50" s="875" t="s">
        <v>324</v>
      </c>
      <c r="D50" s="875" t="s">
        <v>323</v>
      </c>
      <c r="E50" s="875" t="s">
        <v>322</v>
      </c>
      <c r="F50" s="875" t="s">
        <v>221</v>
      </c>
      <c r="G50" s="875" t="str">
        <f t="shared" si="10"/>
        <v>Euribor1M</v>
      </c>
      <c r="H50" s="874" t="str">
        <f t="shared" si="11"/>
        <v>EURAB1E25Y_Quote</v>
      </c>
      <c r="I50" s="967">
        <v>0</v>
      </c>
      <c r="J50" s="43" t="e">
        <f ca="1">_xll.qlSwapRateHelper2(,H50,2,B50,Calendar,D50,E50,F50,G50,I50,C50,Discounting,PillarDate,,Permanent,Trigger,ObjectOverwrite)</f>
        <v>#NAME?</v>
      </c>
      <c r="L50" s="895" t="str">
        <f t="shared" si="8"/>
        <v>Sw</v>
      </c>
      <c r="M50" s="891" t="str">
        <f t="shared" si="9"/>
        <v>--</v>
      </c>
      <c r="N50" s="894" t="str">
        <f ca="1">IFERROR(_xll.qlRateHelperQuoteName(M50,Trigger),"--")</f>
        <v>--</v>
      </c>
      <c r="O50" s="893" t="str">
        <f ca="1">IFERROR(_xll.qlRateHelperQuoteValue($M50,Trigger),"--")</f>
        <v>--</v>
      </c>
      <c r="P50" s="970" t="b">
        <v>0</v>
      </c>
      <c r="Q50" s="891">
        <v>50</v>
      </c>
      <c r="R50" s="891">
        <v>1</v>
      </c>
      <c r="S50" s="890" t="str">
        <f ca="1">IFERROR(_xll.qlRateHelperEarliestDate(M50,Trigger),"--")</f>
        <v>--</v>
      </c>
      <c r="T50" s="890" t="str">
        <f ca="1">IFERROR(_xll.qlRateHelperPillarDate(M50,Trigger),"--")</f>
        <v>--</v>
      </c>
      <c r="V50" s="4" t="str">
        <f t="shared" ca="1" si="12"/>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404</v>
      </c>
      <c r="B51" s="876" t="s">
        <v>30</v>
      </c>
      <c r="C51" s="875" t="s">
        <v>324</v>
      </c>
      <c r="D51" s="875" t="s">
        <v>323</v>
      </c>
      <c r="E51" s="875" t="s">
        <v>322</v>
      </c>
      <c r="F51" s="875" t="s">
        <v>221</v>
      </c>
      <c r="G51" s="875" t="str">
        <f t="shared" si="10"/>
        <v>Euribor1M</v>
      </c>
      <c r="H51" s="874" t="str">
        <f t="shared" si="11"/>
        <v>EURAB1E26Y_Quote</v>
      </c>
      <c r="I51" s="967">
        <v>0</v>
      </c>
      <c r="J51" s="43"/>
      <c r="L51" s="895" t="str">
        <f t="shared" si="8"/>
        <v>Sw</v>
      </c>
      <c r="M51" s="891" t="e">
        <f t="shared" ca="1" si="9"/>
        <v>#NAME?</v>
      </c>
      <c r="N51" s="894" t="str">
        <f ca="1">IFERROR(_xll.qlRateHelperQuoteName(M51,Trigger),"--")</f>
        <v>--</v>
      </c>
      <c r="O51" s="893" t="str">
        <f ca="1">IFERROR(_xll.qlRateHelperQuoteValue($M51,Trigger),"--")</f>
        <v>--</v>
      </c>
      <c r="P51" s="970" t="b">
        <v>1</v>
      </c>
      <c r="Q51" s="891">
        <v>50</v>
      </c>
      <c r="R51" s="891">
        <v>1</v>
      </c>
      <c r="S51" s="890" t="str">
        <f ca="1">IFERROR(_xll.qlRateHelperEarliestDate(M51,Trigger),"--")</f>
        <v>--</v>
      </c>
      <c r="T51" s="890" t="str">
        <f ca="1">IFERROR(_xll.qlRateHelperPillarDate(M51,Trigger),"--")</f>
        <v>--</v>
      </c>
      <c r="V51" s="4" t="str">
        <f t="shared" ca="1" si="12"/>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404</v>
      </c>
      <c r="B52" s="876" t="s">
        <v>29</v>
      </c>
      <c r="C52" s="875" t="s">
        <v>324</v>
      </c>
      <c r="D52" s="875" t="s">
        <v>323</v>
      </c>
      <c r="E52" s="875" t="s">
        <v>322</v>
      </c>
      <c r="F52" s="875" t="s">
        <v>221</v>
      </c>
      <c r="G52" s="875" t="str">
        <f t="shared" si="10"/>
        <v>Euribor1M</v>
      </c>
      <c r="H52" s="874" t="str">
        <f t="shared" si="11"/>
        <v>EURAB1E27Y_Quote</v>
      </c>
      <c r="I52" s="967">
        <v>0</v>
      </c>
      <c r="J52" s="43"/>
      <c r="L52" s="895" t="str">
        <f t="shared" si="8"/>
        <v>Sw</v>
      </c>
      <c r="M52" s="891" t="str">
        <f t="shared" si="9"/>
        <v>--</v>
      </c>
      <c r="N52" s="894" t="str">
        <f ca="1">IFERROR(_xll.qlRateHelperQuoteName(M52,Trigger),"--")</f>
        <v>--</v>
      </c>
      <c r="O52" s="893" t="str">
        <f ca="1">IFERROR(_xll.qlRateHelperQuoteValue($M52,Trigger),"--")</f>
        <v>--</v>
      </c>
      <c r="P52" s="970" t="b">
        <v>0</v>
      </c>
      <c r="Q52" s="891">
        <v>50</v>
      </c>
      <c r="R52" s="891">
        <v>1</v>
      </c>
      <c r="S52" s="890" t="str">
        <f ca="1">IFERROR(_xll.qlRateHelperEarliestDate(M52,Trigger),"--")</f>
        <v>--</v>
      </c>
      <c r="T52" s="890" t="str">
        <f ca="1">IFERROR(_xll.qlRateHelperPillarDate(M52,Trigger),"--")</f>
        <v>--</v>
      </c>
      <c r="V52" s="4" t="str">
        <f t="shared" ca="1" si="12"/>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404</v>
      </c>
      <c r="B53" s="876" t="s">
        <v>28</v>
      </c>
      <c r="C53" s="875" t="s">
        <v>324</v>
      </c>
      <c r="D53" s="875" t="s">
        <v>323</v>
      </c>
      <c r="E53" s="875" t="s">
        <v>322</v>
      </c>
      <c r="F53" s="875" t="s">
        <v>221</v>
      </c>
      <c r="G53" s="875" t="str">
        <f t="shared" si="10"/>
        <v>Euribor1M</v>
      </c>
      <c r="H53" s="874" t="str">
        <f t="shared" si="11"/>
        <v>EURAB1E28Y_Quote</v>
      </c>
      <c r="I53" s="967">
        <v>0</v>
      </c>
      <c r="J53" s="43"/>
      <c r="L53" s="895" t="str">
        <f t="shared" si="8"/>
        <v>Sw</v>
      </c>
      <c r="M53" s="891" t="e">
        <f t="shared" ca="1" si="9"/>
        <v>#NAME?</v>
      </c>
      <c r="N53" s="894" t="str">
        <f ca="1">IFERROR(_xll.qlRateHelperQuoteName(M53,Trigger),"--")</f>
        <v>--</v>
      </c>
      <c r="O53" s="893" t="str">
        <f ca="1">IFERROR(_xll.qlRateHelperQuoteValue($M53,Trigger),"--")</f>
        <v>--</v>
      </c>
      <c r="P53" s="970" t="b">
        <v>1</v>
      </c>
      <c r="Q53" s="891">
        <v>50</v>
      </c>
      <c r="R53" s="891">
        <v>1</v>
      </c>
      <c r="S53" s="890" t="str">
        <f ca="1">IFERROR(_xll.qlRateHelperEarliestDate(M53,Trigger),"--")</f>
        <v>--</v>
      </c>
      <c r="T53" s="890" t="str">
        <f ca="1">IFERROR(_xll.qlRateHelperPillarDate(M53,Trigger),"--")</f>
        <v>--</v>
      </c>
      <c r="V53" s="4" t="str">
        <f t="shared" ca="1" si="12"/>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404</v>
      </c>
      <c r="B54" s="876" t="s">
        <v>27</v>
      </c>
      <c r="C54" s="875" t="s">
        <v>324</v>
      </c>
      <c r="D54" s="875" t="s">
        <v>323</v>
      </c>
      <c r="E54" s="875" t="s">
        <v>322</v>
      </c>
      <c r="F54" s="875" t="s">
        <v>221</v>
      </c>
      <c r="G54" s="875" t="str">
        <f t="shared" si="10"/>
        <v>Euribor1M</v>
      </c>
      <c r="H54" s="874" t="str">
        <f t="shared" si="11"/>
        <v>EURAB1E29Y_Quote</v>
      </c>
      <c r="I54" s="967">
        <v>0</v>
      </c>
      <c r="J54" s="43"/>
      <c r="L54" s="895" t="str">
        <f t="shared" si="8"/>
        <v>Sw</v>
      </c>
      <c r="M54" s="891" t="e">
        <f t="shared" ca="1" si="9"/>
        <v>#NAME?</v>
      </c>
      <c r="N54" s="894" t="str">
        <f ca="1">IFERROR(_xll.qlRateHelperQuoteName(M54,Trigger),"--")</f>
        <v>--</v>
      </c>
      <c r="O54" s="893" t="str">
        <f ca="1">IFERROR(_xll.qlRateHelperQuoteValue($M54,Trigger),"--")</f>
        <v>--</v>
      </c>
      <c r="P54" s="970" t="b">
        <v>1</v>
      </c>
      <c r="Q54" s="891">
        <v>50</v>
      </c>
      <c r="R54" s="891">
        <v>1</v>
      </c>
      <c r="S54" s="890" t="str">
        <f ca="1">IFERROR(_xll.qlRateHelperEarliestDate(M54,Trigger),"--")</f>
        <v>--</v>
      </c>
      <c r="T54" s="890" t="str">
        <f ca="1">IFERROR(_xll.qlRateHelperPillarDate(M54,Trigger),"--")</f>
        <v>--</v>
      </c>
      <c r="V54" s="4" t="str">
        <f t="shared" ca="1" si="12"/>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404</v>
      </c>
      <c r="B55" s="876" t="s">
        <v>26</v>
      </c>
      <c r="C55" s="875" t="s">
        <v>324</v>
      </c>
      <c r="D55" s="875" t="s">
        <v>323</v>
      </c>
      <c r="E55" s="875" t="s">
        <v>322</v>
      </c>
      <c r="F55" s="875" t="s">
        <v>221</v>
      </c>
      <c r="G55" s="875" t="str">
        <f t="shared" si="10"/>
        <v>Euribor1M</v>
      </c>
      <c r="H55" s="874" t="str">
        <f t="shared" si="11"/>
        <v>EURAB1E30Y_Quote</v>
      </c>
      <c r="I55" s="967">
        <v>0</v>
      </c>
      <c r="J55" s="43" t="e">
        <f ca="1">_xll.qlSwapRateHelper2(,H55,2,B55,Calendar,D55,E55,F55,G55,I55,C55,Discounting,PillarDate,,Permanent,Trigger,ObjectOverwrite)</f>
        <v>#NAME?</v>
      </c>
      <c r="L55" s="895" t="str">
        <f t="shared" si="8"/>
        <v>Sw</v>
      </c>
      <c r="M55" s="891" t="e">
        <f t="shared" ca="1" si="9"/>
        <v>#NAME?</v>
      </c>
      <c r="N55" s="894" t="str">
        <f ca="1">IFERROR(_xll.qlRateHelperQuoteName(M55,Trigger),"--")</f>
        <v>--</v>
      </c>
      <c r="O55" s="893" t="str">
        <f ca="1">IFERROR(_xll.qlRateHelperQuoteValue($M55,Trigger),"--")</f>
        <v>--</v>
      </c>
      <c r="P55" s="970" t="b">
        <v>1</v>
      </c>
      <c r="Q55" s="891">
        <v>50</v>
      </c>
      <c r="R55" s="891">
        <v>1</v>
      </c>
      <c r="S55" s="890" t="str">
        <f ca="1">IFERROR(_xll.qlRateHelperEarliestDate(M55,Trigger),"--")</f>
        <v>--</v>
      </c>
      <c r="T55" s="890" t="str">
        <f ca="1">IFERROR(_xll.qlRateHelperPillarDate(M55,Trigger),"--")</f>
        <v>--</v>
      </c>
      <c r="V55" s="4" t="str">
        <f t="shared" ca="1" si="12"/>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404</v>
      </c>
      <c r="B56" s="876" t="s">
        <v>25</v>
      </c>
      <c r="C56" s="875" t="s">
        <v>324</v>
      </c>
      <c r="D56" s="875" t="s">
        <v>323</v>
      </c>
      <c r="E56" s="875" t="s">
        <v>322</v>
      </c>
      <c r="F56" s="875" t="s">
        <v>221</v>
      </c>
      <c r="G56" s="875" t="str">
        <f t="shared" si="10"/>
        <v>Euribor1M</v>
      </c>
      <c r="H56" s="874" t="str">
        <f t="shared" si="11"/>
        <v>EURAB1E35Y_Quote</v>
      </c>
      <c r="I56" s="967">
        <v>0</v>
      </c>
      <c r="J56" s="43"/>
      <c r="L56" s="909" t="str">
        <f t="shared" ref="L56:L92" si="13">A62</f>
        <v>BasSw</v>
      </c>
      <c r="M56" s="905" t="str">
        <f t="shared" ref="M56:M92" si="14">IF(ISBLANK(J62),"--",J62)</f>
        <v>qlSwapRateHelper2(,H63,2,B63,Calendar,D63,E63,F63,G63,I63,C63,Discounting,PillarDate,,Permanent,Trigger,ObjectOverwrite)</v>
      </c>
      <c r="N56" s="908" t="str">
        <f ca="1">IFERROR(_xll.qlRateHelperQuoteName(M56,Trigger),"--")</f>
        <v>--</v>
      </c>
      <c r="O56" s="907" t="str">
        <f ca="1">IFERROR(_xll.qlRateHelperQuoteValue($M56,Trigger),"--")</f>
        <v>--</v>
      </c>
      <c r="P56" s="971" t="b">
        <v>0</v>
      </c>
      <c r="Q56" s="905">
        <v>40</v>
      </c>
      <c r="R56" s="905">
        <v>1</v>
      </c>
      <c r="S56" s="904" t="str">
        <f ca="1">IFERROR(_xll.qlRateHelperEarliestDate(M56,Trigger),"--")</f>
        <v>--</v>
      </c>
      <c r="T56" s="904" t="str">
        <f ca="1">IFERROR(_xll.qlRateHelperPillarDate(M56,Trigger),"--")</f>
        <v>--</v>
      </c>
      <c r="V56" s="4" t="str">
        <f t="shared" ca="1" si="12"/>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404</v>
      </c>
      <c r="B57" s="876" t="s">
        <v>24</v>
      </c>
      <c r="C57" s="875" t="s">
        <v>324</v>
      </c>
      <c r="D57" s="875" t="s">
        <v>323</v>
      </c>
      <c r="E57" s="875" t="s">
        <v>322</v>
      </c>
      <c r="F57" s="875" t="s">
        <v>221</v>
      </c>
      <c r="G57" s="875" t="str">
        <f t="shared" si="10"/>
        <v>Euribor1M</v>
      </c>
      <c r="H57" s="874" t="str">
        <f t="shared" si="11"/>
        <v>EURAB1E40Y_Quote</v>
      </c>
      <c r="I57" s="967">
        <v>0</v>
      </c>
      <c r="J57" s="43" t="e">
        <f ca="1">_xll.qlSwapRateHelper2(,H57,2,B57,Calendar,D57,E57,F57,G57,I57,C57,Discounting,PillarDate,,Permanent,Trigger,ObjectOverwrite)</f>
        <v>#NAME?</v>
      </c>
      <c r="L57" s="895" t="str">
        <f t="shared" si="13"/>
        <v>BasSw</v>
      </c>
      <c r="M57" s="891" t="str">
        <f t="shared" si="14"/>
        <v>--</v>
      </c>
      <c r="N57" s="894" t="str">
        <f ca="1">IFERROR(_xll.qlRateHelperQuoteName(M57,Trigger),"--")</f>
        <v>--</v>
      </c>
      <c r="O57" s="893" t="str">
        <f ca="1">IFERROR(_xll.qlRateHelperQuoteValue($M57,Trigger),"--")</f>
        <v>--</v>
      </c>
      <c r="P57" s="970" t="b">
        <v>0</v>
      </c>
      <c r="Q57" s="891">
        <v>40</v>
      </c>
      <c r="R57" s="891">
        <v>1</v>
      </c>
      <c r="S57" s="890" t="str">
        <f ca="1">IFERROR(_xll.qlRateHelperEarliestDate(M57,Trigger),"--")</f>
        <v>--</v>
      </c>
      <c r="T57" s="890" t="str">
        <f ca="1">IFERROR(_xll.qlRateHelperPillarDate(M57,Trigger),"--")</f>
        <v>--</v>
      </c>
      <c r="V57" s="4" t="str">
        <f t="shared" ca="1" si="12"/>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404</v>
      </c>
      <c r="B58" s="876" t="s">
        <v>23</v>
      </c>
      <c r="C58" s="875" t="s">
        <v>324</v>
      </c>
      <c r="D58" s="875" t="s">
        <v>323</v>
      </c>
      <c r="E58" s="875" t="s">
        <v>322</v>
      </c>
      <c r="F58" s="875" t="s">
        <v>221</v>
      </c>
      <c r="G58" s="875" t="str">
        <f t="shared" si="10"/>
        <v>Euribor1M</v>
      </c>
      <c r="H58" s="874" t="str">
        <f t="shared" si="11"/>
        <v>EURAB1E50Y_Quote</v>
      </c>
      <c r="I58" s="967">
        <v>0</v>
      </c>
      <c r="J58" s="43" t="e">
        <f ca="1">_xll.qlSwapRateHelper2(,H58,2,B58,Calendar,D58,E58,F58,G58,I58,C58,Discounting,PillarDate,,Permanent,Trigger,ObjectOverwrite)</f>
        <v>#NAME?</v>
      </c>
      <c r="L58" s="895" t="str">
        <f t="shared" si="13"/>
        <v>BasSw</v>
      </c>
      <c r="M58" s="891" t="str">
        <f t="shared" si="14"/>
        <v>--</v>
      </c>
      <c r="N58" s="894" t="str">
        <f ca="1">IFERROR(_xll.qlRateHelperQuoteName(M58,Trigger),"--")</f>
        <v>--</v>
      </c>
      <c r="O58" s="893" t="str">
        <f ca="1">IFERROR(_xll.qlRateHelperQuoteValue($M58,Trigger),"--")</f>
        <v>--</v>
      </c>
      <c r="P58" s="970" t="b">
        <v>0</v>
      </c>
      <c r="Q58" s="891">
        <v>40</v>
      </c>
      <c r="R58" s="891">
        <v>1</v>
      </c>
      <c r="S58" s="890" t="str">
        <f ca="1">IFERROR(_xll.qlRateHelperEarliestDate(M58,Trigger),"--")</f>
        <v>--</v>
      </c>
      <c r="T58" s="890" t="str">
        <f ca="1">IFERROR(_xll.qlRateHelperPillarDate(M58,Trigger),"--")</f>
        <v>--</v>
      </c>
      <c r="V58" s="4" t="str">
        <f t="shared" ca="1" si="12"/>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0" t="s">
        <v>404</v>
      </c>
      <c r="B59" s="872" t="s">
        <v>22</v>
      </c>
      <c r="C59" s="871" t="s">
        <v>324</v>
      </c>
      <c r="D59" s="871" t="s">
        <v>323</v>
      </c>
      <c r="E59" s="871" t="s">
        <v>322</v>
      </c>
      <c r="F59" s="871" t="s">
        <v>221</v>
      </c>
      <c r="G59" s="871" t="str">
        <f t="shared" si="10"/>
        <v>Euribor1M</v>
      </c>
      <c r="H59" s="870" t="str">
        <f t="shared" si="11"/>
        <v>EURAB1E60Y_Quote</v>
      </c>
      <c r="I59" s="966">
        <v>0</v>
      </c>
      <c r="J59" s="38" t="e">
        <f ca="1">_xll.qlSwapRateHelper2(,H59,2,B59,Calendar,D59,E59,F59,G59,I59,C59,Discounting,PillarDate,,Permanent,Trigger,ObjectOverwrite)</f>
        <v>#NAME?</v>
      </c>
      <c r="L59" s="895" t="str">
        <f t="shared" si="13"/>
        <v>BasSw</v>
      </c>
      <c r="M59" s="891" t="str">
        <f t="shared" si="14"/>
        <v>--</v>
      </c>
      <c r="N59" s="894" t="str">
        <f ca="1">IFERROR(_xll.qlRateHelperQuoteName(M59,Trigger),"--")</f>
        <v>--</v>
      </c>
      <c r="O59" s="893" t="str">
        <f ca="1">IFERROR(_xll.qlRateHelperQuoteValue($M59,Trigger),"--")</f>
        <v>--</v>
      </c>
      <c r="P59" s="970" t="b">
        <v>0</v>
      </c>
      <c r="Q59" s="891">
        <v>40</v>
      </c>
      <c r="R59" s="891">
        <v>1</v>
      </c>
      <c r="S59" s="890" t="str">
        <f ca="1">IFERROR(_xll.qlRateHelperEarliestDate(M59,Trigger),"--")</f>
        <v>--</v>
      </c>
      <c r="T59" s="890" t="str">
        <f ca="1">IFERROR(_xll.qlRateHelperPillarDate(M59,Trigger),"--")</f>
        <v>--</v>
      </c>
      <c r="V59" s="4" t="str">
        <f t="shared" ca="1" si="12"/>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G60" s="239" t="s">
        <v>21</v>
      </c>
      <c r="H60" s="866" t="s">
        <v>71</v>
      </c>
      <c r="L60" s="895" t="str">
        <f t="shared" si="13"/>
        <v>BasSw</v>
      </c>
      <c r="M60" s="891" t="str">
        <f t="shared" si="14"/>
        <v>--</v>
      </c>
      <c r="N60" s="894" t="str">
        <f ca="1">IFERROR(_xll.qlRateHelperQuoteName(M60,Trigger),"--")</f>
        <v>--</v>
      </c>
      <c r="O60" s="893" t="str">
        <f ca="1">IFERROR(_xll.qlRateHelperQuoteValue($M60,Trigger),"--")</f>
        <v>--</v>
      </c>
      <c r="P60" s="970" t="b">
        <v>0</v>
      </c>
      <c r="Q60" s="891">
        <v>40</v>
      </c>
      <c r="R60" s="891">
        <v>1</v>
      </c>
      <c r="S60" s="890" t="str">
        <f ca="1">IFERROR(_xll.qlRateHelperEarliestDate(M60,Trigger),"--")</f>
        <v>--</v>
      </c>
      <c r="T60" s="890" t="str">
        <f ca="1">IFERROR(_xll.qlRateHelperPillarDate(M60,Trigger),"--")</f>
        <v>--</v>
      </c>
      <c r="V60" s="4" t="str">
        <f t="shared" ca="1" si="12"/>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146" t="s">
        <v>388</v>
      </c>
      <c r="B61" s="146" t="s">
        <v>107</v>
      </c>
      <c r="C61" s="146" t="s">
        <v>387</v>
      </c>
      <c r="D61" s="146" t="s">
        <v>330</v>
      </c>
      <c r="E61" s="146" t="s">
        <v>386</v>
      </c>
      <c r="F61" s="146" t="s">
        <v>385</v>
      </c>
      <c r="G61" s="146" t="s">
        <v>14</v>
      </c>
      <c r="H61" s="146" t="s">
        <v>384</v>
      </c>
      <c r="I61" s="146" t="s">
        <v>62</v>
      </c>
      <c r="J61" s="146" t="s">
        <v>383</v>
      </c>
      <c r="L61" s="895" t="str">
        <f t="shared" si="13"/>
        <v>BasSw</v>
      </c>
      <c r="M61" s="891" t="str">
        <f t="shared" si="14"/>
        <v>--</v>
      </c>
      <c r="N61" s="894" t="str">
        <f ca="1">IFERROR(_xll.qlRateHelperQuoteName(M61,Trigger),"--")</f>
        <v>--</v>
      </c>
      <c r="O61" s="893" t="str">
        <f ca="1">IFERROR(_xll.qlRateHelperQuoteValue($M61,Trigger),"--")</f>
        <v>--</v>
      </c>
      <c r="P61" s="970" t="b">
        <v>0</v>
      </c>
      <c r="Q61" s="891">
        <v>40</v>
      </c>
      <c r="R61" s="891">
        <v>1</v>
      </c>
      <c r="S61" s="890" t="str">
        <f ca="1">IFERROR(_xll.qlRateHelperEarliestDate(M61,Trigger),"--")</f>
        <v>--</v>
      </c>
      <c r="T61" s="890" t="str">
        <f ca="1">IFERROR(_xll.qlRateHelperPillarDate(M61,Trigger),"--")</f>
        <v>--</v>
      </c>
      <c r="V61" s="4" t="str">
        <f t="shared" ca="1" si="12"/>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58</v>
      </c>
      <c r="C62" s="875" t="s">
        <v>324</v>
      </c>
      <c r="D62" s="875" t="s">
        <v>323</v>
      </c>
      <c r="E62" s="875" t="s">
        <v>322</v>
      </c>
      <c r="F62" s="875" t="s">
        <v>221</v>
      </c>
      <c r="G62" s="875" t="str">
        <f t="shared" ref="G62:G98" si="15">PROPER(Currency)&amp;FamilyName&amp;Tenor</f>
        <v>Euribor1M</v>
      </c>
      <c r="H62" s="874" t="str">
        <f t="shared" ref="H62:H98" si="16">Currency&amp;$G$60&amp;$H$60&amp;"BASIS"&amp;B62&amp;QuoteSuffix</f>
        <v>EURAB1EBASIS1Y_Quote</v>
      </c>
      <c r="I62" s="967">
        <v>0</v>
      </c>
      <c r="J62" s="43" t="s">
        <v>403</v>
      </c>
      <c r="L62" s="895" t="str">
        <f t="shared" si="13"/>
        <v>BasSw</v>
      </c>
      <c r="M62" s="891" t="str">
        <f t="shared" si="14"/>
        <v>--</v>
      </c>
      <c r="N62" s="894" t="str">
        <f ca="1">IFERROR(_xll.qlRateHelperQuoteName(M62,Trigger),"--")</f>
        <v>--</v>
      </c>
      <c r="O62" s="893" t="str">
        <f ca="1">IFERROR(_xll.qlRateHelperQuoteValue($M62,Trigger),"--")</f>
        <v>--</v>
      </c>
      <c r="P62" s="970" t="b">
        <v>0</v>
      </c>
      <c r="Q62" s="891">
        <v>40</v>
      </c>
      <c r="R62" s="891">
        <v>1</v>
      </c>
      <c r="S62" s="890" t="str">
        <f ca="1">IFERROR(_xll.qlRateHelperEarliestDate(M62,Trigger),"--")</f>
        <v>--</v>
      </c>
      <c r="T62" s="890" t="str">
        <f ca="1">IFERROR(_xll.qlRateHelperPillarDate(M62,Trigger),"--")</f>
        <v>--</v>
      </c>
      <c r="V62" s="4" t="str">
        <f t="shared" ca="1" si="12"/>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57</v>
      </c>
      <c r="C63" s="875" t="s">
        <v>324</v>
      </c>
      <c r="D63" s="875" t="s">
        <v>323</v>
      </c>
      <c r="E63" s="875" t="s">
        <v>322</v>
      </c>
      <c r="F63" s="875" t="s">
        <v>221</v>
      </c>
      <c r="G63" s="875" t="str">
        <f t="shared" si="15"/>
        <v>Euribor1M</v>
      </c>
      <c r="H63" s="874" t="str">
        <f t="shared" si="16"/>
        <v>EURAB1EBASIS15M_Quote</v>
      </c>
      <c r="I63" s="967">
        <v>0</v>
      </c>
      <c r="J63" s="43"/>
      <c r="L63" s="895" t="str">
        <f t="shared" si="13"/>
        <v>BasSw</v>
      </c>
      <c r="M63" s="891" t="str">
        <f t="shared" si="14"/>
        <v>--</v>
      </c>
      <c r="N63" s="894" t="str">
        <f ca="1">IFERROR(_xll.qlRateHelperQuoteName(M63,Trigger),"--")</f>
        <v>--</v>
      </c>
      <c r="O63" s="893" t="str">
        <f ca="1">IFERROR(_xll.qlRateHelperQuoteValue($M63,Trigger),"--")</f>
        <v>--</v>
      </c>
      <c r="P63" s="970" t="b">
        <v>0</v>
      </c>
      <c r="Q63" s="891">
        <v>40</v>
      </c>
      <c r="R63" s="891">
        <v>1</v>
      </c>
      <c r="S63" s="890" t="str">
        <f ca="1">IFERROR(_xll.qlRateHelperEarliestDate(M63,Trigger),"--")</f>
        <v>--</v>
      </c>
      <c r="T63" s="890" t="str">
        <f ca="1">IFERROR(_xll.qlRateHelperPillarDate(M63,Trigger),"--")</f>
        <v>--</v>
      </c>
      <c r="V63" s="4" t="str">
        <f t="shared" ca="1" si="12"/>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56</v>
      </c>
      <c r="C64" s="875" t="s">
        <v>324</v>
      </c>
      <c r="D64" s="875" t="s">
        <v>323</v>
      </c>
      <c r="E64" s="875" t="s">
        <v>322</v>
      </c>
      <c r="F64" s="875" t="s">
        <v>221</v>
      </c>
      <c r="G64" s="875" t="str">
        <f t="shared" si="15"/>
        <v>Euribor1M</v>
      </c>
      <c r="H64" s="874" t="str">
        <f t="shared" si="16"/>
        <v>EURAB1EBASIS18M_Quote</v>
      </c>
      <c r="I64" s="967">
        <v>0</v>
      </c>
      <c r="J64" s="43"/>
      <c r="L64" s="895" t="str">
        <f t="shared" si="13"/>
        <v>BasSw</v>
      </c>
      <c r="M64" s="891" t="str">
        <f t="shared" si="14"/>
        <v>--</v>
      </c>
      <c r="N64" s="894" t="str">
        <f ca="1">IFERROR(_xll.qlRateHelperQuoteName(M64,Trigger),"--")</f>
        <v>--</v>
      </c>
      <c r="O64" s="893" t="str">
        <f ca="1">IFERROR(_xll.qlRateHelperQuoteValue($M64,Trigger),"--")</f>
        <v>--</v>
      </c>
      <c r="P64" s="970" t="b">
        <v>0</v>
      </c>
      <c r="Q64" s="891">
        <v>40</v>
      </c>
      <c r="R64" s="891">
        <v>1</v>
      </c>
      <c r="S64" s="890" t="str">
        <f ca="1">IFERROR(_xll.qlRateHelperEarliestDate(M64,Trigger),"--")</f>
        <v>--</v>
      </c>
      <c r="T64" s="890" t="str">
        <f ca="1">IFERROR(_xll.qlRateHelperPillarDate(M64,Trigger),"--")</f>
        <v>--</v>
      </c>
      <c r="V64" s="4" t="str">
        <f t="shared" ca="1" si="12"/>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55</v>
      </c>
      <c r="C65" s="875" t="s">
        <v>324</v>
      </c>
      <c r="D65" s="875" t="s">
        <v>323</v>
      </c>
      <c r="E65" s="875" t="s">
        <v>322</v>
      </c>
      <c r="F65" s="875" t="s">
        <v>221</v>
      </c>
      <c r="G65" s="875" t="str">
        <f t="shared" si="15"/>
        <v>Euribor1M</v>
      </c>
      <c r="H65" s="874" t="str">
        <f t="shared" si="16"/>
        <v>EURAB1EBASIS21M_Quote</v>
      </c>
      <c r="I65" s="967">
        <v>0</v>
      </c>
      <c r="J65" s="43"/>
      <c r="L65" s="895" t="str">
        <f t="shared" si="13"/>
        <v>BasSw</v>
      </c>
      <c r="M65" s="891" t="str">
        <f t="shared" si="14"/>
        <v>--</v>
      </c>
      <c r="N65" s="894" t="str">
        <f ca="1">IFERROR(_xll.qlRateHelperQuoteName(M65,Trigger),"--")</f>
        <v>--</v>
      </c>
      <c r="O65" s="893" t="str">
        <f ca="1">IFERROR(_xll.qlRateHelperQuoteValue($M65,Trigger),"--")</f>
        <v>--</v>
      </c>
      <c r="P65" s="970" t="b">
        <v>0</v>
      </c>
      <c r="Q65" s="891">
        <v>40</v>
      </c>
      <c r="R65" s="891">
        <v>1</v>
      </c>
      <c r="S65" s="890" t="str">
        <f ca="1">IFERROR(_xll.qlRateHelperEarliestDate(M65,Trigger),"--")</f>
        <v>--</v>
      </c>
      <c r="T65" s="890" t="str">
        <f ca="1">IFERROR(_xll.qlRateHelperPillarDate(M65,Trigger),"--")</f>
        <v>--</v>
      </c>
      <c r="V65" s="4" t="str">
        <f t="shared" ca="1" si="12"/>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54</v>
      </c>
      <c r="C66" s="875" t="s">
        <v>324</v>
      </c>
      <c r="D66" s="875" t="s">
        <v>323</v>
      </c>
      <c r="E66" s="875" t="s">
        <v>322</v>
      </c>
      <c r="F66" s="875" t="s">
        <v>221</v>
      </c>
      <c r="G66" s="875" t="str">
        <f t="shared" si="15"/>
        <v>Euribor1M</v>
      </c>
      <c r="H66" s="874" t="str">
        <f t="shared" si="16"/>
        <v>EURAB1EBASIS2Y_Quote</v>
      </c>
      <c r="I66" s="967">
        <v>0</v>
      </c>
      <c r="J66" s="43"/>
      <c r="L66" s="895" t="str">
        <f t="shared" si="13"/>
        <v>BasSw</v>
      </c>
      <c r="M66" s="891" t="str">
        <f t="shared" si="14"/>
        <v>--</v>
      </c>
      <c r="N66" s="894" t="str">
        <f ca="1">IFERROR(_xll.qlRateHelperQuoteName(M66,Trigger),"--")</f>
        <v>--</v>
      </c>
      <c r="O66" s="893" t="str">
        <f ca="1">IFERROR(_xll.qlRateHelperQuoteValue($M66,Trigger),"--")</f>
        <v>--</v>
      </c>
      <c r="P66" s="970" t="b">
        <v>0</v>
      </c>
      <c r="Q66" s="891">
        <v>40</v>
      </c>
      <c r="R66" s="891">
        <v>1</v>
      </c>
      <c r="S66" s="890" t="str">
        <f ca="1">IFERROR(_xll.qlRateHelperEarliestDate(M66,Trigger),"--")</f>
        <v>--</v>
      </c>
      <c r="T66" s="890" t="str">
        <f ca="1">IFERROR(_xll.qlRateHelperPillarDate(M66,Trigger),"--")</f>
        <v>--</v>
      </c>
      <c r="V66" s="4" t="str">
        <f t="shared" ca="1" si="12"/>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53</v>
      </c>
      <c r="C67" s="875" t="s">
        <v>324</v>
      </c>
      <c r="D67" s="875" t="s">
        <v>323</v>
      </c>
      <c r="E67" s="875" t="s">
        <v>322</v>
      </c>
      <c r="F67" s="875" t="s">
        <v>221</v>
      </c>
      <c r="G67" s="875" t="str">
        <f t="shared" si="15"/>
        <v>Euribor1M</v>
      </c>
      <c r="H67" s="874" t="str">
        <f t="shared" si="16"/>
        <v>EURAB1EBASIS3Y_Quote</v>
      </c>
      <c r="I67" s="967">
        <v>0</v>
      </c>
      <c r="J67" s="43"/>
      <c r="L67" s="895" t="str">
        <f t="shared" si="13"/>
        <v>BasSw</v>
      </c>
      <c r="M67" s="891" t="str">
        <f t="shared" si="14"/>
        <v>--</v>
      </c>
      <c r="N67" s="894" t="str">
        <f ca="1">IFERROR(_xll.qlRateHelperQuoteName(M67,Trigger),"--")</f>
        <v>--</v>
      </c>
      <c r="O67" s="893" t="str">
        <f ca="1">IFERROR(_xll.qlRateHelperQuoteValue($M67,Trigger),"--")</f>
        <v>--</v>
      </c>
      <c r="P67" s="970" t="b">
        <v>0</v>
      </c>
      <c r="Q67" s="891">
        <v>40</v>
      </c>
      <c r="R67" s="891">
        <v>1</v>
      </c>
      <c r="S67" s="890" t="str">
        <f ca="1">IFERROR(_xll.qlRateHelperEarliestDate(M67,Trigger),"--")</f>
        <v>--</v>
      </c>
      <c r="T67" s="890" t="str">
        <f ca="1">IFERROR(_xll.qlRateHelperPillarDate(M67,Trigger),"--")</f>
        <v>--</v>
      </c>
      <c r="V67" s="4" t="str">
        <f t="shared" ref="V67:V92" ca="1" si="17">IFERROR(INDEX($L$3:$L$92,MATCH(X67,$N$3:$N$92,0),1),"")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52</v>
      </c>
      <c r="C68" s="875" t="s">
        <v>324</v>
      </c>
      <c r="D68" s="875" t="s">
        <v>323</v>
      </c>
      <c r="E68" s="875" t="s">
        <v>322</v>
      </c>
      <c r="F68" s="875" t="s">
        <v>221</v>
      </c>
      <c r="G68" s="875" t="str">
        <f t="shared" si="15"/>
        <v>Euribor1M</v>
      </c>
      <c r="H68" s="874" t="str">
        <f t="shared" si="16"/>
        <v>EURAB1EBASIS4Y_Quote</v>
      </c>
      <c r="I68" s="967">
        <v>0</v>
      </c>
      <c r="J68" s="43"/>
      <c r="L68" s="895" t="str">
        <f t="shared" si="13"/>
        <v>BasSw</v>
      </c>
      <c r="M68" s="891" t="str">
        <f t="shared" si="14"/>
        <v>--</v>
      </c>
      <c r="N68" s="894" t="str">
        <f ca="1">IFERROR(_xll.qlRateHelperQuoteName(M68,Trigger),"--")</f>
        <v>--</v>
      </c>
      <c r="O68" s="893" t="str">
        <f ca="1">IFERROR(_xll.qlRateHelperQuoteValue($M68,Trigger),"--")</f>
        <v>--</v>
      </c>
      <c r="P68" s="970" t="b">
        <v>0</v>
      </c>
      <c r="Q68" s="891">
        <v>40</v>
      </c>
      <c r="R68" s="891">
        <v>1</v>
      </c>
      <c r="S68" s="890" t="str">
        <f ca="1">IFERROR(_xll.qlRateHelperEarliestDate(M68,Trigger),"--")</f>
        <v>--</v>
      </c>
      <c r="T68" s="890" t="str">
        <f ca="1">IFERROR(_xll.qlRateHelperPillarDate(M68,Trigger),"--")</f>
        <v>--</v>
      </c>
      <c r="V68" s="4" t="str">
        <f t="shared" ca="1" si="17"/>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51</v>
      </c>
      <c r="C69" s="875" t="s">
        <v>324</v>
      </c>
      <c r="D69" s="875" t="s">
        <v>323</v>
      </c>
      <c r="E69" s="875" t="s">
        <v>322</v>
      </c>
      <c r="F69" s="875" t="s">
        <v>221</v>
      </c>
      <c r="G69" s="875" t="str">
        <f t="shared" si="15"/>
        <v>Euribor1M</v>
      </c>
      <c r="H69" s="874" t="str">
        <f t="shared" si="16"/>
        <v>EURAB1EBASIS5Y_Quote</v>
      </c>
      <c r="I69" s="967">
        <v>0</v>
      </c>
      <c r="J69" s="43"/>
      <c r="L69" s="895" t="str">
        <f t="shared" si="13"/>
        <v>BasSw</v>
      </c>
      <c r="M69" s="891" t="str">
        <f t="shared" si="14"/>
        <v>--</v>
      </c>
      <c r="N69" s="894" t="str">
        <f ca="1">IFERROR(_xll.qlRateHelperQuoteName(M69,Trigger),"--")</f>
        <v>--</v>
      </c>
      <c r="O69" s="893" t="str">
        <f ca="1">IFERROR(_xll.qlRateHelperQuoteValue($M69,Trigger),"--")</f>
        <v>--</v>
      </c>
      <c r="P69" s="970" t="b">
        <v>0</v>
      </c>
      <c r="Q69" s="891">
        <v>40</v>
      </c>
      <c r="R69" s="891">
        <v>1</v>
      </c>
      <c r="S69" s="890" t="str">
        <f ca="1">IFERROR(_xll.qlRateHelperEarliestDate(M69,Trigger),"--")</f>
        <v>--</v>
      </c>
      <c r="T69" s="890" t="str">
        <f ca="1">IFERROR(_xll.qlRateHelperPillarDate(M69,Trigger),"--")</f>
        <v>--</v>
      </c>
      <c r="V69" s="4" t="str">
        <f t="shared" ca="1" si="17"/>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50</v>
      </c>
      <c r="C70" s="875" t="s">
        <v>324</v>
      </c>
      <c r="D70" s="875" t="s">
        <v>323</v>
      </c>
      <c r="E70" s="875" t="s">
        <v>322</v>
      </c>
      <c r="F70" s="875" t="s">
        <v>221</v>
      </c>
      <c r="G70" s="875" t="str">
        <f t="shared" si="15"/>
        <v>Euribor1M</v>
      </c>
      <c r="H70" s="874" t="str">
        <f t="shared" si="16"/>
        <v>EURAB1EBASIS6Y_Quote</v>
      </c>
      <c r="I70" s="967">
        <v>0</v>
      </c>
      <c r="J70" s="43"/>
      <c r="L70" s="895" t="str">
        <f t="shared" si="13"/>
        <v>BasSw</v>
      </c>
      <c r="M70" s="891" t="str">
        <f t="shared" si="14"/>
        <v>--</v>
      </c>
      <c r="N70" s="894" t="str">
        <f ca="1">IFERROR(_xll.qlRateHelperQuoteName(M70,Trigger),"--")</f>
        <v>--</v>
      </c>
      <c r="O70" s="893" t="str">
        <f ca="1">IFERROR(_xll.qlRateHelperQuoteValue($M70,Trigger),"--")</f>
        <v>--</v>
      </c>
      <c r="P70" s="970" t="b">
        <v>0</v>
      </c>
      <c r="Q70" s="891">
        <v>40</v>
      </c>
      <c r="R70" s="891">
        <v>1</v>
      </c>
      <c r="S70" s="890" t="str">
        <f ca="1">IFERROR(_xll.qlRateHelperEarliestDate(M70,Trigger),"--")</f>
        <v>--</v>
      </c>
      <c r="T70" s="890" t="str">
        <f ca="1">IFERROR(_xll.qlRateHelperPillarDate(M70,Trigger),"--")</f>
        <v>--</v>
      </c>
      <c r="V70" s="4" t="str">
        <f t="shared" ca="1" si="17"/>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49</v>
      </c>
      <c r="C71" s="875" t="s">
        <v>324</v>
      </c>
      <c r="D71" s="875" t="s">
        <v>323</v>
      </c>
      <c r="E71" s="875" t="s">
        <v>322</v>
      </c>
      <c r="F71" s="875" t="s">
        <v>221</v>
      </c>
      <c r="G71" s="875" t="str">
        <f t="shared" si="15"/>
        <v>Euribor1M</v>
      </c>
      <c r="H71" s="874" t="str">
        <f t="shared" si="16"/>
        <v>EURAB1EBASIS7Y_Quote</v>
      </c>
      <c r="I71" s="967">
        <v>0</v>
      </c>
      <c r="J71" s="43"/>
      <c r="L71" s="895" t="str">
        <f t="shared" si="13"/>
        <v>BasSw</v>
      </c>
      <c r="M71" s="891" t="str">
        <f t="shared" si="14"/>
        <v>--</v>
      </c>
      <c r="N71" s="894" t="str">
        <f ca="1">IFERROR(_xll.qlRateHelperQuoteName(M71,Trigger),"--")</f>
        <v>--</v>
      </c>
      <c r="O71" s="893" t="str">
        <f ca="1">IFERROR(_xll.qlRateHelperQuoteValue($M71,Trigger),"--")</f>
        <v>--</v>
      </c>
      <c r="P71" s="970" t="b">
        <v>0</v>
      </c>
      <c r="Q71" s="891">
        <v>40</v>
      </c>
      <c r="R71" s="891">
        <v>1</v>
      </c>
      <c r="S71" s="890" t="str">
        <f ca="1">IFERROR(_xll.qlRateHelperEarliestDate(M71,Trigger),"--")</f>
        <v>--</v>
      </c>
      <c r="T71" s="890" t="str">
        <f ca="1">IFERROR(_xll.qlRateHelperPillarDate(M71,Trigger),"--")</f>
        <v>--</v>
      </c>
      <c r="V71" s="4" t="str">
        <f t="shared" ca="1" si="17"/>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48</v>
      </c>
      <c r="C72" s="875" t="s">
        <v>324</v>
      </c>
      <c r="D72" s="875" t="s">
        <v>323</v>
      </c>
      <c r="E72" s="875" t="s">
        <v>322</v>
      </c>
      <c r="F72" s="875" t="s">
        <v>221</v>
      </c>
      <c r="G72" s="875" t="str">
        <f t="shared" si="15"/>
        <v>Euribor1M</v>
      </c>
      <c r="H72" s="874" t="str">
        <f t="shared" si="16"/>
        <v>EURAB1EBASIS8Y_Quote</v>
      </c>
      <c r="I72" s="967">
        <v>0</v>
      </c>
      <c r="J72" s="43"/>
      <c r="L72" s="895" t="str">
        <f t="shared" si="13"/>
        <v>BasSw</v>
      </c>
      <c r="M72" s="891" t="str">
        <f t="shared" si="14"/>
        <v>--</v>
      </c>
      <c r="N72" s="894" t="str">
        <f ca="1">IFERROR(_xll.qlRateHelperQuoteName(M72,Trigger),"--")</f>
        <v>--</v>
      </c>
      <c r="O72" s="893" t="str">
        <f ca="1">IFERROR(_xll.qlRateHelperQuoteValue($M72,Trigger),"--")</f>
        <v>--</v>
      </c>
      <c r="P72" s="970" t="b">
        <v>0</v>
      </c>
      <c r="Q72" s="891">
        <v>40</v>
      </c>
      <c r="R72" s="891">
        <v>1</v>
      </c>
      <c r="S72" s="890" t="str">
        <f ca="1">IFERROR(_xll.qlRateHelperEarliestDate(M72,Trigger),"--")</f>
        <v>--</v>
      </c>
      <c r="T72" s="890" t="str">
        <f ca="1">IFERROR(_xll.qlRateHelperPillarDate(M72,Trigger),"--")</f>
        <v>--</v>
      </c>
      <c r="V72" s="4" t="str">
        <f t="shared" ca="1" si="17"/>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47</v>
      </c>
      <c r="C73" s="875" t="s">
        <v>324</v>
      </c>
      <c r="D73" s="875" t="s">
        <v>323</v>
      </c>
      <c r="E73" s="875" t="s">
        <v>322</v>
      </c>
      <c r="F73" s="875" t="s">
        <v>221</v>
      </c>
      <c r="G73" s="875" t="str">
        <f t="shared" si="15"/>
        <v>Euribor1M</v>
      </c>
      <c r="H73" s="874" t="str">
        <f t="shared" si="16"/>
        <v>EURAB1EBASIS9Y_Quote</v>
      </c>
      <c r="I73" s="967">
        <v>0</v>
      </c>
      <c r="J73" s="43"/>
      <c r="L73" s="895" t="str">
        <f t="shared" si="13"/>
        <v>BasSw</v>
      </c>
      <c r="M73" s="891" t="str">
        <f t="shared" si="14"/>
        <v>--</v>
      </c>
      <c r="N73" s="894" t="str">
        <f ca="1">IFERROR(_xll.qlRateHelperQuoteName(M73,Trigger),"--")</f>
        <v>--</v>
      </c>
      <c r="O73" s="893" t="str">
        <f ca="1">IFERROR(_xll.qlRateHelperQuoteValue($M73,Trigger),"--")</f>
        <v>--</v>
      </c>
      <c r="P73" s="970" t="b">
        <v>0</v>
      </c>
      <c r="Q73" s="891">
        <v>40</v>
      </c>
      <c r="R73" s="891">
        <v>1</v>
      </c>
      <c r="S73" s="890" t="str">
        <f ca="1">IFERROR(_xll.qlRateHelperEarliestDate(M73,Trigger),"--")</f>
        <v>--</v>
      </c>
      <c r="T73" s="890" t="str">
        <f ca="1">IFERROR(_xll.qlRateHelperPillarDate(M73,Trigger),"--")</f>
        <v>--</v>
      </c>
      <c r="V73" s="4" t="str">
        <f t="shared" ca="1" si="17"/>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46</v>
      </c>
      <c r="C74" s="875" t="s">
        <v>324</v>
      </c>
      <c r="D74" s="875" t="s">
        <v>323</v>
      </c>
      <c r="E74" s="875" t="s">
        <v>322</v>
      </c>
      <c r="F74" s="875" t="s">
        <v>221</v>
      </c>
      <c r="G74" s="875" t="str">
        <f t="shared" si="15"/>
        <v>Euribor1M</v>
      </c>
      <c r="H74" s="874" t="str">
        <f t="shared" si="16"/>
        <v>EURAB1EBASIS10Y_Quote</v>
      </c>
      <c r="I74" s="967">
        <v>0</v>
      </c>
      <c r="J74" s="43"/>
      <c r="L74" s="895" t="str">
        <f t="shared" si="13"/>
        <v>BasSw</v>
      </c>
      <c r="M74" s="891" t="str">
        <f t="shared" si="14"/>
        <v>--</v>
      </c>
      <c r="N74" s="894" t="str">
        <f ca="1">IFERROR(_xll.qlRateHelperQuoteName(M74,Trigger),"--")</f>
        <v>--</v>
      </c>
      <c r="O74" s="893" t="str">
        <f ca="1">IFERROR(_xll.qlRateHelperQuoteValue($M74,Trigger),"--")</f>
        <v>--</v>
      </c>
      <c r="P74" s="970" t="b">
        <v>0</v>
      </c>
      <c r="Q74" s="891">
        <v>40</v>
      </c>
      <c r="R74" s="891">
        <v>1</v>
      </c>
      <c r="S74" s="890" t="str">
        <f ca="1">IFERROR(_xll.qlRateHelperEarliestDate(M74,Trigger),"--")</f>
        <v>--</v>
      </c>
      <c r="T74" s="890" t="str">
        <f ca="1">IFERROR(_xll.qlRateHelperPillarDate(M74,Trigger),"--")</f>
        <v>--</v>
      </c>
      <c r="V74" s="4" t="str">
        <f t="shared" ca="1" si="17"/>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45</v>
      </c>
      <c r="C75" s="875" t="s">
        <v>324</v>
      </c>
      <c r="D75" s="875" t="s">
        <v>323</v>
      </c>
      <c r="E75" s="875" t="s">
        <v>322</v>
      </c>
      <c r="F75" s="875" t="s">
        <v>221</v>
      </c>
      <c r="G75" s="875" t="str">
        <f t="shared" si="15"/>
        <v>Euribor1M</v>
      </c>
      <c r="H75" s="874" t="str">
        <f t="shared" si="16"/>
        <v>EURAB1EBASIS11Y_Quote</v>
      </c>
      <c r="I75" s="967">
        <v>0</v>
      </c>
      <c r="J75" s="43"/>
      <c r="L75" s="895" t="str">
        <f t="shared" si="13"/>
        <v>BasSw</v>
      </c>
      <c r="M75" s="891" t="str">
        <f t="shared" si="14"/>
        <v>--</v>
      </c>
      <c r="N75" s="894" t="str">
        <f ca="1">IFERROR(_xll.qlRateHelperQuoteName(M75,Trigger),"--")</f>
        <v>--</v>
      </c>
      <c r="O75" s="893" t="str">
        <f ca="1">IFERROR(_xll.qlRateHelperQuoteValue($M75,Trigger),"--")</f>
        <v>--</v>
      </c>
      <c r="P75" s="970" t="b">
        <v>0</v>
      </c>
      <c r="Q75" s="891">
        <v>40</v>
      </c>
      <c r="R75" s="891">
        <v>1</v>
      </c>
      <c r="S75" s="890" t="str">
        <f ca="1">IFERROR(_xll.qlRateHelperEarliestDate(M75,Trigger),"--")</f>
        <v>--</v>
      </c>
      <c r="T75" s="890" t="str">
        <f ca="1">IFERROR(_xll.qlRateHelperPillarDate(M75,Trigger),"--")</f>
        <v>--</v>
      </c>
      <c r="V75" s="4" t="str">
        <f t="shared" ca="1" si="17"/>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44</v>
      </c>
      <c r="C76" s="875" t="s">
        <v>324</v>
      </c>
      <c r="D76" s="875" t="s">
        <v>323</v>
      </c>
      <c r="E76" s="875" t="s">
        <v>322</v>
      </c>
      <c r="F76" s="875" t="s">
        <v>221</v>
      </c>
      <c r="G76" s="875" t="str">
        <f t="shared" si="15"/>
        <v>Euribor1M</v>
      </c>
      <c r="H76" s="874" t="str">
        <f t="shared" si="16"/>
        <v>EURAB1EBASIS12Y_Quote</v>
      </c>
      <c r="I76" s="967">
        <v>0</v>
      </c>
      <c r="J76" s="43"/>
      <c r="L76" s="895" t="str">
        <f t="shared" si="13"/>
        <v>BasSw</v>
      </c>
      <c r="M76" s="891" t="str">
        <f t="shared" si="14"/>
        <v>--</v>
      </c>
      <c r="N76" s="894" t="str">
        <f ca="1">IFERROR(_xll.qlRateHelperQuoteName(M76,Trigger),"--")</f>
        <v>--</v>
      </c>
      <c r="O76" s="893" t="str">
        <f ca="1">IFERROR(_xll.qlRateHelperQuoteValue($M76,Trigger),"--")</f>
        <v>--</v>
      </c>
      <c r="P76" s="970" t="b">
        <v>0</v>
      </c>
      <c r="Q76" s="891">
        <v>40</v>
      </c>
      <c r="R76" s="891">
        <v>1</v>
      </c>
      <c r="S76" s="890" t="str">
        <f ca="1">IFERROR(_xll.qlRateHelperEarliestDate(M76,Trigger),"--")</f>
        <v>--</v>
      </c>
      <c r="T76" s="890" t="str">
        <f ca="1">IFERROR(_xll.qlRateHelperPillarDate(M76,Trigger),"--")</f>
        <v>--</v>
      </c>
      <c r="V76" s="4" t="str">
        <f t="shared" ca="1" si="17"/>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43</v>
      </c>
      <c r="C77" s="875" t="s">
        <v>324</v>
      </c>
      <c r="D77" s="875" t="s">
        <v>323</v>
      </c>
      <c r="E77" s="875" t="s">
        <v>322</v>
      </c>
      <c r="F77" s="875" t="s">
        <v>221</v>
      </c>
      <c r="G77" s="875" t="str">
        <f t="shared" si="15"/>
        <v>Euribor1M</v>
      </c>
      <c r="H77" s="874" t="str">
        <f t="shared" si="16"/>
        <v>EURAB1EBASIS13Y_Quote</v>
      </c>
      <c r="I77" s="967">
        <v>0</v>
      </c>
      <c r="J77" s="43"/>
      <c r="L77" s="895" t="str">
        <f t="shared" si="13"/>
        <v>BasSw</v>
      </c>
      <c r="M77" s="891" t="str">
        <f t="shared" si="14"/>
        <v>--</v>
      </c>
      <c r="N77" s="894" t="str">
        <f ca="1">IFERROR(_xll.qlRateHelperQuoteName(M77,Trigger),"--")</f>
        <v>--</v>
      </c>
      <c r="O77" s="893" t="str">
        <f ca="1">IFERROR(_xll.qlRateHelperQuoteValue($M77,Trigger),"--")</f>
        <v>--</v>
      </c>
      <c r="P77" s="970" t="b">
        <v>0</v>
      </c>
      <c r="Q77" s="891">
        <v>40</v>
      </c>
      <c r="R77" s="891">
        <v>1</v>
      </c>
      <c r="S77" s="890" t="str">
        <f ca="1">IFERROR(_xll.qlRateHelperEarliestDate(M77,Trigger),"--")</f>
        <v>--</v>
      </c>
      <c r="T77" s="890" t="str">
        <f ca="1">IFERROR(_xll.qlRateHelperPillarDate(M77,Trigger),"--")</f>
        <v>--</v>
      </c>
      <c r="V77" s="4" t="str">
        <f t="shared" ca="1" si="17"/>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42</v>
      </c>
      <c r="C78" s="875" t="s">
        <v>324</v>
      </c>
      <c r="D78" s="875" t="s">
        <v>323</v>
      </c>
      <c r="E78" s="875" t="s">
        <v>322</v>
      </c>
      <c r="F78" s="875" t="s">
        <v>221</v>
      </c>
      <c r="G78" s="875" t="str">
        <f t="shared" si="15"/>
        <v>Euribor1M</v>
      </c>
      <c r="H78" s="874" t="str">
        <f t="shared" si="16"/>
        <v>EURAB1EBASIS14Y_Quote</v>
      </c>
      <c r="I78" s="967">
        <v>0</v>
      </c>
      <c r="J78" s="43"/>
      <c r="L78" s="895" t="str">
        <f t="shared" si="13"/>
        <v>BasSw</v>
      </c>
      <c r="M78" s="891" t="str">
        <f t="shared" si="14"/>
        <v>--</v>
      </c>
      <c r="N78" s="894" t="str">
        <f ca="1">IFERROR(_xll.qlRateHelperQuoteName(M78,Trigger),"--")</f>
        <v>--</v>
      </c>
      <c r="O78" s="893" t="str">
        <f ca="1">IFERROR(_xll.qlRateHelperQuoteValue($M78,Trigger),"--")</f>
        <v>--</v>
      </c>
      <c r="P78" s="970" t="b">
        <v>0</v>
      </c>
      <c r="Q78" s="891">
        <v>40</v>
      </c>
      <c r="R78" s="891">
        <v>1</v>
      </c>
      <c r="S78" s="890" t="str">
        <f ca="1">IFERROR(_xll.qlRateHelperEarliestDate(M78,Trigger),"--")</f>
        <v>--</v>
      </c>
      <c r="T78" s="890" t="str">
        <f ca="1">IFERROR(_xll.qlRateHelperPillarDate(M78,Trigger),"--")</f>
        <v>--</v>
      </c>
      <c r="V78" s="4" t="str">
        <f t="shared" ca="1" si="17"/>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41</v>
      </c>
      <c r="C79" s="875" t="s">
        <v>324</v>
      </c>
      <c r="D79" s="875" t="s">
        <v>323</v>
      </c>
      <c r="E79" s="875" t="s">
        <v>322</v>
      </c>
      <c r="F79" s="875" t="s">
        <v>221</v>
      </c>
      <c r="G79" s="875" t="str">
        <f t="shared" si="15"/>
        <v>Euribor1M</v>
      </c>
      <c r="H79" s="874" t="str">
        <f t="shared" si="16"/>
        <v>EURAB1EBASIS15Y_Quote</v>
      </c>
      <c r="I79" s="967">
        <v>0</v>
      </c>
      <c r="J79" s="43"/>
      <c r="L79" s="895" t="str">
        <f t="shared" si="13"/>
        <v>BasSw</v>
      </c>
      <c r="M79" s="891" t="str">
        <f t="shared" si="14"/>
        <v>--</v>
      </c>
      <c r="N79" s="894" t="str">
        <f ca="1">IFERROR(_xll.qlRateHelperQuoteName(M79,Trigger),"--")</f>
        <v>--</v>
      </c>
      <c r="O79" s="893" t="str">
        <f ca="1">IFERROR(_xll.qlRateHelperQuoteValue($M79,Trigger),"--")</f>
        <v>--</v>
      </c>
      <c r="P79" s="970" t="b">
        <v>0</v>
      </c>
      <c r="Q79" s="891">
        <v>40</v>
      </c>
      <c r="R79" s="891">
        <v>1</v>
      </c>
      <c r="S79" s="890" t="str">
        <f ca="1">IFERROR(_xll.qlRateHelperEarliestDate(M79,Trigger),"--")</f>
        <v>--</v>
      </c>
      <c r="T79" s="890" t="str">
        <f ca="1">IFERROR(_xll.qlRateHelperPillarDate(M79,Trigger),"--")</f>
        <v>--</v>
      </c>
      <c r="V79" s="4" t="str">
        <f t="shared" ca="1" si="17"/>
        <v/>
      </c>
      <c r="W79" s="4" t="e">
        <f ca="1"/>
        <v>#NAME?</v>
      </c>
      <c r="X79" s="4" t="str">
        <f ca="1">IFERROR(_xll.qlRateHelperQuoteName(W79,Trigger),"")</f>
        <v/>
      </c>
      <c r="Y79" s="889" t="str">
        <f ca="1">IFERROR(_xll.qlRateHelperRate(W79,Trigger),"")</f>
        <v/>
      </c>
      <c r="Z79" s="888" t="str">
        <f ca="1">IF(ISERROR(_xll.qlSwapRateHelperSpread($W79)),IF(ISERROR(_xll.qlFuturesRateHelperConvexityAdjustment($W79)),"",_xll.qlFuturesRateHelperConvexityAdjustment($W79)),_xll.qlSwapRateHelperSpread($W79))</f>
        <v/>
      </c>
      <c r="AA79" s="5" t="str">
        <f ca="1">IFERROR(_xll.qlRateHelperEarliestDate(W79,Trigger),"")</f>
        <v/>
      </c>
      <c r="AB79" s="5" t="str">
        <f ca="1">IFERROR(_xll.qlRateHelperPillarDate(W79,Trigger),"")</f>
        <v/>
      </c>
      <c r="AC79" s="887" t="e">
        <f ca="1"/>
        <v>#NAME?</v>
      </c>
    </row>
    <row r="80" spans="1:29" ht="11.25" customHeight="1" x14ac:dyDescent="0.2">
      <c r="A80" s="874" t="s">
        <v>382</v>
      </c>
      <c r="B80" s="876" t="s">
        <v>40</v>
      </c>
      <c r="C80" s="875" t="s">
        <v>324</v>
      </c>
      <c r="D80" s="875" t="s">
        <v>323</v>
      </c>
      <c r="E80" s="875" t="s">
        <v>322</v>
      </c>
      <c r="F80" s="875" t="s">
        <v>221</v>
      </c>
      <c r="G80" s="875" t="str">
        <f t="shared" si="15"/>
        <v>Euribor1M</v>
      </c>
      <c r="H80" s="874" t="str">
        <f t="shared" si="16"/>
        <v>EURAB1EBASIS16Y_Quote</v>
      </c>
      <c r="I80" s="967">
        <v>0</v>
      </c>
      <c r="J80" s="43"/>
      <c r="L80" s="895" t="str">
        <f t="shared" si="13"/>
        <v>BasSw</v>
      </c>
      <c r="M80" s="891" t="str">
        <f t="shared" si="14"/>
        <v>--</v>
      </c>
      <c r="N80" s="894" t="str">
        <f ca="1">IFERROR(_xll.qlRateHelperQuoteName(M80,Trigger),"--")</f>
        <v>--</v>
      </c>
      <c r="O80" s="893" t="str">
        <f ca="1">IFERROR(_xll.qlRateHelperQuoteValue($M80,Trigger),"--")</f>
        <v>--</v>
      </c>
      <c r="P80" s="970" t="b">
        <v>0</v>
      </c>
      <c r="Q80" s="891">
        <v>40</v>
      </c>
      <c r="R80" s="891">
        <v>1</v>
      </c>
      <c r="S80" s="890" t="str">
        <f ca="1">IFERROR(_xll.qlRateHelperEarliestDate(M80,Trigger),"--")</f>
        <v>--</v>
      </c>
      <c r="T80" s="890" t="str">
        <f ca="1">IFERROR(_xll.qlRateHelperPillarDate(M80,Trigger),"--")</f>
        <v>--</v>
      </c>
      <c r="V80" s="4" t="str">
        <f t="shared" ca="1" si="17"/>
        <v/>
      </c>
      <c r="W80" s="4" t="e">
        <f ca="1"/>
        <v>#NAME?</v>
      </c>
      <c r="X80" s="4" t="str">
        <f ca="1">IFERROR(_xll.qlRateHelperQuoteName(W80,Trigger),"")</f>
        <v/>
      </c>
      <c r="Y80" s="889" t="str">
        <f ca="1">IFERROR(_xll.qlRateHelperRate(W80,Trigger),"")</f>
        <v/>
      </c>
      <c r="Z80" s="888" t="str">
        <f ca="1">IF(ISERROR(_xll.qlSwapRateHelperSpread($W80)),IF(ISERROR(_xll.qlFuturesRateHelperConvexityAdjustment($W80)),"",_xll.qlFuturesRateHelperConvexityAdjustment($W80)),_xll.qlSwapRateHelperSpread($W80))</f>
        <v/>
      </c>
      <c r="AA80" s="5" t="str">
        <f ca="1">IFERROR(_xll.qlRateHelperEarliestDate(W80,Trigger),"")</f>
        <v/>
      </c>
      <c r="AB80" s="5" t="str">
        <f ca="1">IFERROR(_xll.qlRateHelperPillarDate(W80,Trigger),"")</f>
        <v/>
      </c>
      <c r="AC80" s="887" t="e">
        <f ca="1"/>
        <v>#NAME?</v>
      </c>
    </row>
    <row r="81" spans="1:29" x14ac:dyDescent="0.2">
      <c r="A81" s="874" t="s">
        <v>382</v>
      </c>
      <c r="B81" s="876" t="s">
        <v>39</v>
      </c>
      <c r="C81" s="875" t="s">
        <v>324</v>
      </c>
      <c r="D81" s="875" t="s">
        <v>323</v>
      </c>
      <c r="E81" s="875" t="s">
        <v>322</v>
      </c>
      <c r="F81" s="875" t="s">
        <v>221</v>
      </c>
      <c r="G81" s="875" t="str">
        <f t="shared" si="15"/>
        <v>Euribor1M</v>
      </c>
      <c r="H81" s="874" t="str">
        <f t="shared" si="16"/>
        <v>EURAB1EBASIS17Y_Quote</v>
      </c>
      <c r="I81" s="967">
        <v>0</v>
      </c>
      <c r="J81" s="43"/>
      <c r="L81" s="895" t="str">
        <f t="shared" si="13"/>
        <v>BasSw</v>
      </c>
      <c r="M81" s="891" t="str">
        <f t="shared" si="14"/>
        <v>--</v>
      </c>
      <c r="N81" s="894" t="str">
        <f ca="1">IFERROR(_xll.qlRateHelperQuoteName(M81,Trigger),"--")</f>
        <v>--</v>
      </c>
      <c r="O81" s="893" t="str">
        <f ca="1">IFERROR(_xll.qlRateHelperQuoteValue($M81,Trigger),"--")</f>
        <v>--</v>
      </c>
      <c r="P81" s="970" t="b">
        <v>0</v>
      </c>
      <c r="Q81" s="891">
        <v>40</v>
      </c>
      <c r="R81" s="891">
        <v>1</v>
      </c>
      <c r="S81" s="890" t="str">
        <f ca="1">IFERROR(_xll.qlRateHelperEarliestDate(M81,Trigger),"--")</f>
        <v>--</v>
      </c>
      <c r="T81" s="890" t="str">
        <f ca="1">IFERROR(_xll.qlRateHelperPillarDate(M81,Trigger),"--")</f>
        <v>--</v>
      </c>
      <c r="V81" s="4" t="str">
        <f t="shared" ca="1" si="17"/>
        <v/>
      </c>
      <c r="W81" s="4" t="e">
        <f ca="1"/>
        <v>#NAME?</v>
      </c>
      <c r="X81" s="4" t="str">
        <f ca="1">IFERROR(_xll.qlRateHelperQuoteName(W81,Trigger),"")</f>
        <v/>
      </c>
      <c r="Y81" s="889" t="str">
        <f ca="1">IFERROR(_xll.qlRateHelperRate(W81,Trigger),"")</f>
        <v/>
      </c>
      <c r="Z81" s="888" t="str">
        <f ca="1">IF(ISERROR(_xll.qlSwapRateHelperSpread($W81)),IF(ISERROR(_xll.qlFuturesRateHelperConvexityAdjustment($W81)),"",_xll.qlFuturesRateHelperConvexityAdjustment($W81)),_xll.qlSwapRateHelperSpread($W81))</f>
        <v/>
      </c>
      <c r="AA81" s="5" t="str">
        <f ca="1">IFERROR(_xll.qlRateHelperEarliestDate(W81,Trigger),"")</f>
        <v/>
      </c>
      <c r="AB81" s="5" t="str">
        <f ca="1">IFERROR(_xll.qlRateHelperPillarDate(W81,Trigger),"")</f>
        <v/>
      </c>
      <c r="AC81" s="887" t="e">
        <f ca="1"/>
        <v>#NAME?</v>
      </c>
    </row>
    <row r="82" spans="1:29" x14ac:dyDescent="0.2">
      <c r="A82" s="874" t="s">
        <v>382</v>
      </c>
      <c r="B82" s="876" t="s">
        <v>38</v>
      </c>
      <c r="C82" s="875" t="s">
        <v>324</v>
      </c>
      <c r="D82" s="875" t="s">
        <v>323</v>
      </c>
      <c r="E82" s="875" t="s">
        <v>322</v>
      </c>
      <c r="F82" s="875" t="s">
        <v>221</v>
      </c>
      <c r="G82" s="875" t="str">
        <f t="shared" si="15"/>
        <v>Euribor1M</v>
      </c>
      <c r="H82" s="874" t="str">
        <f t="shared" si="16"/>
        <v>EURAB1EBASIS18Y_Quote</v>
      </c>
      <c r="I82" s="967">
        <v>0</v>
      </c>
      <c r="J82" s="43"/>
      <c r="L82" s="895" t="str">
        <f t="shared" si="13"/>
        <v>BasSw</v>
      </c>
      <c r="M82" s="891" t="str">
        <f t="shared" si="14"/>
        <v>--</v>
      </c>
      <c r="N82" s="894" t="str">
        <f ca="1">IFERROR(_xll.qlRateHelperQuoteName(M82,Trigger),"--")</f>
        <v>--</v>
      </c>
      <c r="O82" s="893" t="str">
        <f ca="1">IFERROR(_xll.qlRateHelperQuoteValue($M82,Trigger),"--")</f>
        <v>--</v>
      </c>
      <c r="P82" s="970" t="b">
        <v>0</v>
      </c>
      <c r="Q82" s="891">
        <v>40</v>
      </c>
      <c r="R82" s="891">
        <v>1</v>
      </c>
      <c r="S82" s="890" t="str">
        <f ca="1">IFERROR(_xll.qlRateHelperEarliestDate(M82,Trigger),"--")</f>
        <v>--</v>
      </c>
      <c r="T82" s="890" t="str">
        <f ca="1">IFERROR(_xll.qlRateHelperPillarDate(M82,Trigger),"--")</f>
        <v>--</v>
      </c>
      <c r="V82" s="4" t="str">
        <f t="shared" ca="1" si="17"/>
        <v/>
      </c>
      <c r="W82" s="4" t="e">
        <f ca="1"/>
        <v>#NAME?</v>
      </c>
      <c r="X82" s="4" t="str">
        <f ca="1">IFERROR(_xll.qlRateHelperQuoteName(W82,Trigger),"")</f>
        <v/>
      </c>
      <c r="Y82" s="889" t="str">
        <f ca="1">IFERROR(_xll.qlRateHelperRate(W82,Trigger),"")</f>
        <v/>
      </c>
      <c r="Z82" s="888" t="str">
        <f ca="1">IF(ISERROR(_xll.qlSwapRateHelperSpread($W82)),IF(ISERROR(_xll.qlFuturesRateHelperConvexityAdjustment($W82)),"",_xll.qlFuturesRateHelperConvexityAdjustment($W82)),_xll.qlSwapRateHelperSpread($W82))</f>
        <v/>
      </c>
      <c r="AA82" s="5" t="str">
        <f ca="1">IFERROR(_xll.qlRateHelperEarliestDate(W82,Trigger),"")</f>
        <v/>
      </c>
      <c r="AB82" s="5" t="str">
        <f ca="1">IFERROR(_xll.qlRateHelperPillarDate(W82,Trigger),"")</f>
        <v/>
      </c>
      <c r="AC82" s="887" t="e">
        <f ca="1"/>
        <v>#NAME?</v>
      </c>
    </row>
    <row r="83" spans="1:29" x14ac:dyDescent="0.2">
      <c r="A83" s="874" t="s">
        <v>382</v>
      </c>
      <c r="B83" s="876" t="s">
        <v>37</v>
      </c>
      <c r="C83" s="875" t="s">
        <v>324</v>
      </c>
      <c r="D83" s="875" t="s">
        <v>323</v>
      </c>
      <c r="E83" s="875" t="s">
        <v>322</v>
      </c>
      <c r="F83" s="875" t="s">
        <v>221</v>
      </c>
      <c r="G83" s="875" t="str">
        <f t="shared" si="15"/>
        <v>Euribor1M</v>
      </c>
      <c r="H83" s="874" t="str">
        <f t="shared" si="16"/>
        <v>EURAB1EBASIS19Y_Quote</v>
      </c>
      <c r="I83" s="967">
        <v>0</v>
      </c>
      <c r="J83" s="43"/>
      <c r="L83" s="895" t="str">
        <f t="shared" si="13"/>
        <v>BasSw</v>
      </c>
      <c r="M83" s="891" t="str">
        <f t="shared" si="14"/>
        <v>--</v>
      </c>
      <c r="N83" s="894" t="str">
        <f ca="1">IFERROR(_xll.qlRateHelperQuoteName(M83,Trigger),"--")</f>
        <v>--</v>
      </c>
      <c r="O83" s="893" t="str">
        <f ca="1">IFERROR(_xll.qlRateHelperQuoteValue($M83,Trigger),"--")</f>
        <v>--</v>
      </c>
      <c r="P83" s="970" t="b">
        <v>0</v>
      </c>
      <c r="Q83" s="891">
        <v>40</v>
      </c>
      <c r="R83" s="891">
        <v>1</v>
      </c>
      <c r="S83" s="890" t="str">
        <f ca="1">IFERROR(_xll.qlRateHelperEarliestDate(M83,Trigger),"--")</f>
        <v>--</v>
      </c>
      <c r="T83" s="890" t="str">
        <f ca="1">IFERROR(_xll.qlRateHelperPillarDate(M83,Trigger),"--")</f>
        <v>--</v>
      </c>
      <c r="V83" s="4" t="str">
        <f t="shared" ca="1" si="17"/>
        <v/>
      </c>
      <c r="W83" s="4" t="e">
        <f ca="1"/>
        <v>#NAME?</v>
      </c>
      <c r="X83" s="4" t="str">
        <f ca="1">IFERROR(_xll.qlRateHelperQuoteName(W83,Trigger),"")</f>
        <v/>
      </c>
      <c r="Y83" s="889" t="str">
        <f ca="1">IFERROR(_xll.qlRateHelperRate(W83,Trigger),"")</f>
        <v/>
      </c>
      <c r="Z83" s="888" t="str">
        <f ca="1">IF(ISERROR(_xll.qlSwapRateHelperSpread($W83)),IF(ISERROR(_xll.qlFuturesRateHelperConvexityAdjustment($W83)),"",_xll.qlFuturesRateHelperConvexityAdjustment($W83)),_xll.qlSwapRateHelperSpread($W83))</f>
        <v/>
      </c>
      <c r="AA83" s="5" t="str">
        <f ca="1">IFERROR(_xll.qlRateHelperEarliestDate(W83,Trigger),"")</f>
        <v/>
      </c>
      <c r="AB83" s="5" t="str">
        <f ca="1">IFERROR(_xll.qlRateHelperPillarDate(W83,Trigger),"")</f>
        <v/>
      </c>
      <c r="AC83" s="887" t="e">
        <f ca="1"/>
        <v>#NAME?</v>
      </c>
    </row>
    <row r="84" spans="1:29" x14ac:dyDescent="0.2">
      <c r="A84" s="874" t="s">
        <v>382</v>
      </c>
      <c r="B84" s="876" t="s">
        <v>36</v>
      </c>
      <c r="C84" s="875" t="s">
        <v>324</v>
      </c>
      <c r="D84" s="875" t="s">
        <v>323</v>
      </c>
      <c r="E84" s="875" t="s">
        <v>322</v>
      </c>
      <c r="F84" s="875" t="s">
        <v>221</v>
      </c>
      <c r="G84" s="875" t="str">
        <f t="shared" si="15"/>
        <v>Euribor1M</v>
      </c>
      <c r="H84" s="874" t="str">
        <f t="shared" si="16"/>
        <v>EURAB1EBASIS20Y_Quote</v>
      </c>
      <c r="I84" s="967">
        <v>0</v>
      </c>
      <c r="J84" s="43"/>
      <c r="L84" s="895" t="str">
        <f t="shared" si="13"/>
        <v>BasSw</v>
      </c>
      <c r="M84" s="891" t="str">
        <f t="shared" si="14"/>
        <v>--</v>
      </c>
      <c r="N84" s="894" t="str">
        <f ca="1">IFERROR(_xll.qlRateHelperQuoteName(M84,Trigger),"--")</f>
        <v>--</v>
      </c>
      <c r="O84" s="893" t="str">
        <f ca="1">IFERROR(_xll.qlRateHelperQuoteValue($M84,Trigger),"--")</f>
        <v>--</v>
      </c>
      <c r="P84" s="970" t="b">
        <v>0</v>
      </c>
      <c r="Q84" s="891">
        <v>40</v>
      </c>
      <c r="R84" s="891">
        <v>1</v>
      </c>
      <c r="S84" s="890" t="str">
        <f ca="1">IFERROR(_xll.qlRateHelperEarliestDate(M84,Trigger),"--")</f>
        <v>--</v>
      </c>
      <c r="T84" s="890" t="str">
        <f ca="1">IFERROR(_xll.qlRateHelperPillarDate(M84,Trigger),"--")</f>
        <v>--</v>
      </c>
      <c r="V84" s="4" t="str">
        <f t="shared" ca="1" si="17"/>
        <v/>
      </c>
      <c r="W84" s="4" t="e">
        <f ca="1"/>
        <v>#NAME?</v>
      </c>
      <c r="X84" s="4" t="str">
        <f ca="1">IFERROR(_xll.qlRateHelperQuoteName(W84,Trigger),"")</f>
        <v/>
      </c>
      <c r="Y84" s="889" t="str">
        <f ca="1">IFERROR(_xll.qlRateHelperRate(W84,Trigger),"")</f>
        <v/>
      </c>
      <c r="Z84" s="888" t="str">
        <f ca="1">IF(ISERROR(_xll.qlSwapRateHelperSpread($W84)),IF(ISERROR(_xll.qlFuturesRateHelperConvexityAdjustment($W84)),"",_xll.qlFuturesRateHelperConvexityAdjustment($W84)),_xll.qlSwapRateHelperSpread($W84))</f>
        <v/>
      </c>
      <c r="AA84" s="5" t="str">
        <f ca="1">IFERROR(_xll.qlRateHelperEarliestDate(W84,Trigger),"")</f>
        <v/>
      </c>
      <c r="AB84" s="5" t="str">
        <f ca="1">IFERROR(_xll.qlRateHelperPillarDate(W84,Trigger),"")</f>
        <v/>
      </c>
      <c r="AC84" s="887" t="e">
        <f ca="1"/>
        <v>#NAME?</v>
      </c>
    </row>
    <row r="85" spans="1:29" x14ac:dyDescent="0.2">
      <c r="A85" s="874" t="s">
        <v>382</v>
      </c>
      <c r="B85" s="876" t="s">
        <v>35</v>
      </c>
      <c r="C85" s="875" t="s">
        <v>324</v>
      </c>
      <c r="D85" s="875" t="s">
        <v>323</v>
      </c>
      <c r="E85" s="875" t="s">
        <v>322</v>
      </c>
      <c r="F85" s="875" t="s">
        <v>221</v>
      </c>
      <c r="G85" s="875" t="str">
        <f t="shared" si="15"/>
        <v>Euribor1M</v>
      </c>
      <c r="H85" s="874" t="str">
        <f t="shared" si="16"/>
        <v>EURAB1EBASIS21Y_Quote</v>
      </c>
      <c r="I85" s="967">
        <v>0</v>
      </c>
      <c r="J85" s="43"/>
      <c r="L85" s="895" t="str">
        <f t="shared" si="13"/>
        <v>BasSw</v>
      </c>
      <c r="M85" s="891" t="str">
        <f t="shared" si="14"/>
        <v>--</v>
      </c>
      <c r="N85" s="894" t="str">
        <f ca="1">IFERROR(_xll.qlRateHelperQuoteName(M85,Trigger),"--")</f>
        <v>--</v>
      </c>
      <c r="O85" s="893" t="str">
        <f ca="1">IFERROR(_xll.qlRateHelperQuoteValue($M85,Trigger),"--")</f>
        <v>--</v>
      </c>
      <c r="P85" s="970" t="b">
        <v>0</v>
      </c>
      <c r="Q85" s="891">
        <v>40</v>
      </c>
      <c r="R85" s="891">
        <v>1</v>
      </c>
      <c r="S85" s="890" t="str">
        <f ca="1">IFERROR(_xll.qlRateHelperEarliestDate(M85,Trigger),"--")</f>
        <v>--</v>
      </c>
      <c r="T85" s="890" t="str">
        <f ca="1">IFERROR(_xll.qlRateHelperPillarDate(M85,Trigger),"--")</f>
        <v>--</v>
      </c>
      <c r="V85" s="4" t="str">
        <f t="shared" ca="1" si="17"/>
        <v/>
      </c>
      <c r="W85" s="4" t="e">
        <f ca="1"/>
        <v>#NAME?</v>
      </c>
      <c r="X85" s="4" t="str">
        <f ca="1">IFERROR(_xll.qlRateHelperQuoteName(W85,Trigger),"")</f>
        <v/>
      </c>
      <c r="Y85" s="889" t="str">
        <f ca="1">IFERROR(_xll.qlRateHelperRate(W85,Trigger),"")</f>
        <v/>
      </c>
      <c r="Z85" s="888" t="str">
        <f ca="1">IF(ISERROR(_xll.qlSwapRateHelperSpread($W85)),IF(ISERROR(_xll.qlFuturesRateHelperConvexityAdjustment($W85)),"",_xll.qlFuturesRateHelperConvexityAdjustment($W85)),_xll.qlSwapRateHelperSpread($W85))</f>
        <v/>
      </c>
      <c r="AA85" s="5" t="str">
        <f ca="1">IFERROR(_xll.qlRateHelperEarliestDate(W85,Trigger),"")</f>
        <v/>
      </c>
      <c r="AB85" s="5" t="str">
        <f ca="1">IFERROR(_xll.qlRateHelperPillarDate(W85,Trigger),"")</f>
        <v/>
      </c>
      <c r="AC85" s="887" t="e">
        <f ca="1"/>
        <v>#NAME?</v>
      </c>
    </row>
    <row r="86" spans="1:29" x14ac:dyDescent="0.2">
      <c r="A86" s="874" t="s">
        <v>382</v>
      </c>
      <c r="B86" s="876" t="s">
        <v>34</v>
      </c>
      <c r="C86" s="875" t="s">
        <v>324</v>
      </c>
      <c r="D86" s="875" t="s">
        <v>323</v>
      </c>
      <c r="E86" s="875" t="s">
        <v>322</v>
      </c>
      <c r="F86" s="875" t="s">
        <v>221</v>
      </c>
      <c r="G86" s="875" t="str">
        <f t="shared" si="15"/>
        <v>Euribor1M</v>
      </c>
      <c r="H86" s="874" t="str">
        <f t="shared" si="16"/>
        <v>EURAB1EBASIS22Y_Quote</v>
      </c>
      <c r="I86" s="967">
        <v>0</v>
      </c>
      <c r="J86" s="43"/>
      <c r="L86" s="895" t="str">
        <f t="shared" si="13"/>
        <v>BasSw</v>
      </c>
      <c r="M86" s="891" t="str">
        <f t="shared" si="14"/>
        <v>--</v>
      </c>
      <c r="N86" s="894" t="str">
        <f ca="1">IFERROR(_xll.qlRateHelperQuoteName(M86,Trigger),"--")</f>
        <v>--</v>
      </c>
      <c r="O86" s="893" t="str">
        <f ca="1">IFERROR(_xll.qlRateHelperQuoteValue($M86,Trigger),"--")</f>
        <v>--</v>
      </c>
      <c r="P86" s="970" t="b">
        <v>0</v>
      </c>
      <c r="Q86" s="891">
        <v>40</v>
      </c>
      <c r="R86" s="891">
        <v>1</v>
      </c>
      <c r="S86" s="890" t="str">
        <f ca="1">IFERROR(_xll.qlRateHelperEarliestDate(M86,Trigger),"--")</f>
        <v>--</v>
      </c>
      <c r="T86" s="890" t="str">
        <f ca="1">IFERROR(_xll.qlRateHelperPillarDate(M86,Trigger),"--")</f>
        <v>--</v>
      </c>
      <c r="V86" s="4" t="str">
        <f t="shared" ca="1" si="17"/>
        <v/>
      </c>
      <c r="W86" s="4" t="e">
        <f ca="1"/>
        <v>#NAME?</v>
      </c>
      <c r="X86" s="4" t="str">
        <f ca="1">IFERROR(_xll.qlRateHelperQuoteName(W86,Trigger),"")</f>
        <v/>
      </c>
      <c r="Y86" s="889" t="str">
        <f ca="1">IFERROR(_xll.qlRateHelperRate(W86,Trigger),"")</f>
        <v/>
      </c>
      <c r="Z86" s="888" t="str">
        <f ca="1">IF(ISERROR(_xll.qlSwapRateHelperSpread($W86)),IF(ISERROR(_xll.qlFuturesRateHelperConvexityAdjustment($W86)),"",_xll.qlFuturesRateHelperConvexityAdjustment($W86)),_xll.qlSwapRateHelperSpread($W86))</f>
        <v/>
      </c>
      <c r="AA86" s="5" t="str">
        <f ca="1">IFERROR(_xll.qlRateHelperEarliestDate(W86,Trigger),"")</f>
        <v/>
      </c>
      <c r="AB86" s="5" t="str">
        <f ca="1">IFERROR(_xll.qlRateHelperPillarDate(W86,Trigger),"")</f>
        <v/>
      </c>
      <c r="AC86" s="887" t="e">
        <f ca="1"/>
        <v>#NAME?</v>
      </c>
    </row>
    <row r="87" spans="1:29" x14ac:dyDescent="0.2">
      <c r="A87" s="874" t="s">
        <v>382</v>
      </c>
      <c r="B87" s="876" t="s">
        <v>33</v>
      </c>
      <c r="C87" s="875" t="s">
        <v>324</v>
      </c>
      <c r="D87" s="875" t="s">
        <v>323</v>
      </c>
      <c r="E87" s="875" t="s">
        <v>322</v>
      </c>
      <c r="F87" s="875" t="s">
        <v>221</v>
      </c>
      <c r="G87" s="875" t="str">
        <f t="shared" si="15"/>
        <v>Euribor1M</v>
      </c>
      <c r="H87" s="874" t="str">
        <f t="shared" si="16"/>
        <v>EURAB1EBASIS23Y_Quote</v>
      </c>
      <c r="I87" s="967">
        <v>0</v>
      </c>
      <c r="J87" s="43"/>
      <c r="L87" s="895" t="str">
        <f t="shared" si="13"/>
        <v>BasSw</v>
      </c>
      <c r="M87" s="891" t="str">
        <f t="shared" si="14"/>
        <v>--</v>
      </c>
      <c r="N87" s="894" t="str">
        <f ca="1">IFERROR(_xll.qlRateHelperQuoteName(M87,Trigger),"--")</f>
        <v>--</v>
      </c>
      <c r="O87" s="893" t="str">
        <f ca="1">IFERROR(_xll.qlRateHelperQuoteValue($M87,Trigger),"--")</f>
        <v>--</v>
      </c>
      <c r="P87" s="970" t="b">
        <v>0</v>
      </c>
      <c r="Q87" s="891">
        <v>40</v>
      </c>
      <c r="R87" s="891">
        <v>1</v>
      </c>
      <c r="S87" s="890" t="str">
        <f ca="1">IFERROR(_xll.qlRateHelperEarliestDate(M87,Trigger),"--")</f>
        <v>--</v>
      </c>
      <c r="T87" s="890" t="str">
        <f ca="1">IFERROR(_xll.qlRateHelperPillarDate(M87,Trigger),"--")</f>
        <v>--</v>
      </c>
      <c r="V87" s="4" t="str">
        <f t="shared" ca="1" si="17"/>
        <v/>
      </c>
      <c r="W87" s="4" t="e">
        <f ca="1"/>
        <v>#NAME?</v>
      </c>
      <c r="X87" s="4" t="str">
        <f ca="1">IFERROR(_xll.qlRateHelperQuoteName(W87,Trigger),"")</f>
        <v/>
      </c>
      <c r="Y87" s="889" t="str">
        <f ca="1">IFERROR(_xll.qlRateHelperRate(W87,Trigger),"")</f>
        <v/>
      </c>
      <c r="Z87" s="888" t="str">
        <f ca="1">IF(ISERROR(_xll.qlSwapRateHelperSpread($W87)),IF(ISERROR(_xll.qlFuturesRateHelperConvexityAdjustment($W87)),"",_xll.qlFuturesRateHelperConvexityAdjustment($W87)),_xll.qlSwapRateHelperSpread($W87))</f>
        <v/>
      </c>
      <c r="AA87" s="5" t="str">
        <f ca="1">IFERROR(_xll.qlRateHelperEarliestDate(W87,Trigger),"")</f>
        <v/>
      </c>
      <c r="AB87" s="5" t="str">
        <f ca="1">IFERROR(_xll.qlRateHelperPillarDate(W87,Trigger),"")</f>
        <v/>
      </c>
      <c r="AC87" s="887" t="e">
        <f ca="1"/>
        <v>#NAME?</v>
      </c>
    </row>
    <row r="88" spans="1:29" x14ac:dyDescent="0.2">
      <c r="A88" s="874" t="s">
        <v>382</v>
      </c>
      <c r="B88" s="876" t="s">
        <v>32</v>
      </c>
      <c r="C88" s="875" t="s">
        <v>324</v>
      </c>
      <c r="D88" s="875" t="s">
        <v>323</v>
      </c>
      <c r="E88" s="875" t="s">
        <v>322</v>
      </c>
      <c r="F88" s="875" t="s">
        <v>221</v>
      </c>
      <c r="G88" s="875" t="str">
        <f t="shared" si="15"/>
        <v>Euribor1M</v>
      </c>
      <c r="H88" s="874" t="str">
        <f t="shared" si="16"/>
        <v>EURAB1EBASIS24Y_Quote</v>
      </c>
      <c r="I88" s="967">
        <v>0</v>
      </c>
      <c r="J88" s="43"/>
      <c r="L88" s="895" t="str">
        <f t="shared" si="13"/>
        <v>BasSw</v>
      </c>
      <c r="M88" s="891" t="str">
        <f t="shared" si="14"/>
        <v>--</v>
      </c>
      <c r="N88" s="894" t="str">
        <f ca="1">IFERROR(_xll.qlRateHelperQuoteName(M88,Trigger),"--")</f>
        <v>--</v>
      </c>
      <c r="O88" s="893" t="str">
        <f ca="1">IFERROR(_xll.qlRateHelperQuoteValue($M88,Trigger),"--")</f>
        <v>--</v>
      </c>
      <c r="P88" s="970" t="b">
        <v>0</v>
      </c>
      <c r="Q88" s="891">
        <v>40</v>
      </c>
      <c r="R88" s="891">
        <v>1</v>
      </c>
      <c r="S88" s="890" t="str">
        <f ca="1">IFERROR(_xll.qlRateHelperEarliestDate(M88,Trigger),"--")</f>
        <v>--</v>
      </c>
      <c r="T88" s="890" t="str">
        <f ca="1">IFERROR(_xll.qlRateHelperPillarDate(M88,Trigger),"--")</f>
        <v>--</v>
      </c>
      <c r="V88" s="4" t="str">
        <f t="shared" ca="1" si="17"/>
        <v/>
      </c>
      <c r="W88" s="4" t="e">
        <f ca="1"/>
        <v>#NAME?</v>
      </c>
      <c r="X88" s="4" t="str">
        <f ca="1">IFERROR(_xll.qlRateHelperQuoteName(W88,Trigger),"")</f>
        <v/>
      </c>
      <c r="Y88" s="889" t="str">
        <f ca="1">IFERROR(_xll.qlRateHelperRate(W88,Trigger),"")</f>
        <v/>
      </c>
      <c r="Z88" s="888" t="str">
        <f ca="1">IF(ISERROR(_xll.qlSwapRateHelperSpread($W88)),IF(ISERROR(_xll.qlFuturesRateHelperConvexityAdjustment($W88)),"",_xll.qlFuturesRateHelperConvexityAdjustment($W88)),_xll.qlSwapRateHelperSpread($W88))</f>
        <v/>
      </c>
      <c r="AA88" s="5" t="str">
        <f ca="1">IFERROR(_xll.qlRateHelperEarliestDate(W88,Trigger),"")</f>
        <v/>
      </c>
      <c r="AB88" s="5" t="str">
        <f ca="1">IFERROR(_xll.qlRateHelperPillarDate(W88,Trigger),"")</f>
        <v/>
      </c>
      <c r="AC88" s="887" t="e">
        <f ca="1"/>
        <v>#NAME?</v>
      </c>
    </row>
    <row r="89" spans="1:29" x14ac:dyDescent="0.2">
      <c r="A89" s="874" t="s">
        <v>382</v>
      </c>
      <c r="B89" s="876" t="s">
        <v>31</v>
      </c>
      <c r="C89" s="875" t="s">
        <v>324</v>
      </c>
      <c r="D89" s="875" t="s">
        <v>323</v>
      </c>
      <c r="E89" s="875" t="s">
        <v>322</v>
      </c>
      <c r="F89" s="875" t="s">
        <v>221</v>
      </c>
      <c r="G89" s="875" t="str">
        <f t="shared" si="15"/>
        <v>Euribor1M</v>
      </c>
      <c r="H89" s="874" t="str">
        <f t="shared" si="16"/>
        <v>EURAB1EBASIS25Y_Quote</v>
      </c>
      <c r="I89" s="967">
        <v>0</v>
      </c>
      <c r="J89" s="43"/>
      <c r="L89" s="895" t="str">
        <f t="shared" si="13"/>
        <v>BasSw</v>
      </c>
      <c r="M89" s="891" t="str">
        <f t="shared" si="14"/>
        <v>--</v>
      </c>
      <c r="N89" s="894" t="str">
        <f ca="1">IFERROR(_xll.qlRateHelperQuoteName(M89,Trigger),"--")</f>
        <v>--</v>
      </c>
      <c r="O89" s="893" t="str">
        <f ca="1">IFERROR(_xll.qlRateHelperQuoteValue($M89,Trigger),"--")</f>
        <v>--</v>
      </c>
      <c r="P89" s="970" t="b">
        <v>0</v>
      </c>
      <c r="Q89" s="891">
        <v>40</v>
      </c>
      <c r="R89" s="891">
        <v>1</v>
      </c>
      <c r="S89" s="890" t="str">
        <f ca="1">IFERROR(_xll.qlRateHelperEarliestDate(M89,Trigger),"--")</f>
        <v>--</v>
      </c>
      <c r="T89" s="890" t="str">
        <f ca="1">IFERROR(_xll.qlRateHelperPillarDate(M89,Trigger),"--")</f>
        <v>--</v>
      </c>
      <c r="V89" s="4" t="str">
        <f t="shared" ca="1" si="17"/>
        <v/>
      </c>
      <c r="W89" s="4" t="e">
        <f ca="1"/>
        <v>#NAME?</v>
      </c>
      <c r="X89" s="4" t="str">
        <f ca="1">IFERROR(_xll.qlRateHelperQuoteName(W89,Trigger),"")</f>
        <v/>
      </c>
      <c r="Y89" s="889" t="str">
        <f ca="1">IFERROR(_xll.qlRateHelperRate(W89,Trigger),"")</f>
        <v/>
      </c>
      <c r="Z89" s="888" t="str">
        <f ca="1">IF(ISERROR(_xll.qlSwapRateHelperSpread($W89)),IF(ISERROR(_xll.qlFuturesRateHelperConvexityAdjustment($W89)),"",_xll.qlFuturesRateHelperConvexityAdjustment($W89)),_xll.qlSwapRateHelperSpread($W89))</f>
        <v/>
      </c>
      <c r="AA89" s="5" t="str">
        <f ca="1">IFERROR(_xll.qlRateHelperEarliestDate(W89,Trigger),"")</f>
        <v/>
      </c>
      <c r="AB89" s="5" t="str">
        <f ca="1">IFERROR(_xll.qlRateHelperPillarDate(W89,Trigger),"")</f>
        <v/>
      </c>
      <c r="AC89" s="887" t="e">
        <f ca="1"/>
        <v>#NAME?</v>
      </c>
    </row>
    <row r="90" spans="1:29" x14ac:dyDescent="0.2">
      <c r="A90" s="874" t="s">
        <v>382</v>
      </c>
      <c r="B90" s="876" t="s">
        <v>30</v>
      </c>
      <c r="C90" s="875" t="s">
        <v>324</v>
      </c>
      <c r="D90" s="875" t="s">
        <v>323</v>
      </c>
      <c r="E90" s="875" t="s">
        <v>322</v>
      </c>
      <c r="F90" s="875" t="s">
        <v>221</v>
      </c>
      <c r="G90" s="875" t="str">
        <f t="shared" si="15"/>
        <v>Euribor1M</v>
      </c>
      <c r="H90" s="874" t="str">
        <f t="shared" si="16"/>
        <v>EURAB1EBASIS26Y_Quote</v>
      </c>
      <c r="I90" s="967">
        <v>0</v>
      </c>
      <c r="J90" s="43"/>
      <c r="K90" s="1" t="s">
        <v>148</v>
      </c>
      <c r="L90" s="895" t="str">
        <f t="shared" si="13"/>
        <v>BasSw</v>
      </c>
      <c r="M90" s="891" t="str">
        <f t="shared" si="14"/>
        <v>--</v>
      </c>
      <c r="N90" s="894" t="str">
        <f ca="1">IFERROR(_xll.qlRateHelperQuoteName(M90,Trigger),"--")</f>
        <v>--</v>
      </c>
      <c r="O90" s="893" t="str">
        <f ca="1">IFERROR(_xll.qlRateHelperQuoteValue($M90,Trigger),"--")</f>
        <v>--</v>
      </c>
      <c r="P90" s="970" t="b">
        <v>0</v>
      </c>
      <c r="Q90" s="891">
        <v>40</v>
      </c>
      <c r="R90" s="891">
        <v>1</v>
      </c>
      <c r="S90" s="890" t="str">
        <f ca="1">IFERROR(_xll.qlRateHelperEarliestDate(M90,Trigger),"--")</f>
        <v>--</v>
      </c>
      <c r="T90" s="890" t="str">
        <f ca="1">IFERROR(_xll.qlRateHelperPillarDate(M90,Trigger),"--")</f>
        <v>--</v>
      </c>
      <c r="V90" s="4" t="str">
        <f t="shared" ca="1" si="17"/>
        <v/>
      </c>
      <c r="W90" s="4" t="e">
        <f ca="1"/>
        <v>#NAME?</v>
      </c>
      <c r="X90" s="4" t="str">
        <f ca="1">IFERROR(_xll.qlRateHelperQuoteName(W90,Trigger),"")</f>
        <v/>
      </c>
      <c r="Y90" s="889" t="str">
        <f ca="1">IFERROR(_xll.qlRateHelperRate(W90,Trigger),"")</f>
        <v/>
      </c>
      <c r="Z90" s="888" t="str">
        <f ca="1">IF(ISERROR(_xll.qlSwapRateHelperSpread($W90)),IF(ISERROR(_xll.qlFuturesRateHelperConvexityAdjustment($W90)),"",_xll.qlFuturesRateHelperConvexityAdjustment($W90)),_xll.qlSwapRateHelperSpread($W90))</f>
        <v/>
      </c>
      <c r="AA90" s="5" t="str">
        <f ca="1">IFERROR(_xll.qlRateHelperEarliestDate(W90,Trigger),"")</f>
        <v/>
      </c>
      <c r="AB90" s="5" t="str">
        <f ca="1">IFERROR(_xll.qlRateHelperPillarDate(W90,Trigger),"")</f>
        <v/>
      </c>
      <c r="AC90" s="887" t="e">
        <f ca="1"/>
        <v>#NAME?</v>
      </c>
    </row>
    <row r="91" spans="1:29" x14ac:dyDescent="0.2">
      <c r="A91" s="874" t="s">
        <v>382</v>
      </c>
      <c r="B91" s="876" t="s">
        <v>29</v>
      </c>
      <c r="C91" s="875" t="s">
        <v>324</v>
      </c>
      <c r="D91" s="875" t="s">
        <v>323</v>
      </c>
      <c r="E91" s="875" t="s">
        <v>322</v>
      </c>
      <c r="F91" s="875" t="s">
        <v>221</v>
      </c>
      <c r="G91" s="875" t="str">
        <f t="shared" si="15"/>
        <v>Euribor1M</v>
      </c>
      <c r="H91" s="874" t="str">
        <f t="shared" si="16"/>
        <v>EURAB1EBASIS27Y_Quote</v>
      </c>
      <c r="I91" s="967">
        <v>0</v>
      </c>
      <c r="J91" s="43"/>
      <c r="L91" s="895" t="str">
        <f t="shared" si="13"/>
        <v>BasSw</v>
      </c>
      <c r="M91" s="891" t="str">
        <f t="shared" si="14"/>
        <v>--</v>
      </c>
      <c r="N91" s="894" t="str">
        <f ca="1">IFERROR(_xll.qlRateHelperQuoteName(M91,Trigger),"--")</f>
        <v>--</v>
      </c>
      <c r="O91" s="893" t="str">
        <f ca="1">IFERROR(_xll.qlRateHelperQuoteValue($M91,Trigger),"--")</f>
        <v>--</v>
      </c>
      <c r="P91" s="970" t="b">
        <v>0</v>
      </c>
      <c r="Q91" s="891">
        <v>40</v>
      </c>
      <c r="R91" s="891">
        <v>1</v>
      </c>
      <c r="S91" s="890" t="str">
        <f ca="1">IFERROR(_xll.qlRateHelperEarliestDate(M91,Trigger),"--")</f>
        <v>--</v>
      </c>
      <c r="T91" s="890" t="str">
        <f ca="1">IFERROR(_xll.qlRateHelperPillarDate(M91,Trigger),"--")</f>
        <v>--</v>
      </c>
      <c r="V91" s="4" t="str">
        <f t="shared" ca="1" si="17"/>
        <v/>
      </c>
      <c r="W91" s="4" t="e">
        <f ca="1"/>
        <v>#NAME?</v>
      </c>
      <c r="X91" s="4" t="str">
        <f ca="1">IFERROR(_xll.qlRateHelperQuoteName(W91,Trigger),"")</f>
        <v/>
      </c>
      <c r="Y91" s="889" t="str">
        <f ca="1">IFERROR(_xll.qlRateHelperRate(W91,Trigger),"")</f>
        <v/>
      </c>
      <c r="Z91" s="888" t="str">
        <f ca="1">IF(ISERROR(_xll.qlSwapRateHelperSpread($W91)),IF(ISERROR(_xll.qlFuturesRateHelperConvexityAdjustment($W91)),"",_xll.qlFuturesRateHelperConvexityAdjustment($W91)),_xll.qlSwapRateHelperSpread($W91))</f>
        <v/>
      </c>
      <c r="AA91" s="5" t="str">
        <f ca="1">IFERROR(_xll.qlRateHelperEarliestDate(W91,Trigger),"")</f>
        <v/>
      </c>
      <c r="AB91" s="5" t="str">
        <f ca="1">IFERROR(_xll.qlRateHelperPillarDate(W91,Trigger),"")</f>
        <v/>
      </c>
      <c r="AC91" s="887" t="e">
        <f ca="1"/>
        <v>#NAME?</v>
      </c>
    </row>
    <row r="92" spans="1:29" x14ac:dyDescent="0.2">
      <c r="A92" s="874" t="s">
        <v>382</v>
      </c>
      <c r="B92" s="876" t="s">
        <v>28</v>
      </c>
      <c r="C92" s="875" t="s">
        <v>324</v>
      </c>
      <c r="D92" s="875" t="s">
        <v>323</v>
      </c>
      <c r="E92" s="875" t="s">
        <v>322</v>
      </c>
      <c r="F92" s="875" t="s">
        <v>221</v>
      </c>
      <c r="G92" s="875" t="str">
        <f t="shared" si="15"/>
        <v>Euribor1M</v>
      </c>
      <c r="H92" s="874" t="str">
        <f t="shared" si="16"/>
        <v>EURAB1EBASIS28Y_Quote</v>
      </c>
      <c r="I92" s="967">
        <v>0</v>
      </c>
      <c r="J92" s="43"/>
      <c r="L92" s="886" t="str">
        <f t="shared" si="13"/>
        <v>BasSw</v>
      </c>
      <c r="M92" s="882" t="str">
        <f t="shared" si="14"/>
        <v>--</v>
      </c>
      <c r="N92" s="885" t="str">
        <f ca="1">IFERROR(_xll.qlRateHelperQuoteName(M92,Trigger),"--")</f>
        <v>--</v>
      </c>
      <c r="O92" s="884" t="str">
        <f ca="1">IFERROR(_xll.qlRateHelperQuoteValue($M92,Trigger),"--")</f>
        <v>--</v>
      </c>
      <c r="P92" s="969" t="b">
        <v>0</v>
      </c>
      <c r="Q92" s="882">
        <v>40</v>
      </c>
      <c r="R92" s="882">
        <v>1</v>
      </c>
      <c r="S92" s="881" t="str">
        <f ca="1">IFERROR(_xll.qlRateHelperEarliestDate(M92,Trigger),"--")</f>
        <v>--</v>
      </c>
      <c r="T92" s="881" t="str">
        <f ca="1">IFERROR(_xll.qlRateHelperPillarDate(M92,Trigger),"--")</f>
        <v>--</v>
      </c>
      <c r="V92" s="2" t="str">
        <f t="shared" ca="1" si="17"/>
        <v/>
      </c>
      <c r="W92" s="2" t="e">
        <f ca="1"/>
        <v>#NAME?</v>
      </c>
      <c r="X92" s="2" t="str">
        <f ca="1">IFERROR(_xll.qlRateHelperQuoteName(W92,Trigger),"")</f>
        <v/>
      </c>
      <c r="Y92" s="880" t="str">
        <f ca="1">IFERROR(_xll.qlRateHelperRate(W92,Trigger),"")</f>
        <v/>
      </c>
      <c r="Z92" s="879" t="str">
        <f ca="1">IF(ISERROR(_xll.qlSwapRateHelperSpread($W92)),IF(ISERROR(_xll.qlFuturesRateHelperConvexityAdjustment($W92)),"",_xll.qlFuturesRateHelperConvexityAdjustment($W92)),_xll.qlSwapRateHelperSpread($W92))</f>
        <v/>
      </c>
      <c r="AA92" s="3" t="str">
        <f ca="1">IFERROR(_xll.qlRateHelperEarliestDate(W92,Trigger),"")</f>
        <v/>
      </c>
      <c r="AB92" s="3" t="str">
        <f ca="1">IFERROR(_xll.qlRateHelperPillarDate(W92,Trigger),"")</f>
        <v/>
      </c>
      <c r="AC92" s="878" t="e">
        <f ca="1"/>
        <v>#NAME?</v>
      </c>
    </row>
    <row r="93" spans="1:29" x14ac:dyDescent="0.2">
      <c r="A93" s="874" t="s">
        <v>382</v>
      </c>
      <c r="B93" s="876" t="s">
        <v>27</v>
      </c>
      <c r="C93" s="875" t="s">
        <v>324</v>
      </c>
      <c r="D93" s="875" t="s">
        <v>323</v>
      </c>
      <c r="E93" s="875" t="s">
        <v>322</v>
      </c>
      <c r="F93" s="875" t="s">
        <v>221</v>
      </c>
      <c r="G93" s="875" t="str">
        <f t="shared" si="15"/>
        <v>Euribor1M</v>
      </c>
      <c r="H93" s="874" t="str">
        <f t="shared" si="16"/>
        <v>EURAB1EBASIS29Y_Quote</v>
      </c>
      <c r="I93" s="967">
        <v>0</v>
      </c>
      <c r="J93" s="43"/>
      <c r="L93" s="968"/>
    </row>
    <row r="94" spans="1:29" x14ac:dyDescent="0.2">
      <c r="A94" s="874" t="s">
        <v>382</v>
      </c>
      <c r="B94" s="876" t="s">
        <v>26</v>
      </c>
      <c r="C94" s="875" t="s">
        <v>324</v>
      </c>
      <c r="D94" s="875" t="s">
        <v>323</v>
      </c>
      <c r="E94" s="875" t="s">
        <v>322</v>
      </c>
      <c r="F94" s="875" t="s">
        <v>221</v>
      </c>
      <c r="G94" s="875" t="str">
        <f t="shared" si="15"/>
        <v>Euribor1M</v>
      </c>
      <c r="H94" s="874" t="str">
        <f t="shared" si="16"/>
        <v>EURAB1EBASIS30Y_Quote</v>
      </c>
      <c r="I94" s="967">
        <v>0</v>
      </c>
      <c r="J94" s="43"/>
    </row>
    <row r="95" spans="1:29" x14ac:dyDescent="0.2">
      <c r="A95" s="874" t="s">
        <v>382</v>
      </c>
      <c r="B95" s="876" t="s">
        <v>25</v>
      </c>
      <c r="C95" s="875" t="s">
        <v>324</v>
      </c>
      <c r="D95" s="875" t="s">
        <v>323</v>
      </c>
      <c r="E95" s="875" t="s">
        <v>322</v>
      </c>
      <c r="F95" s="875" t="s">
        <v>221</v>
      </c>
      <c r="G95" s="875" t="str">
        <f t="shared" si="15"/>
        <v>Euribor1M</v>
      </c>
      <c r="H95" s="874" t="str">
        <f t="shared" si="16"/>
        <v>EURAB1EBASIS35Y_Quote</v>
      </c>
      <c r="I95" s="967">
        <v>0</v>
      </c>
      <c r="J95" s="43"/>
    </row>
    <row r="96" spans="1:29" x14ac:dyDescent="0.2">
      <c r="A96" s="874" t="s">
        <v>382</v>
      </c>
      <c r="B96" s="876" t="s">
        <v>24</v>
      </c>
      <c r="C96" s="875" t="s">
        <v>324</v>
      </c>
      <c r="D96" s="875" t="s">
        <v>323</v>
      </c>
      <c r="E96" s="875" t="s">
        <v>322</v>
      </c>
      <c r="F96" s="875" t="s">
        <v>221</v>
      </c>
      <c r="G96" s="875" t="str">
        <f t="shared" si="15"/>
        <v>Euribor1M</v>
      </c>
      <c r="H96" s="874" t="str">
        <f t="shared" si="16"/>
        <v>EURAB1EBASIS40Y_Quote</v>
      </c>
      <c r="I96" s="967">
        <v>0</v>
      </c>
      <c r="J96" s="43"/>
    </row>
    <row r="97" spans="1:10" x14ac:dyDescent="0.2">
      <c r="A97" s="874" t="s">
        <v>382</v>
      </c>
      <c r="B97" s="876" t="s">
        <v>23</v>
      </c>
      <c r="C97" s="875" t="s">
        <v>324</v>
      </c>
      <c r="D97" s="875" t="s">
        <v>323</v>
      </c>
      <c r="E97" s="875" t="s">
        <v>322</v>
      </c>
      <c r="F97" s="875" t="s">
        <v>221</v>
      </c>
      <c r="G97" s="875" t="str">
        <f t="shared" si="15"/>
        <v>Euribor1M</v>
      </c>
      <c r="H97" s="874" t="str">
        <f t="shared" si="16"/>
        <v>EURAB1EBASIS50Y_Quote</v>
      </c>
      <c r="I97" s="967">
        <v>0</v>
      </c>
      <c r="J97" s="43"/>
    </row>
    <row r="98" spans="1:10" x14ac:dyDescent="0.2">
      <c r="A98" s="870" t="s">
        <v>382</v>
      </c>
      <c r="B98" s="872" t="s">
        <v>22</v>
      </c>
      <c r="C98" s="871" t="s">
        <v>324</v>
      </c>
      <c r="D98" s="871" t="s">
        <v>323</v>
      </c>
      <c r="E98" s="871" t="s">
        <v>322</v>
      </c>
      <c r="F98" s="871" t="s">
        <v>221</v>
      </c>
      <c r="G98" s="871" t="str">
        <f t="shared" si="15"/>
        <v>Euribor1M</v>
      </c>
      <c r="H98" s="870" t="str">
        <f t="shared" si="16"/>
        <v>EURAB1EBASIS60Y_Quote</v>
      </c>
      <c r="I98" s="966">
        <v>0</v>
      </c>
      <c r="J98" s="38"/>
    </row>
  </sheetData>
  <dataValidations count="4">
    <dataValidation type="list" allowBlank="1" showInputMessage="1" showErrorMessage="1" sqref="F10:F20 F3 F62:F98 F23:F59">
      <formula1>"Actual/Actual (ISDA),Actual/360,30/360 (Bond Basis),30E/360 (Eurobond Basis),Actual/365 (Fixed),Actual/Actual (ISMA),Actual/Actual (AFB),1/1,30/360 (Italian),Simple"</formula1>
    </dataValidation>
    <dataValidation type="list" allowBlank="1" showInputMessage="1" showErrorMessage="1" sqref="E10:E20 E3 E62:E98 E23:E59">
      <formula1>"Following,Modified Following,Preceding,Modified Preceding,Unadjusted,Half-Month Modified Following"</formula1>
    </dataValidation>
    <dataValidation type="list" allowBlank="1" showInputMessage="1" showErrorMessage="1" sqref="D10:D20 D62:D98 D23:D59">
      <formula1>"Annual,Semiannual,EveryFourthMonth,Quarterly,Bimonthly,Monthly,Biweekly,Weekly,Daily,Once,NoFrequency"</formula1>
    </dataValidation>
    <dataValidation type="list" allowBlank="1" showInputMessage="1" showErrorMessage="1" sqref="AJ6">
      <formula1>"AllDepos,DeposBeforeFirstFuturesStartDate,DeposBeforeFirstFuturesStartDatePlusOne,DeposBeforeFirstFuturesExpiryDate"</formula1>
    </dataValidation>
  </dataValidation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AJ90"/>
  <sheetViews>
    <sheetView showGridLines="0" topLeftCell="N1" zoomScaleNormal="100" workbookViewId="0">
      <selection activeCell="AJ3" sqref="AJ3:AJ4"/>
    </sheetView>
  </sheetViews>
  <sheetFormatPr defaultRowHeight="11.25" outlineLevelCol="1" x14ac:dyDescent="0.2"/>
  <cols>
    <col min="1" max="1" width="6" style="1" customWidth="1" outlineLevel="1"/>
    <col min="2" max="2" width="6" style="868" customWidth="1" outlineLevel="1"/>
    <col min="3" max="3" width="6.7109375" style="239" customWidth="1" outlineLevel="1"/>
    <col min="4" max="4" width="7" style="239" customWidth="1" outlineLevel="1"/>
    <col min="5" max="5" width="19.28515625" style="239" customWidth="1" outlineLevel="1"/>
    <col min="6" max="6" width="20.28515625" style="239" customWidth="1" outlineLevel="1"/>
    <col min="7" max="7" width="15.140625" style="239" customWidth="1" outlineLevel="1"/>
    <col min="8" max="8" width="24.42578125" style="867" customWidth="1" outlineLevel="1"/>
    <col min="9" max="9" width="9" style="1" customWidth="1" outlineLevel="1"/>
    <col min="10" max="10" width="15.140625" style="1" customWidth="1" outlineLevel="1"/>
    <col min="11" max="11" width="2.7109375" style="1" customWidth="1"/>
    <col min="12" max="12" width="6" style="1" customWidth="1" outlineLevel="1"/>
    <col min="13" max="13" width="15.140625" style="866" customWidth="1" outlineLevel="1"/>
    <col min="14" max="14" width="22.42578125" style="866" customWidth="1" outlineLevel="1"/>
    <col min="15" max="15" width="9.7109375" style="866" customWidth="1" outlineLevel="1"/>
    <col min="16" max="16" width="7.85546875" style="866" customWidth="1" outlineLevel="1"/>
    <col min="17" max="17" width="9" style="866" customWidth="1" outlineLevel="1"/>
    <col min="18" max="18" width="5.85546875" style="866" customWidth="1" outlineLevel="1"/>
    <col min="19" max="20" width="10.7109375" style="866" customWidth="1" outlineLevel="1"/>
    <col min="21" max="21" width="2.7109375" style="23" customWidth="1" outlineLevel="1"/>
    <col min="22" max="22" width="6" style="1" bestFit="1" customWidth="1"/>
    <col min="23" max="23" width="10.140625" style="1" customWidth="1" outlineLevel="1"/>
    <col min="24" max="24" width="24.7109375" style="1" customWidth="1"/>
    <col min="25" max="26" width="9.7109375" style="1" customWidth="1"/>
    <col min="27" max="28" width="17.28515625" style="1" bestFit="1" customWidth="1"/>
    <col min="29" max="29" width="12" style="1" bestFit="1" customWidth="1"/>
    <col min="30" max="30" width="3.5703125" style="1" customWidth="1"/>
    <col min="31" max="31" width="2.7109375" style="1" customWidth="1"/>
    <col min="32" max="32" width="24.42578125" style="1" bestFit="1" customWidth="1"/>
    <col min="33" max="33" width="9" style="1" bestFit="1" customWidth="1"/>
    <col min="34" max="16384" width="9.140625" style="1"/>
  </cols>
  <sheetData>
    <row r="1" spans="1:36" ht="18" customHeight="1" x14ac:dyDescent="0.2">
      <c r="G1" s="239" t="s">
        <v>58</v>
      </c>
      <c r="H1" s="239" t="str">
        <f>"_SYNTH"&amp;$G$1</f>
        <v>_SYNTH1Y</v>
      </c>
      <c r="L1" s="965" t="s">
        <v>383</v>
      </c>
      <c r="M1" s="964"/>
      <c r="N1" s="964"/>
      <c r="O1" s="964"/>
      <c r="P1" s="964"/>
      <c r="Q1" s="964"/>
      <c r="R1" s="964"/>
      <c r="S1" s="964"/>
      <c r="T1" s="963"/>
      <c r="U1" s="958"/>
      <c r="V1" s="962" t="str">
        <f>Currency&amp;$G$1</f>
        <v>EUR1Y</v>
      </c>
      <c r="W1" s="960"/>
      <c r="X1" s="960"/>
      <c r="Y1" s="961"/>
      <c r="Z1" s="961"/>
      <c r="AA1" s="960"/>
      <c r="AB1" s="960"/>
      <c r="AC1" s="959" t="s">
        <v>378</v>
      </c>
    </row>
    <row r="2" spans="1:36" ht="21.75" customHeight="1" thickBot="1" x14ac:dyDescent="0.25">
      <c r="A2" s="146" t="s">
        <v>388</v>
      </c>
      <c r="B2" s="146" t="s">
        <v>107</v>
      </c>
      <c r="C2" s="146" t="s">
        <v>402</v>
      </c>
      <c r="D2" s="146" t="s">
        <v>401</v>
      </c>
      <c r="E2" s="146" t="s">
        <v>386</v>
      </c>
      <c r="F2" s="146" t="s">
        <v>385</v>
      </c>
      <c r="G2" s="146" t="s">
        <v>14</v>
      </c>
      <c r="H2" s="146" t="s">
        <v>384</v>
      </c>
      <c r="I2" s="146"/>
      <c r="J2" s="146" t="s">
        <v>383</v>
      </c>
      <c r="L2" s="956" t="s">
        <v>388</v>
      </c>
      <c r="M2" s="956" t="s">
        <v>383</v>
      </c>
      <c r="N2" s="956" t="s">
        <v>101</v>
      </c>
      <c r="O2" s="956" t="s">
        <v>325</v>
      </c>
      <c r="P2" s="956" t="s">
        <v>281</v>
      </c>
      <c r="Q2" s="956" t="s">
        <v>280</v>
      </c>
      <c r="R2" s="956" t="s">
        <v>400</v>
      </c>
      <c r="S2" s="956" t="s">
        <v>272</v>
      </c>
      <c r="T2" s="956" t="s">
        <v>398</v>
      </c>
      <c r="U2" s="958"/>
      <c r="V2" s="956" t="s">
        <v>388</v>
      </c>
      <c r="W2" s="956" t="s">
        <v>383</v>
      </c>
      <c r="X2" s="956" t="s">
        <v>101</v>
      </c>
      <c r="Y2" s="957" t="s">
        <v>273</v>
      </c>
      <c r="Z2" s="957" t="s">
        <v>399</v>
      </c>
      <c r="AA2" s="956" t="s">
        <v>272</v>
      </c>
      <c r="AB2" s="956" t="s">
        <v>398</v>
      </c>
      <c r="AC2" s="955" t="e">
        <f t="array" aca="1" ref="AC2:AC79" ca="1">_xll.qlPiecewiseYieldCurveData(YieldCurve_1Y,Trigger)</f>
        <v>#NAME?</v>
      </c>
      <c r="AF2" s="954" t="s">
        <v>397</v>
      </c>
      <c r="AG2" s="953"/>
    </row>
    <row r="3" spans="1:36" ht="11.25" customHeight="1" x14ac:dyDescent="0.25">
      <c r="A3" s="952" t="s">
        <v>391</v>
      </c>
      <c r="B3" s="951" t="s">
        <v>183</v>
      </c>
      <c r="C3" s="950" t="s">
        <v>242</v>
      </c>
      <c r="D3" s="950" t="b">
        <v>0</v>
      </c>
      <c r="E3" s="950" t="s">
        <v>322</v>
      </c>
      <c r="F3" s="950" t="s">
        <v>295</v>
      </c>
      <c r="G3" s="949" t="e">
        <f ca="1">_xll.qlIborIndex(,FamilyName,C3,2,Currency,Calendar,E3,D3,F3,,Permanent,Trigger,ObjectOverwrite)</f>
        <v>#NAME?</v>
      </c>
      <c r="H3" s="948" t="str">
        <f t="shared" ref="H3:H18" si="0">Currency&amp;$B3&amp;"D"&amp;$H$1&amp;QuoteSuffix</f>
        <v>EURSND_SYNTH1Y_Quote</v>
      </c>
      <c r="I3" s="947"/>
      <c r="J3" s="946"/>
      <c r="K3" s="154"/>
      <c r="L3" s="909" t="str">
        <f t="shared" ref="L3:L18" si="1">A3</f>
        <v>Dp</v>
      </c>
      <c r="M3" s="905" t="str">
        <f t="shared" ref="M3:M18" si="2">IF(ISBLANK(J3),"--",J3)</f>
        <v>--</v>
      </c>
      <c r="N3" s="908" t="str">
        <f ca="1">IFERROR(_xll.qlRateHelperQuoteName(M3,Trigger),"--")</f>
        <v>--</v>
      </c>
      <c r="O3" s="907" t="str">
        <f ca="1">IFERROR(_xll.qlRateHelperQuoteValue($M3,Trigger),"--")</f>
        <v>--</v>
      </c>
      <c r="P3" s="906" t="b">
        <v>0</v>
      </c>
      <c r="Q3" s="905">
        <v>10</v>
      </c>
      <c r="R3" s="905">
        <v>1</v>
      </c>
      <c r="S3" s="904" t="str">
        <f ca="1">IFERROR(_xll.qlRateHelperEarliestDate(M3,Trigger),"--")</f>
        <v>--</v>
      </c>
      <c r="T3" s="904" t="str">
        <f ca="1">IFERROR(_xll.qlRateHelperPillarDate(M3,Trigger),"--")</f>
        <v>--</v>
      </c>
      <c r="V3" s="4" t="str">
        <f t="shared" ref="V3:V34" ca="1" si="3">IFERROR(INDEX($L$3:$L$79,MATCH(X3,$N$3:$N$79,0),1),"")</f>
        <v/>
      </c>
      <c r="W3" s="4" t="e">
        <f t="array" aca="1" ref="W3:W79" ca="1">_xll.qlRateHelperSelection(_xll.ohFilter(RateHelpers,IncludeFlag),_xll.ohFilter(Priority,IncludeFlag),$AG$3,$AG$4,$AG$5,$AG$6,_xll.ohFilter(MinDistance,IncludeFlag),Trigger)</f>
        <v>#NAME?</v>
      </c>
      <c r="X3" s="4" t="str">
        <f ca="1">IFERROR(_xll.qlRateHelperQuoteName(W3,Trigger),"")</f>
        <v/>
      </c>
      <c r="Y3" s="889" t="str">
        <f ca="1">IFERROR(_xll.qlRateHelperRate(W3,Trigger),"")</f>
        <v/>
      </c>
      <c r="Z3" s="888" t="str">
        <f ca="1">IF(ISERROR(_xll.qlSwapRateHelperSpread($W3)),IF(ISERROR(_xll.qlFuturesRateHelperConvexityAdjustment($W3)),"",_xll.qlFuturesRateHelperConvexityAdjustment($W3)),_xll.qlSwapRateHelperSpread($W3))</f>
        <v/>
      </c>
      <c r="AA3" s="5" t="str">
        <f ca="1">IFERROR(_xll.qlRateHelperEarliestDate(W3,Trigger),"")</f>
        <v/>
      </c>
      <c r="AB3" s="5" t="str">
        <f ca="1">IFERROR(_xll.qlRateHelperPillarDate(W3,Trigger),"")</f>
        <v/>
      </c>
      <c r="AC3" s="887" t="e">
        <f ca="1"/>
        <v>#NAME?</v>
      </c>
      <c r="AD3" s="914"/>
      <c r="AF3" s="936" t="s">
        <v>396</v>
      </c>
      <c r="AG3" s="944">
        <v>0</v>
      </c>
      <c r="AI3" s="1361" t="s">
        <v>529</v>
      </c>
      <c r="AJ3" s="1364" t="e">
        <f ca="1">_xll.ohTrigger(GeneralSettings!Trigger)</f>
        <v>#NAME?</v>
      </c>
    </row>
    <row r="4" spans="1:36" ht="11.25" customHeight="1" thickBot="1" x14ac:dyDescent="0.3">
      <c r="A4" s="897" t="s">
        <v>391</v>
      </c>
      <c r="B4" s="899" t="s">
        <v>178</v>
      </c>
      <c r="C4" s="917" t="s">
        <v>353</v>
      </c>
      <c r="D4" s="915"/>
      <c r="E4" s="915"/>
      <c r="F4" s="915"/>
      <c r="G4" s="898" t="str">
        <f>PROPER(Currency)&amp;FamilyName&amp;B4</f>
        <v>EuriborSW</v>
      </c>
      <c r="H4" s="945" t="str">
        <f t="shared" si="0"/>
        <v>EURSWD_SYNTH1Y_Quote</v>
      </c>
      <c r="I4" s="915"/>
      <c r="J4" s="47"/>
      <c r="K4" s="23"/>
      <c r="L4" s="895" t="str">
        <f t="shared" si="1"/>
        <v>Dp</v>
      </c>
      <c r="M4" s="891" t="str">
        <f t="shared" si="2"/>
        <v>--</v>
      </c>
      <c r="N4" s="894" t="str">
        <f ca="1">IFERROR(_xll.qlRateHelperQuoteName(M4,Trigger),"--")</f>
        <v>--</v>
      </c>
      <c r="O4" s="893" t="str">
        <f ca="1">IFERROR(_xll.qlRateHelperQuoteValue($M4,Trigger),"--")</f>
        <v>--</v>
      </c>
      <c r="P4" s="892" t="b">
        <v>0</v>
      </c>
      <c r="Q4" s="891">
        <v>10</v>
      </c>
      <c r="R4" s="891">
        <v>1</v>
      </c>
      <c r="S4" s="890" t="str">
        <f ca="1">IFERROR(_xll.qlRateHelperEarliestDate(M4,Trigger),"--")</f>
        <v>--</v>
      </c>
      <c r="T4" s="890" t="str">
        <f ca="1">IFERROR(_xll.qlRateHelperPillarDate(M4,Trigger),"--")</f>
        <v>--</v>
      </c>
      <c r="V4" s="4" t="str">
        <f t="shared" ca="1" si="3"/>
        <v/>
      </c>
      <c r="W4" s="4" t="e">
        <f ca="1"/>
        <v>#NAME?</v>
      </c>
      <c r="X4" s="4" t="str">
        <f ca="1">IFERROR(_xll.qlRateHelperQuoteName(W4,Trigger),"")</f>
        <v/>
      </c>
      <c r="Y4" s="889" t="str">
        <f ca="1">IFERROR(_xll.qlRateHelperRate(W4,Trigger),"")</f>
        <v/>
      </c>
      <c r="Z4" s="888" t="str">
        <f ca="1">IF(ISERROR(_xll.qlSwapRateHelperSpread($W4)),IF(ISERROR(_xll.qlFuturesRateHelperConvexityAdjustment($W4)),"",_xll.qlFuturesRateHelperConvexityAdjustment($W4)),_xll.qlSwapRateHelperSpread($W4))</f>
        <v/>
      </c>
      <c r="AA4" s="5" t="str">
        <f ca="1">IFERROR(_xll.qlRateHelperEarliestDate(W4,Trigger),"")</f>
        <v/>
      </c>
      <c r="AB4" s="5" t="str">
        <f ca="1">IFERROR(_xll.qlRateHelperPillarDate(W4,Trigger),"")</f>
        <v/>
      </c>
      <c r="AC4" s="887" t="e">
        <f ca="1"/>
        <v>#NAME?</v>
      </c>
      <c r="AD4" s="914"/>
      <c r="AF4" s="936" t="s">
        <v>395</v>
      </c>
      <c r="AG4" s="944">
        <v>0</v>
      </c>
      <c r="AI4" s="1362" t="s">
        <v>530</v>
      </c>
      <c r="AJ4" s="1365" t="e">
        <f ca="1">_xll.ohTrigger(RateHelpers)</f>
        <v>#NAME?</v>
      </c>
    </row>
    <row r="5" spans="1:36" ht="11.25" customHeight="1" x14ac:dyDescent="0.2">
      <c r="A5" s="874" t="s">
        <v>391</v>
      </c>
      <c r="B5" s="876" t="s">
        <v>177</v>
      </c>
      <c r="C5" s="912" t="str">
        <f t="shared" ref="C5:C18" si="4">B5</f>
        <v>2W</v>
      </c>
      <c r="D5" s="910"/>
      <c r="E5" s="910"/>
      <c r="F5" s="910"/>
      <c r="G5" s="875" t="str">
        <f>PROPER(Currency)&amp;FamilyName&amp;B5</f>
        <v>Euribor2W</v>
      </c>
      <c r="H5" s="934" t="str">
        <f t="shared" si="0"/>
        <v>EUR2WD_SYNTH1Y_Quote</v>
      </c>
      <c r="I5" s="910"/>
      <c r="J5" s="43"/>
      <c r="K5" s="23"/>
      <c r="L5" s="895" t="str">
        <f t="shared" si="1"/>
        <v>Dp</v>
      </c>
      <c r="M5" s="891" t="str">
        <f t="shared" si="2"/>
        <v>--</v>
      </c>
      <c r="N5" s="894" t="str">
        <f ca="1">IFERROR(_xll.qlRateHelperQuoteName(M5,Trigger),"--")</f>
        <v>--</v>
      </c>
      <c r="O5" s="893" t="str">
        <f ca="1">IFERROR(_xll.qlRateHelperQuoteValue($M5,Trigger),"--")</f>
        <v>--</v>
      </c>
      <c r="P5" s="892" t="b">
        <v>0</v>
      </c>
      <c r="Q5" s="891">
        <v>10</v>
      </c>
      <c r="R5" s="891">
        <v>1</v>
      </c>
      <c r="S5" s="890" t="str">
        <f ca="1">IFERROR(_xll.qlRateHelperEarliestDate(M5,Trigger),"--")</f>
        <v>--</v>
      </c>
      <c r="T5" s="890" t="str">
        <f ca="1">IFERROR(_xll.qlRateHelperPillarDate(M5,Trigger),"--")</f>
        <v>--</v>
      </c>
      <c r="V5" s="4" t="str">
        <f t="shared" ca="1" si="3"/>
        <v/>
      </c>
      <c r="W5" s="4" t="e">
        <f ca="1"/>
        <v>#NAME?</v>
      </c>
      <c r="X5" s="4" t="str">
        <f ca="1">IFERROR(_xll.qlRateHelperQuoteName(W5,Trigger),"")</f>
        <v/>
      </c>
      <c r="Y5" s="889" t="str">
        <f ca="1">IFERROR(_xll.qlRateHelperRate(W5,Trigger),"")</f>
        <v/>
      </c>
      <c r="Z5" s="888" t="str">
        <f ca="1">IF(ISERROR(_xll.qlSwapRateHelperSpread($W5)),IF(ISERROR(_xll.qlFuturesRateHelperConvexityAdjustment($W5)),"",_xll.qlFuturesRateHelperConvexityAdjustment($W5)),_xll.qlSwapRateHelperSpread($W5))</f>
        <v/>
      </c>
      <c r="AA5" s="5" t="str">
        <f ca="1">IFERROR(_xll.qlRateHelperEarliestDate(W5,Trigger),"")</f>
        <v/>
      </c>
      <c r="AB5" s="5" t="str">
        <f ca="1">IFERROR(_xll.qlRateHelperPillarDate(W5,Trigger),"")</f>
        <v/>
      </c>
      <c r="AC5" s="887" t="e">
        <f ca="1"/>
        <v>#NAME?</v>
      </c>
      <c r="AD5" s="914"/>
      <c r="AF5" s="936" t="s">
        <v>394</v>
      </c>
      <c r="AG5" s="944">
        <v>0</v>
      </c>
    </row>
    <row r="6" spans="1:36" ht="11.25" customHeight="1" x14ac:dyDescent="0.2">
      <c r="A6" s="943" t="s">
        <v>391</v>
      </c>
      <c r="B6" s="942" t="s">
        <v>176</v>
      </c>
      <c r="C6" s="941" t="str">
        <f t="shared" si="4"/>
        <v>3W</v>
      </c>
      <c r="D6" s="938"/>
      <c r="E6" s="938"/>
      <c r="F6" s="938"/>
      <c r="G6" s="940" t="e">
        <f ca="1">_xll.qlEuribor(,C6,,Permanent,Trigger,ObjectOverwrite)</f>
        <v>#NAME?</v>
      </c>
      <c r="H6" s="939" t="str">
        <f t="shared" si="0"/>
        <v>EUR3WD_SYNTH1Y_Quote</v>
      </c>
      <c r="I6" s="938"/>
      <c r="J6" s="937"/>
      <c r="K6" s="23"/>
      <c r="L6" s="895" t="str">
        <f t="shared" si="1"/>
        <v>Dp</v>
      </c>
      <c r="M6" s="891" t="str">
        <f t="shared" si="2"/>
        <v>--</v>
      </c>
      <c r="N6" s="894" t="str">
        <f ca="1">IFERROR(_xll.qlRateHelperQuoteName(M6,Trigger),"--")</f>
        <v>--</v>
      </c>
      <c r="O6" s="893" t="str">
        <f ca="1">IFERROR(_xll.qlRateHelperQuoteValue($M6,Trigger),"--")</f>
        <v>--</v>
      </c>
      <c r="P6" s="892" t="b">
        <v>0</v>
      </c>
      <c r="Q6" s="891">
        <v>10</v>
      </c>
      <c r="R6" s="891">
        <v>1</v>
      </c>
      <c r="S6" s="890" t="str">
        <f ca="1">IFERROR(_xll.qlRateHelperEarliestDate(M6,Trigger),"--")</f>
        <v>--</v>
      </c>
      <c r="T6" s="890" t="str">
        <f ca="1">IFERROR(_xll.qlRateHelperPillarDate(M6,Trigger),"--")</f>
        <v>--</v>
      </c>
      <c r="V6" s="4" t="str">
        <f t="shared" ca="1" si="3"/>
        <v/>
      </c>
      <c r="W6" s="4" t="e">
        <f ca="1"/>
        <v>#NAME?</v>
      </c>
      <c r="X6" s="4" t="str">
        <f ca="1">IFERROR(_xll.qlRateHelperQuoteName(W6,Trigger),"")</f>
        <v/>
      </c>
      <c r="Y6" s="889" t="str">
        <f ca="1">IFERROR(_xll.qlRateHelperRate(W6,Trigger),"")</f>
        <v/>
      </c>
      <c r="Z6" s="888" t="str">
        <f ca="1">IF(ISERROR(_xll.qlSwapRateHelperSpread($W6)),IF(ISERROR(_xll.qlFuturesRateHelperConvexityAdjustment($W6)),"",_xll.qlFuturesRateHelperConvexityAdjustment($W6)),_xll.qlSwapRateHelperSpread($W6))</f>
        <v/>
      </c>
      <c r="AA6" s="5" t="str">
        <f ca="1">IFERROR(_xll.qlRateHelperEarliestDate(W6,Trigger),"")</f>
        <v/>
      </c>
      <c r="AB6" s="5" t="str">
        <f ca="1">IFERROR(_xll.qlRateHelperPillarDate(W6,Trigger),"")</f>
        <v/>
      </c>
      <c r="AC6" s="887" t="e">
        <f ca="1"/>
        <v>#NAME?</v>
      </c>
      <c r="AD6" s="914"/>
      <c r="AF6" s="936" t="s">
        <v>393</v>
      </c>
      <c r="AG6" s="935" t="s">
        <v>392</v>
      </c>
    </row>
    <row r="7" spans="1:36" ht="11.25" customHeight="1" x14ac:dyDescent="0.2">
      <c r="A7" s="874" t="s">
        <v>391</v>
      </c>
      <c r="B7" s="876" t="s">
        <v>175</v>
      </c>
      <c r="C7" s="912" t="str">
        <f t="shared" si="4"/>
        <v>1M</v>
      </c>
      <c r="D7" s="910"/>
      <c r="E7" s="910"/>
      <c r="F7" s="910"/>
      <c r="G7" s="875" t="str">
        <f>PROPER(Currency)&amp;FamilyName&amp;B7</f>
        <v>Euribor1M</v>
      </c>
      <c r="H7" s="934" t="str">
        <f t="shared" si="0"/>
        <v>EUR1MD_SYNTH1Y_Quote</v>
      </c>
      <c r="I7" s="910"/>
      <c r="J7" s="43"/>
      <c r="K7" s="23"/>
      <c r="L7" s="895" t="str">
        <f t="shared" si="1"/>
        <v>Dp</v>
      </c>
      <c r="M7" s="891" t="str">
        <f t="shared" si="2"/>
        <v>--</v>
      </c>
      <c r="N7" s="894" t="str">
        <f ca="1">IFERROR(_xll.qlRateHelperQuoteName(M7,Trigger),"--")</f>
        <v>--</v>
      </c>
      <c r="O7" s="893" t="str">
        <f ca="1">IFERROR(_xll.qlRateHelperQuoteValue($M7,Trigger),"--")</f>
        <v>--</v>
      </c>
      <c r="P7" s="892" t="b">
        <v>0</v>
      </c>
      <c r="Q7" s="891">
        <v>10</v>
      </c>
      <c r="R7" s="891">
        <v>1</v>
      </c>
      <c r="S7" s="890" t="str">
        <f ca="1">IFERROR(_xll.qlRateHelperEarliestDate(M7,Trigger),"--")</f>
        <v>--</v>
      </c>
      <c r="T7" s="890" t="str">
        <f ca="1">IFERROR(_xll.qlRateHelperPillarDate(M7,Trigger),"--")</f>
        <v>--</v>
      </c>
      <c r="V7" s="4" t="str">
        <f t="shared" ca="1" si="3"/>
        <v/>
      </c>
      <c r="W7" s="4" t="e">
        <f ca="1"/>
        <v>#NAME?</v>
      </c>
      <c r="X7" s="4" t="str">
        <f ca="1">IFERROR(_xll.qlRateHelperQuoteName(W7,Trigger),"")</f>
        <v/>
      </c>
      <c r="Y7" s="889" t="str">
        <f ca="1">IFERROR(_xll.qlRateHelperRate(W7,Trigger),"")</f>
        <v/>
      </c>
      <c r="Z7" s="888" t="str">
        <f ca="1">IF(ISERROR(_xll.qlSwapRateHelperSpread($W7)),IF(ISERROR(_xll.qlFuturesRateHelperConvexityAdjustment($W7)),"",_xll.qlFuturesRateHelperConvexityAdjustment($W7)),_xll.qlSwapRateHelperSpread($W7))</f>
        <v/>
      </c>
      <c r="AA7" s="5" t="str">
        <f ca="1">IFERROR(_xll.qlRateHelperEarliestDate(W7,Trigger),"")</f>
        <v/>
      </c>
      <c r="AB7" s="5" t="str">
        <f ca="1">IFERROR(_xll.qlRateHelperPillarDate(W7,Trigger),"")</f>
        <v/>
      </c>
      <c r="AC7" s="887" t="e">
        <f ca="1"/>
        <v>#NAME?</v>
      </c>
      <c r="AD7" s="914"/>
    </row>
    <row r="8" spans="1:36" ht="11.25" customHeight="1" x14ac:dyDescent="0.2">
      <c r="A8" s="874" t="s">
        <v>391</v>
      </c>
      <c r="B8" s="876" t="s">
        <v>174</v>
      </c>
      <c r="C8" s="912" t="str">
        <f t="shared" si="4"/>
        <v>2M</v>
      </c>
      <c r="D8" s="910"/>
      <c r="E8" s="910"/>
      <c r="F8" s="910"/>
      <c r="G8" s="875" t="str">
        <f>PROPER(Currency)&amp;FamilyName&amp;B8</f>
        <v>Euribor2M</v>
      </c>
      <c r="H8" s="934" t="str">
        <f t="shared" si="0"/>
        <v>EUR2MD_SYNTH1Y_Quote</v>
      </c>
      <c r="I8" s="910"/>
      <c r="J8" s="43"/>
      <c r="K8" s="23"/>
      <c r="L8" s="895" t="str">
        <f t="shared" si="1"/>
        <v>Dp</v>
      </c>
      <c r="M8" s="891" t="str">
        <f t="shared" si="2"/>
        <v>--</v>
      </c>
      <c r="N8" s="894" t="str">
        <f ca="1">IFERROR(_xll.qlRateHelperQuoteName(M8,Trigger),"--")</f>
        <v>--</v>
      </c>
      <c r="O8" s="893" t="str">
        <f ca="1">IFERROR(_xll.qlRateHelperQuoteValue($M8,Trigger),"--")</f>
        <v>--</v>
      </c>
      <c r="P8" s="892" t="b">
        <v>0</v>
      </c>
      <c r="Q8" s="891">
        <v>10</v>
      </c>
      <c r="R8" s="891">
        <v>1</v>
      </c>
      <c r="S8" s="890" t="str">
        <f ca="1">IFERROR(_xll.qlRateHelperEarliestDate(M8,Trigger),"--")</f>
        <v>--</v>
      </c>
      <c r="T8" s="890" t="str">
        <f ca="1">IFERROR(_xll.qlRateHelperPillarDate(M8,Trigger),"--")</f>
        <v>--</v>
      </c>
      <c r="V8" s="4" t="str">
        <f t="shared" ca="1" si="3"/>
        <v/>
      </c>
      <c r="W8" s="4" t="e">
        <f ca="1"/>
        <v>#NAME?</v>
      </c>
      <c r="X8" s="4" t="str">
        <f ca="1">IFERROR(_xll.qlRateHelperQuoteName(W8,Trigger),"")</f>
        <v/>
      </c>
      <c r="Y8" s="889" t="str">
        <f ca="1">IFERROR(_xll.qlRateHelperRate(W8,Trigger),"")</f>
        <v/>
      </c>
      <c r="Z8" s="888" t="str">
        <f ca="1">IF(ISERROR(_xll.qlSwapRateHelperSpread($W8)),IF(ISERROR(_xll.qlFuturesRateHelperConvexityAdjustment($W8)),"",_xll.qlFuturesRateHelperConvexityAdjustment($W8)),_xll.qlSwapRateHelperSpread($W8))</f>
        <v/>
      </c>
      <c r="AA8" s="5" t="str">
        <f ca="1">IFERROR(_xll.qlRateHelperEarliestDate(W8,Trigger),"")</f>
        <v/>
      </c>
      <c r="AB8" s="5" t="str">
        <f ca="1">IFERROR(_xll.qlRateHelperPillarDate(W8,Trigger),"")</f>
        <v/>
      </c>
      <c r="AC8" s="887" t="e">
        <f ca="1"/>
        <v>#NAME?</v>
      </c>
      <c r="AD8" s="914"/>
    </row>
    <row r="9" spans="1:36" ht="11.25" customHeight="1" x14ac:dyDescent="0.2">
      <c r="A9" s="874" t="s">
        <v>391</v>
      </c>
      <c r="B9" s="876" t="s">
        <v>127</v>
      </c>
      <c r="C9" s="912" t="str">
        <f t="shared" si="4"/>
        <v>3M</v>
      </c>
      <c r="D9" s="910"/>
      <c r="E9" s="910"/>
      <c r="F9" s="910"/>
      <c r="G9" s="875" t="str">
        <f>PROPER(Currency)&amp;FamilyName&amp;B9</f>
        <v>Euribor3M</v>
      </c>
      <c r="H9" s="934" t="str">
        <f t="shared" si="0"/>
        <v>EUR3MD_SYNTH1Y_Quote</v>
      </c>
      <c r="I9" s="910"/>
      <c r="J9" s="43" t="e">
        <f ca="1">_xll.qlDepositRateHelper(,H9,G9,Permanent,Trigger,ObjectOverwrite)</f>
        <v>#NAME?</v>
      </c>
      <c r="K9" s="23"/>
      <c r="L9" s="895" t="str">
        <f t="shared" si="1"/>
        <v>Dp</v>
      </c>
      <c r="M9" s="891" t="e">
        <f t="shared" ca="1" si="2"/>
        <v>#NAME?</v>
      </c>
      <c r="N9" s="894" t="str">
        <f ca="1">IFERROR(_xll.qlRateHelperQuoteName(M9,Trigger),"--")</f>
        <v>--</v>
      </c>
      <c r="O9" s="893" t="str">
        <f ca="1">IFERROR(_xll.qlRateHelperQuoteValue($M9,Trigger),"--")</f>
        <v>--</v>
      </c>
      <c r="P9" s="892" t="b">
        <v>1</v>
      </c>
      <c r="Q9" s="891">
        <v>10</v>
      </c>
      <c r="R9" s="891">
        <v>1</v>
      </c>
      <c r="S9" s="890" t="str">
        <f ca="1">IFERROR(_xll.qlRateHelperEarliestDate(M9,Trigger),"--")</f>
        <v>--</v>
      </c>
      <c r="T9" s="890" t="str">
        <f ca="1">IFERROR(_xll.qlRateHelperPillarDate(M9,Trigger),"--")</f>
        <v>--</v>
      </c>
      <c r="V9" s="4" t="str">
        <f t="shared" ca="1" si="3"/>
        <v/>
      </c>
      <c r="W9" s="4" t="e">
        <f ca="1"/>
        <v>#NAME?</v>
      </c>
      <c r="X9" s="4" t="str">
        <f ca="1">IFERROR(_xll.qlRateHelperQuoteName(W9,Trigger),"")</f>
        <v/>
      </c>
      <c r="Y9" s="889" t="str">
        <f ca="1">IFERROR(_xll.qlRateHelperRate(W9,Trigger),"")</f>
        <v/>
      </c>
      <c r="Z9" s="888" t="str">
        <f ca="1">IF(ISERROR(_xll.qlSwapRateHelperSpread($W9)),IF(ISERROR(_xll.qlFuturesRateHelperConvexityAdjustment($W9)),"",_xll.qlFuturesRateHelperConvexityAdjustment($W9)),_xll.qlSwapRateHelperSpread($W9))</f>
        <v/>
      </c>
      <c r="AA9" s="5" t="str">
        <f ca="1">IFERROR(_xll.qlRateHelperEarliestDate(W9,Trigger),"")</f>
        <v/>
      </c>
      <c r="AB9" s="5" t="str">
        <f ca="1">IFERROR(_xll.qlRateHelperPillarDate(W9,Trigger),"")</f>
        <v/>
      </c>
      <c r="AC9" s="887" t="e">
        <f ca="1"/>
        <v>#NAME?</v>
      </c>
      <c r="AD9" s="914"/>
    </row>
    <row r="10" spans="1:36" ht="11.25" customHeight="1" x14ac:dyDescent="0.2">
      <c r="A10" s="933" t="s">
        <v>391</v>
      </c>
      <c r="B10" s="932" t="s">
        <v>173</v>
      </c>
      <c r="C10" s="931" t="str">
        <f t="shared" si="4"/>
        <v>4M</v>
      </c>
      <c r="D10" s="928"/>
      <c r="E10" s="928"/>
      <c r="F10" s="928"/>
      <c r="G10" s="930" t="e">
        <f ca="1">_xll.qlEuribor(,C10,,Permanent,Trigger,ObjectOverwrite)</f>
        <v>#NAME?</v>
      </c>
      <c r="H10" s="929" t="str">
        <f t="shared" si="0"/>
        <v>EUR4MD_SYNTH1Y_Quote</v>
      </c>
      <c r="I10" s="928"/>
      <c r="J10" s="927"/>
      <c r="K10" s="23"/>
      <c r="L10" s="895" t="str">
        <f t="shared" si="1"/>
        <v>Dp</v>
      </c>
      <c r="M10" s="891" t="str">
        <f t="shared" si="2"/>
        <v>--</v>
      </c>
      <c r="N10" s="894" t="str">
        <f ca="1">IFERROR(_xll.qlRateHelperQuoteName(M10,Trigger),"--")</f>
        <v>--</v>
      </c>
      <c r="O10" s="893" t="str">
        <f ca="1">IFERROR(_xll.qlRateHelperQuoteValue($M10,Trigger),"--")</f>
        <v>--</v>
      </c>
      <c r="P10" s="892" t="b">
        <v>0</v>
      </c>
      <c r="Q10" s="891">
        <v>10</v>
      </c>
      <c r="R10" s="891">
        <v>1</v>
      </c>
      <c r="S10" s="890" t="str">
        <f ca="1">IFERROR(_xll.qlRateHelperEarliestDate(M10,Trigger),"--")</f>
        <v>--</v>
      </c>
      <c r="T10" s="890" t="str">
        <f ca="1">IFERROR(_xll.qlRateHelperPillarDate(M10,Trigger),"--")</f>
        <v>--</v>
      </c>
      <c r="V10" s="4" t="str">
        <f t="shared" ca="1" si="3"/>
        <v/>
      </c>
      <c r="W10" s="4" t="e">
        <f ca="1"/>
        <v>#NAME?</v>
      </c>
      <c r="X10" s="4" t="str">
        <f ca="1">IFERROR(_xll.qlRateHelperQuoteName(W10,Trigger),"")</f>
        <v/>
      </c>
      <c r="Y10" s="889" t="str">
        <f ca="1">IFERROR(_xll.qlRateHelperRate(W10,Trigger),"")</f>
        <v/>
      </c>
      <c r="Z10" s="888" t="str">
        <f ca="1">IF(ISERROR(_xll.qlSwapRateHelperSpread($W10)),IF(ISERROR(_xll.qlFuturesRateHelperConvexityAdjustment($W10)),"",_xll.qlFuturesRateHelperConvexityAdjustment($W10)),_xll.qlSwapRateHelperSpread($W10))</f>
        <v/>
      </c>
      <c r="AA10" s="5" t="str">
        <f ca="1">IFERROR(_xll.qlRateHelperEarliestDate(W10,Trigger),"")</f>
        <v/>
      </c>
      <c r="AB10" s="5" t="str">
        <f ca="1">IFERROR(_xll.qlRateHelperPillarDate(W10,Trigger),"")</f>
        <v/>
      </c>
      <c r="AC10" s="887" t="e">
        <f ca="1"/>
        <v>#NAME?</v>
      </c>
      <c r="AD10" s="914"/>
    </row>
    <row r="11" spans="1:36" ht="11.25" customHeight="1" x14ac:dyDescent="0.2">
      <c r="A11" s="926" t="s">
        <v>391</v>
      </c>
      <c r="B11" s="925" t="s">
        <v>172</v>
      </c>
      <c r="C11" s="924" t="str">
        <f t="shared" si="4"/>
        <v>5M</v>
      </c>
      <c r="D11" s="921"/>
      <c r="E11" s="921"/>
      <c r="F11" s="921"/>
      <c r="G11" s="923" t="e">
        <f ca="1">_xll.qlEuribor(,C11,,Permanent,Trigger,ObjectOverwrite)</f>
        <v>#NAME?</v>
      </c>
      <c r="H11" s="922" t="str">
        <f t="shared" si="0"/>
        <v>EUR5MD_SYNTH1Y_Quote</v>
      </c>
      <c r="I11" s="921"/>
      <c r="J11" s="920"/>
      <c r="K11" s="23"/>
      <c r="L11" s="895" t="str">
        <f t="shared" si="1"/>
        <v>Dp</v>
      </c>
      <c r="M11" s="891" t="str">
        <f t="shared" si="2"/>
        <v>--</v>
      </c>
      <c r="N11" s="894" t="str">
        <f ca="1">IFERROR(_xll.qlRateHelperQuoteName(M11,Trigger),"--")</f>
        <v>--</v>
      </c>
      <c r="O11" s="893" t="str">
        <f ca="1">IFERROR(_xll.qlRateHelperQuoteValue($M11,Trigger),"--")</f>
        <v>--</v>
      </c>
      <c r="P11" s="892" t="b">
        <v>0</v>
      </c>
      <c r="Q11" s="891">
        <v>10</v>
      </c>
      <c r="R11" s="891">
        <v>1</v>
      </c>
      <c r="S11" s="890" t="str">
        <f ca="1">IFERROR(_xll.qlRateHelperEarliestDate(M11,Trigger),"--")</f>
        <v>--</v>
      </c>
      <c r="T11" s="890" t="str">
        <f ca="1">IFERROR(_xll.qlRateHelperPillarDate(M11,Trigger),"--")</f>
        <v>--</v>
      </c>
      <c r="V11" s="4" t="str">
        <f t="shared" ca="1" si="3"/>
        <v/>
      </c>
      <c r="W11" s="4" t="e">
        <f ca="1"/>
        <v>#NAME?</v>
      </c>
      <c r="X11" s="4" t="str">
        <f ca="1">IFERROR(_xll.qlRateHelperQuoteName(W11,Trigger),"")</f>
        <v/>
      </c>
      <c r="Y11" s="889" t="str">
        <f ca="1">IFERROR(_xll.qlRateHelperRate(W11,Trigger),"")</f>
        <v/>
      </c>
      <c r="Z11" s="888" t="str">
        <f ca="1">IF(ISERROR(_xll.qlSwapRateHelperSpread($W11)),IF(ISERROR(_xll.qlFuturesRateHelperConvexityAdjustment($W11)),"",_xll.qlFuturesRateHelperConvexityAdjustment($W11)),_xll.qlSwapRateHelperSpread($W11))</f>
        <v/>
      </c>
      <c r="AA11" s="5" t="str">
        <f ca="1">IFERROR(_xll.qlRateHelperEarliestDate(W11,Trigger),"")</f>
        <v/>
      </c>
      <c r="AB11" s="5" t="str">
        <f ca="1">IFERROR(_xll.qlRateHelperPillarDate(W11,Trigger),"")</f>
        <v/>
      </c>
      <c r="AC11" s="887" t="e">
        <f ca="1"/>
        <v>#NAME?</v>
      </c>
      <c r="AD11" s="914"/>
    </row>
    <row r="12" spans="1:36" ht="11.25" customHeight="1" x14ac:dyDescent="0.2">
      <c r="A12" s="874" t="s">
        <v>391</v>
      </c>
      <c r="B12" s="876" t="s">
        <v>92</v>
      </c>
      <c r="C12" s="912" t="str">
        <f t="shared" si="4"/>
        <v>6M</v>
      </c>
      <c r="D12" s="910"/>
      <c r="E12" s="910"/>
      <c r="F12" s="910"/>
      <c r="G12" s="875" t="str">
        <f>PROPER(Currency)&amp;FamilyName&amp;B12</f>
        <v>Euribor6M</v>
      </c>
      <c r="H12" s="934" t="str">
        <f t="shared" si="0"/>
        <v>EUR6MD_SYNTH1Y_Quote</v>
      </c>
      <c r="I12" s="910"/>
      <c r="J12" s="43" t="e">
        <f ca="1">_xll.qlDepositRateHelper(,H12,G12,Permanent,Trigger,ObjectOverwrite)</f>
        <v>#NAME?</v>
      </c>
      <c r="K12" s="23" t="s">
        <v>148</v>
      </c>
      <c r="L12" s="895" t="str">
        <f t="shared" si="1"/>
        <v>Dp</v>
      </c>
      <c r="M12" s="891" t="e">
        <f t="shared" ca="1" si="2"/>
        <v>#NAME?</v>
      </c>
      <c r="N12" s="894" t="str">
        <f ca="1">IFERROR(_xll.qlRateHelperQuoteName(M12,Trigger),"--")</f>
        <v>--</v>
      </c>
      <c r="O12" s="893" t="str">
        <f ca="1">IFERROR(_xll.qlRateHelperQuoteValue($M12,Trigger),"--")</f>
        <v>--</v>
      </c>
      <c r="P12" s="892" t="b">
        <v>1</v>
      </c>
      <c r="Q12" s="891">
        <v>10</v>
      </c>
      <c r="R12" s="891">
        <v>1</v>
      </c>
      <c r="S12" s="890" t="str">
        <f ca="1">IFERROR(_xll.qlRateHelperEarliestDate(M12,Trigger),"--")</f>
        <v>--</v>
      </c>
      <c r="T12" s="890" t="str">
        <f ca="1">IFERROR(_xll.qlRateHelperPillarDate(M12,Trigger),"--")</f>
        <v>--</v>
      </c>
      <c r="V12" s="4" t="str">
        <f t="shared" ca="1" si="3"/>
        <v/>
      </c>
      <c r="W12" s="4" t="e">
        <f ca="1"/>
        <v>#NAME?</v>
      </c>
      <c r="X12" s="4" t="str">
        <f ca="1">IFERROR(_xll.qlRateHelperQuoteName(W12,Trigger),"")</f>
        <v/>
      </c>
      <c r="Y12" s="889" t="str">
        <f ca="1">IFERROR(_xll.qlRateHelperRate(W12,Trigger),"")</f>
        <v/>
      </c>
      <c r="Z12" s="888" t="str">
        <f ca="1">IF(ISERROR(_xll.qlSwapRateHelperSpread($W12)),IF(ISERROR(_xll.qlFuturesRateHelperConvexityAdjustment($W12)),"",_xll.qlFuturesRateHelperConvexityAdjustment($W12)),_xll.qlSwapRateHelperSpread($W12))</f>
        <v/>
      </c>
      <c r="AA12" s="5" t="str">
        <f ca="1">IFERROR(_xll.qlRateHelperEarliestDate(W12,Trigger),"")</f>
        <v/>
      </c>
      <c r="AB12" s="5" t="str">
        <f ca="1">IFERROR(_xll.qlRateHelperPillarDate(W12,Trigger),"")</f>
        <v/>
      </c>
      <c r="AC12" s="887" t="e">
        <f ca="1"/>
        <v>#NAME?</v>
      </c>
      <c r="AD12" s="914"/>
    </row>
    <row r="13" spans="1:36" ht="11.25" customHeight="1" x14ac:dyDescent="0.2">
      <c r="A13" s="933" t="s">
        <v>391</v>
      </c>
      <c r="B13" s="932" t="s">
        <v>171</v>
      </c>
      <c r="C13" s="931" t="str">
        <f t="shared" si="4"/>
        <v>7M</v>
      </c>
      <c r="D13" s="928"/>
      <c r="E13" s="928"/>
      <c r="F13" s="928"/>
      <c r="G13" s="930" t="e">
        <f ca="1">_xll.qlEuribor(,C13,,Permanent,Trigger,ObjectOverwrite)</f>
        <v>#NAME?</v>
      </c>
      <c r="H13" s="929" t="str">
        <f t="shared" si="0"/>
        <v>EUR7MD_SYNTH1Y_Quote</v>
      </c>
      <c r="I13" s="928"/>
      <c r="J13" s="927"/>
      <c r="K13" s="23"/>
      <c r="L13" s="895" t="str">
        <f t="shared" si="1"/>
        <v>Dp</v>
      </c>
      <c r="M13" s="891" t="str">
        <f t="shared" si="2"/>
        <v>--</v>
      </c>
      <c r="N13" s="894" t="str">
        <f ca="1">IFERROR(_xll.qlRateHelperQuoteName(M13,Trigger),"--")</f>
        <v>--</v>
      </c>
      <c r="O13" s="893" t="str">
        <f ca="1">IFERROR(_xll.qlRateHelperQuoteValue($M13,Trigger),"--")</f>
        <v>--</v>
      </c>
      <c r="P13" s="892" t="b">
        <v>0</v>
      </c>
      <c r="Q13" s="891">
        <v>10</v>
      </c>
      <c r="R13" s="891">
        <v>1</v>
      </c>
      <c r="S13" s="890" t="str">
        <f ca="1">IFERROR(_xll.qlRateHelperEarliestDate(M13,Trigger),"--")</f>
        <v>--</v>
      </c>
      <c r="T13" s="890" t="str">
        <f ca="1">IFERROR(_xll.qlRateHelperPillarDate(M13,Trigger),"--")</f>
        <v>--</v>
      </c>
      <c r="V13" s="4" t="str">
        <f t="shared" ca="1" si="3"/>
        <v/>
      </c>
      <c r="W13" s="4" t="e">
        <f ca="1"/>
        <v>#NAME?</v>
      </c>
      <c r="X13" s="4" t="str">
        <f ca="1">IFERROR(_xll.qlRateHelperQuoteName(W13,Trigger),"")</f>
        <v/>
      </c>
      <c r="Y13" s="889" t="str">
        <f ca="1">IFERROR(_xll.qlRateHelperRate(W13,Trigger),"")</f>
        <v/>
      </c>
      <c r="Z13" s="888" t="str">
        <f ca="1">IF(ISERROR(_xll.qlSwapRateHelperSpread($W13)),IF(ISERROR(_xll.qlFuturesRateHelperConvexityAdjustment($W13)),"",_xll.qlFuturesRateHelperConvexityAdjustment($W13)),_xll.qlSwapRateHelperSpread($W13))</f>
        <v/>
      </c>
      <c r="AA13" s="5" t="str">
        <f ca="1">IFERROR(_xll.qlRateHelperEarliestDate(W13,Trigger),"")</f>
        <v/>
      </c>
      <c r="AB13" s="5" t="str">
        <f ca="1">IFERROR(_xll.qlRateHelperPillarDate(W13,Trigger),"")</f>
        <v/>
      </c>
      <c r="AC13" s="887" t="e">
        <f ca="1"/>
        <v>#NAME?</v>
      </c>
      <c r="AD13" s="914"/>
    </row>
    <row r="14" spans="1:36" ht="11.25" customHeight="1" x14ac:dyDescent="0.2">
      <c r="A14" s="926" t="s">
        <v>391</v>
      </c>
      <c r="B14" s="925" t="s">
        <v>170</v>
      </c>
      <c r="C14" s="924" t="str">
        <f t="shared" si="4"/>
        <v>8M</v>
      </c>
      <c r="D14" s="921"/>
      <c r="E14" s="921"/>
      <c r="F14" s="921"/>
      <c r="G14" s="923" t="e">
        <f ca="1">_xll.qlEuribor(,C14,,Permanent,Trigger,ObjectOverwrite)</f>
        <v>#NAME?</v>
      </c>
      <c r="H14" s="922" t="str">
        <f t="shared" si="0"/>
        <v>EUR8MD_SYNTH1Y_Quote</v>
      </c>
      <c r="I14" s="921"/>
      <c r="J14" s="920"/>
      <c r="K14" s="23"/>
      <c r="L14" s="895" t="str">
        <f t="shared" si="1"/>
        <v>Dp</v>
      </c>
      <c r="M14" s="891" t="str">
        <f t="shared" si="2"/>
        <v>--</v>
      </c>
      <c r="N14" s="894" t="str">
        <f ca="1">IFERROR(_xll.qlRateHelperQuoteName(M14,Trigger),"--")</f>
        <v>--</v>
      </c>
      <c r="O14" s="893" t="str">
        <f ca="1">IFERROR(_xll.qlRateHelperQuoteValue($M14,Trigger),"--")</f>
        <v>--</v>
      </c>
      <c r="P14" s="892" t="b">
        <v>0</v>
      </c>
      <c r="Q14" s="891">
        <v>10</v>
      </c>
      <c r="R14" s="891">
        <v>1</v>
      </c>
      <c r="S14" s="890" t="str">
        <f ca="1">IFERROR(_xll.qlRateHelperEarliestDate(M14,Trigger),"--")</f>
        <v>--</v>
      </c>
      <c r="T14" s="890" t="str">
        <f ca="1">IFERROR(_xll.qlRateHelperPillarDate(M14,Trigger),"--")</f>
        <v>--</v>
      </c>
      <c r="V14" s="4" t="str">
        <f t="shared" ca="1" si="3"/>
        <v/>
      </c>
      <c r="W14" s="4" t="e">
        <f ca="1"/>
        <v>#NAME?</v>
      </c>
      <c r="X14" s="4" t="str">
        <f ca="1">IFERROR(_xll.qlRateHelperQuoteName(W14,Trigger),"")</f>
        <v/>
      </c>
      <c r="Y14" s="889" t="str">
        <f ca="1">IFERROR(_xll.qlRateHelperRate(W14,Trigger),"")</f>
        <v/>
      </c>
      <c r="Z14" s="888" t="str">
        <f ca="1">IF(ISERROR(_xll.qlSwapRateHelperSpread($W14)),IF(ISERROR(_xll.qlFuturesRateHelperConvexityAdjustment($W14)),"",_xll.qlFuturesRateHelperConvexityAdjustment($W14)),_xll.qlSwapRateHelperSpread($W14))</f>
        <v/>
      </c>
      <c r="AA14" s="5" t="str">
        <f ca="1">IFERROR(_xll.qlRateHelperEarliestDate(W14,Trigger),"")</f>
        <v/>
      </c>
      <c r="AB14" s="5" t="str">
        <f ca="1">IFERROR(_xll.qlRateHelperPillarDate(W14,Trigger),"")</f>
        <v/>
      </c>
      <c r="AC14" s="887" t="e">
        <f ca="1"/>
        <v>#NAME?</v>
      </c>
      <c r="AD14" s="914"/>
    </row>
    <row r="15" spans="1:36" ht="11.25" customHeight="1" x14ac:dyDescent="0.2">
      <c r="A15" s="874" t="s">
        <v>391</v>
      </c>
      <c r="B15" s="876" t="s">
        <v>169</v>
      </c>
      <c r="C15" s="912" t="str">
        <f t="shared" si="4"/>
        <v>9M</v>
      </c>
      <c r="D15" s="910"/>
      <c r="E15" s="910"/>
      <c r="F15" s="910"/>
      <c r="G15" s="875" t="str">
        <f>PROPER(Currency)&amp;FamilyName&amp;B15</f>
        <v>Euribor9M</v>
      </c>
      <c r="H15" s="934" t="str">
        <f t="shared" si="0"/>
        <v>EUR9MD_SYNTH1Y_Quote</v>
      </c>
      <c r="I15" s="910"/>
      <c r="J15" s="43" t="e">
        <f ca="1">_xll.qlDepositRateHelper(,H15,G15,Permanent,Trigger,ObjectOverwrite)</f>
        <v>#NAME?</v>
      </c>
      <c r="K15" s="23"/>
      <c r="L15" s="895" t="str">
        <f t="shared" si="1"/>
        <v>Dp</v>
      </c>
      <c r="M15" s="891" t="e">
        <f t="shared" ca="1" si="2"/>
        <v>#NAME?</v>
      </c>
      <c r="N15" s="894" t="str">
        <f ca="1">IFERROR(_xll.qlRateHelperQuoteName(M15,Trigger),"--")</f>
        <v>--</v>
      </c>
      <c r="O15" s="893" t="str">
        <f ca="1">IFERROR(_xll.qlRateHelperQuoteValue($M15,Trigger),"--")</f>
        <v>--</v>
      </c>
      <c r="P15" s="892" t="b">
        <v>1</v>
      </c>
      <c r="Q15" s="891">
        <v>10</v>
      </c>
      <c r="R15" s="891">
        <v>1</v>
      </c>
      <c r="S15" s="890" t="str">
        <f ca="1">IFERROR(_xll.qlRateHelperEarliestDate(M15,Trigger),"--")</f>
        <v>--</v>
      </c>
      <c r="T15" s="890" t="str">
        <f ca="1">IFERROR(_xll.qlRateHelperPillarDate(M15,Trigger),"--")</f>
        <v>--</v>
      </c>
      <c r="V15" s="4" t="str">
        <f t="shared" ca="1" si="3"/>
        <v/>
      </c>
      <c r="W15" s="4" t="e">
        <f ca="1"/>
        <v>#NAME?</v>
      </c>
      <c r="X15" s="4" t="str">
        <f ca="1">IFERROR(_xll.qlRateHelperQuoteName(W15,Trigger),"")</f>
        <v/>
      </c>
      <c r="Y15" s="889" t="str">
        <f ca="1">IFERROR(_xll.qlRateHelperRate(W15,Trigger),"")</f>
        <v/>
      </c>
      <c r="Z15" s="888" t="str">
        <f ca="1">IF(ISERROR(_xll.qlSwapRateHelperSpread($W15)),IF(ISERROR(_xll.qlFuturesRateHelperConvexityAdjustment($W15)),"",_xll.qlFuturesRateHelperConvexityAdjustment($W15)),_xll.qlSwapRateHelperSpread($W15))</f>
        <v/>
      </c>
      <c r="AA15" s="5" t="str">
        <f ca="1">IFERROR(_xll.qlRateHelperEarliestDate(W15,Trigger),"")</f>
        <v/>
      </c>
      <c r="AB15" s="5" t="str">
        <f ca="1">IFERROR(_xll.qlRateHelperPillarDate(W15,Trigger),"")</f>
        <v/>
      </c>
      <c r="AC15" s="887" t="e">
        <f ca="1"/>
        <v>#NAME?</v>
      </c>
      <c r="AD15" s="914"/>
    </row>
    <row r="16" spans="1:36" ht="11.25" customHeight="1" x14ac:dyDescent="0.2">
      <c r="A16" s="933" t="s">
        <v>391</v>
      </c>
      <c r="B16" s="932" t="s">
        <v>168</v>
      </c>
      <c r="C16" s="931" t="str">
        <f t="shared" si="4"/>
        <v>10M</v>
      </c>
      <c r="D16" s="928"/>
      <c r="E16" s="928"/>
      <c r="F16" s="928"/>
      <c r="G16" s="930" t="e">
        <f ca="1">_xll.qlEuribor(,C16,,Permanent,Trigger,ObjectOverwrite)</f>
        <v>#NAME?</v>
      </c>
      <c r="H16" s="929" t="str">
        <f t="shared" si="0"/>
        <v>EUR10MD_SYNTH1Y_Quote</v>
      </c>
      <c r="I16" s="928"/>
      <c r="J16" s="927"/>
      <c r="K16" s="23"/>
      <c r="L16" s="895" t="str">
        <f t="shared" si="1"/>
        <v>Dp</v>
      </c>
      <c r="M16" s="891" t="str">
        <f t="shared" si="2"/>
        <v>--</v>
      </c>
      <c r="N16" s="894" t="str">
        <f ca="1">IFERROR(_xll.qlRateHelperQuoteName(M16,Trigger),"--")</f>
        <v>--</v>
      </c>
      <c r="O16" s="893" t="str">
        <f ca="1">IFERROR(_xll.qlRateHelperQuoteValue($M16,Trigger),"--")</f>
        <v>--</v>
      </c>
      <c r="P16" s="892" t="b">
        <v>0</v>
      </c>
      <c r="Q16" s="891">
        <v>10</v>
      </c>
      <c r="R16" s="891">
        <v>1</v>
      </c>
      <c r="S16" s="890" t="str">
        <f ca="1">IFERROR(_xll.qlRateHelperEarliestDate(M16,Trigger),"--")</f>
        <v>--</v>
      </c>
      <c r="T16" s="890" t="str">
        <f ca="1">IFERROR(_xll.qlRateHelperPillarDate(M16,Trigger),"--")</f>
        <v>--</v>
      </c>
      <c r="V16" s="4" t="str">
        <f t="shared" ca="1" si="3"/>
        <v/>
      </c>
      <c r="W16" s="4" t="e">
        <f ca="1"/>
        <v>#NAME?</v>
      </c>
      <c r="X16" s="4" t="str">
        <f ca="1">IFERROR(_xll.qlRateHelperQuoteName(W16,Trigger),"")</f>
        <v/>
      </c>
      <c r="Y16" s="889" t="str">
        <f ca="1">IFERROR(_xll.qlRateHelperRate(W16,Trigger),"")</f>
        <v/>
      </c>
      <c r="Z16" s="888" t="str">
        <f ca="1">IF(ISERROR(_xll.qlSwapRateHelperSpread($W16)),IF(ISERROR(_xll.qlFuturesRateHelperConvexityAdjustment($W16)),"",_xll.qlFuturesRateHelperConvexityAdjustment($W16)),_xll.qlSwapRateHelperSpread($W16))</f>
        <v/>
      </c>
      <c r="AA16" s="5" t="str">
        <f ca="1">IFERROR(_xll.qlRateHelperEarliestDate(W16,Trigger),"")</f>
        <v/>
      </c>
      <c r="AB16" s="5" t="str">
        <f ca="1">IFERROR(_xll.qlRateHelperPillarDate(W16,Trigger),"")</f>
        <v/>
      </c>
      <c r="AC16" s="887" t="e">
        <f ca="1"/>
        <v>#NAME?</v>
      </c>
      <c r="AD16" s="914"/>
    </row>
    <row r="17" spans="1:30" ht="11.25" customHeight="1" x14ac:dyDescent="0.2">
      <c r="A17" s="926" t="s">
        <v>391</v>
      </c>
      <c r="B17" s="925" t="s">
        <v>167</v>
      </c>
      <c r="C17" s="924" t="str">
        <f t="shared" si="4"/>
        <v>11M</v>
      </c>
      <c r="D17" s="921"/>
      <c r="E17" s="921"/>
      <c r="F17" s="921"/>
      <c r="G17" s="923" t="e">
        <f ca="1">_xll.qlEuribor(,C17,,Permanent,Trigger,ObjectOverwrite)</f>
        <v>#NAME?</v>
      </c>
      <c r="H17" s="922" t="str">
        <f t="shared" si="0"/>
        <v>EUR11MD_SYNTH1Y_Quote</v>
      </c>
      <c r="I17" s="921"/>
      <c r="J17" s="920"/>
      <c r="K17" s="23"/>
      <c r="L17" s="895" t="str">
        <f t="shared" si="1"/>
        <v>Dp</v>
      </c>
      <c r="M17" s="891" t="str">
        <f t="shared" si="2"/>
        <v>--</v>
      </c>
      <c r="N17" s="894" t="str">
        <f ca="1">IFERROR(_xll.qlRateHelperQuoteName(M17,Trigger),"--")</f>
        <v>--</v>
      </c>
      <c r="O17" s="893" t="str">
        <f ca="1">IFERROR(_xll.qlRateHelperQuoteValue($M17,Trigger),"--")</f>
        <v>--</v>
      </c>
      <c r="P17" s="892" t="b">
        <v>0</v>
      </c>
      <c r="Q17" s="891">
        <v>10</v>
      </c>
      <c r="R17" s="891">
        <v>1</v>
      </c>
      <c r="S17" s="890" t="str">
        <f ca="1">IFERROR(_xll.qlRateHelperEarliestDate(M17,Trigger),"--")</f>
        <v>--</v>
      </c>
      <c r="T17" s="890" t="str">
        <f ca="1">IFERROR(_xll.qlRateHelperPillarDate(M17,Trigger),"--")</f>
        <v>--</v>
      </c>
      <c r="V17" s="4" t="str">
        <f t="shared" ca="1" si="3"/>
        <v/>
      </c>
      <c r="W17" s="4" t="e">
        <f ca="1"/>
        <v>#NAME?</v>
      </c>
      <c r="X17" s="4" t="str">
        <f ca="1">IFERROR(_xll.qlRateHelperQuoteName(W17,Trigger),"")</f>
        <v/>
      </c>
      <c r="Y17" s="889" t="str">
        <f ca="1">IFERROR(_xll.qlRateHelperRate(W17,Trigger),"")</f>
        <v/>
      </c>
      <c r="Z17" s="888" t="str">
        <f ca="1">IF(ISERROR(_xll.qlSwapRateHelperSpread($W17)),IF(ISERROR(_xll.qlFuturesRateHelperConvexityAdjustment($W17)),"",_xll.qlFuturesRateHelperConvexityAdjustment($W17)),_xll.qlSwapRateHelperSpread($W17))</f>
        <v/>
      </c>
      <c r="AA17" s="5" t="str">
        <f ca="1">IFERROR(_xll.qlRateHelperEarliestDate(W17,Trigger),"")</f>
        <v/>
      </c>
      <c r="AB17" s="5" t="str">
        <f ca="1">IFERROR(_xll.qlRateHelperPillarDate(W17,Trigger),"")</f>
        <v/>
      </c>
      <c r="AC17" s="887" t="e">
        <f ca="1"/>
        <v>#NAME?</v>
      </c>
      <c r="AD17" s="914"/>
    </row>
    <row r="18" spans="1:30" ht="11.25" customHeight="1" x14ac:dyDescent="0.2">
      <c r="A18" s="870" t="s">
        <v>391</v>
      </c>
      <c r="B18" s="872" t="s">
        <v>58</v>
      </c>
      <c r="C18" s="902" t="str">
        <f t="shared" si="4"/>
        <v>1Y</v>
      </c>
      <c r="D18" s="900"/>
      <c r="E18" s="900"/>
      <c r="F18" s="900"/>
      <c r="G18" s="871" t="str">
        <f>PROPER(Currency)&amp;FamilyName&amp;B18</f>
        <v>Euribor1Y</v>
      </c>
      <c r="H18" s="919" t="str">
        <f t="shared" si="0"/>
        <v>EUR1YD_SYNTH1Y_Quote</v>
      </c>
      <c r="I18" s="900"/>
      <c r="J18" s="38" t="e">
        <f ca="1">_xll.qlDepositRateHelper(,H18,G18,Permanent,Trigger,ObjectOverwrite)</f>
        <v>#NAME?</v>
      </c>
      <c r="K18" s="23"/>
      <c r="L18" s="886" t="str">
        <f t="shared" si="1"/>
        <v>Dp</v>
      </c>
      <c r="M18" s="882" t="e">
        <f t="shared" ca="1" si="2"/>
        <v>#NAME?</v>
      </c>
      <c r="N18" s="885" t="str">
        <f ca="1">IFERROR(_xll.qlRateHelperQuoteName(M18,Trigger),"--")</f>
        <v>--</v>
      </c>
      <c r="O18" s="884" t="str">
        <f ca="1">IFERROR(_xll.qlRateHelperQuoteValue($M18,Trigger),"--")</f>
        <v>--</v>
      </c>
      <c r="P18" s="883" t="b">
        <v>1</v>
      </c>
      <c r="Q18" s="882">
        <v>10</v>
      </c>
      <c r="R18" s="882">
        <v>1</v>
      </c>
      <c r="S18" s="881" t="str">
        <f ca="1">IFERROR(_xll.qlRateHelperEarliestDate(M18,Trigger),"--")</f>
        <v>--</v>
      </c>
      <c r="T18" s="881" t="str">
        <f ca="1">IFERROR(_xll.qlRateHelperPillarDate(M18,Trigger),"--")</f>
        <v>--</v>
      </c>
      <c r="V18" s="4" t="str">
        <f t="shared" ca="1" si="3"/>
        <v/>
      </c>
      <c r="W18" s="4" t="e">
        <f ca="1"/>
        <v>#NAME?</v>
      </c>
      <c r="X18" s="4" t="str">
        <f ca="1">IFERROR(_xll.qlRateHelperQuoteName(W18,Trigger),"")</f>
        <v/>
      </c>
      <c r="Y18" s="889" t="str">
        <f ca="1">IFERROR(_xll.qlRateHelperRate(W18,Trigger),"")</f>
        <v/>
      </c>
      <c r="Z18" s="888" t="str">
        <f ca="1">IF(ISERROR(_xll.qlSwapRateHelperSpread($W18)),IF(ISERROR(_xll.qlFuturesRateHelperConvexityAdjustment($W18)),"",_xll.qlFuturesRateHelperConvexityAdjustment($W18)),_xll.qlSwapRateHelperSpread($W18))</f>
        <v/>
      </c>
      <c r="AA18" s="5" t="str">
        <f ca="1">IFERROR(_xll.qlRateHelperEarliestDate(W18,Trigger),"")</f>
        <v/>
      </c>
      <c r="AB18" s="5" t="str">
        <f ca="1">IFERROR(_xll.qlRateHelperPillarDate(W18,Trigger),"")</f>
        <v/>
      </c>
      <c r="AC18" s="887" t="e">
        <f ca="1"/>
        <v>#NAME?</v>
      </c>
      <c r="AD18" s="914"/>
    </row>
    <row r="19" spans="1:30" ht="11.25" customHeight="1" x14ac:dyDescent="0.2">
      <c r="B19" s="1"/>
      <c r="C19" s="1" t="s">
        <v>318</v>
      </c>
      <c r="D19" s="1"/>
      <c r="E19" s="1"/>
      <c r="F19" s="1"/>
      <c r="G19" s="1"/>
      <c r="H19" s="1"/>
      <c r="K19" s="23"/>
      <c r="L19" s="909" t="str">
        <f t="shared" ref="L19:L42" si="5">A21</f>
        <v>FRA</v>
      </c>
      <c r="M19" s="905" t="e">
        <f t="shared" ref="M19:M42" ca="1" si="6">IF(ISBLANK(J21),"--",J21)</f>
        <v>#NAME?</v>
      </c>
      <c r="N19" s="908" t="str">
        <f ca="1">IFERROR(_xll.qlRateHelperQuoteName(M19,Trigger),"--")</f>
        <v>--</v>
      </c>
      <c r="O19" s="907" t="str">
        <f ca="1">IFERROR(_xll.qlRateHelperQuoteValue($M19,Trigger),"--")</f>
        <v>--</v>
      </c>
      <c r="P19" s="906" t="b">
        <v>1</v>
      </c>
      <c r="Q19" s="905">
        <v>20</v>
      </c>
      <c r="R19" s="905">
        <v>7</v>
      </c>
      <c r="S19" s="904" t="str">
        <f ca="1">IFERROR(_xll.qlRateHelperEarliestDate(M19,Trigger),"--")</f>
        <v>--</v>
      </c>
      <c r="T19" s="904" t="str">
        <f ca="1">IFERROR(_xll.qlRateHelperPillarDate(M19,Trigger),"--")</f>
        <v>--</v>
      </c>
      <c r="V19" s="4" t="str">
        <f t="shared" ca="1" si="3"/>
        <v/>
      </c>
      <c r="W19" s="4" t="e">
        <f ca="1"/>
        <v>#NAME?</v>
      </c>
      <c r="X19" s="4" t="str">
        <f ca="1">IFERROR(_xll.qlRateHelperQuoteName(W19,Trigger),"")</f>
        <v/>
      </c>
      <c r="Y19" s="889" t="str">
        <f ca="1">IFERROR(_xll.qlRateHelperRate(W19,Trigger),"")</f>
        <v/>
      </c>
      <c r="Z19" s="888" t="str">
        <f ca="1">IF(ISERROR(_xll.qlSwapRateHelperSpread($W19)),IF(ISERROR(_xll.qlFuturesRateHelperConvexityAdjustment($W19)),"",_xll.qlFuturesRateHelperConvexityAdjustment($W19)),_xll.qlSwapRateHelperSpread($W19))</f>
        <v/>
      </c>
      <c r="AA19" s="5" t="str">
        <f ca="1">IFERROR(_xll.qlRateHelperEarliestDate(W19,Trigger),"")</f>
        <v/>
      </c>
      <c r="AB19" s="5" t="str">
        <f ca="1">IFERROR(_xll.qlRateHelperPillarDate(W19,Trigger),"")</f>
        <v/>
      </c>
      <c r="AC19" s="887" t="e">
        <f ca="1"/>
        <v>#NAME?</v>
      </c>
      <c r="AD19" s="914"/>
    </row>
    <row r="20" spans="1:30" ht="11.25" customHeight="1" x14ac:dyDescent="0.2">
      <c r="A20" s="146" t="s">
        <v>388</v>
      </c>
      <c r="B20" s="146" t="s">
        <v>390</v>
      </c>
      <c r="C20" s="146" t="s">
        <v>389</v>
      </c>
      <c r="D20" s="146"/>
      <c r="E20" s="146"/>
      <c r="F20" s="146"/>
      <c r="G20" s="146" t="s">
        <v>14</v>
      </c>
      <c r="H20" s="146" t="s">
        <v>384</v>
      </c>
      <c r="I20" s="146"/>
      <c r="J20" s="146" t="s">
        <v>383</v>
      </c>
      <c r="K20" s="23"/>
      <c r="L20" s="895" t="str">
        <f t="shared" si="5"/>
        <v>FRA</v>
      </c>
      <c r="M20" s="891" t="e">
        <f t="shared" ca="1" si="6"/>
        <v>#NAME?</v>
      </c>
      <c r="N20" s="894" t="str">
        <f ca="1">IFERROR(_xll.qlRateHelperQuoteName(M20,Trigger),"--")</f>
        <v>--</v>
      </c>
      <c r="O20" s="893" t="str">
        <f ca="1">IFERROR(_xll.qlRateHelperQuoteValue($M20,Trigger),"--")</f>
        <v>--</v>
      </c>
      <c r="P20" s="892" t="b">
        <v>1</v>
      </c>
      <c r="Q20" s="891">
        <v>20</v>
      </c>
      <c r="R20" s="891">
        <v>7</v>
      </c>
      <c r="S20" s="890" t="str">
        <f ca="1">IFERROR(_xll.qlRateHelperEarliestDate(M20,Trigger),"--")</f>
        <v>--</v>
      </c>
      <c r="T20" s="890" t="str">
        <f ca="1">IFERROR(_xll.qlRateHelperPillarDate(M20,Trigger),"--")</f>
        <v>--</v>
      </c>
      <c r="V20" s="4" t="str">
        <f t="shared" ca="1" si="3"/>
        <v/>
      </c>
      <c r="W20" s="4" t="e">
        <f ca="1"/>
        <v>#NAME?</v>
      </c>
      <c r="X20" s="4" t="str">
        <f ca="1">IFERROR(_xll.qlRateHelperQuoteName(W20,Trigger),"")</f>
        <v/>
      </c>
      <c r="Y20" s="889" t="str">
        <f ca="1">IFERROR(_xll.qlRateHelperRate(W20,Trigger),"")</f>
        <v/>
      </c>
      <c r="Z20" s="888" t="str">
        <f ca="1">IF(ISERROR(_xll.qlSwapRateHelperSpread($W20)),IF(ISERROR(_xll.qlFuturesRateHelperConvexityAdjustment($W20)),"",_xll.qlFuturesRateHelperConvexityAdjustment($W20)),_xll.qlSwapRateHelperSpread($W20))</f>
        <v/>
      </c>
      <c r="AA20" s="5" t="str">
        <f ca="1">IFERROR(_xll.qlRateHelperEarliestDate(W20,Trigger),"")</f>
        <v/>
      </c>
      <c r="AB20" s="5" t="str">
        <f ca="1">IFERROR(_xll.qlRateHelperPillarDate(W20,Trigger),"")</f>
        <v/>
      </c>
      <c r="AC20" s="887" t="e">
        <f ca="1"/>
        <v>#NAME?</v>
      </c>
      <c r="AD20" s="914"/>
    </row>
    <row r="21" spans="1:30" ht="11.25" customHeight="1" x14ac:dyDescent="0.2">
      <c r="A21" s="897" t="s">
        <v>181</v>
      </c>
      <c r="B21" s="918">
        <v>1</v>
      </c>
      <c r="C21" s="917" t="str">
        <f t="shared" ref="C21:C44" si="7">"x"&amp;B21+SUBSTITUTE($C$19,"M","")&amp;"F"</f>
        <v>x13F</v>
      </c>
      <c r="D21" s="915"/>
      <c r="E21" s="915"/>
      <c r="F21" s="915"/>
      <c r="G21" s="898" t="str">
        <f t="shared" ref="G21:G44" si="8">PROPER(Currency)&amp;FamilyName&amp;Tenor</f>
        <v>Euribor1Y</v>
      </c>
      <c r="H21" s="916" t="str">
        <f t="shared" ref="H21:H44" si="9">Currency&amp;B21&amp;C21&amp;QuoteSuffix</f>
        <v>EUR1x13F_Quote</v>
      </c>
      <c r="I21" s="915"/>
      <c r="J21" s="47" t="e">
        <f ca="1">_xll.qlFraRateHelper(,H21,B21&amp;"M",G21,PillarDate,,Permanent,Trigger,ObjectOverwrite)</f>
        <v>#NAME?</v>
      </c>
      <c r="K21" s="23"/>
      <c r="L21" s="895" t="str">
        <f t="shared" si="5"/>
        <v>FRA</v>
      </c>
      <c r="M21" s="891" t="e">
        <f t="shared" ca="1" si="6"/>
        <v>#NAME?</v>
      </c>
      <c r="N21" s="894" t="str">
        <f ca="1">IFERROR(_xll.qlRateHelperQuoteName(M21,Trigger),"--")</f>
        <v>--</v>
      </c>
      <c r="O21" s="893" t="str">
        <f ca="1">IFERROR(_xll.qlRateHelperQuoteValue($M21,Trigger),"--")</f>
        <v>--</v>
      </c>
      <c r="P21" s="892" t="b">
        <v>1</v>
      </c>
      <c r="Q21" s="891">
        <v>20</v>
      </c>
      <c r="R21" s="891">
        <v>7</v>
      </c>
      <c r="S21" s="890" t="str">
        <f ca="1">IFERROR(_xll.qlRateHelperEarliestDate(M21,Trigger),"--")</f>
        <v>--</v>
      </c>
      <c r="T21" s="890" t="str">
        <f ca="1">IFERROR(_xll.qlRateHelperPillarDate(M21,Trigger),"--")</f>
        <v>--</v>
      </c>
      <c r="V21" s="4" t="str">
        <f t="shared" ca="1" si="3"/>
        <v/>
      </c>
      <c r="W21" s="4" t="e">
        <f ca="1"/>
        <v>#NAME?</v>
      </c>
      <c r="X21" s="4" t="str">
        <f ca="1">IFERROR(_xll.qlRateHelperQuoteName(W21,Trigger),"")</f>
        <v/>
      </c>
      <c r="Y21" s="889" t="str">
        <f ca="1">IFERROR(_xll.qlRateHelperRate(W21,Trigger),"")</f>
        <v/>
      </c>
      <c r="Z21" s="888" t="str">
        <f ca="1">IF(ISERROR(_xll.qlSwapRateHelperSpread($W21)),IF(ISERROR(_xll.qlFuturesRateHelperConvexityAdjustment($W21)),"",_xll.qlFuturesRateHelperConvexityAdjustment($W21)),_xll.qlSwapRateHelperSpread($W21))</f>
        <v/>
      </c>
      <c r="AA21" s="5" t="str">
        <f ca="1">IFERROR(_xll.qlRateHelperEarliestDate(W21,Trigger),"")</f>
        <v/>
      </c>
      <c r="AB21" s="5" t="str">
        <f ca="1">IFERROR(_xll.qlRateHelperPillarDate(W21,Trigger),"")</f>
        <v/>
      </c>
      <c r="AC21" s="887" t="e">
        <f ca="1"/>
        <v>#NAME?</v>
      </c>
      <c r="AD21" s="914"/>
    </row>
    <row r="22" spans="1:30" ht="11.25" customHeight="1" x14ac:dyDescent="0.2">
      <c r="A22" s="874" t="s">
        <v>181</v>
      </c>
      <c r="B22" s="913">
        <v>2</v>
      </c>
      <c r="C22" s="912" t="str">
        <f t="shared" si="7"/>
        <v>x14F</v>
      </c>
      <c r="D22" s="910"/>
      <c r="E22" s="910"/>
      <c r="F22" s="910"/>
      <c r="G22" s="875" t="str">
        <f t="shared" si="8"/>
        <v>Euribor1Y</v>
      </c>
      <c r="H22" s="911" t="str">
        <f t="shared" si="9"/>
        <v>EUR2x14F_Quote</v>
      </c>
      <c r="I22" s="910"/>
      <c r="J22" s="43" t="e">
        <f ca="1">_xll.qlFraRateHelper(,H22,B22&amp;"M",G22,PillarDate,,Permanent,Trigger,ObjectOverwrite)</f>
        <v>#NAME?</v>
      </c>
      <c r="K22" s="23"/>
      <c r="L22" s="895" t="str">
        <f t="shared" si="5"/>
        <v>FRA</v>
      </c>
      <c r="M22" s="891" t="e">
        <f t="shared" ca="1" si="6"/>
        <v>#NAME?</v>
      </c>
      <c r="N22" s="894" t="str">
        <f ca="1">IFERROR(_xll.qlRateHelperQuoteName(M22,Trigger),"--")</f>
        <v>--</v>
      </c>
      <c r="O22" s="893" t="str">
        <f ca="1">IFERROR(_xll.qlRateHelperQuoteValue($M22,Trigger),"--")</f>
        <v>--</v>
      </c>
      <c r="P22" s="892" t="b">
        <v>1</v>
      </c>
      <c r="Q22" s="891">
        <v>20</v>
      </c>
      <c r="R22" s="891">
        <v>7</v>
      </c>
      <c r="S22" s="890" t="str">
        <f ca="1">IFERROR(_xll.qlRateHelperEarliestDate(M22,Trigger),"--")</f>
        <v>--</v>
      </c>
      <c r="T22" s="890" t="str">
        <f ca="1">IFERROR(_xll.qlRateHelperPillarDate(M22,Trigger),"--")</f>
        <v>--</v>
      </c>
      <c r="V22" s="4" t="str">
        <f t="shared" ca="1" si="3"/>
        <v/>
      </c>
      <c r="W22" s="4" t="e">
        <f ca="1"/>
        <v>#NAME?</v>
      </c>
      <c r="X22" s="4" t="str">
        <f ca="1">IFERROR(_xll.qlRateHelperQuoteName(W22,Trigger),"")</f>
        <v/>
      </c>
      <c r="Y22" s="889" t="str">
        <f ca="1">IFERROR(_xll.qlRateHelperRate(W22,Trigger),"")</f>
        <v/>
      </c>
      <c r="Z22" s="888" t="str">
        <f ca="1">IF(ISERROR(_xll.qlSwapRateHelperSpread($W22)),IF(ISERROR(_xll.qlFuturesRateHelperConvexityAdjustment($W22)),"",_xll.qlFuturesRateHelperConvexityAdjustment($W22)),_xll.qlSwapRateHelperSpread($W22))</f>
        <v/>
      </c>
      <c r="AA22" s="5" t="str">
        <f ca="1">IFERROR(_xll.qlRateHelperEarliestDate(W22,Trigger),"")</f>
        <v/>
      </c>
      <c r="AB22" s="5" t="str">
        <f ca="1">IFERROR(_xll.qlRateHelperPillarDate(W22,Trigger),"")</f>
        <v/>
      </c>
      <c r="AC22" s="887" t="e">
        <f ca="1"/>
        <v>#NAME?</v>
      </c>
      <c r="AD22" s="914"/>
    </row>
    <row r="23" spans="1:30" ht="11.25" customHeight="1" x14ac:dyDescent="0.2">
      <c r="A23" s="874" t="s">
        <v>181</v>
      </c>
      <c r="B23" s="913">
        <v>3</v>
      </c>
      <c r="C23" s="912" t="str">
        <f t="shared" si="7"/>
        <v>x15F</v>
      </c>
      <c r="D23" s="910"/>
      <c r="E23" s="910"/>
      <c r="F23" s="910"/>
      <c r="G23" s="875" t="str">
        <f t="shared" si="8"/>
        <v>Euribor1Y</v>
      </c>
      <c r="H23" s="911" t="str">
        <f t="shared" si="9"/>
        <v>EUR3x15F_Quote</v>
      </c>
      <c r="I23" s="910"/>
      <c r="J23" s="43" t="e">
        <f ca="1">_xll.qlFraRateHelper(,H23,B23&amp;"M",G23,PillarDate,,Permanent,Trigger,ObjectOverwrite)</f>
        <v>#NAME?</v>
      </c>
      <c r="K23" s="23"/>
      <c r="L23" s="895" t="str">
        <f t="shared" si="5"/>
        <v>FRA</v>
      </c>
      <c r="M23" s="891" t="e">
        <f t="shared" ca="1" si="6"/>
        <v>#NAME?</v>
      </c>
      <c r="N23" s="894" t="str">
        <f ca="1">IFERROR(_xll.qlRateHelperQuoteName(M23,Trigger),"--")</f>
        <v>--</v>
      </c>
      <c r="O23" s="893" t="str">
        <f ca="1">IFERROR(_xll.qlRateHelperQuoteValue($M23,Trigger),"--")</f>
        <v>--</v>
      </c>
      <c r="P23" s="892" t="b">
        <v>1</v>
      </c>
      <c r="Q23" s="891">
        <v>20</v>
      </c>
      <c r="R23" s="891">
        <v>7</v>
      </c>
      <c r="S23" s="890" t="str">
        <f ca="1">IFERROR(_xll.qlRateHelperEarliestDate(M23,Trigger),"--")</f>
        <v>--</v>
      </c>
      <c r="T23" s="890" t="str">
        <f ca="1">IFERROR(_xll.qlRateHelperPillarDate(M23,Trigger),"--")</f>
        <v>--</v>
      </c>
      <c r="V23" s="4" t="str">
        <f t="shared" ca="1" si="3"/>
        <v/>
      </c>
      <c r="W23" s="4" t="e">
        <f ca="1"/>
        <v>#NAME?</v>
      </c>
      <c r="X23" s="4" t="str">
        <f ca="1">IFERROR(_xll.qlRateHelperQuoteName(W23,Trigger),"")</f>
        <v/>
      </c>
      <c r="Y23" s="889" t="str">
        <f ca="1">IFERROR(_xll.qlRateHelperRate(W23,Trigger),"")</f>
        <v/>
      </c>
      <c r="Z23" s="888" t="str">
        <f ca="1">IF(ISERROR(_xll.qlSwapRateHelperSpread($W23)),IF(ISERROR(_xll.qlFuturesRateHelperConvexityAdjustment($W23)),"",_xll.qlFuturesRateHelperConvexityAdjustment($W23)),_xll.qlSwapRateHelperSpread($W23))</f>
        <v/>
      </c>
      <c r="AA23" s="5" t="str">
        <f ca="1">IFERROR(_xll.qlRateHelperEarliestDate(W23,Trigger),"")</f>
        <v/>
      </c>
      <c r="AB23" s="5" t="str">
        <f ca="1">IFERROR(_xll.qlRateHelperPillarDate(W23,Trigger),"")</f>
        <v/>
      </c>
      <c r="AC23" s="887" t="e">
        <f ca="1"/>
        <v>#NAME?</v>
      </c>
      <c r="AD23" s="914"/>
    </row>
    <row r="24" spans="1:30" ht="11.25" customHeight="1" x14ac:dyDescent="0.2">
      <c r="A24" s="874" t="s">
        <v>181</v>
      </c>
      <c r="B24" s="913">
        <v>4</v>
      </c>
      <c r="C24" s="912" t="str">
        <f t="shared" si="7"/>
        <v>x16F</v>
      </c>
      <c r="D24" s="910"/>
      <c r="E24" s="910"/>
      <c r="F24" s="910"/>
      <c r="G24" s="875" t="str">
        <f t="shared" si="8"/>
        <v>Euribor1Y</v>
      </c>
      <c r="H24" s="911" t="str">
        <f t="shared" si="9"/>
        <v>EUR4x16F_Quote</v>
      </c>
      <c r="I24" s="910"/>
      <c r="J24" s="43" t="e">
        <f ca="1">_xll.qlFraRateHelper(,H24,B24&amp;"M",G24,PillarDate,,Permanent,Trigger,ObjectOverwrite)</f>
        <v>#NAME?</v>
      </c>
      <c r="K24" s="23"/>
      <c r="L24" s="895" t="str">
        <f t="shared" si="5"/>
        <v>FRA</v>
      </c>
      <c r="M24" s="891" t="e">
        <f t="shared" ca="1" si="6"/>
        <v>#NAME?</v>
      </c>
      <c r="N24" s="894" t="str">
        <f ca="1">IFERROR(_xll.qlRateHelperQuoteName(M24,Trigger),"--")</f>
        <v>--</v>
      </c>
      <c r="O24" s="893" t="str">
        <f ca="1">IFERROR(_xll.qlRateHelperQuoteValue($M24,Trigger),"--")</f>
        <v>--</v>
      </c>
      <c r="P24" s="892" t="b">
        <v>1</v>
      </c>
      <c r="Q24" s="891">
        <v>20</v>
      </c>
      <c r="R24" s="891">
        <v>7</v>
      </c>
      <c r="S24" s="890" t="str">
        <f ca="1">IFERROR(_xll.qlRateHelperEarliestDate(M24,Trigger),"--")</f>
        <v>--</v>
      </c>
      <c r="T24" s="890" t="str">
        <f ca="1">IFERROR(_xll.qlRateHelperPillarDate(M24,Trigger),"--")</f>
        <v>--</v>
      </c>
      <c r="V24" s="4" t="str">
        <f t="shared" ca="1" si="3"/>
        <v/>
      </c>
      <c r="W24" s="4" t="e">
        <f ca="1"/>
        <v>#NAME?</v>
      </c>
      <c r="X24" s="4" t="str">
        <f ca="1">IFERROR(_xll.qlRateHelperQuoteName(W24,Trigger),"")</f>
        <v/>
      </c>
      <c r="Y24" s="889" t="str">
        <f ca="1">IFERROR(_xll.qlRateHelperRate(W24,Trigger),"")</f>
        <v/>
      </c>
      <c r="Z24" s="888" t="str">
        <f ca="1">IF(ISERROR(_xll.qlSwapRateHelperSpread($W24)),IF(ISERROR(_xll.qlFuturesRateHelperConvexityAdjustment($W24)),"",_xll.qlFuturesRateHelperConvexityAdjustment($W24)),_xll.qlSwapRateHelperSpread($W24))</f>
        <v/>
      </c>
      <c r="AA24" s="5" t="str">
        <f ca="1">IFERROR(_xll.qlRateHelperEarliestDate(W24,Trigger),"")</f>
        <v/>
      </c>
      <c r="AB24" s="5" t="str">
        <f ca="1">IFERROR(_xll.qlRateHelperPillarDate(W24,Trigger),"")</f>
        <v/>
      </c>
      <c r="AC24" s="887" t="e">
        <f ca="1"/>
        <v>#NAME?</v>
      </c>
      <c r="AD24" s="914"/>
    </row>
    <row r="25" spans="1:30" ht="11.25" customHeight="1" x14ac:dyDescent="0.2">
      <c r="A25" s="874" t="s">
        <v>181</v>
      </c>
      <c r="B25" s="913">
        <v>5</v>
      </c>
      <c r="C25" s="912" t="str">
        <f t="shared" si="7"/>
        <v>x17F</v>
      </c>
      <c r="D25" s="910"/>
      <c r="E25" s="910"/>
      <c r="F25" s="910"/>
      <c r="G25" s="875" t="str">
        <f t="shared" si="8"/>
        <v>Euribor1Y</v>
      </c>
      <c r="H25" s="911" t="str">
        <f t="shared" si="9"/>
        <v>EUR5x17F_Quote</v>
      </c>
      <c r="I25" s="910"/>
      <c r="J25" s="43" t="e">
        <f ca="1">_xll.qlFraRateHelper(,H25,B25&amp;"M",G25,PillarDate,,Permanent,Trigger,ObjectOverwrite)</f>
        <v>#NAME?</v>
      </c>
      <c r="K25" s="23"/>
      <c r="L25" s="895" t="str">
        <f t="shared" si="5"/>
        <v>FRA</v>
      </c>
      <c r="M25" s="891" t="e">
        <f t="shared" ca="1" si="6"/>
        <v>#NAME?</v>
      </c>
      <c r="N25" s="894" t="str">
        <f ca="1">IFERROR(_xll.qlRateHelperQuoteName(M25,Trigger),"--")</f>
        <v>--</v>
      </c>
      <c r="O25" s="893" t="str">
        <f ca="1">IFERROR(_xll.qlRateHelperQuoteValue($M25,Trigger),"--")</f>
        <v>--</v>
      </c>
      <c r="P25" s="892" t="b">
        <v>1</v>
      </c>
      <c r="Q25" s="891">
        <v>20</v>
      </c>
      <c r="R25" s="891">
        <v>7</v>
      </c>
      <c r="S25" s="890" t="str">
        <f ca="1">IFERROR(_xll.qlRateHelperEarliestDate(M25,Trigger),"--")</f>
        <v>--</v>
      </c>
      <c r="T25" s="890" t="str">
        <f ca="1">IFERROR(_xll.qlRateHelperPillarDate(M25,Trigger),"--")</f>
        <v>--</v>
      </c>
      <c r="V25" s="4" t="str">
        <f t="shared" ca="1" si="3"/>
        <v/>
      </c>
      <c r="W25" s="4" t="e">
        <f ca="1"/>
        <v>#NAME?</v>
      </c>
      <c r="X25" s="4" t="str">
        <f ca="1">IFERROR(_xll.qlRateHelperQuoteName(W25,Trigger),"")</f>
        <v/>
      </c>
      <c r="Y25" s="889" t="str">
        <f ca="1">IFERROR(_xll.qlRateHelperRate(W25,Trigger),"")</f>
        <v/>
      </c>
      <c r="Z25" s="888" t="str">
        <f ca="1">IF(ISERROR(_xll.qlSwapRateHelperSpread($W25)),IF(ISERROR(_xll.qlFuturesRateHelperConvexityAdjustment($W25)),"",_xll.qlFuturesRateHelperConvexityAdjustment($W25)),_xll.qlSwapRateHelperSpread($W25))</f>
        <v/>
      </c>
      <c r="AA25" s="5" t="str">
        <f ca="1">IFERROR(_xll.qlRateHelperEarliestDate(W25,Trigger),"")</f>
        <v/>
      </c>
      <c r="AB25" s="5" t="str">
        <f ca="1">IFERROR(_xll.qlRateHelperPillarDate(W25,Trigger),"")</f>
        <v/>
      </c>
      <c r="AC25" s="887" t="e">
        <f ca="1"/>
        <v>#NAME?</v>
      </c>
      <c r="AD25" s="914"/>
    </row>
    <row r="26" spans="1:30" ht="11.25" customHeight="1" x14ac:dyDescent="0.2">
      <c r="A26" s="874" t="s">
        <v>181</v>
      </c>
      <c r="B26" s="913">
        <v>6</v>
      </c>
      <c r="C26" s="912" t="str">
        <f t="shared" si="7"/>
        <v>x18F</v>
      </c>
      <c r="D26" s="910"/>
      <c r="E26" s="910"/>
      <c r="F26" s="910"/>
      <c r="G26" s="875" t="str">
        <f t="shared" si="8"/>
        <v>Euribor1Y</v>
      </c>
      <c r="H26" s="911" t="str">
        <f t="shared" si="9"/>
        <v>EUR6x18F_Quote</v>
      </c>
      <c r="I26" s="910"/>
      <c r="J26" s="43" t="e">
        <f ca="1">_xll.qlFraRateHelper(,H26,B26&amp;"M",G26,PillarDate,,Permanent,Trigger,ObjectOverwrite)</f>
        <v>#NAME?</v>
      </c>
      <c r="K26" s="23"/>
      <c r="L26" s="895" t="str">
        <f t="shared" si="5"/>
        <v>FRA</v>
      </c>
      <c r="M26" s="891" t="e">
        <f t="shared" ca="1" si="6"/>
        <v>#NAME?</v>
      </c>
      <c r="N26" s="894" t="str">
        <f ca="1">IFERROR(_xll.qlRateHelperQuoteName(M26,Trigger),"--")</f>
        <v>--</v>
      </c>
      <c r="O26" s="893" t="str">
        <f ca="1">IFERROR(_xll.qlRateHelperQuoteValue($M26,Trigger),"--")</f>
        <v>--</v>
      </c>
      <c r="P26" s="892" t="b">
        <v>1</v>
      </c>
      <c r="Q26" s="891">
        <v>20</v>
      </c>
      <c r="R26" s="891">
        <v>7</v>
      </c>
      <c r="S26" s="890" t="str">
        <f ca="1">IFERROR(_xll.qlRateHelperEarliestDate(M26,Trigger),"--")</f>
        <v>--</v>
      </c>
      <c r="T26" s="890" t="str">
        <f ca="1">IFERROR(_xll.qlRateHelperPillarDate(M26,Trigger),"--")</f>
        <v>--</v>
      </c>
      <c r="V26" s="4" t="str">
        <f t="shared" ca="1" si="3"/>
        <v/>
      </c>
      <c r="W26" s="4" t="e">
        <f ca="1"/>
        <v>#NAME?</v>
      </c>
      <c r="X26" s="4" t="str">
        <f ca="1">IFERROR(_xll.qlRateHelperQuoteName(W26,Trigger),"")</f>
        <v/>
      </c>
      <c r="Y26" s="889" t="str">
        <f ca="1">IFERROR(_xll.qlRateHelperRate(W26,Trigger),"")</f>
        <v/>
      </c>
      <c r="Z26" s="888" t="str">
        <f ca="1">IF(ISERROR(_xll.qlSwapRateHelperSpread($W26)),IF(ISERROR(_xll.qlFuturesRateHelperConvexityAdjustment($W26)),"",_xll.qlFuturesRateHelperConvexityAdjustment($W26)),_xll.qlSwapRateHelperSpread($W26))</f>
        <v/>
      </c>
      <c r="AA26" s="5" t="str">
        <f ca="1">IFERROR(_xll.qlRateHelperEarliestDate(W26,Trigger),"")</f>
        <v/>
      </c>
      <c r="AB26" s="5" t="str">
        <f ca="1">IFERROR(_xll.qlRateHelperPillarDate(W26,Trigger),"")</f>
        <v/>
      </c>
      <c r="AC26" s="887" t="e">
        <f ca="1"/>
        <v>#NAME?</v>
      </c>
      <c r="AD26" s="914"/>
    </row>
    <row r="27" spans="1:30" ht="11.25" customHeight="1" x14ac:dyDescent="0.2">
      <c r="A27" s="874" t="s">
        <v>181</v>
      </c>
      <c r="B27" s="913">
        <v>7</v>
      </c>
      <c r="C27" s="912" t="str">
        <f t="shared" si="7"/>
        <v>x19F</v>
      </c>
      <c r="D27" s="910"/>
      <c r="E27" s="910"/>
      <c r="F27" s="910"/>
      <c r="G27" s="875" t="str">
        <f t="shared" si="8"/>
        <v>Euribor1Y</v>
      </c>
      <c r="H27" s="911" t="str">
        <f t="shared" si="9"/>
        <v>EUR7x19F_Quote</v>
      </c>
      <c r="I27" s="910"/>
      <c r="J27" s="43" t="e">
        <f ca="1">_xll.qlFraRateHelper(,H27,B27&amp;"M",G27,PillarDate,,Permanent,Trigger,ObjectOverwrite)</f>
        <v>#NAME?</v>
      </c>
      <c r="K27" s="23"/>
      <c r="L27" s="895" t="str">
        <f t="shared" si="5"/>
        <v>FRA</v>
      </c>
      <c r="M27" s="891" t="e">
        <f t="shared" ca="1" si="6"/>
        <v>#NAME?</v>
      </c>
      <c r="N27" s="894" t="str">
        <f ca="1">IFERROR(_xll.qlRateHelperQuoteName(M27,Trigger),"--")</f>
        <v>--</v>
      </c>
      <c r="O27" s="893" t="str">
        <f ca="1">IFERROR(_xll.qlRateHelperQuoteValue($M27,Trigger),"--")</f>
        <v>--</v>
      </c>
      <c r="P27" s="892" t="b">
        <v>1</v>
      </c>
      <c r="Q27" s="891">
        <v>20</v>
      </c>
      <c r="R27" s="891">
        <v>7</v>
      </c>
      <c r="S27" s="890" t="str">
        <f ca="1">IFERROR(_xll.qlRateHelperEarliestDate(M27,Trigger),"--")</f>
        <v>--</v>
      </c>
      <c r="T27" s="890" t="str">
        <f ca="1">IFERROR(_xll.qlRateHelperPillarDate(M27,Trigger),"--")</f>
        <v>--</v>
      </c>
      <c r="V27" s="4" t="str">
        <f t="shared" ca="1" si="3"/>
        <v/>
      </c>
      <c r="W27" s="4" t="e">
        <f ca="1"/>
        <v>#NAME?</v>
      </c>
      <c r="X27" s="4" t="str">
        <f ca="1">IFERROR(_xll.qlRateHelperQuoteName(W27,Trigger),"")</f>
        <v/>
      </c>
      <c r="Y27" s="889" t="str">
        <f ca="1">IFERROR(_xll.qlRateHelperRate(W27,Trigger),"")</f>
        <v/>
      </c>
      <c r="Z27" s="888" t="str">
        <f ca="1">IF(ISERROR(_xll.qlSwapRateHelperSpread($W27)),IF(ISERROR(_xll.qlFuturesRateHelperConvexityAdjustment($W27)),"",_xll.qlFuturesRateHelperConvexityAdjustment($W27)),_xll.qlSwapRateHelperSpread($W27))</f>
        <v/>
      </c>
      <c r="AA27" s="5" t="str">
        <f ca="1">IFERROR(_xll.qlRateHelperEarliestDate(W27,Trigger),"")</f>
        <v/>
      </c>
      <c r="AB27" s="5" t="str">
        <f ca="1">IFERROR(_xll.qlRateHelperPillarDate(W27,Trigger),"")</f>
        <v/>
      </c>
      <c r="AC27" s="887" t="e">
        <f ca="1"/>
        <v>#NAME?</v>
      </c>
      <c r="AD27" s="914"/>
    </row>
    <row r="28" spans="1:30" ht="11.25" customHeight="1" x14ac:dyDescent="0.2">
      <c r="A28" s="874" t="s">
        <v>181</v>
      </c>
      <c r="B28" s="913">
        <v>8</v>
      </c>
      <c r="C28" s="912" t="str">
        <f t="shared" si="7"/>
        <v>x20F</v>
      </c>
      <c r="D28" s="910"/>
      <c r="E28" s="910"/>
      <c r="F28" s="910"/>
      <c r="G28" s="875" t="str">
        <f t="shared" si="8"/>
        <v>Euribor1Y</v>
      </c>
      <c r="H28" s="911" t="str">
        <f t="shared" si="9"/>
        <v>EUR8x20F_Quote</v>
      </c>
      <c r="I28" s="910"/>
      <c r="J28" s="43" t="e">
        <f ca="1">_xll.qlFraRateHelper(,H28,B28&amp;"M",G28,PillarDate,,Permanent,Trigger,ObjectOverwrite)</f>
        <v>#NAME?</v>
      </c>
      <c r="K28" s="23"/>
      <c r="L28" s="895" t="str">
        <f t="shared" si="5"/>
        <v>FRA</v>
      </c>
      <c r="M28" s="891" t="e">
        <f t="shared" ca="1" si="6"/>
        <v>#NAME?</v>
      </c>
      <c r="N28" s="894" t="str">
        <f ca="1">IFERROR(_xll.qlRateHelperQuoteName(M28,Trigger),"--")</f>
        <v>--</v>
      </c>
      <c r="O28" s="893" t="str">
        <f ca="1">IFERROR(_xll.qlRateHelperQuoteValue($M28,Trigger),"--")</f>
        <v>--</v>
      </c>
      <c r="P28" s="892" t="b">
        <v>1</v>
      </c>
      <c r="Q28" s="891">
        <v>20</v>
      </c>
      <c r="R28" s="891">
        <v>7</v>
      </c>
      <c r="S28" s="890" t="str">
        <f ca="1">IFERROR(_xll.qlRateHelperEarliestDate(M28,Trigger),"--")</f>
        <v>--</v>
      </c>
      <c r="T28" s="890" t="str">
        <f ca="1">IFERROR(_xll.qlRateHelperPillarDate(M28,Trigger),"--")</f>
        <v>--</v>
      </c>
      <c r="V28" s="4" t="str">
        <f t="shared" ca="1" si="3"/>
        <v/>
      </c>
      <c r="W28" s="4" t="e">
        <f ca="1"/>
        <v>#NAME?</v>
      </c>
      <c r="X28" s="4" t="str">
        <f ca="1">IFERROR(_xll.qlRateHelperQuoteName(W28,Trigger),"")</f>
        <v/>
      </c>
      <c r="Y28" s="889" t="str">
        <f ca="1">IFERROR(_xll.qlRateHelperRate(W28,Trigger),"")</f>
        <v/>
      </c>
      <c r="Z28" s="888" t="str">
        <f ca="1">IF(ISERROR(_xll.qlSwapRateHelperSpread($W28)),IF(ISERROR(_xll.qlFuturesRateHelperConvexityAdjustment($W28)),"",_xll.qlFuturesRateHelperConvexityAdjustment($W28)),_xll.qlSwapRateHelperSpread($W28))</f>
        <v/>
      </c>
      <c r="AA28" s="5" t="str">
        <f ca="1">IFERROR(_xll.qlRateHelperEarliestDate(W28,Trigger),"")</f>
        <v/>
      </c>
      <c r="AB28" s="5" t="str">
        <f ca="1">IFERROR(_xll.qlRateHelperPillarDate(W28,Trigger),"")</f>
        <v/>
      </c>
      <c r="AC28" s="887" t="e">
        <f ca="1"/>
        <v>#NAME?</v>
      </c>
      <c r="AD28" s="914"/>
    </row>
    <row r="29" spans="1:30" ht="11.25" customHeight="1" x14ac:dyDescent="0.2">
      <c r="A29" s="874" t="s">
        <v>181</v>
      </c>
      <c r="B29" s="913">
        <v>9</v>
      </c>
      <c r="C29" s="912" t="str">
        <f t="shared" si="7"/>
        <v>x21F</v>
      </c>
      <c r="D29" s="910"/>
      <c r="E29" s="910"/>
      <c r="F29" s="910"/>
      <c r="G29" s="875" t="str">
        <f t="shared" si="8"/>
        <v>Euribor1Y</v>
      </c>
      <c r="H29" s="911" t="str">
        <f t="shared" si="9"/>
        <v>EUR9x21F_Quote</v>
      </c>
      <c r="I29" s="910"/>
      <c r="J29" s="43" t="e">
        <f ca="1">_xll.qlFraRateHelper(,H29,B29&amp;"M",G29,PillarDate,,Permanent,Trigger,ObjectOverwrite)</f>
        <v>#NAME?</v>
      </c>
      <c r="K29" s="23"/>
      <c r="L29" s="895" t="str">
        <f t="shared" si="5"/>
        <v>FRA</v>
      </c>
      <c r="M29" s="891" t="e">
        <f t="shared" ca="1" si="6"/>
        <v>#NAME?</v>
      </c>
      <c r="N29" s="894" t="str">
        <f ca="1">IFERROR(_xll.qlRateHelperQuoteName(M29,Trigger),"--")</f>
        <v>--</v>
      </c>
      <c r="O29" s="893" t="str">
        <f ca="1">IFERROR(_xll.qlRateHelperQuoteValue($M29,Trigger),"--")</f>
        <v>--</v>
      </c>
      <c r="P29" s="892" t="b">
        <v>1</v>
      </c>
      <c r="Q29" s="891">
        <v>20</v>
      </c>
      <c r="R29" s="891">
        <v>7</v>
      </c>
      <c r="S29" s="890" t="str">
        <f ca="1">IFERROR(_xll.qlRateHelperEarliestDate(M29,Trigger),"--")</f>
        <v>--</v>
      </c>
      <c r="T29" s="890" t="str">
        <f ca="1">IFERROR(_xll.qlRateHelperPillarDate(M29,Trigger),"--")</f>
        <v>--</v>
      </c>
      <c r="V29" s="4" t="str">
        <f t="shared" ca="1" si="3"/>
        <v/>
      </c>
      <c r="W29" s="4" t="e">
        <f ca="1"/>
        <v>#NAME?</v>
      </c>
      <c r="X29" s="4" t="str">
        <f ca="1">IFERROR(_xll.qlRateHelperQuoteName(W29,Trigger),"")</f>
        <v/>
      </c>
      <c r="Y29" s="889" t="str">
        <f ca="1">IFERROR(_xll.qlRateHelperRate(W29,Trigger),"")</f>
        <v/>
      </c>
      <c r="Z29" s="888" t="str">
        <f ca="1">IF(ISERROR(_xll.qlSwapRateHelperSpread($W29)),IF(ISERROR(_xll.qlFuturesRateHelperConvexityAdjustment($W29)),"",_xll.qlFuturesRateHelperConvexityAdjustment($W29)),_xll.qlSwapRateHelperSpread($W29))</f>
        <v/>
      </c>
      <c r="AA29" s="5" t="str">
        <f ca="1">IFERROR(_xll.qlRateHelperEarliestDate(W29,Trigger),"")</f>
        <v/>
      </c>
      <c r="AB29" s="5" t="str">
        <f ca="1">IFERROR(_xll.qlRateHelperPillarDate(W29,Trigger),"")</f>
        <v/>
      </c>
      <c r="AC29" s="887" t="e">
        <f ca="1"/>
        <v>#NAME?</v>
      </c>
      <c r="AD29" s="914"/>
    </row>
    <row r="30" spans="1:30" ht="11.25" customHeight="1" x14ac:dyDescent="0.2">
      <c r="A30" s="874" t="s">
        <v>181</v>
      </c>
      <c r="B30" s="913">
        <v>10</v>
      </c>
      <c r="C30" s="912" t="str">
        <f t="shared" si="7"/>
        <v>x22F</v>
      </c>
      <c r="D30" s="910"/>
      <c r="E30" s="910"/>
      <c r="F30" s="910"/>
      <c r="G30" s="875" t="str">
        <f t="shared" si="8"/>
        <v>Euribor1Y</v>
      </c>
      <c r="H30" s="911" t="str">
        <f t="shared" si="9"/>
        <v>EUR10x22F_Quote</v>
      </c>
      <c r="I30" s="910"/>
      <c r="J30" s="43" t="e">
        <f ca="1">_xll.qlFraRateHelper(,H30,B30&amp;"M",G30,PillarDate,,Permanent,Trigger,ObjectOverwrite)</f>
        <v>#NAME?</v>
      </c>
      <c r="K30" s="23"/>
      <c r="L30" s="895" t="str">
        <f t="shared" si="5"/>
        <v>FRA</v>
      </c>
      <c r="M30" s="891" t="e">
        <f t="shared" ca="1" si="6"/>
        <v>#NAME?</v>
      </c>
      <c r="N30" s="894" t="str">
        <f ca="1">IFERROR(_xll.qlRateHelperQuoteName(M30,Trigger),"--")</f>
        <v>--</v>
      </c>
      <c r="O30" s="893" t="str">
        <f ca="1">IFERROR(_xll.qlRateHelperQuoteValue($M30,Trigger),"--")</f>
        <v>--</v>
      </c>
      <c r="P30" s="892" t="b">
        <v>1</v>
      </c>
      <c r="Q30" s="891">
        <v>20</v>
      </c>
      <c r="R30" s="891">
        <v>7</v>
      </c>
      <c r="S30" s="890" t="str">
        <f ca="1">IFERROR(_xll.qlRateHelperEarliestDate(M30,Trigger),"--")</f>
        <v>--</v>
      </c>
      <c r="T30" s="890" t="str">
        <f ca="1">IFERROR(_xll.qlRateHelperPillarDate(M30,Trigger),"--")</f>
        <v>--</v>
      </c>
      <c r="V30" s="4" t="str">
        <f t="shared" ca="1" si="3"/>
        <v/>
      </c>
      <c r="W30" s="4" t="e">
        <f ca="1"/>
        <v>#NAME?</v>
      </c>
      <c r="X30" s="4" t="str">
        <f ca="1">IFERROR(_xll.qlRateHelperQuoteName(W30,Trigger),"")</f>
        <v/>
      </c>
      <c r="Y30" s="889" t="str">
        <f ca="1">IFERROR(_xll.qlRateHelperRate(W30,Trigger),"")</f>
        <v/>
      </c>
      <c r="Z30" s="888" t="str">
        <f ca="1">IF(ISERROR(_xll.qlSwapRateHelperSpread($W30)),IF(ISERROR(_xll.qlFuturesRateHelperConvexityAdjustment($W30)),"",_xll.qlFuturesRateHelperConvexityAdjustment($W30)),_xll.qlSwapRateHelperSpread($W30))</f>
        <v/>
      </c>
      <c r="AA30" s="5" t="str">
        <f ca="1">IFERROR(_xll.qlRateHelperEarliestDate(W30,Trigger),"")</f>
        <v/>
      </c>
      <c r="AB30" s="5" t="str">
        <f ca="1">IFERROR(_xll.qlRateHelperPillarDate(W30,Trigger),"")</f>
        <v/>
      </c>
      <c r="AC30" s="887" t="e">
        <f ca="1"/>
        <v>#NAME?</v>
      </c>
      <c r="AD30" s="914"/>
    </row>
    <row r="31" spans="1:30" ht="11.25" customHeight="1" x14ac:dyDescent="0.2">
      <c r="A31" s="874" t="s">
        <v>181</v>
      </c>
      <c r="B31" s="913">
        <v>11</v>
      </c>
      <c r="C31" s="912" t="str">
        <f t="shared" si="7"/>
        <v>x23F</v>
      </c>
      <c r="D31" s="910"/>
      <c r="E31" s="910"/>
      <c r="F31" s="910"/>
      <c r="G31" s="875" t="str">
        <f t="shared" si="8"/>
        <v>Euribor1Y</v>
      </c>
      <c r="H31" s="911" t="str">
        <f t="shared" si="9"/>
        <v>EUR11x23F_Quote</v>
      </c>
      <c r="I31" s="910"/>
      <c r="J31" s="43" t="e">
        <f ca="1">_xll.qlFraRateHelper(,H31,B31&amp;"M",G31,PillarDate,,Permanent,Trigger,ObjectOverwrite)</f>
        <v>#NAME?</v>
      </c>
      <c r="K31" s="23"/>
      <c r="L31" s="895" t="str">
        <f t="shared" si="5"/>
        <v>FRA</v>
      </c>
      <c r="M31" s="891" t="str">
        <f t="shared" si="6"/>
        <v>--</v>
      </c>
      <c r="N31" s="894" t="str">
        <f ca="1">IFERROR(_xll.qlRateHelperQuoteName(M31,Trigger),"--")</f>
        <v>--</v>
      </c>
      <c r="O31" s="893" t="str">
        <f ca="1">IFERROR(_xll.qlRateHelperQuoteValue($M31,Trigger),"--")</f>
        <v>--</v>
      </c>
      <c r="P31" s="892" t="b">
        <v>0</v>
      </c>
      <c r="Q31" s="891">
        <v>20</v>
      </c>
      <c r="R31" s="891">
        <v>7</v>
      </c>
      <c r="S31" s="890" t="str">
        <f ca="1">IFERROR(_xll.qlRateHelperEarliestDate(M31,Trigger),"--")</f>
        <v>--</v>
      </c>
      <c r="T31" s="890" t="str">
        <f ca="1">IFERROR(_xll.qlRateHelperPillarDate(M31,Trigger),"--")</f>
        <v>--</v>
      </c>
      <c r="V31" s="4" t="str">
        <f t="shared" ca="1" si="3"/>
        <v/>
      </c>
      <c r="W31" s="4" t="e">
        <f ca="1"/>
        <v>#NAME?</v>
      </c>
      <c r="X31" s="4" t="str">
        <f ca="1">IFERROR(_xll.qlRateHelperQuoteName(W31,Trigger),"")</f>
        <v/>
      </c>
      <c r="Y31" s="889" t="str">
        <f ca="1">IFERROR(_xll.qlRateHelperRate(W31,Trigger),"")</f>
        <v/>
      </c>
      <c r="Z31" s="888" t="str">
        <f ca="1">IF(ISERROR(_xll.qlSwapRateHelperSpread($W31)),IF(ISERROR(_xll.qlFuturesRateHelperConvexityAdjustment($W31)),"",_xll.qlFuturesRateHelperConvexityAdjustment($W31)),_xll.qlSwapRateHelperSpread($W31))</f>
        <v/>
      </c>
      <c r="AA31" s="5" t="str">
        <f ca="1">IFERROR(_xll.qlRateHelperEarliestDate(W31,Trigger),"")</f>
        <v/>
      </c>
      <c r="AB31" s="5" t="str">
        <f ca="1">IFERROR(_xll.qlRateHelperPillarDate(W31,Trigger),"")</f>
        <v/>
      </c>
      <c r="AC31" s="887" t="e">
        <f ca="1"/>
        <v>#NAME?</v>
      </c>
      <c r="AD31" s="914"/>
    </row>
    <row r="32" spans="1:30" ht="11.25" customHeight="1" x14ac:dyDescent="0.2">
      <c r="A32" s="874" t="s">
        <v>181</v>
      </c>
      <c r="B32" s="913">
        <v>12</v>
      </c>
      <c r="C32" s="912" t="str">
        <f t="shared" si="7"/>
        <v>x24F</v>
      </c>
      <c r="D32" s="910"/>
      <c r="E32" s="910"/>
      <c r="F32" s="910"/>
      <c r="G32" s="875" t="str">
        <f t="shared" si="8"/>
        <v>Euribor1Y</v>
      </c>
      <c r="H32" s="911" t="str">
        <f t="shared" si="9"/>
        <v>EUR12x24F_Quote</v>
      </c>
      <c r="I32" s="910"/>
      <c r="J32" s="43" t="e">
        <f ca="1">_xll.qlFraRateHelper(,H32,B32&amp;"M",G32,PillarDate,,Permanent,Trigger,ObjectOverwrite)</f>
        <v>#NAME?</v>
      </c>
      <c r="K32" s="23"/>
      <c r="L32" s="895" t="str">
        <f t="shared" si="5"/>
        <v>FRA</v>
      </c>
      <c r="M32" s="891" t="str">
        <f t="shared" si="6"/>
        <v>--</v>
      </c>
      <c r="N32" s="894" t="str">
        <f ca="1">IFERROR(_xll.qlRateHelperQuoteName(M32,Trigger),"--")</f>
        <v>--</v>
      </c>
      <c r="O32" s="893" t="str">
        <f ca="1">IFERROR(_xll.qlRateHelperQuoteValue($M32,Trigger),"--")</f>
        <v>--</v>
      </c>
      <c r="P32" s="892" t="b">
        <v>0</v>
      </c>
      <c r="Q32" s="891">
        <v>20</v>
      </c>
      <c r="R32" s="891">
        <v>7</v>
      </c>
      <c r="S32" s="890" t="str">
        <f ca="1">IFERROR(_xll.qlRateHelperEarliestDate(M32,Trigger),"--")</f>
        <v>--</v>
      </c>
      <c r="T32" s="890" t="str">
        <f ca="1">IFERROR(_xll.qlRateHelperPillarDate(M32,Trigger),"--")</f>
        <v>--</v>
      </c>
      <c r="V32" s="4" t="str">
        <f t="shared" ca="1" si="3"/>
        <v/>
      </c>
      <c r="W32" s="4" t="e">
        <f ca="1"/>
        <v>#NAME?</v>
      </c>
      <c r="X32" s="4" t="str">
        <f ca="1">IFERROR(_xll.qlRateHelperQuoteName(W32,Trigger),"")</f>
        <v/>
      </c>
      <c r="Y32" s="889" t="str">
        <f ca="1">IFERROR(_xll.qlRateHelperRate(W32,Trigger),"")</f>
        <v/>
      </c>
      <c r="Z32" s="888" t="str">
        <f ca="1">IF(ISERROR(_xll.qlSwapRateHelperSpread($W32)),IF(ISERROR(_xll.qlFuturesRateHelperConvexityAdjustment($W32)),"",_xll.qlFuturesRateHelperConvexityAdjustment($W32)),_xll.qlSwapRateHelperSpread($W32))</f>
        <v/>
      </c>
      <c r="AA32" s="5" t="str">
        <f ca="1">IFERROR(_xll.qlRateHelperEarliestDate(W32,Trigger),"")</f>
        <v/>
      </c>
      <c r="AB32" s="5" t="str">
        <f ca="1">IFERROR(_xll.qlRateHelperPillarDate(W32,Trigger),"")</f>
        <v/>
      </c>
      <c r="AC32" s="887" t="e">
        <f ca="1"/>
        <v>#NAME?</v>
      </c>
      <c r="AD32" s="914"/>
    </row>
    <row r="33" spans="1:30" ht="11.25" customHeight="1" x14ac:dyDescent="0.2">
      <c r="A33" s="874" t="s">
        <v>181</v>
      </c>
      <c r="B33" s="913">
        <v>13</v>
      </c>
      <c r="C33" s="912" t="str">
        <f t="shared" si="7"/>
        <v>x25F</v>
      </c>
      <c r="D33" s="910"/>
      <c r="E33" s="910"/>
      <c r="F33" s="910"/>
      <c r="G33" s="875" t="str">
        <f t="shared" si="8"/>
        <v>Euribor1Y</v>
      </c>
      <c r="H33" s="911" t="str">
        <f t="shared" si="9"/>
        <v>EUR13x25F_Quote</v>
      </c>
      <c r="I33" s="910"/>
      <c r="J33" s="43"/>
      <c r="K33" s="23"/>
      <c r="L33" s="895" t="str">
        <f t="shared" si="5"/>
        <v>FRA</v>
      </c>
      <c r="M33" s="891" t="str">
        <f t="shared" si="6"/>
        <v>--</v>
      </c>
      <c r="N33" s="894" t="str">
        <f ca="1">IFERROR(_xll.qlRateHelperQuoteName(M33,Trigger),"--")</f>
        <v>--</v>
      </c>
      <c r="O33" s="893" t="str">
        <f ca="1">IFERROR(_xll.qlRateHelperQuoteValue($M33,Trigger),"--")</f>
        <v>--</v>
      </c>
      <c r="P33" s="892" t="b">
        <v>0</v>
      </c>
      <c r="Q33" s="891">
        <v>20</v>
      </c>
      <c r="R33" s="891">
        <v>7</v>
      </c>
      <c r="S33" s="890" t="str">
        <f ca="1">IFERROR(_xll.qlRateHelperEarliestDate(M33,Trigger),"--")</f>
        <v>--</v>
      </c>
      <c r="T33" s="890" t="str">
        <f ca="1">IFERROR(_xll.qlRateHelperPillarDate(M33,Trigger),"--")</f>
        <v>--</v>
      </c>
      <c r="V33" s="4" t="str">
        <f t="shared" ca="1" si="3"/>
        <v/>
      </c>
      <c r="W33" s="4" t="e">
        <f ca="1"/>
        <v>#NAME?</v>
      </c>
      <c r="X33" s="4" t="str">
        <f ca="1">IFERROR(_xll.qlRateHelperQuoteName(W33,Trigger),"")</f>
        <v/>
      </c>
      <c r="Y33" s="889" t="str">
        <f ca="1">IFERROR(_xll.qlRateHelperRate(W33,Trigger),"")</f>
        <v/>
      </c>
      <c r="Z33" s="888" t="str">
        <f ca="1">IF(ISERROR(_xll.qlSwapRateHelperSpread($W33)),IF(ISERROR(_xll.qlFuturesRateHelperConvexityAdjustment($W33)),"",_xll.qlFuturesRateHelperConvexityAdjustment($W33)),_xll.qlSwapRateHelperSpread($W33))</f>
        <v/>
      </c>
      <c r="AA33" s="5" t="str">
        <f ca="1">IFERROR(_xll.qlRateHelperEarliestDate(W33,Trigger),"")</f>
        <v/>
      </c>
      <c r="AB33" s="5" t="str">
        <f ca="1">IFERROR(_xll.qlRateHelperPillarDate(W33,Trigger),"")</f>
        <v/>
      </c>
      <c r="AC33" s="887" t="e">
        <f ca="1"/>
        <v>#NAME?</v>
      </c>
      <c r="AD33" s="914"/>
    </row>
    <row r="34" spans="1:30" ht="11.25" customHeight="1" x14ac:dyDescent="0.2">
      <c r="A34" s="874" t="s">
        <v>181</v>
      </c>
      <c r="B34" s="913">
        <v>14</v>
      </c>
      <c r="C34" s="912" t="str">
        <f t="shared" si="7"/>
        <v>x26F</v>
      </c>
      <c r="D34" s="910"/>
      <c r="E34" s="910"/>
      <c r="F34" s="910"/>
      <c r="G34" s="875" t="str">
        <f t="shared" si="8"/>
        <v>Euribor1Y</v>
      </c>
      <c r="H34" s="911" t="str">
        <f t="shared" si="9"/>
        <v>EUR14x26F_Quote</v>
      </c>
      <c r="I34" s="910"/>
      <c r="J34" s="43"/>
      <c r="K34" s="23"/>
      <c r="L34" s="895" t="str">
        <f t="shared" si="5"/>
        <v>FRA</v>
      </c>
      <c r="M34" s="891" t="str">
        <f t="shared" si="6"/>
        <v>--</v>
      </c>
      <c r="N34" s="894" t="str">
        <f ca="1">IFERROR(_xll.qlRateHelperQuoteName(M34,Trigger),"--")</f>
        <v>--</v>
      </c>
      <c r="O34" s="893" t="str">
        <f ca="1">IFERROR(_xll.qlRateHelperQuoteValue($M34,Trigger),"--")</f>
        <v>--</v>
      </c>
      <c r="P34" s="892" t="b">
        <v>0</v>
      </c>
      <c r="Q34" s="891">
        <v>20</v>
      </c>
      <c r="R34" s="891">
        <v>7</v>
      </c>
      <c r="S34" s="890" t="str">
        <f ca="1">IFERROR(_xll.qlRateHelperEarliestDate(M34,Trigger),"--")</f>
        <v>--</v>
      </c>
      <c r="T34" s="890" t="str">
        <f ca="1">IFERROR(_xll.qlRateHelperPillarDate(M34,Trigger),"--")</f>
        <v>--</v>
      </c>
      <c r="V34" s="4" t="str">
        <f t="shared" ca="1" si="3"/>
        <v/>
      </c>
      <c r="W34" s="4" t="e">
        <f ca="1"/>
        <v>#NAME?</v>
      </c>
      <c r="X34" s="4" t="str">
        <f ca="1">IFERROR(_xll.qlRateHelperQuoteName(W34,Trigger),"")</f>
        <v/>
      </c>
      <c r="Y34" s="889" t="str">
        <f ca="1">IFERROR(_xll.qlRateHelperRate(W34,Trigger),"")</f>
        <v/>
      </c>
      <c r="Z34" s="888" t="str">
        <f ca="1">IF(ISERROR(_xll.qlSwapRateHelperSpread($W34)),IF(ISERROR(_xll.qlFuturesRateHelperConvexityAdjustment($W34)),"",_xll.qlFuturesRateHelperConvexityAdjustment($W34)),_xll.qlSwapRateHelperSpread($W34))</f>
        <v/>
      </c>
      <c r="AA34" s="5" t="str">
        <f ca="1">IFERROR(_xll.qlRateHelperEarliestDate(W34,Trigger),"")</f>
        <v/>
      </c>
      <c r="AB34" s="5" t="str">
        <f ca="1">IFERROR(_xll.qlRateHelperPillarDate(W34,Trigger),"")</f>
        <v/>
      </c>
      <c r="AC34" s="887" t="e">
        <f ca="1"/>
        <v>#NAME?</v>
      </c>
      <c r="AD34" s="914"/>
    </row>
    <row r="35" spans="1:30" ht="11.25" customHeight="1" x14ac:dyDescent="0.2">
      <c r="A35" s="874" t="s">
        <v>181</v>
      </c>
      <c r="B35" s="913">
        <v>15</v>
      </c>
      <c r="C35" s="912" t="str">
        <f t="shared" si="7"/>
        <v>x27F</v>
      </c>
      <c r="D35" s="910"/>
      <c r="E35" s="910"/>
      <c r="F35" s="910"/>
      <c r="G35" s="875" t="str">
        <f t="shared" si="8"/>
        <v>Euribor1Y</v>
      </c>
      <c r="H35" s="911" t="str">
        <f t="shared" si="9"/>
        <v>EUR15x27F_Quote</v>
      </c>
      <c r="I35" s="910"/>
      <c r="J35" s="43"/>
      <c r="K35" s="23"/>
      <c r="L35" s="895" t="str">
        <f t="shared" si="5"/>
        <v>FRA</v>
      </c>
      <c r="M35" s="891" t="str">
        <f t="shared" si="6"/>
        <v>--</v>
      </c>
      <c r="N35" s="894" t="str">
        <f ca="1">IFERROR(_xll.qlRateHelperQuoteName(M35,Trigger),"--")</f>
        <v>--</v>
      </c>
      <c r="O35" s="893" t="str">
        <f ca="1">IFERROR(_xll.qlRateHelperQuoteValue($M35,Trigger),"--")</f>
        <v>--</v>
      </c>
      <c r="P35" s="892" t="b">
        <v>0</v>
      </c>
      <c r="Q35" s="891">
        <v>20</v>
      </c>
      <c r="R35" s="891">
        <v>7</v>
      </c>
      <c r="S35" s="890" t="str">
        <f ca="1">IFERROR(_xll.qlRateHelperEarliestDate(M35,Trigger),"--")</f>
        <v>--</v>
      </c>
      <c r="T35" s="890" t="str">
        <f ca="1">IFERROR(_xll.qlRateHelperPillarDate(M35,Trigger),"--")</f>
        <v>--</v>
      </c>
      <c r="V35" s="4" t="str">
        <f t="shared" ref="V35:V66" ca="1" si="10">IFERROR(INDEX($L$3:$L$79,MATCH(X35,$N$3:$N$79,0),1),"")</f>
        <v/>
      </c>
      <c r="W35" s="4" t="e">
        <f ca="1"/>
        <v>#NAME?</v>
      </c>
      <c r="X35" s="4" t="str">
        <f ca="1">IFERROR(_xll.qlRateHelperQuoteName(W35,Trigger),"")</f>
        <v/>
      </c>
      <c r="Y35" s="889" t="str">
        <f ca="1">IFERROR(_xll.qlRateHelperRate(W35,Trigger),"")</f>
        <v/>
      </c>
      <c r="Z35" s="888" t="str">
        <f ca="1">IF(ISERROR(_xll.qlSwapRateHelperSpread($W35)),IF(ISERROR(_xll.qlFuturesRateHelperConvexityAdjustment($W35)),"",_xll.qlFuturesRateHelperConvexityAdjustment($W35)),_xll.qlSwapRateHelperSpread($W35))</f>
        <v/>
      </c>
      <c r="AA35" s="5" t="str">
        <f ca="1">IFERROR(_xll.qlRateHelperEarliestDate(W35,Trigger),"")</f>
        <v/>
      </c>
      <c r="AB35" s="5" t="str">
        <f ca="1">IFERROR(_xll.qlRateHelperPillarDate(W35,Trigger),"")</f>
        <v/>
      </c>
      <c r="AC35" s="887" t="e">
        <f ca="1"/>
        <v>#NAME?</v>
      </c>
    </row>
    <row r="36" spans="1:30" ht="11.25" customHeight="1" x14ac:dyDescent="0.2">
      <c r="A36" s="874" t="s">
        <v>181</v>
      </c>
      <c r="B36" s="913">
        <v>16</v>
      </c>
      <c r="C36" s="912" t="str">
        <f t="shared" si="7"/>
        <v>x28F</v>
      </c>
      <c r="D36" s="910"/>
      <c r="E36" s="910"/>
      <c r="F36" s="910"/>
      <c r="G36" s="875" t="str">
        <f t="shared" si="8"/>
        <v>Euribor1Y</v>
      </c>
      <c r="H36" s="911" t="str">
        <f t="shared" si="9"/>
        <v>EUR16x28F_Quote</v>
      </c>
      <c r="I36" s="910"/>
      <c r="J36" s="43"/>
      <c r="K36" s="23"/>
      <c r="L36" s="895" t="str">
        <f t="shared" si="5"/>
        <v>FRA</v>
      </c>
      <c r="M36" s="891" t="str">
        <f t="shared" si="6"/>
        <v>--</v>
      </c>
      <c r="N36" s="894" t="str">
        <f ca="1">IFERROR(_xll.qlRateHelperQuoteName(M36,Trigger),"--")</f>
        <v>--</v>
      </c>
      <c r="O36" s="893" t="str">
        <f ca="1">IFERROR(_xll.qlRateHelperQuoteValue($M36,Trigger),"--")</f>
        <v>--</v>
      </c>
      <c r="P36" s="892" t="b">
        <v>0</v>
      </c>
      <c r="Q36" s="891">
        <v>20</v>
      </c>
      <c r="R36" s="891">
        <v>7</v>
      </c>
      <c r="S36" s="890" t="str">
        <f ca="1">IFERROR(_xll.qlRateHelperEarliestDate(M36,Trigger),"--")</f>
        <v>--</v>
      </c>
      <c r="T36" s="890" t="str">
        <f ca="1">IFERROR(_xll.qlRateHelperPillarDate(M36,Trigger),"--")</f>
        <v>--</v>
      </c>
      <c r="V36" s="4" t="str">
        <f t="shared" ca="1" si="10"/>
        <v/>
      </c>
      <c r="W36" s="4" t="e">
        <f ca="1"/>
        <v>#NAME?</v>
      </c>
      <c r="X36" s="4" t="str">
        <f ca="1">IFERROR(_xll.qlRateHelperQuoteName(W36,Trigger),"")</f>
        <v/>
      </c>
      <c r="Y36" s="889" t="str">
        <f ca="1">IFERROR(_xll.qlRateHelperRate(W36,Trigger),"")</f>
        <v/>
      </c>
      <c r="Z36" s="888" t="str">
        <f ca="1">IF(ISERROR(_xll.qlSwapRateHelperSpread($W36)),IF(ISERROR(_xll.qlFuturesRateHelperConvexityAdjustment($W36)),"",_xll.qlFuturesRateHelperConvexityAdjustment($W36)),_xll.qlSwapRateHelperSpread($W36))</f>
        <v/>
      </c>
      <c r="AA36" s="5" t="str">
        <f ca="1">IFERROR(_xll.qlRateHelperEarliestDate(W36,Trigger),"")</f>
        <v/>
      </c>
      <c r="AB36" s="5" t="str">
        <f ca="1">IFERROR(_xll.qlRateHelperPillarDate(W36,Trigger),"")</f>
        <v/>
      </c>
      <c r="AC36" s="887" t="e">
        <f ca="1"/>
        <v>#NAME?</v>
      </c>
    </row>
    <row r="37" spans="1:30" ht="11.25" customHeight="1" x14ac:dyDescent="0.2">
      <c r="A37" s="874" t="s">
        <v>181</v>
      </c>
      <c r="B37" s="913">
        <v>17</v>
      </c>
      <c r="C37" s="912" t="str">
        <f t="shared" si="7"/>
        <v>x29F</v>
      </c>
      <c r="D37" s="910"/>
      <c r="E37" s="910"/>
      <c r="F37" s="910"/>
      <c r="G37" s="875" t="str">
        <f t="shared" si="8"/>
        <v>Euribor1Y</v>
      </c>
      <c r="H37" s="911" t="str">
        <f t="shared" si="9"/>
        <v>EUR17x29F_Quote</v>
      </c>
      <c r="I37" s="910"/>
      <c r="J37" s="43"/>
      <c r="K37" s="23"/>
      <c r="L37" s="895" t="str">
        <f t="shared" si="5"/>
        <v>FRA</v>
      </c>
      <c r="M37" s="891" t="str">
        <f t="shared" si="6"/>
        <v>--</v>
      </c>
      <c r="N37" s="894" t="str">
        <f ca="1">IFERROR(_xll.qlRateHelperQuoteName(M37,Trigger),"--")</f>
        <v>--</v>
      </c>
      <c r="O37" s="893" t="str">
        <f ca="1">IFERROR(_xll.qlRateHelperQuoteValue($M37,Trigger),"--")</f>
        <v>--</v>
      </c>
      <c r="P37" s="892" t="b">
        <v>0</v>
      </c>
      <c r="Q37" s="891">
        <v>20</v>
      </c>
      <c r="R37" s="891">
        <v>7</v>
      </c>
      <c r="S37" s="890" t="str">
        <f ca="1">IFERROR(_xll.qlRateHelperEarliestDate(M37,Trigger),"--")</f>
        <v>--</v>
      </c>
      <c r="T37" s="890" t="str">
        <f ca="1">IFERROR(_xll.qlRateHelperPillarDate(M37,Trigger),"--")</f>
        <v>--</v>
      </c>
      <c r="V37" s="4" t="str">
        <f t="shared" ca="1" si="10"/>
        <v/>
      </c>
      <c r="W37" s="4" t="e">
        <f ca="1"/>
        <v>#NAME?</v>
      </c>
      <c r="X37" s="4" t="str">
        <f ca="1">IFERROR(_xll.qlRateHelperQuoteName(W37,Trigger),"")</f>
        <v/>
      </c>
      <c r="Y37" s="889" t="str">
        <f ca="1">IFERROR(_xll.qlRateHelperRate(W37,Trigger),"")</f>
        <v/>
      </c>
      <c r="Z37" s="888" t="str">
        <f ca="1">IF(ISERROR(_xll.qlSwapRateHelperSpread($W37)),IF(ISERROR(_xll.qlFuturesRateHelperConvexityAdjustment($W37)),"",_xll.qlFuturesRateHelperConvexityAdjustment($W37)),_xll.qlSwapRateHelperSpread($W37))</f>
        <v/>
      </c>
      <c r="AA37" s="5" t="str">
        <f ca="1">IFERROR(_xll.qlRateHelperEarliestDate(W37,Trigger),"")</f>
        <v/>
      </c>
      <c r="AB37" s="5" t="str">
        <f ca="1">IFERROR(_xll.qlRateHelperPillarDate(W37,Trigger),"")</f>
        <v/>
      </c>
      <c r="AC37" s="887" t="e">
        <f ca="1"/>
        <v>#NAME?</v>
      </c>
    </row>
    <row r="38" spans="1:30" ht="11.25" customHeight="1" x14ac:dyDescent="0.2">
      <c r="A38" s="874" t="s">
        <v>181</v>
      </c>
      <c r="B38" s="913">
        <v>18</v>
      </c>
      <c r="C38" s="912" t="str">
        <f t="shared" si="7"/>
        <v>x30F</v>
      </c>
      <c r="D38" s="910"/>
      <c r="E38" s="910"/>
      <c r="F38" s="910"/>
      <c r="G38" s="875" t="str">
        <f t="shared" si="8"/>
        <v>Euribor1Y</v>
      </c>
      <c r="H38" s="911" t="str">
        <f t="shared" si="9"/>
        <v>EUR18x30F_Quote</v>
      </c>
      <c r="I38" s="910"/>
      <c r="J38" s="43"/>
      <c r="K38" s="23"/>
      <c r="L38" s="895" t="str">
        <f t="shared" si="5"/>
        <v>FRA</v>
      </c>
      <c r="M38" s="891" t="str">
        <f t="shared" si="6"/>
        <v>--</v>
      </c>
      <c r="N38" s="894" t="str">
        <f ca="1">IFERROR(_xll.qlRateHelperQuoteName(M38,Trigger),"--")</f>
        <v>--</v>
      </c>
      <c r="O38" s="893" t="str">
        <f ca="1">IFERROR(_xll.qlRateHelperQuoteValue($M38,Trigger),"--")</f>
        <v>--</v>
      </c>
      <c r="P38" s="892" t="b">
        <v>0</v>
      </c>
      <c r="Q38" s="891">
        <v>20</v>
      </c>
      <c r="R38" s="891">
        <v>7</v>
      </c>
      <c r="S38" s="890" t="str">
        <f ca="1">IFERROR(_xll.qlRateHelperEarliestDate(M38,Trigger),"--")</f>
        <v>--</v>
      </c>
      <c r="T38" s="890" t="str">
        <f ca="1">IFERROR(_xll.qlRateHelperPillarDate(M38,Trigger),"--")</f>
        <v>--</v>
      </c>
      <c r="V38" s="4" t="str">
        <f t="shared" ca="1" si="10"/>
        <v/>
      </c>
      <c r="W38" s="4" t="e">
        <f ca="1"/>
        <v>#NAME?</v>
      </c>
      <c r="X38" s="4" t="str">
        <f ca="1">IFERROR(_xll.qlRateHelperQuoteName(W38,Trigger),"")</f>
        <v/>
      </c>
      <c r="Y38" s="889" t="str">
        <f ca="1">IFERROR(_xll.qlRateHelperRate(W38,Trigger),"")</f>
        <v/>
      </c>
      <c r="Z38" s="888" t="str">
        <f ca="1">IF(ISERROR(_xll.qlSwapRateHelperSpread($W38)),IF(ISERROR(_xll.qlFuturesRateHelperConvexityAdjustment($W38)),"",_xll.qlFuturesRateHelperConvexityAdjustment($W38)),_xll.qlSwapRateHelperSpread($W38))</f>
        <v/>
      </c>
      <c r="AA38" s="5" t="str">
        <f ca="1">IFERROR(_xll.qlRateHelperEarliestDate(W38,Trigger),"")</f>
        <v/>
      </c>
      <c r="AB38" s="5" t="str">
        <f ca="1">IFERROR(_xll.qlRateHelperPillarDate(W38,Trigger),"")</f>
        <v/>
      </c>
      <c r="AC38" s="887" t="e">
        <f ca="1"/>
        <v>#NAME?</v>
      </c>
    </row>
    <row r="39" spans="1:30" ht="11.25" customHeight="1" x14ac:dyDescent="0.2">
      <c r="A39" s="874" t="s">
        <v>181</v>
      </c>
      <c r="B39" s="913">
        <v>19</v>
      </c>
      <c r="C39" s="912" t="str">
        <f t="shared" si="7"/>
        <v>x31F</v>
      </c>
      <c r="D39" s="910"/>
      <c r="E39" s="910"/>
      <c r="F39" s="910"/>
      <c r="G39" s="875" t="str">
        <f t="shared" si="8"/>
        <v>Euribor1Y</v>
      </c>
      <c r="H39" s="911" t="str">
        <f t="shared" si="9"/>
        <v>EUR19x31F_Quote</v>
      </c>
      <c r="I39" s="910"/>
      <c r="J39" s="43"/>
      <c r="K39" s="23"/>
      <c r="L39" s="895" t="str">
        <f t="shared" si="5"/>
        <v>FRA</v>
      </c>
      <c r="M39" s="891" t="str">
        <f t="shared" si="6"/>
        <v>--</v>
      </c>
      <c r="N39" s="894" t="str">
        <f ca="1">IFERROR(_xll.qlRateHelperQuoteName(M39,Trigger),"--")</f>
        <v>--</v>
      </c>
      <c r="O39" s="893" t="str">
        <f ca="1">IFERROR(_xll.qlRateHelperQuoteValue($M39,Trigger),"--")</f>
        <v>--</v>
      </c>
      <c r="P39" s="892" t="b">
        <v>0</v>
      </c>
      <c r="Q39" s="891">
        <v>20</v>
      </c>
      <c r="R39" s="891">
        <v>7</v>
      </c>
      <c r="S39" s="890" t="str">
        <f ca="1">IFERROR(_xll.qlRateHelperEarliestDate(M39,Trigger),"--")</f>
        <v>--</v>
      </c>
      <c r="T39" s="890" t="str">
        <f ca="1">IFERROR(_xll.qlRateHelperPillarDate(M39,Trigger),"--")</f>
        <v>--</v>
      </c>
      <c r="V39" s="4" t="str">
        <f t="shared" ca="1" si="10"/>
        <v/>
      </c>
      <c r="W39" s="4" t="e">
        <f ca="1"/>
        <v>#NAME?</v>
      </c>
      <c r="X39" s="4" t="str">
        <f ca="1">IFERROR(_xll.qlRateHelperQuoteName(W39,Trigger),"")</f>
        <v/>
      </c>
      <c r="Y39" s="889" t="str">
        <f ca="1">IFERROR(_xll.qlRateHelperRate(W39,Trigger),"")</f>
        <v/>
      </c>
      <c r="Z39" s="888" t="str">
        <f ca="1">IF(ISERROR(_xll.qlSwapRateHelperSpread($W39)),IF(ISERROR(_xll.qlFuturesRateHelperConvexityAdjustment($W39)),"",_xll.qlFuturesRateHelperConvexityAdjustment($W39)),_xll.qlSwapRateHelperSpread($W39))</f>
        <v/>
      </c>
      <c r="AA39" s="5" t="str">
        <f ca="1">IFERROR(_xll.qlRateHelperEarliestDate(W39,Trigger),"")</f>
        <v/>
      </c>
      <c r="AB39" s="5" t="str">
        <f ca="1">IFERROR(_xll.qlRateHelperPillarDate(W39,Trigger),"")</f>
        <v/>
      </c>
      <c r="AC39" s="887" t="e">
        <f ca="1"/>
        <v>#NAME?</v>
      </c>
    </row>
    <row r="40" spans="1:30" ht="11.25" customHeight="1" x14ac:dyDescent="0.2">
      <c r="A40" s="874" t="s">
        <v>181</v>
      </c>
      <c r="B40" s="913">
        <v>20</v>
      </c>
      <c r="C40" s="912" t="str">
        <f t="shared" si="7"/>
        <v>x32F</v>
      </c>
      <c r="D40" s="910"/>
      <c r="E40" s="910"/>
      <c r="F40" s="910"/>
      <c r="G40" s="875" t="str">
        <f t="shared" si="8"/>
        <v>Euribor1Y</v>
      </c>
      <c r="H40" s="911" t="str">
        <f t="shared" si="9"/>
        <v>EUR20x32F_Quote</v>
      </c>
      <c r="I40" s="910"/>
      <c r="J40" s="43"/>
      <c r="K40" s="23"/>
      <c r="L40" s="895" t="str">
        <f t="shared" si="5"/>
        <v>FRA</v>
      </c>
      <c r="M40" s="891" t="str">
        <f t="shared" si="6"/>
        <v>--</v>
      </c>
      <c r="N40" s="894" t="str">
        <f ca="1">IFERROR(_xll.qlRateHelperQuoteName(M40,Trigger),"--")</f>
        <v>--</v>
      </c>
      <c r="O40" s="893" t="str">
        <f ca="1">IFERROR(_xll.qlRateHelperQuoteValue($M40,Trigger),"--")</f>
        <v>--</v>
      </c>
      <c r="P40" s="892" t="b">
        <v>0</v>
      </c>
      <c r="Q40" s="891">
        <v>20</v>
      </c>
      <c r="R40" s="891">
        <v>7</v>
      </c>
      <c r="S40" s="890" t="str">
        <f ca="1">IFERROR(_xll.qlRateHelperEarliestDate(M40,Trigger),"--")</f>
        <v>--</v>
      </c>
      <c r="T40" s="890" t="str">
        <f ca="1">IFERROR(_xll.qlRateHelperPillarDate(M40,Trigger),"--")</f>
        <v>--</v>
      </c>
      <c r="V40" s="4" t="str">
        <f t="shared" ca="1" si="10"/>
        <v/>
      </c>
      <c r="W40" s="4" t="e">
        <f ca="1"/>
        <v>#NAME?</v>
      </c>
      <c r="X40" s="4" t="str">
        <f ca="1">IFERROR(_xll.qlRateHelperQuoteName(W40,Trigger),"")</f>
        <v/>
      </c>
      <c r="Y40" s="889" t="str">
        <f ca="1">IFERROR(_xll.qlRateHelperRate(W40,Trigger),"")</f>
        <v/>
      </c>
      <c r="Z40" s="888" t="str">
        <f ca="1">IF(ISERROR(_xll.qlSwapRateHelperSpread($W40)),IF(ISERROR(_xll.qlFuturesRateHelperConvexityAdjustment($W40)),"",_xll.qlFuturesRateHelperConvexityAdjustment($W40)),_xll.qlSwapRateHelperSpread($W40))</f>
        <v/>
      </c>
      <c r="AA40" s="5" t="str">
        <f ca="1">IFERROR(_xll.qlRateHelperEarliestDate(W40,Trigger),"")</f>
        <v/>
      </c>
      <c r="AB40" s="5" t="str">
        <f ca="1">IFERROR(_xll.qlRateHelperPillarDate(W40,Trigger),"")</f>
        <v/>
      </c>
      <c r="AC40" s="887" t="e">
        <f ca="1"/>
        <v>#NAME?</v>
      </c>
    </row>
    <row r="41" spans="1:30" ht="11.25" customHeight="1" x14ac:dyDescent="0.2">
      <c r="A41" s="874" t="s">
        <v>181</v>
      </c>
      <c r="B41" s="913">
        <v>21</v>
      </c>
      <c r="C41" s="912" t="str">
        <f t="shared" si="7"/>
        <v>x33F</v>
      </c>
      <c r="D41" s="910"/>
      <c r="E41" s="910"/>
      <c r="F41" s="910"/>
      <c r="G41" s="875" t="str">
        <f t="shared" si="8"/>
        <v>Euribor1Y</v>
      </c>
      <c r="H41" s="911" t="str">
        <f t="shared" si="9"/>
        <v>EUR21x33F_Quote</v>
      </c>
      <c r="I41" s="910"/>
      <c r="J41" s="43"/>
      <c r="L41" s="895" t="str">
        <f t="shared" si="5"/>
        <v>FRA</v>
      </c>
      <c r="M41" s="891" t="str">
        <f t="shared" si="6"/>
        <v>--</v>
      </c>
      <c r="N41" s="894" t="str">
        <f ca="1">IFERROR(_xll.qlRateHelperQuoteName(M41,Trigger),"--")</f>
        <v>--</v>
      </c>
      <c r="O41" s="893" t="str">
        <f ca="1">IFERROR(_xll.qlRateHelperQuoteValue($M41,Trigger),"--")</f>
        <v>--</v>
      </c>
      <c r="P41" s="892" t="b">
        <v>0</v>
      </c>
      <c r="Q41" s="891">
        <v>20</v>
      </c>
      <c r="R41" s="891">
        <v>7</v>
      </c>
      <c r="S41" s="890" t="str">
        <f ca="1">IFERROR(_xll.qlRateHelperEarliestDate(M41,Trigger),"--")</f>
        <v>--</v>
      </c>
      <c r="T41" s="890" t="str">
        <f ca="1">IFERROR(_xll.qlRateHelperPillarDate(M41,Trigger),"--")</f>
        <v>--</v>
      </c>
      <c r="V41" s="4" t="str">
        <f t="shared" ca="1" si="10"/>
        <v/>
      </c>
      <c r="W41" s="4" t="e">
        <f ca="1"/>
        <v>#NAME?</v>
      </c>
      <c r="X41" s="4" t="str">
        <f ca="1">IFERROR(_xll.qlRateHelperQuoteName(W41,Trigger),"")</f>
        <v/>
      </c>
      <c r="Y41" s="889" t="str">
        <f ca="1">IFERROR(_xll.qlRateHelperRate(W41,Trigger),"")</f>
        <v/>
      </c>
      <c r="Z41" s="888" t="str">
        <f ca="1">IF(ISERROR(_xll.qlSwapRateHelperSpread($W41)),IF(ISERROR(_xll.qlFuturesRateHelperConvexityAdjustment($W41)),"",_xll.qlFuturesRateHelperConvexityAdjustment($W41)),_xll.qlSwapRateHelperSpread($W41))</f>
        <v/>
      </c>
      <c r="AA41" s="5" t="str">
        <f ca="1">IFERROR(_xll.qlRateHelperEarliestDate(W41,Trigger),"")</f>
        <v/>
      </c>
      <c r="AB41" s="5" t="str">
        <f ca="1">IFERROR(_xll.qlRateHelperPillarDate(W41,Trigger),"")</f>
        <v/>
      </c>
      <c r="AC41" s="887" t="e">
        <f ca="1"/>
        <v>#NAME?</v>
      </c>
    </row>
    <row r="42" spans="1:30" ht="11.25" customHeight="1" x14ac:dyDescent="0.2">
      <c r="A42" s="874" t="s">
        <v>181</v>
      </c>
      <c r="B42" s="913">
        <v>22</v>
      </c>
      <c r="C42" s="912" t="str">
        <f t="shared" si="7"/>
        <v>x34F</v>
      </c>
      <c r="D42" s="910"/>
      <c r="E42" s="910"/>
      <c r="F42" s="910"/>
      <c r="G42" s="875" t="str">
        <f t="shared" si="8"/>
        <v>Euribor1Y</v>
      </c>
      <c r="H42" s="911" t="str">
        <f t="shared" si="9"/>
        <v>EUR22x34F_Quote</v>
      </c>
      <c r="I42" s="910"/>
      <c r="J42" s="43"/>
      <c r="L42" s="886" t="str">
        <f t="shared" si="5"/>
        <v>FRA</v>
      </c>
      <c r="M42" s="882" t="str">
        <f t="shared" si="6"/>
        <v>--</v>
      </c>
      <c r="N42" s="885" t="str">
        <f ca="1">IFERROR(_xll.qlRateHelperQuoteName(M42,Trigger),"--")</f>
        <v>--</v>
      </c>
      <c r="O42" s="884" t="str">
        <f ca="1">IFERROR(_xll.qlRateHelperQuoteValue($M42,Trigger),"--")</f>
        <v>--</v>
      </c>
      <c r="P42" s="883" t="b">
        <v>0</v>
      </c>
      <c r="Q42" s="882">
        <v>20</v>
      </c>
      <c r="R42" s="882">
        <v>7</v>
      </c>
      <c r="S42" s="881" t="str">
        <f ca="1">IFERROR(_xll.qlRateHelperEarliestDate(M42,Trigger),"--")</f>
        <v>--</v>
      </c>
      <c r="T42" s="881" t="str">
        <f ca="1">IFERROR(_xll.qlRateHelperPillarDate(M42,Trigger),"--")</f>
        <v>--</v>
      </c>
      <c r="V42" s="4" t="str">
        <f t="shared" ca="1" si="10"/>
        <v/>
      </c>
      <c r="W42" s="4" t="e">
        <f ca="1"/>
        <v>#NAME?</v>
      </c>
      <c r="X42" s="4" t="str">
        <f ca="1">IFERROR(_xll.qlRateHelperQuoteName(W42,Trigger),"")</f>
        <v/>
      </c>
      <c r="Y42" s="889" t="str">
        <f ca="1">IFERROR(_xll.qlRateHelperRate(W42,Trigger),"")</f>
        <v/>
      </c>
      <c r="Z42" s="888" t="str">
        <f ca="1">IF(ISERROR(_xll.qlSwapRateHelperSpread($W42)),IF(ISERROR(_xll.qlFuturesRateHelperConvexityAdjustment($W42)),"",_xll.qlFuturesRateHelperConvexityAdjustment($W42)),_xll.qlSwapRateHelperSpread($W42))</f>
        <v/>
      </c>
      <c r="AA42" s="5" t="str">
        <f ca="1">IFERROR(_xll.qlRateHelperEarliestDate(W42,Trigger),"")</f>
        <v/>
      </c>
      <c r="AB42" s="5" t="str">
        <f ca="1">IFERROR(_xll.qlRateHelperPillarDate(W42,Trigger),"")</f>
        <v/>
      </c>
      <c r="AC42" s="887" t="e">
        <f ca="1"/>
        <v>#NAME?</v>
      </c>
    </row>
    <row r="43" spans="1:30" ht="11.25" customHeight="1" x14ac:dyDescent="0.2">
      <c r="A43" s="874" t="s">
        <v>181</v>
      </c>
      <c r="B43" s="913">
        <v>23</v>
      </c>
      <c r="C43" s="912" t="str">
        <f t="shared" si="7"/>
        <v>x35F</v>
      </c>
      <c r="D43" s="910"/>
      <c r="E43" s="910"/>
      <c r="F43" s="910"/>
      <c r="G43" s="875" t="str">
        <f t="shared" si="8"/>
        <v>Euribor1Y</v>
      </c>
      <c r="H43" s="911" t="str">
        <f t="shared" si="9"/>
        <v>EUR23x35F_Quote</v>
      </c>
      <c r="I43" s="910"/>
      <c r="J43" s="43"/>
      <c r="L43" s="909" t="str">
        <f t="shared" ref="L43:L79" si="11">A47</f>
        <v>BasSw</v>
      </c>
      <c r="M43" s="905" t="str">
        <f t="shared" ref="M43:M79" si="12">IF(ISBLANK(J47),"--",J47)</f>
        <v>--</v>
      </c>
      <c r="N43" s="908" t="str">
        <f ca="1">IFERROR(_xll.qlRateHelperQuoteName(M43,Trigger),"--")</f>
        <v>--</v>
      </c>
      <c r="O43" s="907" t="str">
        <f ca="1">IFERROR(_xll.qlRateHelperQuoteValue($M43,Trigger),"--")</f>
        <v>--</v>
      </c>
      <c r="P43" s="906" t="b">
        <v>0</v>
      </c>
      <c r="Q43" s="905">
        <v>40</v>
      </c>
      <c r="R43" s="905">
        <v>1</v>
      </c>
      <c r="S43" s="904" t="str">
        <f ca="1">IFERROR(_xll.qlRateHelperEarliestDate(M43,Trigger),"--")</f>
        <v>--</v>
      </c>
      <c r="T43" s="904" t="str">
        <f ca="1">IFERROR(_xll.qlRateHelperPillarDate(M43,Trigger),"--")</f>
        <v>--</v>
      </c>
      <c r="V43" s="4" t="str">
        <f t="shared" ca="1" si="10"/>
        <v/>
      </c>
      <c r="W43" s="4" t="e">
        <f ca="1"/>
        <v>#NAME?</v>
      </c>
      <c r="X43" s="4" t="str">
        <f ca="1">IFERROR(_xll.qlRateHelperQuoteName(W43,Trigger),"")</f>
        <v/>
      </c>
      <c r="Y43" s="889" t="str">
        <f ca="1">IFERROR(_xll.qlRateHelperRate(W43,Trigger),"")</f>
        <v/>
      </c>
      <c r="Z43" s="888" t="str">
        <f ca="1">IF(ISERROR(_xll.qlSwapRateHelperSpread($W43)),IF(ISERROR(_xll.qlFuturesRateHelperConvexityAdjustment($W43)),"",_xll.qlFuturesRateHelperConvexityAdjustment($W43)),_xll.qlSwapRateHelperSpread($W43))</f>
        <v/>
      </c>
      <c r="AA43" s="5" t="str">
        <f ca="1">IFERROR(_xll.qlRateHelperEarliestDate(W43,Trigger),"")</f>
        <v/>
      </c>
      <c r="AB43" s="5" t="str">
        <f ca="1">IFERROR(_xll.qlRateHelperPillarDate(W43,Trigger),"")</f>
        <v/>
      </c>
      <c r="AC43" s="887" t="e">
        <f ca="1"/>
        <v>#NAME?</v>
      </c>
    </row>
    <row r="44" spans="1:30" ht="11.25" customHeight="1" x14ac:dyDescent="0.2">
      <c r="A44" s="870" t="s">
        <v>181</v>
      </c>
      <c r="B44" s="903">
        <v>24</v>
      </c>
      <c r="C44" s="902" t="str">
        <f t="shared" si="7"/>
        <v>x36F</v>
      </c>
      <c r="D44" s="900"/>
      <c r="E44" s="900"/>
      <c r="F44" s="900"/>
      <c r="G44" s="871" t="str">
        <f t="shared" si="8"/>
        <v>Euribor1Y</v>
      </c>
      <c r="H44" s="901" t="str">
        <f t="shared" si="9"/>
        <v>EUR24x36F_Quote</v>
      </c>
      <c r="I44" s="900"/>
      <c r="J44" s="38"/>
      <c r="L44" s="895" t="str">
        <f t="shared" si="11"/>
        <v>BasSw</v>
      </c>
      <c r="M44" s="891" t="str">
        <f t="shared" si="12"/>
        <v>--</v>
      </c>
      <c r="N44" s="894" t="str">
        <f ca="1">IFERROR(_xll.qlRateHelperQuoteName(M44,Trigger),"--")</f>
        <v>--</v>
      </c>
      <c r="O44" s="893" t="str">
        <f ca="1">IFERROR(_xll.qlRateHelperQuoteValue($M44,Trigger),"--")</f>
        <v>--</v>
      </c>
      <c r="P44" s="892" t="b">
        <v>0</v>
      </c>
      <c r="Q44" s="891">
        <v>40</v>
      </c>
      <c r="R44" s="891">
        <v>1</v>
      </c>
      <c r="S44" s="890" t="str">
        <f ca="1">IFERROR(_xll.qlRateHelperEarliestDate(M44,Trigger),"--")</f>
        <v>--</v>
      </c>
      <c r="T44" s="890" t="str">
        <f ca="1">IFERROR(_xll.qlRateHelperPillarDate(M44,Trigger),"--")</f>
        <v>--</v>
      </c>
      <c r="V44" s="4" t="str">
        <f t="shared" ca="1" si="10"/>
        <v/>
      </c>
      <c r="W44" s="4" t="e">
        <f ca="1"/>
        <v>#NAME?</v>
      </c>
      <c r="X44" s="4" t="str">
        <f ca="1">IFERROR(_xll.qlRateHelperQuoteName(W44,Trigger),"")</f>
        <v/>
      </c>
      <c r="Y44" s="889" t="str">
        <f ca="1">IFERROR(_xll.qlRateHelperRate(W44,Trigger),"")</f>
        <v/>
      </c>
      <c r="Z44" s="888" t="str">
        <f ca="1">IF(ISERROR(_xll.qlSwapRateHelperSpread($W44)),IF(ISERROR(_xll.qlFuturesRateHelperConvexityAdjustment($W44)),"",_xll.qlFuturesRateHelperConvexityAdjustment($W44)),_xll.qlSwapRateHelperSpread($W44))</f>
        <v/>
      </c>
      <c r="AA44" s="5" t="str">
        <f ca="1">IFERROR(_xll.qlRateHelperEarliestDate(W44,Trigger),"")</f>
        <v/>
      </c>
      <c r="AB44" s="5" t="str">
        <f ca="1">IFERROR(_xll.qlRateHelperPillarDate(W44,Trigger),"")</f>
        <v/>
      </c>
      <c r="AC44" s="887" t="e">
        <f ca="1"/>
        <v>#NAME?</v>
      </c>
    </row>
    <row r="45" spans="1:30" ht="11.25" customHeight="1" x14ac:dyDescent="0.2">
      <c r="B45" s="1"/>
      <c r="C45" s="1"/>
      <c r="D45" s="1"/>
      <c r="E45" s="1"/>
      <c r="F45" s="1"/>
      <c r="G45" s="1" t="s">
        <v>21</v>
      </c>
      <c r="H45" s="1" t="s">
        <v>20</v>
      </c>
      <c r="L45" s="895" t="str">
        <f t="shared" si="11"/>
        <v>BasSw</v>
      </c>
      <c r="M45" s="891" t="str">
        <f t="shared" si="12"/>
        <v>--</v>
      </c>
      <c r="N45" s="894" t="str">
        <f ca="1">IFERROR(_xll.qlRateHelperQuoteName(M45,Trigger),"--")</f>
        <v>--</v>
      </c>
      <c r="O45" s="893" t="str">
        <f ca="1">IFERROR(_xll.qlRateHelperQuoteValue($M45,Trigger),"--")</f>
        <v>--</v>
      </c>
      <c r="P45" s="892" t="b">
        <v>0</v>
      </c>
      <c r="Q45" s="891">
        <v>40</v>
      </c>
      <c r="R45" s="891">
        <v>1</v>
      </c>
      <c r="S45" s="890" t="str">
        <f ca="1">IFERROR(_xll.qlRateHelperEarliestDate(M45,Trigger),"--")</f>
        <v>--</v>
      </c>
      <c r="T45" s="890" t="str">
        <f ca="1">IFERROR(_xll.qlRateHelperPillarDate(M45,Trigger),"--")</f>
        <v>--</v>
      </c>
      <c r="V45" s="4" t="str">
        <f t="shared" ca="1" si="10"/>
        <v/>
      </c>
      <c r="W45" s="4" t="e">
        <f ca="1"/>
        <v>#NAME?</v>
      </c>
      <c r="X45" s="4" t="str">
        <f ca="1">IFERROR(_xll.qlRateHelperQuoteName(W45,Trigger),"")</f>
        <v/>
      </c>
      <c r="Y45" s="889" t="str">
        <f ca="1">IFERROR(_xll.qlRateHelperRate(W45,Trigger),"")</f>
        <v/>
      </c>
      <c r="Z45" s="888" t="str">
        <f ca="1">IF(ISERROR(_xll.qlSwapRateHelperSpread($W45)),IF(ISERROR(_xll.qlFuturesRateHelperConvexityAdjustment($W45)),"",_xll.qlFuturesRateHelperConvexityAdjustment($W45)),_xll.qlSwapRateHelperSpread($W45))</f>
        <v/>
      </c>
      <c r="AA45" s="5" t="str">
        <f ca="1">IFERROR(_xll.qlRateHelperEarliestDate(W45,Trigger),"")</f>
        <v/>
      </c>
      <c r="AB45" s="5" t="str">
        <f ca="1">IFERROR(_xll.qlRateHelperPillarDate(W45,Trigger),"")</f>
        <v/>
      </c>
      <c r="AC45" s="887" t="e">
        <f ca="1"/>
        <v>#NAME?</v>
      </c>
    </row>
    <row r="46" spans="1:30" ht="11.25" customHeight="1" x14ac:dyDescent="0.2">
      <c r="A46" s="146" t="s">
        <v>388</v>
      </c>
      <c r="B46" s="146" t="s">
        <v>107</v>
      </c>
      <c r="C46" s="146" t="s">
        <v>387</v>
      </c>
      <c r="D46" s="146" t="s">
        <v>330</v>
      </c>
      <c r="E46" s="146" t="s">
        <v>386</v>
      </c>
      <c r="F46" s="146" t="s">
        <v>385</v>
      </c>
      <c r="G46" s="146" t="s">
        <v>14</v>
      </c>
      <c r="H46" s="146" t="s">
        <v>384</v>
      </c>
      <c r="I46" s="146" t="s">
        <v>62</v>
      </c>
      <c r="J46" s="146" t="s">
        <v>383</v>
      </c>
      <c r="L46" s="895" t="str">
        <f t="shared" si="11"/>
        <v>BasSw</v>
      </c>
      <c r="M46" s="891" t="str">
        <f t="shared" si="12"/>
        <v>--</v>
      </c>
      <c r="N46" s="894" t="str">
        <f ca="1">IFERROR(_xll.qlRateHelperQuoteName(M46,Trigger),"--")</f>
        <v>--</v>
      </c>
      <c r="O46" s="893" t="str">
        <f ca="1">IFERROR(_xll.qlRateHelperQuoteValue($M46,Trigger),"--")</f>
        <v>--</v>
      </c>
      <c r="P46" s="892" t="b">
        <v>0</v>
      </c>
      <c r="Q46" s="891">
        <v>40</v>
      </c>
      <c r="R46" s="891">
        <v>1</v>
      </c>
      <c r="S46" s="890" t="str">
        <f ca="1">IFERROR(_xll.qlRateHelperEarliestDate(M46,Trigger),"--")</f>
        <v>--</v>
      </c>
      <c r="T46" s="890" t="str">
        <f ca="1">IFERROR(_xll.qlRateHelperPillarDate(M46,Trigger),"--")</f>
        <v>--</v>
      </c>
      <c r="V46" s="4" t="str">
        <f t="shared" ca="1" si="10"/>
        <v/>
      </c>
      <c r="W46" s="4" t="e">
        <f ca="1"/>
        <v>#NAME?</v>
      </c>
      <c r="X46" s="4" t="str">
        <f ca="1">IFERROR(_xll.qlRateHelperQuoteName(W46,Trigger),"")</f>
        <v/>
      </c>
      <c r="Y46" s="889" t="str">
        <f ca="1">IFERROR(_xll.qlRateHelperRate(W46,Trigger),"")</f>
        <v/>
      </c>
      <c r="Z46" s="888" t="str">
        <f ca="1">IF(ISERROR(_xll.qlSwapRateHelperSpread($W46)),IF(ISERROR(_xll.qlFuturesRateHelperConvexityAdjustment($W46)),"",_xll.qlFuturesRateHelperConvexityAdjustment($W46)),_xll.qlSwapRateHelperSpread($W46))</f>
        <v/>
      </c>
      <c r="AA46" s="5" t="str">
        <f ca="1">IFERROR(_xll.qlRateHelperEarliestDate(W46,Trigger),"")</f>
        <v/>
      </c>
      <c r="AB46" s="5" t="str">
        <f ca="1">IFERROR(_xll.qlRateHelperPillarDate(W46,Trigger),"")</f>
        <v/>
      </c>
      <c r="AC46" s="887" t="e">
        <f ca="1"/>
        <v>#NAME?</v>
      </c>
    </row>
    <row r="47" spans="1:30" ht="11.25" customHeight="1" x14ac:dyDescent="0.2">
      <c r="A47" s="897" t="s">
        <v>382</v>
      </c>
      <c r="B47" s="899" t="s">
        <v>58</v>
      </c>
      <c r="C47" s="898" t="s">
        <v>324</v>
      </c>
      <c r="D47" s="898" t="s">
        <v>323</v>
      </c>
      <c r="E47" s="898" t="s">
        <v>322</v>
      </c>
      <c r="F47" s="898" t="s">
        <v>221</v>
      </c>
      <c r="G47" s="898" t="str">
        <f t="shared" ref="G47:G83" si="13">PROPER(Currency)&amp;FamilyName&amp;Tenor</f>
        <v>Euribor1Y</v>
      </c>
      <c r="H47" s="897" t="str">
        <f t="shared" ref="H47:H83" si="14">Currency&amp;$G$45&amp;$H$45&amp;"BASIS"&amp;$B47&amp;QuoteSuffix</f>
        <v>EURAB12EBASIS1Y_Quote</v>
      </c>
      <c r="I47" s="896">
        <v>0</v>
      </c>
      <c r="J47" s="43"/>
      <c r="L47" s="895" t="str">
        <f t="shared" si="11"/>
        <v>BasSw</v>
      </c>
      <c r="M47" s="891" t="str">
        <f t="shared" si="12"/>
        <v>--</v>
      </c>
      <c r="N47" s="894" t="str">
        <f ca="1">IFERROR(_xll.qlRateHelperQuoteName(M47,Trigger),"--")</f>
        <v>--</v>
      </c>
      <c r="O47" s="893" t="str">
        <f ca="1">IFERROR(_xll.qlRateHelperQuoteValue($M47,Trigger),"--")</f>
        <v>--</v>
      </c>
      <c r="P47" s="892" t="b">
        <v>0</v>
      </c>
      <c r="Q47" s="891">
        <v>40</v>
      </c>
      <c r="R47" s="891">
        <v>1</v>
      </c>
      <c r="S47" s="890" t="str">
        <f ca="1">IFERROR(_xll.qlRateHelperEarliestDate(M47,Trigger),"--")</f>
        <v>--</v>
      </c>
      <c r="T47" s="890" t="str">
        <f ca="1">IFERROR(_xll.qlRateHelperPillarDate(M47,Trigger),"--")</f>
        <v>--</v>
      </c>
      <c r="V47" s="4" t="str">
        <f t="shared" ca="1" si="10"/>
        <v/>
      </c>
      <c r="W47" s="4" t="e">
        <f ca="1"/>
        <v>#NAME?</v>
      </c>
      <c r="X47" s="4" t="str">
        <f ca="1">IFERROR(_xll.qlRateHelperQuoteName(W47,Trigger),"")</f>
        <v/>
      </c>
      <c r="Y47" s="889" t="str">
        <f ca="1">IFERROR(_xll.qlRateHelperRate(W47,Trigger),"")</f>
        <v/>
      </c>
      <c r="Z47" s="888" t="str">
        <f ca="1">IF(ISERROR(_xll.qlSwapRateHelperSpread($W47)),IF(ISERROR(_xll.qlFuturesRateHelperConvexityAdjustment($W47)),"",_xll.qlFuturesRateHelperConvexityAdjustment($W47)),_xll.qlSwapRateHelperSpread($W47))</f>
        <v/>
      </c>
      <c r="AA47" s="5" t="str">
        <f ca="1">IFERROR(_xll.qlRateHelperEarliestDate(W47,Trigger),"")</f>
        <v/>
      </c>
      <c r="AB47" s="5" t="str">
        <f ca="1">IFERROR(_xll.qlRateHelperPillarDate(W47,Trigger),"")</f>
        <v/>
      </c>
      <c r="AC47" s="887" t="e">
        <f ca="1"/>
        <v>#NAME?</v>
      </c>
    </row>
    <row r="48" spans="1:30" ht="11.25" customHeight="1" x14ac:dyDescent="0.2">
      <c r="A48" s="874" t="s">
        <v>382</v>
      </c>
      <c r="B48" s="876" t="s">
        <v>57</v>
      </c>
      <c r="C48" s="875" t="s">
        <v>324</v>
      </c>
      <c r="D48" s="875" t="s">
        <v>323</v>
      </c>
      <c r="E48" s="875" t="s">
        <v>322</v>
      </c>
      <c r="F48" s="875" t="s">
        <v>221</v>
      </c>
      <c r="G48" s="875" t="str">
        <f t="shared" si="13"/>
        <v>Euribor1Y</v>
      </c>
      <c r="H48" s="874" t="str">
        <f t="shared" si="14"/>
        <v>EURAB12EBASIS15M_Quote</v>
      </c>
      <c r="I48" s="877">
        <v>0</v>
      </c>
      <c r="J48" s="43"/>
      <c r="L48" s="895" t="str">
        <f t="shared" si="11"/>
        <v>BasSw</v>
      </c>
      <c r="M48" s="891" t="e">
        <f t="shared" ca="1" si="12"/>
        <v>#NAME?</v>
      </c>
      <c r="N48" s="894" t="str">
        <f ca="1">IFERROR(_xll.qlRateHelperQuoteName(M48,Trigger),"--")</f>
        <v>--</v>
      </c>
      <c r="O48" s="893" t="str">
        <f ca="1">IFERROR(_xll.qlRateHelperQuoteValue($M48,Trigger),"--")</f>
        <v>--</v>
      </c>
      <c r="P48" s="892" t="b">
        <v>1</v>
      </c>
      <c r="Q48" s="891">
        <v>40</v>
      </c>
      <c r="R48" s="891">
        <v>1</v>
      </c>
      <c r="S48" s="890" t="str">
        <f ca="1">IFERROR(_xll.qlRateHelperEarliestDate(M48,Trigger),"--")</f>
        <v>--</v>
      </c>
      <c r="T48" s="890" t="str">
        <f ca="1">IFERROR(_xll.qlRateHelperPillarDate(M48,Trigger),"--")</f>
        <v>--</v>
      </c>
      <c r="V48" s="4" t="str">
        <f t="shared" ca="1" si="10"/>
        <v/>
      </c>
      <c r="W48" s="4" t="e">
        <f ca="1"/>
        <v>#NAME?</v>
      </c>
      <c r="X48" s="4" t="str">
        <f ca="1">IFERROR(_xll.qlRateHelperQuoteName(W48,Trigger),"")</f>
        <v/>
      </c>
      <c r="Y48" s="889" t="str">
        <f ca="1">IFERROR(_xll.qlRateHelperRate(W48,Trigger),"")</f>
        <v/>
      </c>
      <c r="Z48" s="888" t="str">
        <f ca="1">IF(ISERROR(_xll.qlSwapRateHelperSpread($W48)),IF(ISERROR(_xll.qlFuturesRateHelperConvexityAdjustment($W48)),"",_xll.qlFuturesRateHelperConvexityAdjustment($W48)),_xll.qlSwapRateHelperSpread($W48))</f>
        <v/>
      </c>
      <c r="AA48" s="5" t="str">
        <f ca="1">IFERROR(_xll.qlRateHelperEarliestDate(W48,Trigger),"")</f>
        <v/>
      </c>
      <c r="AB48" s="5" t="str">
        <f ca="1">IFERROR(_xll.qlRateHelperPillarDate(W48,Trigger),"")</f>
        <v/>
      </c>
      <c r="AC48" s="887" t="e">
        <f ca="1"/>
        <v>#NAME?</v>
      </c>
    </row>
    <row r="49" spans="1:29" ht="11.25" customHeight="1" x14ac:dyDescent="0.2">
      <c r="A49" s="874" t="s">
        <v>382</v>
      </c>
      <c r="B49" s="876" t="s">
        <v>56</v>
      </c>
      <c r="C49" s="875" t="s">
        <v>324</v>
      </c>
      <c r="D49" s="875" t="s">
        <v>323</v>
      </c>
      <c r="E49" s="875" t="s">
        <v>322</v>
      </c>
      <c r="F49" s="875" t="s">
        <v>221</v>
      </c>
      <c r="G49" s="875" t="str">
        <f t="shared" si="13"/>
        <v>Euribor1Y</v>
      </c>
      <c r="H49" s="874" t="str">
        <f t="shared" si="14"/>
        <v>EURAB12EBASIS18M_Quote</v>
      </c>
      <c r="I49" s="877">
        <v>0</v>
      </c>
      <c r="J49" s="43"/>
      <c r="L49" s="895" t="str">
        <f t="shared" si="11"/>
        <v>BasSw</v>
      </c>
      <c r="M49" s="891" t="e">
        <f t="shared" ca="1" si="12"/>
        <v>#NAME?</v>
      </c>
      <c r="N49" s="894" t="str">
        <f ca="1">IFERROR(_xll.qlRateHelperQuoteName(M49,Trigger),"--")</f>
        <v>--</v>
      </c>
      <c r="O49" s="893" t="str">
        <f ca="1">IFERROR(_xll.qlRateHelperQuoteValue($M49,Trigger),"--")</f>
        <v>--</v>
      </c>
      <c r="P49" s="892" t="b">
        <v>1</v>
      </c>
      <c r="Q49" s="891">
        <v>40</v>
      </c>
      <c r="R49" s="891">
        <v>1</v>
      </c>
      <c r="S49" s="890" t="str">
        <f ca="1">IFERROR(_xll.qlRateHelperEarliestDate(M49,Trigger),"--")</f>
        <v>--</v>
      </c>
      <c r="T49" s="890" t="str">
        <f ca="1">IFERROR(_xll.qlRateHelperPillarDate(M49,Trigger),"--")</f>
        <v>--</v>
      </c>
      <c r="V49" s="4" t="str">
        <f t="shared" ca="1" si="10"/>
        <v/>
      </c>
      <c r="W49" s="4" t="e">
        <f ca="1"/>
        <v>#NAME?</v>
      </c>
      <c r="X49" s="4" t="str">
        <f ca="1">IFERROR(_xll.qlRateHelperQuoteName(W49,Trigger),"")</f>
        <v/>
      </c>
      <c r="Y49" s="889" t="str">
        <f ca="1">IFERROR(_xll.qlRateHelperRate(W49,Trigger),"")</f>
        <v/>
      </c>
      <c r="Z49" s="888" t="str">
        <f ca="1">IF(ISERROR(_xll.qlSwapRateHelperSpread($W49)),IF(ISERROR(_xll.qlFuturesRateHelperConvexityAdjustment($W49)),"",_xll.qlFuturesRateHelperConvexityAdjustment($W49)),_xll.qlSwapRateHelperSpread($W49))</f>
        <v/>
      </c>
      <c r="AA49" s="5" t="str">
        <f ca="1">IFERROR(_xll.qlRateHelperEarliestDate(W49,Trigger),"")</f>
        <v/>
      </c>
      <c r="AB49" s="5" t="str">
        <f ca="1">IFERROR(_xll.qlRateHelperPillarDate(W49,Trigger),"")</f>
        <v/>
      </c>
      <c r="AC49" s="887" t="e">
        <f ca="1"/>
        <v>#NAME?</v>
      </c>
    </row>
    <row r="50" spans="1:29" ht="11.25" customHeight="1" x14ac:dyDescent="0.2">
      <c r="A50" s="874" t="s">
        <v>382</v>
      </c>
      <c r="B50" s="876" t="s">
        <v>55</v>
      </c>
      <c r="C50" s="875" t="s">
        <v>324</v>
      </c>
      <c r="D50" s="875" t="s">
        <v>323</v>
      </c>
      <c r="E50" s="875" t="s">
        <v>322</v>
      </c>
      <c r="F50" s="875" t="s">
        <v>221</v>
      </c>
      <c r="G50" s="875" t="str">
        <f t="shared" si="13"/>
        <v>Euribor1Y</v>
      </c>
      <c r="H50" s="874" t="str">
        <f t="shared" si="14"/>
        <v>EURAB12EBASIS21M_Quote</v>
      </c>
      <c r="I50" s="877">
        <v>0</v>
      </c>
      <c r="J50" s="43"/>
      <c r="L50" s="895" t="str">
        <f t="shared" si="11"/>
        <v>BasSw</v>
      </c>
      <c r="M50" s="891" t="e">
        <f t="shared" ca="1" si="12"/>
        <v>#NAME?</v>
      </c>
      <c r="N50" s="894" t="str">
        <f ca="1">IFERROR(_xll.qlRateHelperQuoteName(M50,Trigger),"--")</f>
        <v>--</v>
      </c>
      <c r="O50" s="893" t="str">
        <f ca="1">IFERROR(_xll.qlRateHelperQuoteValue($M50,Trigger),"--")</f>
        <v>--</v>
      </c>
      <c r="P50" s="892" t="b">
        <v>1</v>
      </c>
      <c r="Q50" s="891">
        <v>40</v>
      </c>
      <c r="R50" s="891">
        <v>1</v>
      </c>
      <c r="S50" s="890" t="str">
        <f ca="1">IFERROR(_xll.qlRateHelperEarliestDate(M50,Trigger),"--")</f>
        <v>--</v>
      </c>
      <c r="T50" s="890" t="str">
        <f ca="1">IFERROR(_xll.qlRateHelperPillarDate(M50,Trigger),"--")</f>
        <v>--</v>
      </c>
      <c r="V50" s="4" t="str">
        <f t="shared" ca="1" si="10"/>
        <v/>
      </c>
      <c r="W50" s="4" t="e">
        <f ca="1"/>
        <v>#NAME?</v>
      </c>
      <c r="X50" s="4" t="str">
        <f ca="1">IFERROR(_xll.qlRateHelperQuoteName(W50,Trigger),"")</f>
        <v/>
      </c>
      <c r="Y50" s="889" t="str">
        <f ca="1">IFERROR(_xll.qlRateHelperRate(W50,Trigger),"")</f>
        <v/>
      </c>
      <c r="Z50" s="888" t="str">
        <f ca="1">IF(ISERROR(_xll.qlSwapRateHelperSpread($W50)),IF(ISERROR(_xll.qlFuturesRateHelperConvexityAdjustment($W50)),"",_xll.qlFuturesRateHelperConvexityAdjustment($W50)),_xll.qlSwapRateHelperSpread($W50))</f>
        <v/>
      </c>
      <c r="AA50" s="5" t="str">
        <f ca="1">IFERROR(_xll.qlRateHelperEarliestDate(W50,Trigger),"")</f>
        <v/>
      </c>
      <c r="AB50" s="5" t="str">
        <f ca="1">IFERROR(_xll.qlRateHelperPillarDate(W50,Trigger),"")</f>
        <v/>
      </c>
      <c r="AC50" s="887" t="e">
        <f ca="1"/>
        <v>#NAME?</v>
      </c>
    </row>
    <row r="51" spans="1:29" ht="11.25" customHeight="1" x14ac:dyDescent="0.2">
      <c r="A51" s="874" t="s">
        <v>382</v>
      </c>
      <c r="B51" s="876" t="s">
        <v>54</v>
      </c>
      <c r="C51" s="875" t="s">
        <v>324</v>
      </c>
      <c r="D51" s="875" t="s">
        <v>323</v>
      </c>
      <c r="E51" s="875" t="s">
        <v>322</v>
      </c>
      <c r="F51" s="875" t="s">
        <v>221</v>
      </c>
      <c r="G51" s="875" t="str">
        <f t="shared" si="13"/>
        <v>Euribor1Y</v>
      </c>
      <c r="H51" s="874" t="str">
        <f t="shared" si="14"/>
        <v>EURAB12EBASIS2Y_Quote</v>
      </c>
      <c r="I51" s="877">
        <v>0</v>
      </c>
      <c r="J51" s="43"/>
      <c r="L51" s="895" t="str">
        <f t="shared" si="11"/>
        <v>BasSw</v>
      </c>
      <c r="M51" s="891" t="e">
        <f t="shared" ca="1" si="12"/>
        <v>#NAME?</v>
      </c>
      <c r="N51" s="894" t="str">
        <f ca="1">IFERROR(_xll.qlRateHelperQuoteName(M51,Trigger),"--")</f>
        <v>--</v>
      </c>
      <c r="O51" s="893" t="str">
        <f ca="1">IFERROR(_xll.qlRateHelperQuoteValue($M51,Trigger),"--")</f>
        <v>--</v>
      </c>
      <c r="P51" s="892" t="b">
        <v>1</v>
      </c>
      <c r="Q51" s="891">
        <v>40</v>
      </c>
      <c r="R51" s="891">
        <v>1</v>
      </c>
      <c r="S51" s="890" t="str">
        <f ca="1">IFERROR(_xll.qlRateHelperEarliestDate(M51,Trigger),"--")</f>
        <v>--</v>
      </c>
      <c r="T51" s="890" t="str">
        <f ca="1">IFERROR(_xll.qlRateHelperPillarDate(M51,Trigger),"--")</f>
        <v>--</v>
      </c>
      <c r="V51" s="4" t="str">
        <f t="shared" ca="1" si="10"/>
        <v/>
      </c>
      <c r="W51" s="4" t="e">
        <f ca="1"/>
        <v>#NAME?</v>
      </c>
      <c r="X51" s="4" t="str">
        <f ca="1">IFERROR(_xll.qlRateHelperQuoteName(W51,Trigger),"")</f>
        <v/>
      </c>
      <c r="Y51" s="889" t="str">
        <f ca="1">IFERROR(_xll.qlRateHelperRate(W51,Trigger),"")</f>
        <v/>
      </c>
      <c r="Z51" s="888" t="str">
        <f ca="1">IF(ISERROR(_xll.qlSwapRateHelperSpread($W51)),IF(ISERROR(_xll.qlFuturesRateHelperConvexityAdjustment($W51)),"",_xll.qlFuturesRateHelperConvexityAdjustment($W51)),_xll.qlSwapRateHelperSpread($W51))</f>
        <v/>
      </c>
      <c r="AA51" s="5" t="str">
        <f ca="1">IFERROR(_xll.qlRateHelperEarliestDate(W51,Trigger),"")</f>
        <v/>
      </c>
      <c r="AB51" s="5" t="str">
        <f ca="1">IFERROR(_xll.qlRateHelperPillarDate(W51,Trigger),"")</f>
        <v/>
      </c>
      <c r="AC51" s="887" t="e">
        <f ca="1"/>
        <v>#NAME?</v>
      </c>
    </row>
    <row r="52" spans="1:29" ht="11.25" customHeight="1" x14ac:dyDescent="0.2">
      <c r="A52" s="874" t="s">
        <v>382</v>
      </c>
      <c r="B52" s="876" t="s">
        <v>53</v>
      </c>
      <c r="C52" s="875" t="s">
        <v>324</v>
      </c>
      <c r="D52" s="875" t="s">
        <v>323</v>
      </c>
      <c r="E52" s="875" t="s">
        <v>322</v>
      </c>
      <c r="F52" s="875" t="s">
        <v>221</v>
      </c>
      <c r="G52" s="875" t="str">
        <f t="shared" si="13"/>
        <v>Euribor1Y</v>
      </c>
      <c r="H52" s="874" t="str">
        <f t="shared" si="14"/>
        <v>EURAB12EBASIS3Y_Quote</v>
      </c>
      <c r="I52" s="877">
        <v>0</v>
      </c>
      <c r="J52" s="43" t="e">
        <f ca="1">_xll.qlSwapRateHelper2(,H52,2,B52,Calendar,D52,E52,F52,G52,I52,C52,Discounting,PillarDate,,Permanent,Trigger,ObjectOverwrite)</f>
        <v>#NAME?</v>
      </c>
      <c r="L52" s="895" t="str">
        <f t="shared" si="11"/>
        <v>BasSw</v>
      </c>
      <c r="M52" s="891" t="e">
        <f t="shared" ca="1" si="12"/>
        <v>#NAME?</v>
      </c>
      <c r="N52" s="894" t="str">
        <f ca="1">IFERROR(_xll.qlRateHelperQuoteName(M52,Trigger),"--")</f>
        <v>--</v>
      </c>
      <c r="O52" s="893" t="str">
        <f ca="1">IFERROR(_xll.qlRateHelperQuoteValue($M52,Trigger),"--")</f>
        <v>--</v>
      </c>
      <c r="P52" s="892" t="b">
        <v>1</v>
      </c>
      <c r="Q52" s="891">
        <v>40</v>
      </c>
      <c r="R52" s="891">
        <v>1</v>
      </c>
      <c r="S52" s="890" t="str">
        <f ca="1">IFERROR(_xll.qlRateHelperEarliestDate(M52,Trigger),"--")</f>
        <v>--</v>
      </c>
      <c r="T52" s="890" t="str">
        <f ca="1">IFERROR(_xll.qlRateHelperPillarDate(M52,Trigger),"--")</f>
        <v>--</v>
      </c>
      <c r="V52" s="4" t="str">
        <f t="shared" ca="1" si="10"/>
        <v/>
      </c>
      <c r="W52" s="4" t="e">
        <f ca="1"/>
        <v>#NAME?</v>
      </c>
      <c r="X52" s="4" t="str">
        <f ca="1">IFERROR(_xll.qlRateHelperQuoteName(W52,Trigger),"")</f>
        <v/>
      </c>
      <c r="Y52" s="889" t="str">
        <f ca="1">IFERROR(_xll.qlRateHelperRate(W52,Trigger),"")</f>
        <v/>
      </c>
      <c r="Z52" s="888" t="str">
        <f ca="1">IF(ISERROR(_xll.qlSwapRateHelperSpread($W52)),IF(ISERROR(_xll.qlFuturesRateHelperConvexityAdjustment($W52)),"",_xll.qlFuturesRateHelperConvexityAdjustment($W52)),_xll.qlSwapRateHelperSpread($W52))</f>
        <v/>
      </c>
      <c r="AA52" s="5" t="str">
        <f ca="1">IFERROR(_xll.qlRateHelperEarliestDate(W52,Trigger),"")</f>
        <v/>
      </c>
      <c r="AB52" s="5" t="str">
        <f ca="1">IFERROR(_xll.qlRateHelperPillarDate(W52,Trigger),"")</f>
        <v/>
      </c>
      <c r="AC52" s="887" t="e">
        <f ca="1"/>
        <v>#NAME?</v>
      </c>
    </row>
    <row r="53" spans="1:29" ht="11.25" customHeight="1" x14ac:dyDescent="0.2">
      <c r="A53" s="874" t="s">
        <v>382</v>
      </c>
      <c r="B53" s="876" t="s">
        <v>52</v>
      </c>
      <c r="C53" s="875" t="s">
        <v>324</v>
      </c>
      <c r="D53" s="875" t="s">
        <v>323</v>
      </c>
      <c r="E53" s="875" t="s">
        <v>322</v>
      </c>
      <c r="F53" s="875" t="s">
        <v>221</v>
      </c>
      <c r="G53" s="875" t="str">
        <f t="shared" si="13"/>
        <v>Euribor1Y</v>
      </c>
      <c r="H53" s="874" t="str">
        <f t="shared" si="14"/>
        <v>EURAB12EBASIS4Y_Quote</v>
      </c>
      <c r="I53" s="877">
        <v>0</v>
      </c>
      <c r="J53" s="43" t="e">
        <f ca="1">_xll.qlSwapRateHelper2(,H53,2,B53,Calendar,D53,E53,F53,G53,I53,C53,Discounting,PillarDate,,Permanent,Trigger,ObjectOverwrite)</f>
        <v>#NAME?</v>
      </c>
      <c r="L53" s="895" t="str">
        <f t="shared" si="11"/>
        <v>BasSw</v>
      </c>
      <c r="M53" s="891" t="e">
        <f t="shared" ca="1" si="12"/>
        <v>#NAME?</v>
      </c>
      <c r="N53" s="894" t="str">
        <f ca="1">IFERROR(_xll.qlRateHelperQuoteName(M53,Trigger),"--")</f>
        <v>--</v>
      </c>
      <c r="O53" s="893" t="str">
        <f ca="1">IFERROR(_xll.qlRateHelperQuoteValue($M53,Trigger),"--")</f>
        <v>--</v>
      </c>
      <c r="P53" s="892" t="b">
        <v>1</v>
      </c>
      <c r="Q53" s="891">
        <v>40</v>
      </c>
      <c r="R53" s="891">
        <v>1</v>
      </c>
      <c r="S53" s="890" t="str">
        <f ca="1">IFERROR(_xll.qlRateHelperEarliestDate(M53,Trigger),"--")</f>
        <v>--</v>
      </c>
      <c r="T53" s="890" t="str">
        <f ca="1">IFERROR(_xll.qlRateHelperPillarDate(M53,Trigger),"--")</f>
        <v>--</v>
      </c>
      <c r="V53" s="4" t="str">
        <f t="shared" ca="1" si="10"/>
        <v/>
      </c>
      <c r="W53" s="4" t="e">
        <f ca="1"/>
        <v>#NAME?</v>
      </c>
      <c r="X53" s="4" t="str">
        <f ca="1">IFERROR(_xll.qlRateHelperQuoteName(W53,Trigger),"")</f>
        <v/>
      </c>
      <c r="Y53" s="889" t="str">
        <f ca="1">IFERROR(_xll.qlRateHelperRate(W53,Trigger),"")</f>
        <v/>
      </c>
      <c r="Z53" s="888" t="str">
        <f ca="1">IF(ISERROR(_xll.qlSwapRateHelperSpread($W53)),IF(ISERROR(_xll.qlFuturesRateHelperConvexityAdjustment($W53)),"",_xll.qlFuturesRateHelperConvexityAdjustment($W53)),_xll.qlSwapRateHelperSpread($W53))</f>
        <v/>
      </c>
      <c r="AA53" s="5" t="str">
        <f ca="1">IFERROR(_xll.qlRateHelperEarliestDate(W53,Trigger),"")</f>
        <v/>
      </c>
      <c r="AB53" s="5" t="str">
        <f ca="1">IFERROR(_xll.qlRateHelperPillarDate(W53,Trigger),"")</f>
        <v/>
      </c>
      <c r="AC53" s="887" t="e">
        <f ca="1"/>
        <v>#NAME?</v>
      </c>
    </row>
    <row r="54" spans="1:29" ht="11.25" customHeight="1" x14ac:dyDescent="0.2">
      <c r="A54" s="874" t="s">
        <v>382</v>
      </c>
      <c r="B54" s="876" t="s">
        <v>51</v>
      </c>
      <c r="C54" s="875" t="s">
        <v>324</v>
      </c>
      <c r="D54" s="875" t="s">
        <v>323</v>
      </c>
      <c r="E54" s="875" t="s">
        <v>322</v>
      </c>
      <c r="F54" s="875" t="s">
        <v>221</v>
      </c>
      <c r="G54" s="875" t="str">
        <f t="shared" si="13"/>
        <v>Euribor1Y</v>
      </c>
      <c r="H54" s="874" t="str">
        <f t="shared" si="14"/>
        <v>EURAB12EBASIS5Y_Quote</v>
      </c>
      <c r="I54" s="877">
        <v>0</v>
      </c>
      <c r="J54" s="43" t="e">
        <f ca="1">_xll.qlSwapRateHelper2(,H54,2,B54,Calendar,D54,E54,F54,G54,I54,C54,Discounting,PillarDate,,Permanent,Trigger,ObjectOverwrite)</f>
        <v>#NAME?</v>
      </c>
      <c r="L54" s="895" t="str">
        <f t="shared" si="11"/>
        <v>BasSw</v>
      </c>
      <c r="M54" s="891" t="e">
        <f t="shared" ca="1" si="12"/>
        <v>#NAME?</v>
      </c>
      <c r="N54" s="894" t="str">
        <f ca="1">IFERROR(_xll.qlRateHelperQuoteName(M54,Trigger),"--")</f>
        <v>--</v>
      </c>
      <c r="O54" s="893" t="str">
        <f ca="1">IFERROR(_xll.qlRateHelperQuoteValue($M54,Trigger),"--")</f>
        <v>--</v>
      </c>
      <c r="P54" s="892" t="b">
        <v>1</v>
      </c>
      <c r="Q54" s="891">
        <v>40</v>
      </c>
      <c r="R54" s="891">
        <v>1</v>
      </c>
      <c r="S54" s="890" t="str">
        <f ca="1">IFERROR(_xll.qlRateHelperEarliestDate(M54,Trigger),"--")</f>
        <v>--</v>
      </c>
      <c r="T54" s="890" t="str">
        <f ca="1">IFERROR(_xll.qlRateHelperPillarDate(M54,Trigger),"--")</f>
        <v>--</v>
      </c>
      <c r="V54" s="4" t="str">
        <f t="shared" ca="1" si="10"/>
        <v/>
      </c>
      <c r="W54" s="4" t="e">
        <f ca="1"/>
        <v>#NAME?</v>
      </c>
      <c r="X54" s="4" t="str">
        <f ca="1">IFERROR(_xll.qlRateHelperQuoteName(W54,Trigger),"")</f>
        <v/>
      </c>
      <c r="Y54" s="889" t="str">
        <f ca="1">IFERROR(_xll.qlRateHelperRate(W54,Trigger),"")</f>
        <v/>
      </c>
      <c r="Z54" s="888" t="str">
        <f ca="1">IF(ISERROR(_xll.qlSwapRateHelperSpread($W54)),IF(ISERROR(_xll.qlFuturesRateHelperConvexityAdjustment($W54)),"",_xll.qlFuturesRateHelperConvexityAdjustment($W54)),_xll.qlSwapRateHelperSpread($W54))</f>
        <v/>
      </c>
      <c r="AA54" s="5" t="str">
        <f ca="1">IFERROR(_xll.qlRateHelperEarliestDate(W54,Trigger),"")</f>
        <v/>
      </c>
      <c r="AB54" s="5" t="str">
        <f ca="1">IFERROR(_xll.qlRateHelperPillarDate(W54,Trigger),"")</f>
        <v/>
      </c>
      <c r="AC54" s="887" t="e">
        <f ca="1"/>
        <v>#NAME?</v>
      </c>
    </row>
    <row r="55" spans="1:29" ht="11.25" customHeight="1" x14ac:dyDescent="0.2">
      <c r="A55" s="874" t="s">
        <v>382</v>
      </c>
      <c r="B55" s="876" t="s">
        <v>50</v>
      </c>
      <c r="C55" s="875" t="s">
        <v>324</v>
      </c>
      <c r="D55" s="875" t="s">
        <v>323</v>
      </c>
      <c r="E55" s="875" t="s">
        <v>322</v>
      </c>
      <c r="F55" s="875" t="s">
        <v>221</v>
      </c>
      <c r="G55" s="875" t="str">
        <f t="shared" si="13"/>
        <v>Euribor1Y</v>
      </c>
      <c r="H55" s="874" t="str">
        <f t="shared" si="14"/>
        <v>EURAB12EBASIS6Y_Quote</v>
      </c>
      <c r="I55" s="877">
        <v>0</v>
      </c>
      <c r="J55" s="43" t="e">
        <f ca="1">_xll.qlSwapRateHelper2(,H55,2,B55,Calendar,D55,E55,F55,G55,I55,C55,Discounting,PillarDate,,Permanent,Trigger,ObjectOverwrite)</f>
        <v>#NAME?</v>
      </c>
      <c r="L55" s="895" t="str">
        <f t="shared" si="11"/>
        <v>BasSw</v>
      </c>
      <c r="M55" s="891" t="e">
        <f t="shared" ca="1" si="12"/>
        <v>#NAME?</v>
      </c>
      <c r="N55" s="894" t="str">
        <f ca="1">IFERROR(_xll.qlRateHelperQuoteName(M55,Trigger),"--")</f>
        <v>--</v>
      </c>
      <c r="O55" s="893" t="str">
        <f ca="1">IFERROR(_xll.qlRateHelperQuoteValue($M55,Trigger),"--")</f>
        <v>--</v>
      </c>
      <c r="P55" s="892" t="b">
        <v>1</v>
      </c>
      <c r="Q55" s="891">
        <v>40</v>
      </c>
      <c r="R55" s="891">
        <v>1</v>
      </c>
      <c r="S55" s="890" t="str">
        <f ca="1">IFERROR(_xll.qlRateHelperEarliestDate(M55,Trigger),"--")</f>
        <v>--</v>
      </c>
      <c r="T55" s="890" t="str">
        <f ca="1">IFERROR(_xll.qlRateHelperPillarDate(M55,Trigger),"--")</f>
        <v>--</v>
      </c>
      <c r="V55" s="4" t="str">
        <f t="shared" ca="1" si="10"/>
        <v/>
      </c>
      <c r="W55" s="4" t="e">
        <f ca="1"/>
        <v>#NAME?</v>
      </c>
      <c r="X55" s="4" t="str">
        <f ca="1">IFERROR(_xll.qlRateHelperQuoteName(W55,Trigger),"")</f>
        <v/>
      </c>
      <c r="Y55" s="889" t="str">
        <f ca="1">IFERROR(_xll.qlRateHelperRate(W55,Trigger),"")</f>
        <v/>
      </c>
      <c r="Z55" s="888" t="str">
        <f ca="1">IF(ISERROR(_xll.qlSwapRateHelperSpread($W55)),IF(ISERROR(_xll.qlFuturesRateHelperConvexityAdjustment($W55)),"",_xll.qlFuturesRateHelperConvexityAdjustment($W55)),_xll.qlSwapRateHelperSpread($W55))</f>
        <v/>
      </c>
      <c r="AA55" s="5" t="str">
        <f ca="1">IFERROR(_xll.qlRateHelperEarliestDate(W55,Trigger),"")</f>
        <v/>
      </c>
      <c r="AB55" s="5" t="str">
        <f ca="1">IFERROR(_xll.qlRateHelperPillarDate(W55,Trigger),"")</f>
        <v/>
      </c>
      <c r="AC55" s="887" t="e">
        <f ca="1"/>
        <v>#NAME?</v>
      </c>
    </row>
    <row r="56" spans="1:29" ht="11.25" customHeight="1" x14ac:dyDescent="0.2">
      <c r="A56" s="874" t="s">
        <v>382</v>
      </c>
      <c r="B56" s="876" t="s">
        <v>49</v>
      </c>
      <c r="C56" s="875" t="s">
        <v>324</v>
      </c>
      <c r="D56" s="875" t="s">
        <v>323</v>
      </c>
      <c r="E56" s="875" t="s">
        <v>322</v>
      </c>
      <c r="F56" s="875" t="s">
        <v>221</v>
      </c>
      <c r="G56" s="875" t="str">
        <f t="shared" si="13"/>
        <v>Euribor1Y</v>
      </c>
      <c r="H56" s="874" t="str">
        <f t="shared" si="14"/>
        <v>EURAB12EBASIS7Y_Quote</v>
      </c>
      <c r="I56" s="877">
        <v>0</v>
      </c>
      <c r="J56" s="43" t="e">
        <f ca="1">_xll.qlSwapRateHelper2(,H56,2,B56,Calendar,D56,E56,F56,G56,I56,C56,Discounting,PillarDate,,Permanent,Trigger,ObjectOverwrite)</f>
        <v>#NAME?</v>
      </c>
      <c r="L56" s="895" t="str">
        <f t="shared" si="11"/>
        <v>BasSw</v>
      </c>
      <c r="M56" s="891" t="str">
        <f t="shared" si="12"/>
        <v>--</v>
      </c>
      <c r="N56" s="894" t="str">
        <f ca="1">IFERROR(_xll.qlRateHelperQuoteName(M56,Trigger),"--")</f>
        <v>--</v>
      </c>
      <c r="O56" s="893" t="str">
        <f ca="1">IFERROR(_xll.qlRateHelperQuoteValue($M56,Trigger),"--")</f>
        <v>--</v>
      </c>
      <c r="P56" s="892" t="b">
        <v>0</v>
      </c>
      <c r="Q56" s="891">
        <v>40</v>
      </c>
      <c r="R56" s="891">
        <v>1</v>
      </c>
      <c r="S56" s="890" t="str">
        <f ca="1">IFERROR(_xll.qlRateHelperEarliestDate(M56,Trigger),"--")</f>
        <v>--</v>
      </c>
      <c r="T56" s="890" t="str">
        <f ca="1">IFERROR(_xll.qlRateHelperPillarDate(M56,Trigger),"--")</f>
        <v>--</v>
      </c>
      <c r="V56" s="4" t="str">
        <f t="shared" ca="1" si="10"/>
        <v/>
      </c>
      <c r="W56" s="4" t="e">
        <f ca="1"/>
        <v>#NAME?</v>
      </c>
      <c r="X56" s="4" t="str">
        <f ca="1">IFERROR(_xll.qlRateHelperQuoteName(W56,Trigger),"")</f>
        <v/>
      </c>
      <c r="Y56" s="889" t="str">
        <f ca="1">IFERROR(_xll.qlRateHelperRate(W56,Trigger),"")</f>
        <v/>
      </c>
      <c r="Z56" s="888" t="str">
        <f ca="1">IF(ISERROR(_xll.qlSwapRateHelperSpread($W56)),IF(ISERROR(_xll.qlFuturesRateHelperConvexityAdjustment($W56)),"",_xll.qlFuturesRateHelperConvexityAdjustment($W56)),_xll.qlSwapRateHelperSpread($W56))</f>
        <v/>
      </c>
      <c r="AA56" s="5" t="str">
        <f ca="1">IFERROR(_xll.qlRateHelperEarliestDate(W56,Trigger),"")</f>
        <v/>
      </c>
      <c r="AB56" s="5" t="str">
        <f ca="1">IFERROR(_xll.qlRateHelperPillarDate(W56,Trigger),"")</f>
        <v/>
      </c>
      <c r="AC56" s="887" t="e">
        <f ca="1"/>
        <v>#NAME?</v>
      </c>
    </row>
    <row r="57" spans="1:29" ht="11.25" customHeight="1" x14ac:dyDescent="0.2">
      <c r="A57" s="874" t="s">
        <v>382</v>
      </c>
      <c r="B57" s="876" t="s">
        <v>48</v>
      </c>
      <c r="C57" s="875" t="s">
        <v>324</v>
      </c>
      <c r="D57" s="875" t="s">
        <v>323</v>
      </c>
      <c r="E57" s="875" t="s">
        <v>322</v>
      </c>
      <c r="F57" s="875" t="s">
        <v>221</v>
      </c>
      <c r="G57" s="875" t="str">
        <f t="shared" si="13"/>
        <v>Euribor1Y</v>
      </c>
      <c r="H57" s="874" t="str">
        <f t="shared" si="14"/>
        <v>EURAB12EBASIS8Y_Quote</v>
      </c>
      <c r="I57" s="877">
        <v>0</v>
      </c>
      <c r="J57" s="43" t="e">
        <f ca="1">_xll.qlSwapRateHelper2(,H57,2,B57,Calendar,D57,E57,F57,G57,I57,C57,Discounting,PillarDate,,Permanent,Trigger,ObjectOverwrite)</f>
        <v>#NAME?</v>
      </c>
      <c r="L57" s="895" t="str">
        <f t="shared" si="11"/>
        <v>BasSw</v>
      </c>
      <c r="M57" s="891" t="e">
        <f t="shared" ca="1" si="12"/>
        <v>#NAME?</v>
      </c>
      <c r="N57" s="894" t="str">
        <f ca="1">IFERROR(_xll.qlRateHelperQuoteName(M57,Trigger),"--")</f>
        <v>--</v>
      </c>
      <c r="O57" s="893" t="str">
        <f ca="1">IFERROR(_xll.qlRateHelperQuoteValue($M57,Trigger),"--")</f>
        <v>--</v>
      </c>
      <c r="P57" s="892" t="b">
        <v>1</v>
      </c>
      <c r="Q57" s="891">
        <v>40</v>
      </c>
      <c r="R57" s="891">
        <v>1</v>
      </c>
      <c r="S57" s="890" t="str">
        <f ca="1">IFERROR(_xll.qlRateHelperEarliestDate(M57,Trigger),"--")</f>
        <v>--</v>
      </c>
      <c r="T57" s="890" t="str">
        <f ca="1">IFERROR(_xll.qlRateHelperPillarDate(M57,Trigger),"--")</f>
        <v>--</v>
      </c>
      <c r="V57" s="4" t="str">
        <f t="shared" ca="1" si="10"/>
        <v/>
      </c>
      <c r="W57" s="4" t="e">
        <f ca="1"/>
        <v>#NAME?</v>
      </c>
      <c r="X57" s="4" t="str">
        <f ca="1">IFERROR(_xll.qlRateHelperQuoteName(W57,Trigger),"")</f>
        <v/>
      </c>
      <c r="Y57" s="889" t="str">
        <f ca="1">IFERROR(_xll.qlRateHelperRate(W57,Trigger),"")</f>
        <v/>
      </c>
      <c r="Z57" s="888" t="str">
        <f ca="1">IF(ISERROR(_xll.qlSwapRateHelperSpread($W57)),IF(ISERROR(_xll.qlFuturesRateHelperConvexityAdjustment($W57)),"",_xll.qlFuturesRateHelperConvexityAdjustment($W57)),_xll.qlSwapRateHelperSpread($W57))</f>
        <v/>
      </c>
      <c r="AA57" s="5" t="str">
        <f ca="1">IFERROR(_xll.qlRateHelperEarliestDate(W57,Trigger),"")</f>
        <v/>
      </c>
      <c r="AB57" s="5" t="str">
        <f ca="1">IFERROR(_xll.qlRateHelperPillarDate(W57,Trigger),"")</f>
        <v/>
      </c>
      <c r="AC57" s="887" t="e">
        <f ca="1"/>
        <v>#NAME?</v>
      </c>
    </row>
    <row r="58" spans="1:29" ht="11.25" customHeight="1" x14ac:dyDescent="0.2">
      <c r="A58" s="874" t="s">
        <v>382</v>
      </c>
      <c r="B58" s="876" t="s">
        <v>47</v>
      </c>
      <c r="C58" s="875" t="s">
        <v>324</v>
      </c>
      <c r="D58" s="875" t="s">
        <v>323</v>
      </c>
      <c r="E58" s="875" t="s">
        <v>322</v>
      </c>
      <c r="F58" s="875" t="s">
        <v>221</v>
      </c>
      <c r="G58" s="875" t="str">
        <f t="shared" si="13"/>
        <v>Euribor1Y</v>
      </c>
      <c r="H58" s="874" t="str">
        <f t="shared" si="14"/>
        <v>EURAB12EBASIS9Y_Quote</v>
      </c>
      <c r="I58" s="877">
        <v>0</v>
      </c>
      <c r="J58" s="43" t="e">
        <f ca="1">_xll.qlSwapRateHelper2(,H58,2,B58,Calendar,D58,E58,F58,G58,I58,C58,Discounting,PillarDate,,Permanent,Trigger,ObjectOverwrite)</f>
        <v>#NAME?</v>
      </c>
      <c r="L58" s="895" t="str">
        <f t="shared" si="11"/>
        <v>BasSw</v>
      </c>
      <c r="M58" s="891" t="str">
        <f t="shared" si="12"/>
        <v>--</v>
      </c>
      <c r="N58" s="894" t="str">
        <f ca="1">IFERROR(_xll.qlRateHelperQuoteName(M58,Trigger),"--")</f>
        <v>--</v>
      </c>
      <c r="O58" s="893" t="str">
        <f ca="1">IFERROR(_xll.qlRateHelperQuoteValue($M58,Trigger),"--")</f>
        <v>--</v>
      </c>
      <c r="P58" s="892" t="b">
        <v>0</v>
      </c>
      <c r="Q58" s="891">
        <v>40</v>
      </c>
      <c r="R58" s="891">
        <v>1</v>
      </c>
      <c r="S58" s="890" t="str">
        <f ca="1">IFERROR(_xll.qlRateHelperEarliestDate(M58,Trigger),"--")</f>
        <v>--</v>
      </c>
      <c r="T58" s="890" t="str">
        <f ca="1">IFERROR(_xll.qlRateHelperPillarDate(M58,Trigger),"--")</f>
        <v>--</v>
      </c>
      <c r="V58" s="4" t="str">
        <f t="shared" ca="1" si="10"/>
        <v/>
      </c>
      <c r="W58" s="4" t="e">
        <f ca="1"/>
        <v>#NAME?</v>
      </c>
      <c r="X58" s="4" t="str">
        <f ca="1">IFERROR(_xll.qlRateHelperQuoteName(W58,Trigger),"")</f>
        <v/>
      </c>
      <c r="Y58" s="889" t="str">
        <f ca="1">IFERROR(_xll.qlRateHelperRate(W58,Trigger),"")</f>
        <v/>
      </c>
      <c r="Z58" s="888" t="str">
        <f ca="1">IF(ISERROR(_xll.qlSwapRateHelperSpread($W58)),IF(ISERROR(_xll.qlFuturesRateHelperConvexityAdjustment($W58)),"",_xll.qlFuturesRateHelperConvexityAdjustment($W58)),_xll.qlSwapRateHelperSpread($W58))</f>
        <v/>
      </c>
      <c r="AA58" s="5" t="str">
        <f ca="1">IFERROR(_xll.qlRateHelperEarliestDate(W58,Trigger),"")</f>
        <v/>
      </c>
      <c r="AB58" s="5" t="str">
        <f ca="1">IFERROR(_xll.qlRateHelperPillarDate(W58,Trigger),"")</f>
        <v/>
      </c>
      <c r="AC58" s="887" t="e">
        <f ca="1"/>
        <v>#NAME?</v>
      </c>
    </row>
    <row r="59" spans="1:29" ht="11.25" customHeight="1" x14ac:dyDescent="0.2">
      <c r="A59" s="874" t="s">
        <v>382</v>
      </c>
      <c r="B59" s="876" t="s">
        <v>46</v>
      </c>
      <c r="C59" s="875" t="s">
        <v>324</v>
      </c>
      <c r="D59" s="875" t="s">
        <v>323</v>
      </c>
      <c r="E59" s="875" t="s">
        <v>322</v>
      </c>
      <c r="F59" s="875" t="s">
        <v>221</v>
      </c>
      <c r="G59" s="875" t="str">
        <f t="shared" si="13"/>
        <v>Euribor1Y</v>
      </c>
      <c r="H59" s="874" t="str">
        <f t="shared" si="14"/>
        <v>EURAB12EBASIS10Y_Quote</v>
      </c>
      <c r="I59" s="877">
        <v>0</v>
      </c>
      <c r="J59" s="43" t="e">
        <f ca="1">_xll.qlSwapRateHelper2(,H59,2,B59,Calendar,D59,E59,F59,G59,I59,C59,Discounting,PillarDate,,Permanent,Trigger,ObjectOverwrite)</f>
        <v>#NAME?</v>
      </c>
      <c r="L59" s="895" t="str">
        <f t="shared" si="11"/>
        <v>BasSw</v>
      </c>
      <c r="M59" s="891" t="str">
        <f t="shared" si="12"/>
        <v>--</v>
      </c>
      <c r="N59" s="894" t="str">
        <f ca="1">IFERROR(_xll.qlRateHelperQuoteName(M59,Trigger),"--")</f>
        <v>--</v>
      </c>
      <c r="O59" s="893" t="str">
        <f ca="1">IFERROR(_xll.qlRateHelperQuoteValue($M59,Trigger),"--")</f>
        <v>--</v>
      </c>
      <c r="P59" s="892" t="b">
        <v>0</v>
      </c>
      <c r="Q59" s="891">
        <v>40</v>
      </c>
      <c r="R59" s="891">
        <v>1</v>
      </c>
      <c r="S59" s="890" t="str">
        <f ca="1">IFERROR(_xll.qlRateHelperEarliestDate(M59,Trigger),"--")</f>
        <v>--</v>
      </c>
      <c r="T59" s="890" t="str">
        <f ca="1">IFERROR(_xll.qlRateHelperPillarDate(M59,Trigger),"--")</f>
        <v>--</v>
      </c>
      <c r="V59" s="4" t="str">
        <f t="shared" ca="1" si="10"/>
        <v/>
      </c>
      <c r="W59" s="4" t="e">
        <f ca="1"/>
        <v>#NAME?</v>
      </c>
      <c r="X59" s="4" t="str">
        <f ca="1">IFERROR(_xll.qlRateHelperQuoteName(W59,Trigger),"")</f>
        <v/>
      </c>
      <c r="Y59" s="889" t="str">
        <f ca="1">IFERROR(_xll.qlRateHelperRate(W59,Trigger),"")</f>
        <v/>
      </c>
      <c r="Z59" s="888" t="str">
        <f ca="1">IF(ISERROR(_xll.qlSwapRateHelperSpread($W59)),IF(ISERROR(_xll.qlFuturesRateHelperConvexityAdjustment($W59)),"",_xll.qlFuturesRateHelperConvexityAdjustment($W59)),_xll.qlSwapRateHelperSpread($W59))</f>
        <v/>
      </c>
      <c r="AA59" s="5" t="str">
        <f ca="1">IFERROR(_xll.qlRateHelperEarliestDate(W59,Trigger),"")</f>
        <v/>
      </c>
      <c r="AB59" s="5" t="str">
        <f ca="1">IFERROR(_xll.qlRateHelperPillarDate(W59,Trigger),"")</f>
        <v/>
      </c>
      <c r="AC59" s="887" t="e">
        <f ca="1"/>
        <v>#NAME?</v>
      </c>
    </row>
    <row r="60" spans="1:29" ht="11.25" customHeight="1" x14ac:dyDescent="0.2">
      <c r="A60" s="874" t="s">
        <v>382</v>
      </c>
      <c r="B60" s="876" t="s">
        <v>45</v>
      </c>
      <c r="C60" s="875" t="s">
        <v>324</v>
      </c>
      <c r="D60" s="875" t="s">
        <v>323</v>
      </c>
      <c r="E60" s="875" t="s">
        <v>322</v>
      </c>
      <c r="F60" s="875" t="s">
        <v>221</v>
      </c>
      <c r="G60" s="875" t="str">
        <f t="shared" si="13"/>
        <v>Euribor1Y</v>
      </c>
      <c r="H60" s="874" t="str">
        <f t="shared" si="14"/>
        <v>EURAB12EBASIS11Y_Quote</v>
      </c>
      <c r="I60" s="877">
        <v>0</v>
      </c>
      <c r="J60" s="43"/>
      <c r="L60" s="895" t="str">
        <f t="shared" si="11"/>
        <v>BasSw</v>
      </c>
      <c r="M60" s="891" t="e">
        <f t="shared" ca="1" si="12"/>
        <v>#NAME?</v>
      </c>
      <c r="N60" s="894" t="str">
        <f ca="1">IFERROR(_xll.qlRateHelperQuoteName(M60,Trigger),"--")</f>
        <v>--</v>
      </c>
      <c r="O60" s="893" t="str">
        <f ca="1">IFERROR(_xll.qlRateHelperQuoteValue($M60,Trigger),"--")</f>
        <v>--</v>
      </c>
      <c r="P60" s="892" t="b">
        <v>1</v>
      </c>
      <c r="Q60" s="891">
        <v>40</v>
      </c>
      <c r="R60" s="891">
        <v>1</v>
      </c>
      <c r="S60" s="890" t="str">
        <f ca="1">IFERROR(_xll.qlRateHelperEarliestDate(M60,Trigger),"--")</f>
        <v>--</v>
      </c>
      <c r="T60" s="890" t="str">
        <f ca="1">IFERROR(_xll.qlRateHelperPillarDate(M60,Trigger),"--")</f>
        <v>--</v>
      </c>
      <c r="V60" s="4" t="str">
        <f t="shared" ca="1" si="10"/>
        <v/>
      </c>
      <c r="W60" s="4" t="e">
        <f ca="1"/>
        <v>#NAME?</v>
      </c>
      <c r="X60" s="4" t="str">
        <f ca="1">IFERROR(_xll.qlRateHelperQuoteName(W60,Trigger),"")</f>
        <v/>
      </c>
      <c r="Y60" s="889" t="str">
        <f ca="1">IFERROR(_xll.qlRateHelperRate(W60,Trigger),"")</f>
        <v/>
      </c>
      <c r="Z60" s="888" t="str">
        <f ca="1">IF(ISERROR(_xll.qlSwapRateHelperSpread($W60)),IF(ISERROR(_xll.qlFuturesRateHelperConvexityAdjustment($W60)),"",_xll.qlFuturesRateHelperConvexityAdjustment($W60)),_xll.qlSwapRateHelperSpread($W60))</f>
        <v/>
      </c>
      <c r="AA60" s="5" t="str">
        <f ca="1">IFERROR(_xll.qlRateHelperEarliestDate(W60,Trigger),"")</f>
        <v/>
      </c>
      <c r="AB60" s="5" t="str">
        <f ca="1">IFERROR(_xll.qlRateHelperPillarDate(W60,Trigger),"")</f>
        <v/>
      </c>
      <c r="AC60" s="887" t="e">
        <f ca="1"/>
        <v>#NAME?</v>
      </c>
    </row>
    <row r="61" spans="1:29" ht="11.25" customHeight="1" x14ac:dyDescent="0.2">
      <c r="A61" s="874" t="s">
        <v>382</v>
      </c>
      <c r="B61" s="876" t="s">
        <v>44</v>
      </c>
      <c r="C61" s="875" t="s">
        <v>324</v>
      </c>
      <c r="D61" s="875" t="s">
        <v>323</v>
      </c>
      <c r="E61" s="875" t="s">
        <v>322</v>
      </c>
      <c r="F61" s="875" t="s">
        <v>221</v>
      </c>
      <c r="G61" s="875" t="str">
        <f t="shared" si="13"/>
        <v>Euribor1Y</v>
      </c>
      <c r="H61" s="874" t="str">
        <f t="shared" si="14"/>
        <v>EURAB12EBASIS12Y_Quote</v>
      </c>
      <c r="I61" s="877">
        <v>0</v>
      </c>
      <c r="J61" s="43" t="e">
        <f ca="1">_xll.qlSwapRateHelper2(,H61,2,B61,Calendar,D61,E61,F61,G61,I61,C61,Discounting,PillarDate,,Permanent,Trigger,ObjectOverwrite)</f>
        <v>#NAME?</v>
      </c>
      <c r="L61" s="895" t="str">
        <f t="shared" si="11"/>
        <v>BasSw</v>
      </c>
      <c r="M61" s="891" t="str">
        <f t="shared" si="12"/>
        <v>--</v>
      </c>
      <c r="N61" s="894" t="str">
        <f ca="1">IFERROR(_xll.qlRateHelperQuoteName(M61,Trigger),"--")</f>
        <v>--</v>
      </c>
      <c r="O61" s="893" t="str">
        <f ca="1">IFERROR(_xll.qlRateHelperQuoteValue($M61,Trigger),"--")</f>
        <v>--</v>
      </c>
      <c r="P61" s="892" t="b">
        <v>0</v>
      </c>
      <c r="Q61" s="891">
        <v>40</v>
      </c>
      <c r="R61" s="891">
        <v>1</v>
      </c>
      <c r="S61" s="890" t="str">
        <f ca="1">IFERROR(_xll.qlRateHelperEarliestDate(M61,Trigger),"--")</f>
        <v>--</v>
      </c>
      <c r="T61" s="890" t="str">
        <f ca="1">IFERROR(_xll.qlRateHelperPillarDate(M61,Trigger),"--")</f>
        <v>--</v>
      </c>
      <c r="V61" s="4" t="str">
        <f t="shared" ca="1" si="10"/>
        <v/>
      </c>
      <c r="W61" s="4" t="e">
        <f ca="1"/>
        <v>#NAME?</v>
      </c>
      <c r="X61" s="4" t="str">
        <f ca="1">IFERROR(_xll.qlRateHelperQuoteName(W61,Trigger),"")</f>
        <v/>
      </c>
      <c r="Y61" s="889" t="str">
        <f ca="1">IFERROR(_xll.qlRateHelperRate(W61,Trigger),"")</f>
        <v/>
      </c>
      <c r="Z61" s="888" t="str">
        <f ca="1">IF(ISERROR(_xll.qlSwapRateHelperSpread($W61)),IF(ISERROR(_xll.qlFuturesRateHelperConvexityAdjustment($W61)),"",_xll.qlFuturesRateHelperConvexityAdjustment($W61)),_xll.qlSwapRateHelperSpread($W61))</f>
        <v/>
      </c>
      <c r="AA61" s="5" t="str">
        <f ca="1">IFERROR(_xll.qlRateHelperEarliestDate(W61,Trigger),"")</f>
        <v/>
      </c>
      <c r="AB61" s="5" t="str">
        <f ca="1">IFERROR(_xll.qlRateHelperPillarDate(W61,Trigger),"")</f>
        <v/>
      </c>
      <c r="AC61" s="887" t="e">
        <f ca="1"/>
        <v>#NAME?</v>
      </c>
    </row>
    <row r="62" spans="1:29" ht="11.25" customHeight="1" x14ac:dyDescent="0.2">
      <c r="A62" s="874" t="s">
        <v>382</v>
      </c>
      <c r="B62" s="876" t="s">
        <v>43</v>
      </c>
      <c r="C62" s="875" t="s">
        <v>324</v>
      </c>
      <c r="D62" s="875" t="s">
        <v>323</v>
      </c>
      <c r="E62" s="875" t="s">
        <v>322</v>
      </c>
      <c r="F62" s="875" t="s">
        <v>221</v>
      </c>
      <c r="G62" s="875" t="str">
        <f t="shared" si="13"/>
        <v>Euribor1Y</v>
      </c>
      <c r="H62" s="874" t="str">
        <f t="shared" si="14"/>
        <v>EURAB12EBASIS13Y_Quote</v>
      </c>
      <c r="I62" s="877">
        <v>0</v>
      </c>
      <c r="J62" s="43"/>
      <c r="L62" s="895" t="str">
        <f t="shared" si="11"/>
        <v>BasSw</v>
      </c>
      <c r="M62" s="891" t="str">
        <f t="shared" si="12"/>
        <v>--</v>
      </c>
      <c r="N62" s="894" t="str">
        <f ca="1">IFERROR(_xll.qlRateHelperQuoteName(M62,Trigger),"--")</f>
        <v>--</v>
      </c>
      <c r="O62" s="893" t="str">
        <f ca="1">IFERROR(_xll.qlRateHelperQuoteValue($M62,Trigger),"--")</f>
        <v>--</v>
      </c>
      <c r="P62" s="892" t="b">
        <v>0</v>
      </c>
      <c r="Q62" s="891">
        <v>40</v>
      </c>
      <c r="R62" s="891">
        <v>1</v>
      </c>
      <c r="S62" s="890" t="str">
        <f ca="1">IFERROR(_xll.qlRateHelperEarliestDate(M62,Trigger),"--")</f>
        <v>--</v>
      </c>
      <c r="T62" s="890" t="str">
        <f ca="1">IFERROR(_xll.qlRateHelperPillarDate(M62,Trigger),"--")</f>
        <v>--</v>
      </c>
      <c r="V62" s="4" t="str">
        <f t="shared" ca="1" si="10"/>
        <v/>
      </c>
      <c r="W62" s="4" t="e">
        <f ca="1"/>
        <v>#NAME?</v>
      </c>
      <c r="X62" s="4" t="str">
        <f ca="1">IFERROR(_xll.qlRateHelperQuoteName(W62,Trigger),"")</f>
        <v/>
      </c>
      <c r="Y62" s="889" t="str">
        <f ca="1">IFERROR(_xll.qlRateHelperRate(W62,Trigger),"")</f>
        <v/>
      </c>
      <c r="Z62" s="888" t="str">
        <f ca="1">IF(ISERROR(_xll.qlSwapRateHelperSpread($W62)),IF(ISERROR(_xll.qlFuturesRateHelperConvexityAdjustment($W62)),"",_xll.qlFuturesRateHelperConvexityAdjustment($W62)),_xll.qlSwapRateHelperSpread($W62))</f>
        <v/>
      </c>
      <c r="AA62" s="5" t="str">
        <f ca="1">IFERROR(_xll.qlRateHelperEarliestDate(W62,Trigger),"")</f>
        <v/>
      </c>
      <c r="AB62" s="5" t="str">
        <f ca="1">IFERROR(_xll.qlRateHelperPillarDate(W62,Trigger),"")</f>
        <v/>
      </c>
      <c r="AC62" s="887" t="e">
        <f ca="1"/>
        <v>#NAME?</v>
      </c>
    </row>
    <row r="63" spans="1:29" ht="11.25" customHeight="1" x14ac:dyDescent="0.2">
      <c r="A63" s="874" t="s">
        <v>382</v>
      </c>
      <c r="B63" s="876" t="s">
        <v>42</v>
      </c>
      <c r="C63" s="875" t="s">
        <v>324</v>
      </c>
      <c r="D63" s="875" t="s">
        <v>323</v>
      </c>
      <c r="E63" s="875" t="s">
        <v>322</v>
      </c>
      <c r="F63" s="875" t="s">
        <v>221</v>
      </c>
      <c r="G63" s="875" t="str">
        <f t="shared" si="13"/>
        <v>Euribor1Y</v>
      </c>
      <c r="H63" s="874" t="str">
        <f t="shared" si="14"/>
        <v>EURAB12EBASIS14Y_Quote</v>
      </c>
      <c r="I63" s="877">
        <v>0</v>
      </c>
      <c r="J63" s="43"/>
      <c r="L63" s="895" t="str">
        <f t="shared" si="11"/>
        <v>BasSw</v>
      </c>
      <c r="M63" s="891" t="str">
        <f t="shared" si="12"/>
        <v>--</v>
      </c>
      <c r="N63" s="894" t="str">
        <f ca="1">IFERROR(_xll.qlRateHelperQuoteName(M63,Trigger),"--")</f>
        <v>--</v>
      </c>
      <c r="O63" s="893" t="str">
        <f ca="1">IFERROR(_xll.qlRateHelperQuoteValue($M63,Trigger),"--")</f>
        <v>--</v>
      </c>
      <c r="P63" s="892" t="b">
        <v>0</v>
      </c>
      <c r="Q63" s="891">
        <v>40</v>
      </c>
      <c r="R63" s="891">
        <v>1</v>
      </c>
      <c r="S63" s="890" t="str">
        <f ca="1">IFERROR(_xll.qlRateHelperEarliestDate(M63,Trigger),"--")</f>
        <v>--</v>
      </c>
      <c r="T63" s="890" t="str">
        <f ca="1">IFERROR(_xll.qlRateHelperPillarDate(M63,Trigger),"--")</f>
        <v>--</v>
      </c>
      <c r="V63" s="4" t="str">
        <f t="shared" ca="1" si="10"/>
        <v/>
      </c>
      <c r="W63" s="4" t="e">
        <f ca="1"/>
        <v>#NAME?</v>
      </c>
      <c r="X63" s="4" t="str">
        <f ca="1">IFERROR(_xll.qlRateHelperQuoteName(W63,Trigger),"")</f>
        <v/>
      </c>
      <c r="Y63" s="889" t="str">
        <f ca="1">IFERROR(_xll.qlRateHelperRate(W63,Trigger),"")</f>
        <v/>
      </c>
      <c r="Z63" s="888" t="str">
        <f ca="1">IF(ISERROR(_xll.qlSwapRateHelperSpread($W63)),IF(ISERROR(_xll.qlFuturesRateHelperConvexityAdjustment($W63)),"",_xll.qlFuturesRateHelperConvexityAdjustment($W63)),_xll.qlSwapRateHelperSpread($W63))</f>
        <v/>
      </c>
      <c r="AA63" s="5" t="str">
        <f ca="1">IFERROR(_xll.qlRateHelperEarliestDate(W63,Trigger),"")</f>
        <v/>
      </c>
      <c r="AB63" s="5" t="str">
        <f ca="1">IFERROR(_xll.qlRateHelperPillarDate(W63,Trigger),"")</f>
        <v/>
      </c>
      <c r="AC63" s="887" t="e">
        <f ca="1"/>
        <v>#NAME?</v>
      </c>
    </row>
    <row r="64" spans="1:29" ht="11.25" customHeight="1" x14ac:dyDescent="0.2">
      <c r="A64" s="874" t="s">
        <v>382</v>
      </c>
      <c r="B64" s="876" t="s">
        <v>41</v>
      </c>
      <c r="C64" s="875" t="s">
        <v>324</v>
      </c>
      <c r="D64" s="875" t="s">
        <v>323</v>
      </c>
      <c r="E64" s="875" t="s">
        <v>322</v>
      </c>
      <c r="F64" s="875" t="s">
        <v>221</v>
      </c>
      <c r="G64" s="875" t="str">
        <f t="shared" si="13"/>
        <v>Euribor1Y</v>
      </c>
      <c r="H64" s="874" t="str">
        <f t="shared" si="14"/>
        <v>EURAB12EBASIS15Y_Quote</v>
      </c>
      <c r="I64" s="877">
        <v>0</v>
      </c>
      <c r="J64" s="43" t="e">
        <f ca="1">_xll.qlSwapRateHelper2(,H64,2,B64,Calendar,D64,E64,F64,G64,I64,C64,Discounting,PillarDate,,Permanent,Trigger,ObjectOverwrite)</f>
        <v>#NAME?</v>
      </c>
      <c r="L64" s="895" t="str">
        <f t="shared" si="11"/>
        <v>BasSw</v>
      </c>
      <c r="M64" s="891" t="str">
        <f t="shared" si="12"/>
        <v>--</v>
      </c>
      <c r="N64" s="894" t="str">
        <f ca="1">IFERROR(_xll.qlRateHelperQuoteName(M64,Trigger),"--")</f>
        <v>--</v>
      </c>
      <c r="O64" s="893" t="str">
        <f ca="1">IFERROR(_xll.qlRateHelperQuoteValue($M64,Trigger),"--")</f>
        <v>--</v>
      </c>
      <c r="P64" s="892" t="b">
        <v>0</v>
      </c>
      <c r="Q64" s="891">
        <v>40</v>
      </c>
      <c r="R64" s="891">
        <v>1</v>
      </c>
      <c r="S64" s="890" t="str">
        <f ca="1">IFERROR(_xll.qlRateHelperEarliestDate(M64,Trigger),"--")</f>
        <v>--</v>
      </c>
      <c r="T64" s="890" t="str">
        <f ca="1">IFERROR(_xll.qlRateHelperPillarDate(M64,Trigger),"--")</f>
        <v>--</v>
      </c>
      <c r="V64" s="4" t="str">
        <f t="shared" ca="1" si="10"/>
        <v/>
      </c>
      <c r="W64" s="4" t="e">
        <f ca="1"/>
        <v>#NAME?</v>
      </c>
      <c r="X64" s="4" t="str">
        <f ca="1">IFERROR(_xll.qlRateHelperQuoteName(W64,Trigger),"")</f>
        <v/>
      </c>
      <c r="Y64" s="889" t="str">
        <f ca="1">IFERROR(_xll.qlRateHelperRate(W64,Trigger),"")</f>
        <v/>
      </c>
      <c r="Z64" s="888" t="str">
        <f ca="1">IF(ISERROR(_xll.qlSwapRateHelperSpread($W64)),IF(ISERROR(_xll.qlFuturesRateHelperConvexityAdjustment($W64)),"",_xll.qlFuturesRateHelperConvexityAdjustment($W64)),_xll.qlSwapRateHelperSpread($W64))</f>
        <v/>
      </c>
      <c r="AA64" s="5" t="str">
        <f ca="1">IFERROR(_xll.qlRateHelperEarliestDate(W64,Trigger),"")</f>
        <v/>
      </c>
      <c r="AB64" s="5" t="str">
        <f ca="1">IFERROR(_xll.qlRateHelperPillarDate(W64,Trigger),"")</f>
        <v/>
      </c>
      <c r="AC64" s="887" t="e">
        <f ca="1"/>
        <v>#NAME?</v>
      </c>
    </row>
    <row r="65" spans="1:29" ht="11.25" customHeight="1" x14ac:dyDescent="0.2">
      <c r="A65" s="874" t="s">
        <v>382</v>
      </c>
      <c r="B65" s="876" t="s">
        <v>40</v>
      </c>
      <c r="C65" s="875" t="s">
        <v>324</v>
      </c>
      <c r="D65" s="875" t="s">
        <v>323</v>
      </c>
      <c r="E65" s="875" t="s">
        <v>322</v>
      </c>
      <c r="F65" s="875" t="s">
        <v>221</v>
      </c>
      <c r="G65" s="875" t="str">
        <f t="shared" si="13"/>
        <v>Euribor1Y</v>
      </c>
      <c r="H65" s="874" t="str">
        <f t="shared" si="14"/>
        <v>EURAB12EBASIS16Y_Quote</v>
      </c>
      <c r="I65" s="877">
        <v>0</v>
      </c>
      <c r="J65" s="43"/>
      <c r="L65" s="895" t="str">
        <f t="shared" si="11"/>
        <v>BasSw</v>
      </c>
      <c r="M65" s="891" t="e">
        <f t="shared" ca="1" si="12"/>
        <v>#NAME?</v>
      </c>
      <c r="N65" s="894" t="str">
        <f ca="1">IFERROR(_xll.qlRateHelperQuoteName(M65,Trigger),"--")</f>
        <v>--</v>
      </c>
      <c r="O65" s="893" t="str">
        <f ca="1">IFERROR(_xll.qlRateHelperQuoteValue($M65,Trigger),"--")</f>
        <v>--</v>
      </c>
      <c r="P65" s="892" t="b">
        <v>1</v>
      </c>
      <c r="Q65" s="891">
        <v>40</v>
      </c>
      <c r="R65" s="891">
        <v>1</v>
      </c>
      <c r="S65" s="890" t="str">
        <f ca="1">IFERROR(_xll.qlRateHelperEarliestDate(M65,Trigger),"--")</f>
        <v>--</v>
      </c>
      <c r="T65" s="890" t="str">
        <f ca="1">IFERROR(_xll.qlRateHelperPillarDate(M65,Trigger),"--")</f>
        <v>--</v>
      </c>
      <c r="V65" s="4" t="str">
        <f t="shared" ca="1" si="10"/>
        <v/>
      </c>
      <c r="W65" s="4" t="e">
        <f ca="1"/>
        <v>#NAME?</v>
      </c>
      <c r="X65" s="4" t="str">
        <f ca="1">IFERROR(_xll.qlRateHelperQuoteName(W65,Trigger),"")</f>
        <v/>
      </c>
      <c r="Y65" s="889" t="str">
        <f ca="1">IFERROR(_xll.qlRateHelperRate(W65,Trigger),"")</f>
        <v/>
      </c>
      <c r="Z65" s="888" t="str">
        <f ca="1">IF(ISERROR(_xll.qlSwapRateHelperSpread($W65)),IF(ISERROR(_xll.qlFuturesRateHelperConvexityAdjustment($W65)),"",_xll.qlFuturesRateHelperConvexityAdjustment($W65)),_xll.qlSwapRateHelperSpread($W65))</f>
        <v/>
      </c>
      <c r="AA65" s="5" t="str">
        <f ca="1">IFERROR(_xll.qlRateHelperEarliestDate(W65,Trigger),"")</f>
        <v/>
      </c>
      <c r="AB65" s="5" t="str">
        <f ca="1">IFERROR(_xll.qlRateHelperPillarDate(W65,Trigger),"")</f>
        <v/>
      </c>
      <c r="AC65" s="887" t="e">
        <f ca="1"/>
        <v>#NAME?</v>
      </c>
    </row>
    <row r="66" spans="1:29" ht="11.25" customHeight="1" x14ac:dyDescent="0.2">
      <c r="A66" s="874" t="s">
        <v>382</v>
      </c>
      <c r="B66" s="876" t="s">
        <v>39</v>
      </c>
      <c r="C66" s="875" t="s">
        <v>324</v>
      </c>
      <c r="D66" s="875" t="s">
        <v>323</v>
      </c>
      <c r="E66" s="875" t="s">
        <v>322</v>
      </c>
      <c r="F66" s="875" t="s">
        <v>221</v>
      </c>
      <c r="G66" s="875" t="str">
        <f t="shared" si="13"/>
        <v>Euribor1Y</v>
      </c>
      <c r="H66" s="874" t="str">
        <f t="shared" si="14"/>
        <v>EURAB12EBASIS17Y_Quote</v>
      </c>
      <c r="I66" s="877">
        <v>0</v>
      </c>
      <c r="J66" s="43"/>
      <c r="L66" s="895" t="str">
        <f t="shared" si="11"/>
        <v>BasSw</v>
      </c>
      <c r="M66" s="891" t="str">
        <f t="shared" si="12"/>
        <v>--</v>
      </c>
      <c r="N66" s="894" t="str">
        <f ca="1">IFERROR(_xll.qlRateHelperQuoteName(M66,Trigger),"--")</f>
        <v>--</v>
      </c>
      <c r="O66" s="893" t="str">
        <f ca="1">IFERROR(_xll.qlRateHelperQuoteValue($M66,Trigger),"--")</f>
        <v>--</v>
      </c>
      <c r="P66" s="892" t="b">
        <v>0</v>
      </c>
      <c r="Q66" s="891">
        <v>40</v>
      </c>
      <c r="R66" s="891">
        <v>1</v>
      </c>
      <c r="S66" s="890" t="str">
        <f ca="1">IFERROR(_xll.qlRateHelperEarliestDate(M66,Trigger),"--")</f>
        <v>--</v>
      </c>
      <c r="T66" s="890" t="str">
        <f ca="1">IFERROR(_xll.qlRateHelperPillarDate(M66,Trigger),"--")</f>
        <v>--</v>
      </c>
      <c r="V66" s="4" t="str">
        <f t="shared" ca="1" si="10"/>
        <v/>
      </c>
      <c r="W66" s="4" t="e">
        <f ca="1"/>
        <v>#NAME?</v>
      </c>
      <c r="X66" s="4" t="str">
        <f ca="1">IFERROR(_xll.qlRateHelperQuoteName(W66,Trigger),"")</f>
        <v/>
      </c>
      <c r="Y66" s="889" t="str">
        <f ca="1">IFERROR(_xll.qlRateHelperRate(W66,Trigger),"")</f>
        <v/>
      </c>
      <c r="Z66" s="888" t="str">
        <f ca="1">IF(ISERROR(_xll.qlSwapRateHelperSpread($W66)),IF(ISERROR(_xll.qlFuturesRateHelperConvexityAdjustment($W66)),"",_xll.qlFuturesRateHelperConvexityAdjustment($W66)),_xll.qlSwapRateHelperSpread($W66))</f>
        <v/>
      </c>
      <c r="AA66" s="5" t="str">
        <f ca="1">IFERROR(_xll.qlRateHelperEarliestDate(W66,Trigger),"")</f>
        <v/>
      </c>
      <c r="AB66" s="5" t="str">
        <f ca="1">IFERROR(_xll.qlRateHelperPillarDate(W66,Trigger),"")</f>
        <v/>
      </c>
      <c r="AC66" s="887" t="e">
        <f ca="1"/>
        <v>#NAME?</v>
      </c>
    </row>
    <row r="67" spans="1:29" ht="11.25" customHeight="1" x14ac:dyDescent="0.2">
      <c r="A67" s="874" t="s">
        <v>382</v>
      </c>
      <c r="B67" s="876" t="s">
        <v>38</v>
      </c>
      <c r="C67" s="875" t="s">
        <v>324</v>
      </c>
      <c r="D67" s="875" t="s">
        <v>323</v>
      </c>
      <c r="E67" s="875" t="s">
        <v>322</v>
      </c>
      <c r="F67" s="875" t="s">
        <v>221</v>
      </c>
      <c r="G67" s="875" t="str">
        <f t="shared" si="13"/>
        <v>Euribor1Y</v>
      </c>
      <c r="H67" s="874" t="str">
        <f t="shared" si="14"/>
        <v>EURAB12EBASIS18Y_Quote</v>
      </c>
      <c r="I67" s="877">
        <v>0</v>
      </c>
      <c r="J67" s="43"/>
      <c r="L67" s="895" t="str">
        <f t="shared" si="11"/>
        <v>BasSw</v>
      </c>
      <c r="M67" s="891" t="str">
        <f t="shared" si="12"/>
        <v>--</v>
      </c>
      <c r="N67" s="894" t="str">
        <f ca="1">IFERROR(_xll.qlRateHelperQuoteName(M67,Trigger),"--")</f>
        <v>--</v>
      </c>
      <c r="O67" s="893" t="str">
        <f ca="1">IFERROR(_xll.qlRateHelperQuoteValue($M67,Trigger),"--")</f>
        <v>--</v>
      </c>
      <c r="P67" s="892" t="b">
        <v>0</v>
      </c>
      <c r="Q67" s="891">
        <v>40</v>
      </c>
      <c r="R67" s="891">
        <v>1</v>
      </c>
      <c r="S67" s="890" t="str">
        <f ca="1">IFERROR(_xll.qlRateHelperEarliestDate(M67,Trigger),"--")</f>
        <v>--</v>
      </c>
      <c r="T67" s="890" t="str">
        <f ca="1">IFERROR(_xll.qlRateHelperPillarDate(M67,Trigger),"--")</f>
        <v>--</v>
      </c>
      <c r="V67" s="4" t="str">
        <f t="shared" ref="V67:V79" ca="1" si="15">IFERROR(INDEX($L$3:$L$79,MATCH(X67,$N$3:$N$79,0),1),"")</f>
        <v/>
      </c>
      <c r="W67" s="4" t="e">
        <f ca="1"/>
        <v>#NAME?</v>
      </c>
      <c r="X67" s="4" t="str">
        <f ca="1">IFERROR(_xll.qlRateHelperQuoteName(W67,Trigger),"")</f>
        <v/>
      </c>
      <c r="Y67" s="889" t="str">
        <f ca="1">IFERROR(_xll.qlRateHelperRate(W67,Trigger),"")</f>
        <v/>
      </c>
      <c r="Z67" s="888" t="str">
        <f ca="1">IF(ISERROR(_xll.qlSwapRateHelperSpread($W67)),IF(ISERROR(_xll.qlFuturesRateHelperConvexityAdjustment($W67)),"",_xll.qlFuturesRateHelperConvexityAdjustment($W67)),_xll.qlSwapRateHelperSpread($W67))</f>
        <v/>
      </c>
      <c r="AA67" s="5" t="str">
        <f ca="1">IFERROR(_xll.qlRateHelperEarliestDate(W67,Trigger),"")</f>
        <v/>
      </c>
      <c r="AB67" s="5" t="str">
        <f ca="1">IFERROR(_xll.qlRateHelperPillarDate(W67,Trigger),"")</f>
        <v/>
      </c>
      <c r="AC67" s="887" t="e">
        <f ca="1"/>
        <v>#NAME?</v>
      </c>
    </row>
    <row r="68" spans="1:29" ht="11.25" customHeight="1" x14ac:dyDescent="0.2">
      <c r="A68" s="874" t="s">
        <v>382</v>
      </c>
      <c r="B68" s="876" t="s">
        <v>37</v>
      </c>
      <c r="C68" s="875" t="s">
        <v>324</v>
      </c>
      <c r="D68" s="875" t="s">
        <v>323</v>
      </c>
      <c r="E68" s="875" t="s">
        <v>322</v>
      </c>
      <c r="F68" s="875" t="s">
        <v>221</v>
      </c>
      <c r="G68" s="875" t="str">
        <f t="shared" si="13"/>
        <v>Euribor1Y</v>
      </c>
      <c r="H68" s="874" t="str">
        <f t="shared" si="14"/>
        <v>EURAB12EBASIS19Y_Quote</v>
      </c>
      <c r="I68" s="877">
        <v>0</v>
      </c>
      <c r="J68" s="43"/>
      <c r="L68" s="895" t="str">
        <f t="shared" si="11"/>
        <v>BasSw</v>
      </c>
      <c r="M68" s="891" t="str">
        <f t="shared" si="12"/>
        <v>--</v>
      </c>
      <c r="N68" s="894" t="str">
        <f ca="1">IFERROR(_xll.qlRateHelperQuoteName(M68,Trigger),"--")</f>
        <v>--</v>
      </c>
      <c r="O68" s="893" t="str">
        <f ca="1">IFERROR(_xll.qlRateHelperQuoteValue($M68,Trigger),"--")</f>
        <v>--</v>
      </c>
      <c r="P68" s="892" t="b">
        <v>0</v>
      </c>
      <c r="Q68" s="891">
        <v>40</v>
      </c>
      <c r="R68" s="891">
        <v>1</v>
      </c>
      <c r="S68" s="890" t="str">
        <f ca="1">IFERROR(_xll.qlRateHelperEarliestDate(M68,Trigger),"--")</f>
        <v>--</v>
      </c>
      <c r="T68" s="890" t="str">
        <f ca="1">IFERROR(_xll.qlRateHelperPillarDate(M68,Trigger),"--")</f>
        <v>--</v>
      </c>
      <c r="V68" s="4" t="str">
        <f t="shared" ca="1" si="15"/>
        <v/>
      </c>
      <c r="W68" s="4" t="e">
        <f ca="1"/>
        <v>#NAME?</v>
      </c>
      <c r="X68" s="4" t="str">
        <f ca="1">IFERROR(_xll.qlRateHelperQuoteName(W68,Trigger),"")</f>
        <v/>
      </c>
      <c r="Y68" s="889" t="str">
        <f ca="1">IFERROR(_xll.qlRateHelperRate(W68,Trigger),"")</f>
        <v/>
      </c>
      <c r="Z68" s="888" t="str">
        <f ca="1">IF(ISERROR(_xll.qlSwapRateHelperSpread($W68)),IF(ISERROR(_xll.qlFuturesRateHelperConvexityAdjustment($W68)),"",_xll.qlFuturesRateHelperConvexityAdjustment($W68)),_xll.qlSwapRateHelperSpread($W68))</f>
        <v/>
      </c>
      <c r="AA68" s="5" t="str">
        <f ca="1">IFERROR(_xll.qlRateHelperEarliestDate(W68,Trigger),"")</f>
        <v/>
      </c>
      <c r="AB68" s="5" t="str">
        <f ca="1">IFERROR(_xll.qlRateHelperPillarDate(W68,Trigger),"")</f>
        <v/>
      </c>
      <c r="AC68" s="887" t="e">
        <f ca="1"/>
        <v>#NAME?</v>
      </c>
    </row>
    <row r="69" spans="1:29" ht="11.25" customHeight="1" x14ac:dyDescent="0.2">
      <c r="A69" s="874" t="s">
        <v>382</v>
      </c>
      <c r="B69" s="876" t="s">
        <v>36</v>
      </c>
      <c r="C69" s="875" t="s">
        <v>324</v>
      </c>
      <c r="D69" s="875" t="s">
        <v>323</v>
      </c>
      <c r="E69" s="875" t="s">
        <v>322</v>
      </c>
      <c r="F69" s="875" t="s">
        <v>221</v>
      </c>
      <c r="G69" s="875" t="str">
        <f t="shared" si="13"/>
        <v>Euribor1Y</v>
      </c>
      <c r="H69" s="874" t="str">
        <f t="shared" si="14"/>
        <v>EURAB12EBASIS20Y_Quote</v>
      </c>
      <c r="I69" s="877">
        <v>0</v>
      </c>
      <c r="J69" s="43" t="e">
        <f ca="1">_xll.qlSwapRateHelper2(,H69,2,B69,Calendar,D69,E69,F69,G69,I69,C69,Discounting,PillarDate,,Permanent,Trigger,ObjectOverwrite)</f>
        <v>#NAME?</v>
      </c>
      <c r="L69" s="895" t="str">
        <f t="shared" si="11"/>
        <v>BasSw</v>
      </c>
      <c r="M69" s="891" t="str">
        <f t="shared" si="12"/>
        <v>--</v>
      </c>
      <c r="N69" s="894" t="str">
        <f ca="1">IFERROR(_xll.qlRateHelperQuoteName(M69,Trigger),"--")</f>
        <v>--</v>
      </c>
      <c r="O69" s="893" t="str">
        <f ca="1">IFERROR(_xll.qlRateHelperQuoteValue($M69,Trigger),"--")</f>
        <v>--</v>
      </c>
      <c r="P69" s="892" t="b">
        <v>0</v>
      </c>
      <c r="Q69" s="891">
        <v>40</v>
      </c>
      <c r="R69" s="891">
        <v>1</v>
      </c>
      <c r="S69" s="890" t="str">
        <f ca="1">IFERROR(_xll.qlRateHelperEarliestDate(M69,Trigger),"--")</f>
        <v>--</v>
      </c>
      <c r="T69" s="890" t="str">
        <f ca="1">IFERROR(_xll.qlRateHelperPillarDate(M69,Trigger),"--")</f>
        <v>--</v>
      </c>
      <c r="V69" s="4" t="str">
        <f t="shared" ca="1" si="15"/>
        <v/>
      </c>
      <c r="W69" s="4" t="e">
        <f ca="1"/>
        <v>#NAME?</v>
      </c>
      <c r="X69" s="4" t="str">
        <f ca="1">IFERROR(_xll.qlRateHelperQuoteName(W69,Trigger),"")</f>
        <v/>
      </c>
      <c r="Y69" s="889" t="str">
        <f ca="1">IFERROR(_xll.qlRateHelperRate(W69,Trigger),"")</f>
        <v/>
      </c>
      <c r="Z69" s="888" t="str">
        <f ca="1">IF(ISERROR(_xll.qlSwapRateHelperSpread($W69)),IF(ISERROR(_xll.qlFuturesRateHelperConvexityAdjustment($W69)),"",_xll.qlFuturesRateHelperConvexityAdjustment($W69)),_xll.qlSwapRateHelperSpread($W69))</f>
        <v/>
      </c>
      <c r="AA69" s="5" t="str">
        <f ca="1">IFERROR(_xll.qlRateHelperEarliestDate(W69,Trigger),"")</f>
        <v/>
      </c>
      <c r="AB69" s="5" t="str">
        <f ca="1">IFERROR(_xll.qlRateHelperPillarDate(W69,Trigger),"")</f>
        <v/>
      </c>
      <c r="AC69" s="887" t="e">
        <f ca="1"/>
        <v>#NAME?</v>
      </c>
    </row>
    <row r="70" spans="1:29" ht="11.25" customHeight="1" x14ac:dyDescent="0.2">
      <c r="A70" s="874" t="s">
        <v>382</v>
      </c>
      <c r="B70" s="876" t="s">
        <v>35</v>
      </c>
      <c r="C70" s="875" t="s">
        <v>324</v>
      </c>
      <c r="D70" s="875" t="s">
        <v>323</v>
      </c>
      <c r="E70" s="875" t="s">
        <v>322</v>
      </c>
      <c r="F70" s="875" t="s">
        <v>221</v>
      </c>
      <c r="G70" s="875" t="str">
        <f t="shared" si="13"/>
        <v>Euribor1Y</v>
      </c>
      <c r="H70" s="874" t="str">
        <f t="shared" si="14"/>
        <v>EURAB12EBASIS21Y_Quote</v>
      </c>
      <c r="I70" s="877">
        <v>0</v>
      </c>
      <c r="J70" s="43"/>
      <c r="L70" s="895" t="str">
        <f t="shared" si="11"/>
        <v>BasSw</v>
      </c>
      <c r="M70" s="891" t="e">
        <f t="shared" ca="1" si="12"/>
        <v>#NAME?</v>
      </c>
      <c r="N70" s="894" t="str">
        <f ca="1">IFERROR(_xll.qlRateHelperQuoteName(M70,Trigger),"--")</f>
        <v>--</v>
      </c>
      <c r="O70" s="893" t="str">
        <f ca="1">IFERROR(_xll.qlRateHelperQuoteValue($M70,Trigger),"--")</f>
        <v>--</v>
      </c>
      <c r="P70" s="892" t="b">
        <v>1</v>
      </c>
      <c r="Q70" s="891">
        <v>40</v>
      </c>
      <c r="R70" s="891">
        <v>1</v>
      </c>
      <c r="S70" s="890" t="str">
        <f ca="1">IFERROR(_xll.qlRateHelperEarliestDate(M70,Trigger),"--")</f>
        <v>--</v>
      </c>
      <c r="T70" s="890" t="str">
        <f ca="1">IFERROR(_xll.qlRateHelperPillarDate(M70,Trigger),"--")</f>
        <v>--</v>
      </c>
      <c r="V70" s="4" t="str">
        <f t="shared" ca="1" si="15"/>
        <v/>
      </c>
      <c r="W70" s="4" t="e">
        <f ca="1"/>
        <v>#NAME?</v>
      </c>
      <c r="X70" s="4" t="str">
        <f ca="1">IFERROR(_xll.qlRateHelperQuoteName(W70,Trigger),"")</f>
        <v/>
      </c>
      <c r="Y70" s="889" t="str">
        <f ca="1">IFERROR(_xll.qlRateHelperRate(W70,Trigger),"")</f>
        <v/>
      </c>
      <c r="Z70" s="888" t="str">
        <f ca="1">IF(ISERROR(_xll.qlSwapRateHelperSpread($W70)),IF(ISERROR(_xll.qlFuturesRateHelperConvexityAdjustment($W70)),"",_xll.qlFuturesRateHelperConvexityAdjustment($W70)),_xll.qlSwapRateHelperSpread($W70))</f>
        <v/>
      </c>
      <c r="AA70" s="5" t="str">
        <f ca="1">IFERROR(_xll.qlRateHelperEarliestDate(W70,Trigger),"")</f>
        <v/>
      </c>
      <c r="AB70" s="5" t="str">
        <f ca="1">IFERROR(_xll.qlRateHelperPillarDate(W70,Trigger),"")</f>
        <v/>
      </c>
      <c r="AC70" s="887" t="e">
        <f ca="1"/>
        <v>#NAME?</v>
      </c>
    </row>
    <row r="71" spans="1:29" ht="11.25" customHeight="1" x14ac:dyDescent="0.2">
      <c r="A71" s="874" t="s">
        <v>382</v>
      </c>
      <c r="B71" s="876" t="s">
        <v>34</v>
      </c>
      <c r="C71" s="875" t="s">
        <v>324</v>
      </c>
      <c r="D71" s="875" t="s">
        <v>323</v>
      </c>
      <c r="E71" s="875" t="s">
        <v>322</v>
      </c>
      <c r="F71" s="875" t="s">
        <v>221</v>
      </c>
      <c r="G71" s="875" t="str">
        <f t="shared" si="13"/>
        <v>Euribor1Y</v>
      </c>
      <c r="H71" s="874" t="str">
        <f t="shared" si="14"/>
        <v>EURAB12EBASIS22Y_Quote</v>
      </c>
      <c r="I71" s="877">
        <v>0</v>
      </c>
      <c r="J71" s="43"/>
      <c r="L71" s="895" t="str">
        <f t="shared" si="11"/>
        <v>BasSw</v>
      </c>
      <c r="M71" s="891" t="str">
        <f t="shared" si="12"/>
        <v>--</v>
      </c>
      <c r="N71" s="894" t="str">
        <f ca="1">IFERROR(_xll.qlRateHelperQuoteName(M71,Trigger),"--")</f>
        <v>--</v>
      </c>
      <c r="O71" s="893" t="str">
        <f ca="1">IFERROR(_xll.qlRateHelperQuoteValue($M71,Trigger),"--")</f>
        <v>--</v>
      </c>
      <c r="P71" s="892" t="b">
        <v>0</v>
      </c>
      <c r="Q71" s="891">
        <v>40</v>
      </c>
      <c r="R71" s="891">
        <v>1</v>
      </c>
      <c r="S71" s="890" t="str">
        <f ca="1">IFERROR(_xll.qlRateHelperEarliestDate(M71,Trigger),"--")</f>
        <v>--</v>
      </c>
      <c r="T71" s="890" t="str">
        <f ca="1">IFERROR(_xll.qlRateHelperPillarDate(M71,Trigger),"--")</f>
        <v>--</v>
      </c>
      <c r="V71" s="4" t="str">
        <f t="shared" ca="1" si="15"/>
        <v/>
      </c>
      <c r="W71" s="4" t="e">
        <f ca="1"/>
        <v>#NAME?</v>
      </c>
      <c r="X71" s="4" t="str">
        <f ca="1">IFERROR(_xll.qlRateHelperQuoteName(W71,Trigger),"")</f>
        <v/>
      </c>
      <c r="Y71" s="889" t="str">
        <f ca="1">IFERROR(_xll.qlRateHelperRate(W71,Trigger),"")</f>
        <v/>
      </c>
      <c r="Z71" s="888" t="str">
        <f ca="1">IF(ISERROR(_xll.qlSwapRateHelperSpread($W71)),IF(ISERROR(_xll.qlFuturesRateHelperConvexityAdjustment($W71)),"",_xll.qlFuturesRateHelperConvexityAdjustment($W71)),_xll.qlSwapRateHelperSpread($W71))</f>
        <v/>
      </c>
      <c r="AA71" s="5" t="str">
        <f ca="1">IFERROR(_xll.qlRateHelperEarliestDate(W71,Trigger),"")</f>
        <v/>
      </c>
      <c r="AB71" s="5" t="str">
        <f ca="1">IFERROR(_xll.qlRateHelperPillarDate(W71,Trigger),"")</f>
        <v/>
      </c>
      <c r="AC71" s="887" t="e">
        <f ca="1"/>
        <v>#NAME?</v>
      </c>
    </row>
    <row r="72" spans="1:29" ht="11.25" customHeight="1" x14ac:dyDescent="0.2">
      <c r="A72" s="874" t="s">
        <v>382</v>
      </c>
      <c r="B72" s="876" t="s">
        <v>33</v>
      </c>
      <c r="C72" s="875" t="s">
        <v>324</v>
      </c>
      <c r="D72" s="875" t="s">
        <v>323</v>
      </c>
      <c r="E72" s="875" t="s">
        <v>322</v>
      </c>
      <c r="F72" s="875" t="s">
        <v>221</v>
      </c>
      <c r="G72" s="875" t="str">
        <f t="shared" si="13"/>
        <v>Euribor1Y</v>
      </c>
      <c r="H72" s="874" t="str">
        <f t="shared" si="14"/>
        <v>EURAB12EBASIS23Y_Quote</v>
      </c>
      <c r="I72" s="877">
        <v>0</v>
      </c>
      <c r="J72" s="43"/>
      <c r="L72" s="895" t="str">
        <f t="shared" si="11"/>
        <v>BasSw</v>
      </c>
      <c r="M72" s="891" t="str">
        <f t="shared" si="12"/>
        <v>--</v>
      </c>
      <c r="N72" s="894" t="str">
        <f ca="1">IFERROR(_xll.qlRateHelperQuoteName(M72,Trigger),"--")</f>
        <v>--</v>
      </c>
      <c r="O72" s="893" t="str">
        <f ca="1">IFERROR(_xll.qlRateHelperQuoteValue($M72,Trigger),"--")</f>
        <v>--</v>
      </c>
      <c r="P72" s="892" t="b">
        <v>0</v>
      </c>
      <c r="Q72" s="891">
        <v>40</v>
      </c>
      <c r="R72" s="891">
        <v>1</v>
      </c>
      <c r="S72" s="890" t="str">
        <f ca="1">IFERROR(_xll.qlRateHelperEarliestDate(M72,Trigger),"--")</f>
        <v>--</v>
      </c>
      <c r="T72" s="890" t="str">
        <f ca="1">IFERROR(_xll.qlRateHelperPillarDate(M72,Trigger),"--")</f>
        <v>--</v>
      </c>
      <c r="V72" s="4" t="str">
        <f t="shared" ca="1" si="15"/>
        <v/>
      </c>
      <c r="W72" s="4" t="e">
        <f ca="1"/>
        <v>#NAME?</v>
      </c>
      <c r="X72" s="4" t="str">
        <f ca="1">IFERROR(_xll.qlRateHelperQuoteName(W72,Trigger),"")</f>
        <v/>
      </c>
      <c r="Y72" s="889" t="str">
        <f ca="1">IFERROR(_xll.qlRateHelperRate(W72,Trigger),"")</f>
        <v/>
      </c>
      <c r="Z72" s="888" t="str">
        <f ca="1">IF(ISERROR(_xll.qlSwapRateHelperSpread($W72)),IF(ISERROR(_xll.qlFuturesRateHelperConvexityAdjustment($W72)),"",_xll.qlFuturesRateHelperConvexityAdjustment($W72)),_xll.qlSwapRateHelperSpread($W72))</f>
        <v/>
      </c>
      <c r="AA72" s="5" t="str">
        <f ca="1">IFERROR(_xll.qlRateHelperEarliestDate(W72,Trigger),"")</f>
        <v/>
      </c>
      <c r="AB72" s="5" t="str">
        <f ca="1">IFERROR(_xll.qlRateHelperPillarDate(W72,Trigger),"")</f>
        <v/>
      </c>
      <c r="AC72" s="887" t="e">
        <f ca="1"/>
        <v>#NAME?</v>
      </c>
    </row>
    <row r="73" spans="1:29" ht="11.25" customHeight="1" x14ac:dyDescent="0.2">
      <c r="A73" s="874" t="s">
        <v>382</v>
      </c>
      <c r="B73" s="876" t="s">
        <v>32</v>
      </c>
      <c r="C73" s="875" t="s">
        <v>324</v>
      </c>
      <c r="D73" s="875" t="s">
        <v>323</v>
      </c>
      <c r="E73" s="875" t="s">
        <v>322</v>
      </c>
      <c r="F73" s="875" t="s">
        <v>221</v>
      </c>
      <c r="G73" s="875" t="str">
        <f t="shared" si="13"/>
        <v>Euribor1Y</v>
      </c>
      <c r="H73" s="874" t="str">
        <f t="shared" si="14"/>
        <v>EURAB12EBASIS24Y_Quote</v>
      </c>
      <c r="I73" s="877">
        <v>0</v>
      </c>
      <c r="J73" s="43"/>
      <c r="L73" s="895" t="str">
        <f t="shared" si="11"/>
        <v>BasSw</v>
      </c>
      <c r="M73" s="891" t="str">
        <f t="shared" si="12"/>
        <v>--</v>
      </c>
      <c r="N73" s="894" t="str">
        <f ca="1">IFERROR(_xll.qlRateHelperQuoteName(M73,Trigger),"--")</f>
        <v>--</v>
      </c>
      <c r="O73" s="893" t="str">
        <f ca="1">IFERROR(_xll.qlRateHelperQuoteValue($M73,Trigger),"--")</f>
        <v>--</v>
      </c>
      <c r="P73" s="892" t="b">
        <v>0</v>
      </c>
      <c r="Q73" s="891">
        <v>40</v>
      </c>
      <c r="R73" s="891">
        <v>1</v>
      </c>
      <c r="S73" s="890" t="str">
        <f ca="1">IFERROR(_xll.qlRateHelperEarliestDate(M73,Trigger),"--")</f>
        <v>--</v>
      </c>
      <c r="T73" s="890" t="str">
        <f ca="1">IFERROR(_xll.qlRateHelperPillarDate(M73,Trigger),"--")</f>
        <v>--</v>
      </c>
      <c r="V73" s="4" t="str">
        <f t="shared" ca="1" si="15"/>
        <v/>
      </c>
      <c r="W73" s="4" t="e">
        <f ca="1"/>
        <v>#NAME?</v>
      </c>
      <c r="X73" s="4" t="str">
        <f ca="1">IFERROR(_xll.qlRateHelperQuoteName(W73,Trigger),"")</f>
        <v/>
      </c>
      <c r="Y73" s="889" t="str">
        <f ca="1">IFERROR(_xll.qlRateHelperRate(W73,Trigger),"")</f>
        <v/>
      </c>
      <c r="Z73" s="888" t="str">
        <f ca="1">IF(ISERROR(_xll.qlSwapRateHelperSpread($W73)),IF(ISERROR(_xll.qlFuturesRateHelperConvexityAdjustment($W73)),"",_xll.qlFuturesRateHelperConvexityAdjustment($W73)),_xll.qlSwapRateHelperSpread($W73))</f>
        <v/>
      </c>
      <c r="AA73" s="5" t="str">
        <f ca="1">IFERROR(_xll.qlRateHelperEarliestDate(W73,Trigger),"")</f>
        <v/>
      </c>
      <c r="AB73" s="5" t="str">
        <f ca="1">IFERROR(_xll.qlRateHelperPillarDate(W73,Trigger),"")</f>
        <v/>
      </c>
      <c r="AC73" s="887" t="e">
        <f ca="1"/>
        <v>#NAME?</v>
      </c>
    </row>
    <row r="74" spans="1:29" ht="11.25" customHeight="1" x14ac:dyDescent="0.2">
      <c r="A74" s="874" t="s">
        <v>382</v>
      </c>
      <c r="B74" s="876" t="s">
        <v>31</v>
      </c>
      <c r="C74" s="875" t="s">
        <v>324</v>
      </c>
      <c r="D74" s="875" t="s">
        <v>323</v>
      </c>
      <c r="E74" s="875" t="s">
        <v>322</v>
      </c>
      <c r="F74" s="875" t="s">
        <v>221</v>
      </c>
      <c r="G74" s="875" t="str">
        <f t="shared" si="13"/>
        <v>Euribor1Y</v>
      </c>
      <c r="H74" s="874" t="str">
        <f t="shared" si="14"/>
        <v>EURAB12EBASIS25Y_Quote</v>
      </c>
      <c r="I74" s="877">
        <v>0</v>
      </c>
      <c r="J74" s="43" t="e">
        <f ca="1">_xll.qlSwapRateHelper2(,H74,2,B74,Calendar,D74,E74,F74,G74,I74,C74,Discounting,PillarDate,,Permanent,Trigger,ObjectOverwrite)</f>
        <v>#NAME?</v>
      </c>
      <c r="L74" s="895" t="str">
        <f t="shared" si="11"/>
        <v>BasSw</v>
      </c>
      <c r="M74" s="891" t="str">
        <f t="shared" si="12"/>
        <v>--</v>
      </c>
      <c r="N74" s="894" t="str">
        <f ca="1">IFERROR(_xll.qlRateHelperQuoteName(M74,Trigger),"--")</f>
        <v>--</v>
      </c>
      <c r="O74" s="893" t="str">
        <f ca="1">IFERROR(_xll.qlRateHelperQuoteValue($M74,Trigger),"--")</f>
        <v>--</v>
      </c>
      <c r="P74" s="892" t="b">
        <v>0</v>
      </c>
      <c r="Q74" s="891">
        <v>40</v>
      </c>
      <c r="R74" s="891">
        <v>1</v>
      </c>
      <c r="S74" s="890" t="str">
        <f ca="1">IFERROR(_xll.qlRateHelperEarliestDate(M74,Trigger),"--")</f>
        <v>--</v>
      </c>
      <c r="T74" s="890" t="str">
        <f ca="1">IFERROR(_xll.qlRateHelperPillarDate(M74,Trigger),"--")</f>
        <v>--</v>
      </c>
      <c r="V74" s="4" t="str">
        <f t="shared" ca="1" si="15"/>
        <v/>
      </c>
      <c r="W74" s="4" t="e">
        <f ca="1"/>
        <v>#NAME?</v>
      </c>
      <c r="X74" s="4" t="str">
        <f ca="1">IFERROR(_xll.qlRateHelperQuoteName(W74,Trigger),"")</f>
        <v/>
      </c>
      <c r="Y74" s="889" t="str">
        <f ca="1">IFERROR(_xll.qlRateHelperRate(W74,Trigger),"")</f>
        <v/>
      </c>
      <c r="Z74" s="888" t="str">
        <f ca="1">IF(ISERROR(_xll.qlSwapRateHelperSpread($W74)),IF(ISERROR(_xll.qlFuturesRateHelperConvexityAdjustment($W74)),"",_xll.qlFuturesRateHelperConvexityAdjustment($W74)),_xll.qlSwapRateHelperSpread($W74))</f>
        <v/>
      </c>
      <c r="AA74" s="5" t="str">
        <f ca="1">IFERROR(_xll.qlRateHelperEarliestDate(W74,Trigger),"")</f>
        <v/>
      </c>
      <c r="AB74" s="5" t="str">
        <f ca="1">IFERROR(_xll.qlRateHelperPillarDate(W74,Trigger),"")</f>
        <v/>
      </c>
      <c r="AC74" s="887" t="e">
        <f ca="1"/>
        <v>#NAME?</v>
      </c>
    </row>
    <row r="75" spans="1:29" ht="11.25" customHeight="1" x14ac:dyDescent="0.2">
      <c r="A75" s="874" t="s">
        <v>382</v>
      </c>
      <c r="B75" s="876" t="s">
        <v>30</v>
      </c>
      <c r="C75" s="875" t="s">
        <v>324</v>
      </c>
      <c r="D75" s="875" t="s">
        <v>323</v>
      </c>
      <c r="E75" s="875" t="s">
        <v>322</v>
      </c>
      <c r="F75" s="875" t="s">
        <v>221</v>
      </c>
      <c r="G75" s="875" t="str">
        <f t="shared" si="13"/>
        <v>Euribor1Y</v>
      </c>
      <c r="H75" s="874" t="str">
        <f t="shared" si="14"/>
        <v>EURAB12EBASIS26Y_Quote</v>
      </c>
      <c r="I75" s="877">
        <v>0</v>
      </c>
      <c r="J75" s="43"/>
      <c r="L75" s="895" t="str">
        <f t="shared" si="11"/>
        <v>BasSw</v>
      </c>
      <c r="M75" s="891" t="e">
        <f t="shared" ca="1" si="12"/>
        <v>#NAME?</v>
      </c>
      <c r="N75" s="894" t="str">
        <f ca="1">IFERROR(_xll.qlRateHelperQuoteName(M75,Trigger),"--")</f>
        <v>--</v>
      </c>
      <c r="O75" s="893" t="str">
        <f ca="1">IFERROR(_xll.qlRateHelperQuoteValue($M75,Trigger),"--")</f>
        <v>--</v>
      </c>
      <c r="P75" s="892" t="b">
        <v>1</v>
      </c>
      <c r="Q75" s="891">
        <v>40</v>
      </c>
      <c r="R75" s="891">
        <v>1</v>
      </c>
      <c r="S75" s="890" t="str">
        <f ca="1">IFERROR(_xll.qlRateHelperEarliestDate(M75,Trigger),"--")</f>
        <v>--</v>
      </c>
      <c r="T75" s="890" t="str">
        <f ca="1">IFERROR(_xll.qlRateHelperPillarDate(M75,Trigger),"--")</f>
        <v>--</v>
      </c>
      <c r="V75" s="4" t="str">
        <f t="shared" ca="1" si="15"/>
        <v/>
      </c>
      <c r="W75" s="4" t="e">
        <f ca="1"/>
        <v>#NAME?</v>
      </c>
      <c r="X75" s="4" t="str">
        <f ca="1">IFERROR(_xll.qlRateHelperQuoteName(W75,Trigger),"")</f>
        <v/>
      </c>
      <c r="Y75" s="889" t="str">
        <f ca="1">IFERROR(_xll.qlRateHelperRate(W75,Trigger),"")</f>
        <v/>
      </c>
      <c r="Z75" s="888" t="str">
        <f ca="1">IF(ISERROR(_xll.qlSwapRateHelperSpread($W75)),IF(ISERROR(_xll.qlFuturesRateHelperConvexityAdjustment($W75)),"",_xll.qlFuturesRateHelperConvexityAdjustment($W75)),_xll.qlSwapRateHelperSpread($W75))</f>
        <v/>
      </c>
      <c r="AA75" s="5" t="str">
        <f ca="1">IFERROR(_xll.qlRateHelperEarliestDate(W75,Trigger),"")</f>
        <v/>
      </c>
      <c r="AB75" s="5" t="str">
        <f ca="1">IFERROR(_xll.qlRateHelperPillarDate(W75,Trigger),"")</f>
        <v/>
      </c>
      <c r="AC75" s="887" t="e">
        <f ca="1"/>
        <v>#NAME?</v>
      </c>
    </row>
    <row r="76" spans="1:29" ht="11.25" customHeight="1" x14ac:dyDescent="0.2">
      <c r="A76" s="874" t="s">
        <v>382</v>
      </c>
      <c r="B76" s="876" t="s">
        <v>29</v>
      </c>
      <c r="C76" s="875" t="s">
        <v>324</v>
      </c>
      <c r="D76" s="875" t="s">
        <v>323</v>
      </c>
      <c r="E76" s="875" t="s">
        <v>322</v>
      </c>
      <c r="F76" s="875" t="s">
        <v>221</v>
      </c>
      <c r="G76" s="875" t="str">
        <f t="shared" si="13"/>
        <v>Euribor1Y</v>
      </c>
      <c r="H76" s="874" t="str">
        <f t="shared" si="14"/>
        <v>EURAB12EBASIS27Y_Quote</v>
      </c>
      <c r="I76" s="877">
        <v>0</v>
      </c>
      <c r="J76" s="43"/>
      <c r="L76" s="895" t="str">
        <f t="shared" si="11"/>
        <v>BasSw</v>
      </c>
      <c r="M76" s="891" t="str">
        <f t="shared" si="12"/>
        <v>--</v>
      </c>
      <c r="N76" s="894" t="str">
        <f ca="1">IFERROR(_xll.qlRateHelperQuoteName(M76,Trigger),"--")</f>
        <v>--</v>
      </c>
      <c r="O76" s="893" t="str">
        <f ca="1">IFERROR(_xll.qlRateHelperQuoteValue($M76,Trigger),"--")</f>
        <v>--</v>
      </c>
      <c r="P76" s="892" t="b">
        <v>0</v>
      </c>
      <c r="Q76" s="891">
        <v>40</v>
      </c>
      <c r="R76" s="891">
        <v>1</v>
      </c>
      <c r="S76" s="890" t="str">
        <f ca="1">IFERROR(_xll.qlRateHelperEarliestDate(M76,Trigger),"--")</f>
        <v>--</v>
      </c>
      <c r="T76" s="890" t="str">
        <f ca="1">IFERROR(_xll.qlRateHelperPillarDate(M76,Trigger),"--")</f>
        <v>--</v>
      </c>
      <c r="V76" s="4" t="str">
        <f t="shared" ca="1" si="15"/>
        <v/>
      </c>
      <c r="W76" s="4" t="e">
        <f ca="1"/>
        <v>#NAME?</v>
      </c>
      <c r="X76" s="4" t="str">
        <f ca="1">IFERROR(_xll.qlRateHelperQuoteName(W76,Trigger),"")</f>
        <v/>
      </c>
      <c r="Y76" s="889" t="str">
        <f ca="1">IFERROR(_xll.qlRateHelperRate(W76,Trigger),"")</f>
        <v/>
      </c>
      <c r="Z76" s="888" t="str">
        <f ca="1">IF(ISERROR(_xll.qlSwapRateHelperSpread($W76)),IF(ISERROR(_xll.qlFuturesRateHelperConvexityAdjustment($W76)),"",_xll.qlFuturesRateHelperConvexityAdjustment($W76)),_xll.qlSwapRateHelperSpread($W76))</f>
        <v/>
      </c>
      <c r="AA76" s="5" t="str">
        <f ca="1">IFERROR(_xll.qlRateHelperEarliestDate(W76,Trigger),"")</f>
        <v/>
      </c>
      <c r="AB76" s="5" t="str">
        <f ca="1">IFERROR(_xll.qlRateHelperPillarDate(W76,Trigger),"")</f>
        <v/>
      </c>
      <c r="AC76" s="887" t="e">
        <f ca="1"/>
        <v>#NAME?</v>
      </c>
    </row>
    <row r="77" spans="1:29" ht="11.25" customHeight="1" x14ac:dyDescent="0.2">
      <c r="A77" s="874" t="s">
        <v>382</v>
      </c>
      <c r="B77" s="876" t="s">
        <v>28</v>
      </c>
      <c r="C77" s="875" t="s">
        <v>324</v>
      </c>
      <c r="D77" s="875" t="s">
        <v>323</v>
      </c>
      <c r="E77" s="875" t="s">
        <v>322</v>
      </c>
      <c r="F77" s="875" t="s">
        <v>221</v>
      </c>
      <c r="G77" s="875" t="str">
        <f t="shared" si="13"/>
        <v>Euribor1Y</v>
      </c>
      <c r="H77" s="874" t="str">
        <f t="shared" si="14"/>
        <v>EURAB12EBASIS28Y_Quote</v>
      </c>
      <c r="I77" s="877">
        <v>0</v>
      </c>
      <c r="J77" s="43"/>
      <c r="L77" s="895" t="str">
        <f t="shared" si="11"/>
        <v>BasSw</v>
      </c>
      <c r="M77" s="891" t="e">
        <f t="shared" ca="1" si="12"/>
        <v>#NAME?</v>
      </c>
      <c r="N77" s="894" t="str">
        <f ca="1">IFERROR(_xll.qlRateHelperQuoteName(M77,Trigger),"--")</f>
        <v>--</v>
      </c>
      <c r="O77" s="893" t="str">
        <f ca="1">IFERROR(_xll.qlRateHelperQuoteValue($M77,Trigger),"--")</f>
        <v>--</v>
      </c>
      <c r="P77" s="892" t="b">
        <v>1</v>
      </c>
      <c r="Q77" s="891">
        <v>40</v>
      </c>
      <c r="R77" s="891">
        <v>1</v>
      </c>
      <c r="S77" s="890" t="str">
        <f ca="1">IFERROR(_xll.qlRateHelperEarliestDate(M77,Trigger),"--")</f>
        <v>--</v>
      </c>
      <c r="T77" s="890" t="str">
        <f ca="1">IFERROR(_xll.qlRateHelperPillarDate(M77,Trigger),"--")</f>
        <v>--</v>
      </c>
      <c r="V77" s="4" t="str">
        <f t="shared" ca="1" si="15"/>
        <v/>
      </c>
      <c r="W77" s="4" t="e">
        <f ca="1"/>
        <v>#NAME?</v>
      </c>
      <c r="X77" s="4" t="str">
        <f ca="1">IFERROR(_xll.qlRateHelperQuoteName(W77,Trigger),"")</f>
        <v/>
      </c>
      <c r="Y77" s="889" t="str">
        <f ca="1">IFERROR(_xll.qlRateHelperRate(W77,Trigger),"")</f>
        <v/>
      </c>
      <c r="Z77" s="888" t="str">
        <f ca="1">IF(ISERROR(_xll.qlSwapRateHelperSpread($W77)),IF(ISERROR(_xll.qlFuturesRateHelperConvexityAdjustment($W77)),"",_xll.qlFuturesRateHelperConvexityAdjustment($W77)),_xll.qlSwapRateHelperSpread($W77))</f>
        <v/>
      </c>
      <c r="AA77" s="5" t="str">
        <f ca="1">IFERROR(_xll.qlRateHelperEarliestDate(W77,Trigger),"")</f>
        <v/>
      </c>
      <c r="AB77" s="5" t="str">
        <f ca="1">IFERROR(_xll.qlRateHelperPillarDate(W77,Trigger),"")</f>
        <v/>
      </c>
      <c r="AC77" s="887" t="e">
        <f ca="1"/>
        <v>#NAME?</v>
      </c>
    </row>
    <row r="78" spans="1:29" ht="11.25" customHeight="1" x14ac:dyDescent="0.2">
      <c r="A78" s="874" t="s">
        <v>382</v>
      </c>
      <c r="B78" s="876" t="s">
        <v>27</v>
      </c>
      <c r="C78" s="875" t="s">
        <v>324</v>
      </c>
      <c r="D78" s="875" t="s">
        <v>323</v>
      </c>
      <c r="E78" s="875" t="s">
        <v>322</v>
      </c>
      <c r="F78" s="875" t="s">
        <v>221</v>
      </c>
      <c r="G78" s="875" t="str">
        <f t="shared" si="13"/>
        <v>Euribor1Y</v>
      </c>
      <c r="H78" s="874" t="str">
        <f t="shared" si="14"/>
        <v>EURAB12EBASIS29Y_Quote</v>
      </c>
      <c r="I78" s="877">
        <v>0</v>
      </c>
      <c r="J78" s="43"/>
      <c r="L78" s="895" t="str">
        <f t="shared" si="11"/>
        <v>BasSw</v>
      </c>
      <c r="M78" s="891" t="e">
        <f t="shared" ca="1" si="12"/>
        <v>#NAME?</v>
      </c>
      <c r="N78" s="894" t="str">
        <f ca="1">IFERROR(_xll.qlRateHelperQuoteName(M78,Trigger),"--")</f>
        <v>--</v>
      </c>
      <c r="O78" s="893" t="str">
        <f ca="1">IFERROR(_xll.qlRateHelperQuoteValue($M78,Trigger),"--")</f>
        <v>--</v>
      </c>
      <c r="P78" s="892" t="b">
        <v>1</v>
      </c>
      <c r="Q78" s="891">
        <v>40</v>
      </c>
      <c r="R78" s="891">
        <v>1</v>
      </c>
      <c r="S78" s="890" t="str">
        <f ca="1">IFERROR(_xll.qlRateHelperEarliestDate(M78,Trigger),"--")</f>
        <v>--</v>
      </c>
      <c r="T78" s="890" t="str">
        <f ca="1">IFERROR(_xll.qlRateHelperPillarDate(M78,Trigger),"--")</f>
        <v>--</v>
      </c>
      <c r="V78" s="4" t="str">
        <f t="shared" ca="1" si="15"/>
        <v/>
      </c>
      <c r="W78" s="4" t="e">
        <f ca="1"/>
        <v>#NAME?</v>
      </c>
      <c r="X78" s="4" t="str">
        <f ca="1">IFERROR(_xll.qlRateHelperQuoteName(W78,Trigger),"")</f>
        <v/>
      </c>
      <c r="Y78" s="889" t="str">
        <f ca="1">IFERROR(_xll.qlRateHelperRate(W78,Trigger),"")</f>
        <v/>
      </c>
      <c r="Z78" s="888" t="str">
        <f ca="1">IF(ISERROR(_xll.qlSwapRateHelperSpread($W78)),IF(ISERROR(_xll.qlFuturesRateHelperConvexityAdjustment($W78)),"",_xll.qlFuturesRateHelperConvexityAdjustment($W78)),_xll.qlSwapRateHelperSpread($W78))</f>
        <v/>
      </c>
      <c r="AA78" s="5" t="str">
        <f ca="1">IFERROR(_xll.qlRateHelperEarliestDate(W78,Trigger),"")</f>
        <v/>
      </c>
      <c r="AB78" s="5" t="str">
        <f ca="1">IFERROR(_xll.qlRateHelperPillarDate(W78,Trigger),"")</f>
        <v/>
      </c>
      <c r="AC78" s="887" t="e">
        <f ca="1"/>
        <v>#NAME?</v>
      </c>
    </row>
    <row r="79" spans="1:29" ht="11.25" customHeight="1" x14ac:dyDescent="0.2">
      <c r="A79" s="874" t="s">
        <v>382</v>
      </c>
      <c r="B79" s="876" t="s">
        <v>26</v>
      </c>
      <c r="C79" s="875" t="s">
        <v>324</v>
      </c>
      <c r="D79" s="875" t="s">
        <v>323</v>
      </c>
      <c r="E79" s="875" t="s">
        <v>322</v>
      </c>
      <c r="F79" s="875" t="s">
        <v>221</v>
      </c>
      <c r="G79" s="875" t="str">
        <f t="shared" si="13"/>
        <v>Euribor1Y</v>
      </c>
      <c r="H79" s="874" t="str">
        <f t="shared" si="14"/>
        <v>EURAB12EBASIS30Y_Quote</v>
      </c>
      <c r="I79" s="877">
        <v>0</v>
      </c>
      <c r="J79" s="43" t="e">
        <f ca="1">_xll.qlSwapRateHelper2(,H79,2,B79,Calendar,D79,E79,F79,G79,I79,C79,Discounting,PillarDate,,Permanent,Trigger,ObjectOverwrite)</f>
        <v>#NAME?</v>
      </c>
      <c r="L79" s="886" t="str">
        <f t="shared" si="11"/>
        <v>BasSw</v>
      </c>
      <c r="M79" s="882" t="e">
        <f t="shared" ca="1" si="12"/>
        <v>#NAME?</v>
      </c>
      <c r="N79" s="885" t="str">
        <f ca="1">IFERROR(_xll.qlRateHelperQuoteName(M79,Trigger),"--")</f>
        <v>--</v>
      </c>
      <c r="O79" s="884" t="str">
        <f ca="1">IFERROR(_xll.qlRateHelperQuoteValue($M79,Trigger),"--")</f>
        <v>--</v>
      </c>
      <c r="P79" s="883" t="b">
        <v>1</v>
      </c>
      <c r="Q79" s="882">
        <v>40</v>
      </c>
      <c r="R79" s="882">
        <v>1</v>
      </c>
      <c r="S79" s="881" t="str">
        <f ca="1">IFERROR(_xll.qlRateHelperEarliestDate(M79,Trigger),"--")</f>
        <v>--</v>
      </c>
      <c r="T79" s="881" t="str">
        <f ca="1">IFERROR(_xll.qlRateHelperPillarDate(M79,Trigger),"--")</f>
        <v>--</v>
      </c>
      <c r="V79" s="2" t="str">
        <f t="shared" ca="1" si="15"/>
        <v/>
      </c>
      <c r="W79" s="2" t="e">
        <f ca="1"/>
        <v>#NAME?</v>
      </c>
      <c r="X79" s="2" t="str">
        <f ca="1">IFERROR(_xll.qlRateHelperQuoteName(W79,Trigger),"")</f>
        <v/>
      </c>
      <c r="Y79" s="880" t="str">
        <f ca="1">IFERROR(_xll.qlRateHelperRate(W79,Trigger),"")</f>
        <v/>
      </c>
      <c r="Z79" s="879" t="str">
        <f ca="1">IF(ISERROR(_xll.qlSwapRateHelperSpread($W79)),IF(ISERROR(_xll.qlFuturesRateHelperConvexityAdjustment($W79)),"",_xll.qlFuturesRateHelperConvexityAdjustment($W79)),_xll.qlSwapRateHelperSpread($W79))</f>
        <v/>
      </c>
      <c r="AA79" s="3" t="str">
        <f ca="1">IFERROR(_xll.qlRateHelperEarliestDate(W79,Trigger),"")</f>
        <v/>
      </c>
      <c r="AB79" s="3" t="str">
        <f ca="1">IFERROR(_xll.qlRateHelperPillarDate(W79,Trigger),"")</f>
        <v/>
      </c>
      <c r="AC79" s="878" t="e">
        <f ca="1"/>
        <v>#NAME?</v>
      </c>
    </row>
    <row r="80" spans="1:29" ht="11.25" customHeight="1" x14ac:dyDescent="0.2">
      <c r="A80" s="874" t="s">
        <v>382</v>
      </c>
      <c r="B80" s="876" t="s">
        <v>25</v>
      </c>
      <c r="C80" s="875" t="s">
        <v>324</v>
      </c>
      <c r="D80" s="875" t="s">
        <v>323</v>
      </c>
      <c r="E80" s="875" t="s">
        <v>322</v>
      </c>
      <c r="F80" s="875" t="s">
        <v>221</v>
      </c>
      <c r="G80" s="875" t="str">
        <f t="shared" si="13"/>
        <v>Euribor1Y</v>
      </c>
      <c r="H80" s="874" t="str">
        <f t="shared" si="14"/>
        <v>EURAB12EBASIS35Y_Quote</v>
      </c>
      <c r="I80" s="877">
        <v>0</v>
      </c>
      <c r="J80" s="43"/>
    </row>
    <row r="81" spans="1:11" x14ac:dyDescent="0.2">
      <c r="A81" s="874" t="s">
        <v>382</v>
      </c>
      <c r="B81" s="876" t="s">
        <v>24</v>
      </c>
      <c r="C81" s="875" t="s">
        <v>324</v>
      </c>
      <c r="D81" s="875" t="s">
        <v>323</v>
      </c>
      <c r="E81" s="875" t="s">
        <v>322</v>
      </c>
      <c r="F81" s="875" t="s">
        <v>221</v>
      </c>
      <c r="G81" s="875" t="str">
        <f t="shared" si="13"/>
        <v>Euribor1Y</v>
      </c>
      <c r="H81" s="874" t="str">
        <f t="shared" si="14"/>
        <v>EURAB12EBASIS40Y_Quote</v>
      </c>
      <c r="I81" s="873">
        <v>0</v>
      </c>
      <c r="J81" s="43" t="e">
        <f ca="1">_xll.qlSwapRateHelper2(,H81,2,B81,Calendar,D81,E81,F81,G81,I81,C81,Discounting,PillarDate,,Permanent,Trigger,ObjectOverwrite)</f>
        <v>#NAME?</v>
      </c>
    </row>
    <row r="82" spans="1:11" x14ac:dyDescent="0.2">
      <c r="A82" s="874" t="s">
        <v>382</v>
      </c>
      <c r="B82" s="876" t="s">
        <v>23</v>
      </c>
      <c r="C82" s="875" t="s">
        <v>324</v>
      </c>
      <c r="D82" s="875" t="s">
        <v>323</v>
      </c>
      <c r="E82" s="875" t="s">
        <v>322</v>
      </c>
      <c r="F82" s="875" t="s">
        <v>221</v>
      </c>
      <c r="G82" s="875" t="str">
        <f t="shared" si="13"/>
        <v>Euribor1Y</v>
      </c>
      <c r="H82" s="874" t="str">
        <f t="shared" si="14"/>
        <v>EURAB12EBASIS50Y_Quote</v>
      </c>
      <c r="I82" s="873">
        <v>0</v>
      </c>
      <c r="J82" s="43" t="e">
        <f ca="1">_xll.qlSwapRateHelper2(,H82,2,B82,Calendar,D82,E82,F82,G82,I82,C82,Discounting,PillarDate,,Permanent,Trigger,ObjectOverwrite)</f>
        <v>#NAME?</v>
      </c>
    </row>
    <row r="83" spans="1:11" x14ac:dyDescent="0.2">
      <c r="A83" s="870" t="s">
        <v>382</v>
      </c>
      <c r="B83" s="872" t="s">
        <v>22</v>
      </c>
      <c r="C83" s="871" t="s">
        <v>324</v>
      </c>
      <c r="D83" s="871" t="s">
        <v>323</v>
      </c>
      <c r="E83" s="871" t="s">
        <v>322</v>
      </c>
      <c r="F83" s="871" t="s">
        <v>221</v>
      </c>
      <c r="G83" s="871" t="str">
        <f t="shared" si="13"/>
        <v>Euribor1Y</v>
      </c>
      <c r="H83" s="870" t="str">
        <f t="shared" si="14"/>
        <v>EURAB12EBASIS60Y_Quote</v>
      </c>
      <c r="I83" s="869">
        <v>0</v>
      </c>
      <c r="J83" s="38" t="e">
        <f ca="1">_xll.qlSwapRateHelper2(,H83,2,B83,Calendar,D83,E83,F83,G83,I83,C83,Discounting,PillarDate,,Permanent,Trigger,ObjectOverwrite)</f>
        <v>#NAME?</v>
      </c>
    </row>
    <row r="90" spans="1:11" x14ac:dyDescent="0.2">
      <c r="K90" s="1" t="s">
        <v>148</v>
      </c>
    </row>
  </sheetData>
  <dataValidations count="4">
    <dataValidation type="list" allowBlank="1" showInputMessage="1" showErrorMessage="1" sqref="AG6">
      <formula1>"AllDepos,DeposBeforeFirstFuturesStartDate,DeposBeforeFirstFuturesStartDatePlusOne,DeposBeforeFirstFuturesExpiryDate"</formula1>
    </dataValidation>
    <dataValidation type="list" allowBlank="1" showInputMessage="1" showErrorMessage="1" sqref="F3 F47:F83">
      <formula1>"Actual/Actual (ISDA),Actual/360,30/360 (Bond Basis),30E/360 (Eurobond Basis),Actual/365 (Fixed),Actual/Actual (ISMA),Actual/Actual (AFB),1/1,30/360 (Italian),Simple"</formula1>
    </dataValidation>
    <dataValidation type="list" allowBlank="1" showInputMessage="1" showErrorMessage="1" sqref="E3 E47:E83">
      <formula1>"Following,Modified Following,Preceding,Modified Preceding,Unadjusted,Half-Month Modified Following"</formula1>
    </dataValidation>
    <dataValidation type="list" allowBlank="1" showInputMessage="1" showErrorMessage="1" sqref="D47:D83">
      <formula1>"Annual,Semiannual,EveryFourthMonth,Quarterly,Bimonthly,Monthly,Biweekly,Weekly,Daily,Once,NoFrequency"</formula1>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AH36"/>
  <sheetViews>
    <sheetView workbookViewId="0">
      <selection activeCell="M3" sqref="M3:M4"/>
    </sheetView>
  </sheetViews>
  <sheetFormatPr defaultColWidth="9.140625" defaultRowHeight="11.25" x14ac:dyDescent="0.2"/>
  <cols>
    <col min="1" max="2" width="2.42578125" style="494" customWidth="1"/>
    <col min="3" max="3" width="23.5703125" style="494" bestFit="1" customWidth="1"/>
    <col min="4" max="4" width="30.7109375" style="494" customWidth="1"/>
    <col min="5" max="7" width="2.42578125" style="494" customWidth="1"/>
    <col min="8" max="8" width="23.5703125" style="494" bestFit="1" customWidth="1"/>
    <col min="9" max="9" width="33.7109375" style="494" bestFit="1" customWidth="1"/>
    <col min="10" max="10" width="2.42578125" style="494" customWidth="1"/>
    <col min="11" max="16384" width="9.140625" style="494"/>
  </cols>
  <sheetData>
    <row r="1" spans="1:34" x14ac:dyDescent="0.2">
      <c r="B1" s="494" t="e">
        <f ca="1">_xll.qlxlVersion(TRUE,EvaluationDate)</f>
        <v>#NAME?</v>
      </c>
    </row>
    <row r="2" spans="1:34" ht="19.5" thickBot="1" x14ac:dyDescent="0.25">
      <c r="B2" s="530" t="s">
        <v>232</v>
      </c>
      <c r="C2" s="847"/>
      <c r="D2" s="847"/>
      <c r="E2" s="846"/>
      <c r="G2" s="530" t="s">
        <v>241</v>
      </c>
      <c r="H2" s="847"/>
      <c r="I2" s="847"/>
      <c r="J2" s="846"/>
    </row>
    <row r="3" spans="1:34" ht="11.25" customHeight="1" x14ac:dyDescent="0.25">
      <c r="B3" s="501"/>
      <c r="C3" s="515"/>
      <c r="D3" s="515"/>
      <c r="E3" s="498"/>
      <c r="G3" s="865"/>
      <c r="H3" s="864"/>
      <c r="I3" s="864"/>
      <c r="J3" s="863"/>
      <c r="L3" s="1361" t="s">
        <v>529</v>
      </c>
      <c r="M3" s="1364" t="e">
        <f ca="1">_xll.ohTrigger('General Settings_2'!Trigger2)</f>
        <v>#NAME?</v>
      </c>
    </row>
    <row r="4" spans="1:34" ht="15.75" thickBot="1" x14ac:dyDescent="0.3">
      <c r="B4" s="501"/>
      <c r="C4" s="862" t="s">
        <v>231</v>
      </c>
      <c r="D4" s="845" t="s">
        <v>230</v>
      </c>
      <c r="E4" s="498"/>
      <c r="G4" s="857"/>
      <c r="H4" s="505" t="s">
        <v>239</v>
      </c>
      <c r="I4" s="861">
        <v>42357.886377314811</v>
      </c>
      <c r="J4" s="691"/>
      <c r="L4" s="1362" t="s">
        <v>530</v>
      </c>
      <c r="M4" s="1365" t="e">
        <f ca="1">_xll.ohTrigger('1MSynthDepo'!Trigger2,'3MSynthDepo'!Trigger2,'6MSynthDepo'!Trigger2,'12MSynthDepo'!Trigger2,Contribution_2!Trigger2,'Delta 1M'!Trigger2,'Delta 3M'!Trigger2,'Delta 6M '!Trigger2,'Delta 12M'!Trigger2,D31)</f>
        <v>#NAME?</v>
      </c>
    </row>
    <row r="5" spans="1:34" s="493" customFormat="1" x14ac:dyDescent="0.2">
      <c r="A5" s="494"/>
      <c r="B5" s="501"/>
      <c r="C5" s="547" t="s">
        <v>216</v>
      </c>
      <c r="D5" s="859" t="s">
        <v>215</v>
      </c>
      <c r="E5" s="498"/>
      <c r="F5" s="494"/>
      <c r="G5" s="857"/>
      <c r="H5" s="547" t="s">
        <v>307</v>
      </c>
      <c r="I5" s="860" t="e">
        <f ca="1">_xll.qlSettingsEvaluationDate(Trigger)</f>
        <v>#NAME?</v>
      </c>
      <c r="J5" s="691"/>
      <c r="K5" s="494"/>
      <c r="L5" s="494"/>
      <c r="M5" s="494"/>
      <c r="N5" s="494"/>
      <c r="O5" s="494"/>
      <c r="P5" s="494"/>
      <c r="Q5" s="494"/>
      <c r="R5" s="494"/>
      <c r="S5" s="494"/>
      <c r="T5" s="494"/>
      <c r="U5" s="494"/>
      <c r="V5" s="494"/>
      <c r="W5" s="494"/>
      <c r="X5" s="494"/>
      <c r="Y5" s="494"/>
      <c r="Z5" s="494"/>
      <c r="AA5" s="494"/>
      <c r="AB5" s="494"/>
      <c r="AC5" s="494"/>
      <c r="AD5" s="494"/>
      <c r="AE5" s="494"/>
      <c r="AF5" s="494"/>
      <c r="AG5" s="494"/>
      <c r="AH5" s="494"/>
    </row>
    <row r="6" spans="1:34" s="493" customFormat="1" x14ac:dyDescent="0.2">
      <c r="A6" s="494"/>
      <c r="B6" s="501"/>
      <c r="C6" s="547" t="s">
        <v>306</v>
      </c>
      <c r="D6" s="859" t="str">
        <f>IF(UPPER(Currency)&lt;&gt;"EUR","L","")&amp;"ibor"</f>
        <v>ibor</v>
      </c>
      <c r="E6" s="498"/>
      <c r="F6" s="494"/>
      <c r="G6" s="857"/>
      <c r="H6" s="547" t="s">
        <v>300</v>
      </c>
      <c r="I6" s="858" t="e">
        <v>#REF!</v>
      </c>
      <c r="J6" s="691"/>
      <c r="K6" s="494"/>
      <c r="L6" s="494"/>
      <c r="M6" s="494"/>
      <c r="N6" s="494"/>
      <c r="O6" s="494"/>
      <c r="P6" s="494"/>
      <c r="Q6" s="494"/>
      <c r="R6" s="494"/>
      <c r="S6" s="494"/>
      <c r="T6" s="494"/>
      <c r="U6" s="494"/>
      <c r="V6" s="494"/>
      <c r="W6" s="494"/>
      <c r="X6" s="494"/>
      <c r="Y6" s="494"/>
      <c r="Z6" s="494"/>
      <c r="AA6" s="494"/>
      <c r="AB6" s="494"/>
      <c r="AC6" s="494"/>
      <c r="AD6" s="494"/>
      <c r="AE6" s="494"/>
      <c r="AF6" s="494"/>
      <c r="AG6" s="494"/>
      <c r="AH6" s="494"/>
    </row>
    <row r="7" spans="1:34" x14ac:dyDescent="0.2">
      <c r="B7" s="501"/>
      <c r="C7" s="547" t="s">
        <v>304</v>
      </c>
      <c r="D7" s="838" t="s">
        <v>303</v>
      </c>
      <c r="E7" s="498"/>
      <c r="G7" s="857"/>
      <c r="H7" s="547" t="s">
        <v>234</v>
      </c>
      <c r="I7" s="858" t="e">
        <v>#REF!</v>
      </c>
      <c r="J7" s="691"/>
    </row>
    <row r="8" spans="1:34" x14ac:dyDescent="0.2">
      <c r="B8" s="501"/>
      <c r="C8" s="547" t="s">
        <v>228</v>
      </c>
      <c r="D8" s="838" t="s">
        <v>381</v>
      </c>
      <c r="E8" s="498"/>
      <c r="G8" s="857"/>
      <c r="H8" s="543" t="s">
        <v>235</v>
      </c>
      <c r="I8" s="856" t="e">
        <f ca="1">_xll.ohTrigger(Contribution_2!U2,Contribution_2!U8,Contribution_2!U15,Contribution_2!U25)</f>
        <v>#NAME?</v>
      </c>
      <c r="J8" s="691"/>
    </row>
    <row r="9" spans="1:34" x14ac:dyDescent="0.2">
      <c r="B9" s="501"/>
      <c r="C9" s="547" t="s">
        <v>380</v>
      </c>
      <c r="D9" s="838" t="s">
        <v>295</v>
      </c>
      <c r="E9" s="498"/>
      <c r="G9" s="855"/>
      <c r="H9" s="675"/>
      <c r="I9" s="675"/>
      <c r="J9" s="674"/>
    </row>
    <row r="10" spans="1:34" x14ac:dyDescent="0.2">
      <c r="B10" s="501"/>
      <c r="C10" s="547" t="s">
        <v>305</v>
      </c>
      <c r="D10" s="838" t="e">
        <f ca="1">_xll.qlCalendarAdvance(Calendar,EvaluationDate,"2D","f")</f>
        <v>#NAME?</v>
      </c>
      <c r="E10" s="498"/>
    </row>
    <row r="11" spans="1:34" x14ac:dyDescent="0.2">
      <c r="B11" s="501"/>
      <c r="C11" s="547" t="s">
        <v>229</v>
      </c>
      <c r="D11" s="838" t="b">
        <v>1</v>
      </c>
      <c r="E11" s="498"/>
    </row>
    <row r="12" spans="1:34" x14ac:dyDescent="0.2">
      <c r="B12" s="501"/>
      <c r="C12" s="547" t="s">
        <v>227</v>
      </c>
      <c r="D12" s="838" t="b">
        <v>1</v>
      </c>
      <c r="E12" s="498"/>
    </row>
    <row r="13" spans="1:34" x14ac:dyDescent="0.2">
      <c r="B13" s="501"/>
      <c r="C13" s="547" t="s">
        <v>224</v>
      </c>
      <c r="D13" s="838" t="s">
        <v>223</v>
      </c>
      <c r="E13" s="498"/>
    </row>
    <row r="14" spans="1:34" x14ac:dyDescent="0.2">
      <c r="B14" s="501"/>
      <c r="C14" s="547" t="s">
        <v>220</v>
      </c>
      <c r="D14" s="854">
        <v>1E-4</v>
      </c>
      <c r="E14" s="498"/>
    </row>
    <row r="15" spans="1:34" x14ac:dyDescent="0.2">
      <c r="B15" s="501"/>
      <c r="C15" s="543" t="s">
        <v>217</v>
      </c>
      <c r="D15" s="853">
        <v>-0.01</v>
      </c>
      <c r="E15" s="498"/>
    </row>
    <row r="16" spans="1:34" x14ac:dyDescent="0.2">
      <c r="B16" s="829"/>
      <c r="C16" s="828"/>
      <c r="D16" s="828"/>
      <c r="E16" s="498"/>
    </row>
    <row r="17" spans="2:5" x14ac:dyDescent="0.2">
      <c r="B17" s="501"/>
      <c r="C17" s="851" t="s">
        <v>236</v>
      </c>
      <c r="D17" s="852">
        <v>42180.648159722223</v>
      </c>
      <c r="E17" s="498"/>
    </row>
    <row r="18" spans="2:5" x14ac:dyDescent="0.2">
      <c r="B18" s="501"/>
      <c r="C18" s="851" t="s">
        <v>238</v>
      </c>
      <c r="D18" s="850" t="b">
        <v>0</v>
      </c>
      <c r="E18" s="498"/>
    </row>
    <row r="19" spans="2:5" x14ac:dyDescent="0.2">
      <c r="B19" s="497"/>
      <c r="C19" s="849"/>
      <c r="D19" s="848"/>
      <c r="E19" s="495"/>
    </row>
    <row r="21" spans="2:5" ht="18.75" x14ac:dyDescent="0.2">
      <c r="B21" s="530" t="str">
        <f>D23&amp;" Curve Settings"</f>
        <v>1M Curve Settings</v>
      </c>
      <c r="C21" s="847"/>
      <c r="D21" s="847"/>
      <c r="E21" s="846"/>
    </row>
    <row r="22" spans="2:5" x14ac:dyDescent="0.2">
      <c r="B22" s="501"/>
      <c r="C22" s="515"/>
      <c r="D22" s="515"/>
      <c r="E22" s="498"/>
    </row>
    <row r="23" spans="2:5" x14ac:dyDescent="0.2">
      <c r="B23" s="501"/>
      <c r="C23" s="841" t="s">
        <v>379</v>
      </c>
      <c r="D23" s="845" t="s">
        <v>175</v>
      </c>
      <c r="E23" s="498"/>
    </row>
    <row r="24" spans="2:5" x14ac:dyDescent="0.2">
      <c r="B24" s="501"/>
      <c r="C24" s="839" t="s">
        <v>299</v>
      </c>
      <c r="D24" s="844">
        <v>2</v>
      </c>
      <c r="E24" s="498"/>
    </row>
    <row r="25" spans="2:5" x14ac:dyDescent="0.2">
      <c r="B25" s="501"/>
      <c r="C25" s="543" t="s">
        <v>126</v>
      </c>
      <c r="D25" s="843" t="e">
        <f ca="1">_xll.qlEuribor(,"1M",D31,,Trigger)</f>
        <v>#NAME?</v>
      </c>
      <c r="E25" s="498"/>
    </row>
    <row r="26" spans="2:5" x14ac:dyDescent="0.2">
      <c r="B26" s="829"/>
      <c r="C26" s="828"/>
      <c r="D26" s="828"/>
      <c r="E26" s="842"/>
    </row>
    <row r="27" spans="2:5" x14ac:dyDescent="0.2">
      <c r="B27" s="501"/>
      <c r="C27" s="841" t="s">
        <v>294</v>
      </c>
      <c r="D27" s="840" t="e">
        <v>#N/A</v>
      </c>
      <c r="E27" s="498"/>
    </row>
    <row r="28" spans="2:5" x14ac:dyDescent="0.2">
      <c r="B28" s="501"/>
      <c r="C28" s="839" t="s">
        <v>292</v>
      </c>
      <c r="D28" s="838" t="s">
        <v>378</v>
      </c>
      <c r="E28" s="498"/>
    </row>
    <row r="29" spans="2:5" x14ac:dyDescent="0.2">
      <c r="B29" s="501"/>
      <c r="C29" s="837" t="s">
        <v>290</v>
      </c>
      <c r="D29" s="836" t="s">
        <v>377</v>
      </c>
      <c r="E29" s="498"/>
    </row>
    <row r="30" spans="2:5" x14ac:dyDescent="0.2">
      <c r="B30" s="829"/>
      <c r="C30" s="835"/>
      <c r="D30" s="834"/>
      <c r="E30" s="498"/>
    </row>
    <row r="31" spans="2:5" x14ac:dyDescent="0.2">
      <c r="B31" s="501"/>
      <c r="C31" s="833" t="s">
        <v>293</v>
      </c>
      <c r="D31" s="832" t="e">
        <f ca="1">_xll.qlPiecewiseYieldCurve(,2,Calendar,_xll.ohPack('Delta 1M'!M13:M21),"actual/365",,,,D28,D29,,Trigger)</f>
        <v>#NAME?</v>
      </c>
      <c r="E31" s="498"/>
    </row>
    <row r="32" spans="2:5" x14ac:dyDescent="0.2">
      <c r="B32" s="501"/>
      <c r="C32" s="831" t="s">
        <v>59</v>
      </c>
      <c r="D32" s="830" t="e">
        <f ca="1">_xll.ohRangeRetrieveError(D31)</f>
        <v>#NAME?</v>
      </c>
      <c r="E32" s="823"/>
    </row>
    <row r="33" spans="2:5" x14ac:dyDescent="0.2">
      <c r="B33" s="829"/>
      <c r="C33" s="828"/>
      <c r="D33" s="828"/>
      <c r="E33" s="823"/>
    </row>
    <row r="34" spans="2:5" x14ac:dyDescent="0.2">
      <c r="B34" s="501"/>
      <c r="C34" s="827" t="e">
        <f ca="1">_xll.qlTermStructureReferenceDate(D31)</f>
        <v>#NAME?</v>
      </c>
      <c r="D34" s="826" t="e">
        <f ca="1">_xll.qlYieldTSDiscount(D31,C34,,Trigger)</f>
        <v>#NAME?</v>
      </c>
      <c r="E34" s="823"/>
    </row>
    <row r="35" spans="2:5" x14ac:dyDescent="0.2">
      <c r="B35" s="501"/>
      <c r="C35" s="825" t="e">
        <f ca="1">_xll.qlTermStructureMaxDate(D31)</f>
        <v>#NAME?</v>
      </c>
      <c r="D35" s="824" t="e">
        <f ca="1">_xll.qlYieldTSDiscount(D31,C35,,Trigger)</f>
        <v>#NAME?</v>
      </c>
      <c r="E35" s="823"/>
    </row>
    <row r="36" spans="2:5" x14ac:dyDescent="0.2">
      <c r="B36" s="497"/>
      <c r="C36" s="496"/>
      <c r="D36" s="496"/>
      <c r="E36" s="495"/>
    </row>
  </sheetData>
  <conditionalFormatting sqref="D18">
    <cfRule type="cellIs" dxfId="47" priority="1" stopIfTrue="1" operator="equal">
      <formula>TRUE</formula>
    </cfRule>
  </conditionalFormatting>
  <dataValidations count="5">
    <dataValidation type="list" allowBlank="1" showInputMessage="1" showErrorMessage="1" sqref="D28">
      <formula1>"Discount,ZeroYield,ForwardRate"</formula1>
    </dataValidation>
    <dataValidation type="list" allowBlank="1" showInputMessage="1" showErrorMessage="1" sqref="D29:D30">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4">
      <formula1>"EUR,USD,GBP,JPY,CHF"</formula1>
    </dataValidation>
    <dataValidation type="list" allowBlank="1" showInputMessage="1" showErrorMessage="1" sqref="D5">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2:AI132"/>
  <sheetViews>
    <sheetView topLeftCell="I1" workbookViewId="0">
      <selection activeCell="AI3" sqref="AI3:AI4"/>
    </sheetView>
  </sheetViews>
  <sheetFormatPr defaultColWidth="8.140625" defaultRowHeight="11.25" x14ac:dyDescent="0.2"/>
  <cols>
    <col min="1" max="2" width="3" style="556" customWidth="1"/>
    <col min="3" max="5" width="19.5703125" style="556" customWidth="1"/>
    <col min="6" max="6" width="9" style="556" bestFit="1" customWidth="1"/>
    <col min="7" max="8" width="12.140625" style="556" bestFit="1" customWidth="1"/>
    <col min="9" max="12" width="9" style="556" bestFit="1" customWidth="1"/>
    <col min="13" max="13" width="9.28515625" style="556" customWidth="1"/>
    <col min="14" max="14" width="11.28515625" style="556" customWidth="1"/>
    <col min="15" max="17" width="5.85546875" style="556" customWidth="1"/>
    <col min="18" max="18" width="2" style="556" bestFit="1" customWidth="1"/>
    <col min="19" max="19" width="9.28515625" style="556" customWidth="1"/>
    <col min="20" max="20" width="2" style="556" bestFit="1" customWidth="1"/>
    <col min="21" max="21" width="9.28515625" style="556" customWidth="1"/>
    <col min="22" max="22" width="10.7109375" style="556" bestFit="1" customWidth="1"/>
    <col min="23" max="25" width="8" style="556" bestFit="1" customWidth="1"/>
    <col min="26" max="27" width="8.140625" style="556"/>
    <col min="28" max="28" width="17.42578125" style="556" bestFit="1" customWidth="1"/>
    <col min="29" max="29" width="7" style="556" bestFit="1" customWidth="1"/>
    <col min="30" max="31" width="8.140625" style="556" bestFit="1" customWidth="1"/>
    <col min="32" max="32" width="10.42578125" style="556" customWidth="1"/>
    <col min="33" max="16384" width="8.140625" style="556"/>
  </cols>
  <sheetData>
    <row r="2" spans="1:35" ht="19.5" customHeight="1" thickBot="1" x14ac:dyDescent="0.25">
      <c r="C2" s="594" t="s">
        <v>101</v>
      </c>
      <c r="D2" s="594" t="s">
        <v>357</v>
      </c>
      <c r="E2" s="594" t="s">
        <v>356</v>
      </c>
      <c r="F2" s="594" t="s">
        <v>311</v>
      </c>
      <c r="G2" s="594" t="s">
        <v>374</v>
      </c>
      <c r="H2" s="594" t="s">
        <v>373</v>
      </c>
      <c r="I2" s="594" t="s">
        <v>372</v>
      </c>
      <c r="J2" s="766" t="s">
        <v>371</v>
      </c>
      <c r="K2" s="594" t="s">
        <v>370</v>
      </c>
      <c r="L2" s="594" t="s">
        <v>369</v>
      </c>
      <c r="S2" s="777" t="s">
        <v>368</v>
      </c>
      <c r="W2" s="1377" t="s">
        <v>367</v>
      </c>
      <c r="X2" s="1377"/>
      <c r="Y2" s="1377"/>
      <c r="AB2" s="594" t="s">
        <v>357</v>
      </c>
      <c r="AC2" s="594" t="s">
        <v>275</v>
      </c>
      <c r="AD2" s="594" t="s">
        <v>366</v>
      </c>
      <c r="AE2" s="594" t="s">
        <v>286</v>
      </c>
      <c r="AF2" s="594" t="s">
        <v>365</v>
      </c>
    </row>
    <row r="3" spans="1:35" ht="12" customHeight="1" x14ac:dyDescent="0.25">
      <c r="C3" s="813" t="str">
        <f>$D$10&amp;"LastFixing"&amp;QuoteSuffix</f>
        <v>Euribor1MLastFixing_Quote</v>
      </c>
      <c r="D3" s="812" t="e">
        <f ca="1">_xll.qlCalendarAdvance(Calendar,_xll.qlLastFixingQuoteReferenceDate($C$3),_xll.qlInterestRateIndexFixingDays($D$10)&amp;"D","f",,LastFixingsTrigger)</f>
        <v>#NAME?</v>
      </c>
      <c r="E3" s="812" t="e">
        <f ca="1">_xll.qlInterestRateIndexMaturity($D$10,D3)</f>
        <v>#NAME?</v>
      </c>
      <c r="F3" s="808" t="e">
        <f ca="1">'Delta 1M'!X26</f>
        <v>#NAME?</v>
      </c>
      <c r="G3" s="590" t="e">
        <f ca="1">_xll.qlDayCounterYearFraction(DayCounter,SettlementDate,D3,,,Trigger)</f>
        <v>#NAME?</v>
      </c>
      <c r="H3" s="590" t="e">
        <f ca="1">_xll.qlDayCounterYearFraction(DayCounter,SettlementDate,E3,,,Trigger)</f>
        <v>#NAME?</v>
      </c>
      <c r="I3" s="590" t="e">
        <f ca="1">H3-G3</f>
        <v>#NAME?</v>
      </c>
      <c r="J3" s="590" t="e">
        <f ca="1">(H3^2-G3^2)/2</f>
        <v>#NAME?</v>
      </c>
      <c r="K3" s="590" t="e">
        <f ca="1">(H3^3-G3^3)/3</f>
        <v>#NAME?</v>
      </c>
      <c r="L3" s="807" t="b">
        <f>IF(D12="fixing",TRUE,FALSE)</f>
        <v>0</v>
      </c>
      <c r="N3" s="1378" t="s">
        <v>364</v>
      </c>
      <c r="O3" s="782" t="e">
        <f t="array" aca="1" ref="O3:O5" ca="1">_xll.ohFilter(K3:K7,L3:L7)</f>
        <v>#NAME?</v>
      </c>
      <c r="P3" s="803" t="e">
        <f t="array" aca="1" ref="P3:P5" ca="1">_xll.ohFilter(J3:J7,L3:L7)</f>
        <v>#NAME?</v>
      </c>
      <c r="Q3" s="781" t="e">
        <f t="array" aca="1" ref="Q3:Q5" ca="1">_xll.ohFilter(I3:I7,L3:L7)</f>
        <v>#NAME?</v>
      </c>
      <c r="R3" s="806"/>
      <c r="S3" s="771" t="e">
        <f t="array" aca="1" ref="S3:S5" ca="1">MMULT(W3:Y5,U3:U5)</f>
        <v>#NAME?</v>
      </c>
      <c r="T3" s="805"/>
      <c r="U3" s="817" t="e">
        <f t="array" aca="1" ref="U3:U5" ca="1">_xll.ohFilter(F3:F7,L3:L7)</f>
        <v>#NAME?</v>
      </c>
      <c r="W3" s="782" t="e">
        <f t="array" aca="1" ref="W3:Y5" ca="1">MINVERSE(O3:Q5)</f>
        <v>#NAME?</v>
      </c>
      <c r="X3" s="803" t="e">
        <f ca="1"/>
        <v>#NAME?</v>
      </c>
      <c r="Y3" s="781" t="e">
        <f ca="1"/>
        <v>#NAME?</v>
      </c>
      <c r="AB3" s="583" t="e">
        <f ca="1">SettlementDate</f>
        <v>#NAME?</v>
      </c>
      <c r="AC3" s="578" t="e">
        <f ca="1">_xll.qlDayCounterYearFraction(DayCounter,SettlementDate,AB3,,,Trigger)</f>
        <v>#NAME?</v>
      </c>
      <c r="AD3" s="580" t="e">
        <f t="shared" ref="AD3:AD26" ca="1" si="0">$S$13</f>
        <v>#NAME?</v>
      </c>
      <c r="AE3" s="580" t="e">
        <f t="shared" ref="AE3:AE26" ca="1" si="1">$S$10+$S$9*AC3</f>
        <v>#NAME?</v>
      </c>
      <c r="AF3" s="580" t="e">
        <f t="shared" ref="AF3:AF26" ca="1" si="2">($S$5+$S$4*AC3+$S$3*AC3^2)</f>
        <v>#NAME?</v>
      </c>
      <c r="AH3" s="1361" t="s">
        <v>529</v>
      </c>
      <c r="AI3" s="1364" t="e">
        <f ca="1">_xll.ohTrigger('General Settings_3'!Trigger)</f>
        <v>#NAME?</v>
      </c>
    </row>
    <row r="4" spans="1:35" ht="12" customHeight="1" thickBot="1" x14ac:dyDescent="0.3">
      <c r="A4" s="556">
        <v>0</v>
      </c>
      <c r="B4" s="819">
        <f>A4+SUBSTITUTE($D$9,"M","")</f>
        <v>1</v>
      </c>
      <c r="C4" s="802" t="str">
        <f>"Delta("&amp;A4&amp;"M,"&amp;B4&amp;"M)"</f>
        <v>Delta(0M,1M)</v>
      </c>
      <c r="D4" s="759" t="e">
        <f ca="1">SettlementDate</f>
        <v>#NAME?</v>
      </c>
      <c r="E4" s="759" t="e">
        <f ca="1">_xll.qlInterestRateIndexMaturity($D$10,D4)</f>
        <v>#NAME?</v>
      </c>
      <c r="F4" s="798" t="e">
        <f t="array" aca="1" ref="F4:F7" ca="1">Delta1M</f>
        <v>#NAME?</v>
      </c>
      <c r="G4" s="578" t="e">
        <f ca="1">_xll.qlDayCounterYearFraction(DayCounter,SettlementDate,D4,,,Trigger)</f>
        <v>#NAME?</v>
      </c>
      <c r="H4" s="578" t="e">
        <f ca="1">_xll.qlDayCounterYearFraction(DayCounter,SettlementDate,E4,,,Trigger)</f>
        <v>#NAME?</v>
      </c>
      <c r="I4" s="578" t="e">
        <f ca="1">H4-G4</f>
        <v>#NAME?</v>
      </c>
      <c r="J4" s="578" t="e">
        <f ca="1">(H4^2-G4^2)/2</f>
        <v>#NAME?</v>
      </c>
      <c r="K4" s="578" t="e">
        <f ca="1">(H4^3-G4^3)/3</f>
        <v>#NAME?</v>
      </c>
      <c r="L4" s="797" t="b">
        <f>IF(D12="fixing",FALSE,TRUE)</f>
        <v>1</v>
      </c>
      <c r="N4" s="1378"/>
      <c r="O4" s="782" t="e">
        <f ca="1"/>
        <v>#NAME?</v>
      </c>
      <c r="P4" s="803" t="e">
        <f ca="1"/>
        <v>#NAME?</v>
      </c>
      <c r="Q4" s="781" t="e">
        <f ca="1"/>
        <v>#NAME?</v>
      </c>
      <c r="R4" s="804" t="s">
        <v>180</v>
      </c>
      <c r="S4" s="771" t="e">
        <f ca="1"/>
        <v>#NAME?</v>
      </c>
      <c r="T4" s="804" t="s">
        <v>358</v>
      </c>
      <c r="U4" s="817" t="e">
        <f ca="1"/>
        <v>#NAME?</v>
      </c>
      <c r="W4" s="782" t="e">
        <f ca="1"/>
        <v>#NAME?</v>
      </c>
      <c r="X4" s="803" t="e">
        <f ca="1"/>
        <v>#NAME?</v>
      </c>
      <c r="Y4" s="781" t="e">
        <f ca="1"/>
        <v>#NAME?</v>
      </c>
      <c r="AB4" s="562" t="e">
        <f ca="1">_xll.qlCalendarAdvance(Calendar,AB3,"1d","mf",,Trigger)</f>
        <v>#NAME?</v>
      </c>
      <c r="AC4" s="578" t="e">
        <f ca="1">_xll.qlDayCounterYearFraction(DayCounter,SettlementDate,AB4,,,Trigger)</f>
        <v>#NAME?</v>
      </c>
      <c r="AD4" s="575" t="e">
        <f t="shared" ca="1" si="0"/>
        <v>#NAME?</v>
      </c>
      <c r="AE4" s="575" t="e">
        <f t="shared" ca="1" si="1"/>
        <v>#NAME?</v>
      </c>
      <c r="AF4" s="575" t="e">
        <f t="shared" ca="1" si="2"/>
        <v>#NAME?</v>
      </c>
      <c r="AH4" s="1362" t="s">
        <v>530</v>
      </c>
      <c r="AI4" s="1365" t="e">
        <f ca="1">_xll.ohTrigger(AB3:AB26)</f>
        <v>#NAME?</v>
      </c>
    </row>
    <row r="5" spans="1:35" ht="12" customHeight="1" x14ac:dyDescent="0.2">
      <c r="A5" s="565">
        <v>1</v>
      </c>
      <c r="B5" s="819">
        <f>A5+SUBSTITUTE($D$9,"M","")</f>
        <v>2</v>
      </c>
      <c r="C5" s="802" t="str">
        <f>"Delta("&amp;A5&amp;"M,"&amp;B5&amp;"M)"</f>
        <v>Delta(1M,2M)</v>
      </c>
      <c r="D5" s="759" t="e">
        <f ca="1">_xll.qlCalendarAdvance(Calendar,SettlementDate,A5&amp;"M","f")</f>
        <v>#NAME?</v>
      </c>
      <c r="E5" s="759" t="e">
        <f ca="1">_xll.qlInterestRateIndexMaturity($D$10,D5)</f>
        <v>#NAME?</v>
      </c>
      <c r="F5" s="798" t="e">
        <f ca="1"/>
        <v>#NAME?</v>
      </c>
      <c r="G5" s="578" t="e">
        <f ca="1">_xll.qlDayCounterYearFraction(DayCounter,SettlementDate,D5,,,Trigger)</f>
        <v>#NAME?</v>
      </c>
      <c r="H5" s="578" t="e">
        <f ca="1">_xll.qlDayCounterYearFraction(DayCounter,SettlementDate,E5,,,Trigger)</f>
        <v>#NAME?</v>
      </c>
      <c r="I5" s="578" t="e">
        <f ca="1">H5-G5</f>
        <v>#NAME?</v>
      </c>
      <c r="J5" s="578" t="e">
        <f ca="1">(H5^2-G5^2)/2</f>
        <v>#NAME?</v>
      </c>
      <c r="K5" s="578" t="e">
        <f ca="1">(H5^3-G5^3)/3</f>
        <v>#NAME?</v>
      </c>
      <c r="L5" s="797" t="b">
        <v>1</v>
      </c>
      <c r="N5" s="1378"/>
      <c r="O5" s="782" t="e">
        <f ca="1"/>
        <v>#NAME?</v>
      </c>
      <c r="P5" s="803" t="e">
        <f ca="1"/>
        <v>#NAME?</v>
      </c>
      <c r="Q5" s="781" t="e">
        <f ca="1"/>
        <v>#NAME?</v>
      </c>
      <c r="R5" s="565"/>
      <c r="S5" s="771" t="e">
        <f ca="1"/>
        <v>#NAME?</v>
      </c>
      <c r="T5" s="804"/>
      <c r="U5" s="817" t="e">
        <f ca="1"/>
        <v>#NAME?</v>
      </c>
      <c r="W5" s="782" t="e">
        <f ca="1"/>
        <v>#NAME?</v>
      </c>
      <c r="X5" s="803" t="e">
        <f ca="1"/>
        <v>#NAME?</v>
      </c>
      <c r="Y5" s="781" t="e">
        <f ca="1"/>
        <v>#NAME?</v>
      </c>
      <c r="AB5" s="562" t="e">
        <f ca="1">_xll.qlCalendarAdvance(Calendar,AB4,"1d","mf",,Trigger)</f>
        <v>#NAME?</v>
      </c>
      <c r="AC5" s="578" t="e">
        <f ca="1">_xll.qlDayCounterYearFraction(DayCounter,SettlementDate,AB5,,,Trigger)</f>
        <v>#NAME?</v>
      </c>
      <c r="AD5" s="575" t="e">
        <f t="shared" ca="1" si="0"/>
        <v>#NAME?</v>
      </c>
      <c r="AE5" s="575" t="e">
        <f t="shared" ca="1" si="1"/>
        <v>#NAME?</v>
      </c>
      <c r="AF5" s="575" t="e">
        <f t="shared" ca="1" si="2"/>
        <v>#NAME?</v>
      </c>
    </row>
    <row r="6" spans="1:35" ht="12" customHeight="1" x14ac:dyDescent="0.2">
      <c r="A6" s="565">
        <v>2</v>
      </c>
      <c r="B6" s="789">
        <f>A6+SUBSTITUTE($D$9,"M","")</f>
        <v>3</v>
      </c>
      <c r="C6" s="802" t="str">
        <f>"Delta("&amp;A6&amp;"M,"&amp;B6&amp;"M)"</f>
        <v>Delta(2M,3M)</v>
      </c>
      <c r="D6" s="759" t="e">
        <f ca="1">_xll.qlCalendarAdvance(Calendar,SettlementDate,A6&amp;"M","f")</f>
        <v>#NAME?</v>
      </c>
      <c r="E6" s="759" t="e">
        <f ca="1">_xll.qlInterestRateIndexMaturity($D$10,D6)</f>
        <v>#NAME?</v>
      </c>
      <c r="F6" s="798" t="e">
        <f ca="1"/>
        <v>#NAME?</v>
      </c>
      <c r="G6" s="578" t="e">
        <f ca="1">_xll.qlDayCounterYearFraction(DayCounter,SettlementDate,D6,,,Trigger)</f>
        <v>#NAME?</v>
      </c>
      <c r="H6" s="578" t="e">
        <f ca="1">_xll.qlDayCounterYearFraction(DayCounter,SettlementDate,E6,,,Trigger)</f>
        <v>#NAME?</v>
      </c>
      <c r="I6" s="578" t="e">
        <f ca="1">H6-G6</f>
        <v>#NAME?</v>
      </c>
      <c r="J6" s="578" t="e">
        <f ca="1">(H6^2-G6^2)/2</f>
        <v>#NAME?</v>
      </c>
      <c r="K6" s="578" t="e">
        <f ca="1">(H6^3-G6^3)/3</f>
        <v>#NAME?</v>
      </c>
      <c r="L6" s="797" t="b">
        <v>1</v>
      </c>
      <c r="S6" s="779"/>
      <c r="T6" s="776"/>
      <c r="U6" s="775"/>
      <c r="AB6" s="562" t="e">
        <f ca="1">_xll.qlCalendarAdvance(Calendar,AB5,"1d","mf",,Trigger)</f>
        <v>#NAME?</v>
      </c>
      <c r="AC6" s="578" t="e">
        <f ca="1">_xll.qlDayCounterYearFraction(DayCounter,SettlementDate,AB6,,,Trigger)</f>
        <v>#NAME?</v>
      </c>
      <c r="AD6" s="575" t="e">
        <f t="shared" ca="1" si="0"/>
        <v>#NAME?</v>
      </c>
      <c r="AE6" s="575" t="e">
        <f t="shared" ca="1" si="1"/>
        <v>#NAME?</v>
      </c>
      <c r="AF6" s="575" t="e">
        <f t="shared" ca="1" si="2"/>
        <v>#NAME?</v>
      </c>
    </row>
    <row r="7" spans="1:35" ht="12" customHeight="1" x14ac:dyDescent="0.2">
      <c r="A7" s="565">
        <v>3</v>
      </c>
      <c r="B7" s="789">
        <f>A7+SUBSTITUTE($D$9,"M","")</f>
        <v>4</v>
      </c>
      <c r="C7" s="795" t="str">
        <f>"Delta("&amp;A7&amp;"M,"&amp;B7&amp;"M)"</f>
        <v>Delta(3M,4M)</v>
      </c>
      <c r="D7" s="754" t="e">
        <f ca="1">_xll.qlCalendarAdvance(Calendar,SettlementDate,A7&amp;"M","f")</f>
        <v>#NAME?</v>
      </c>
      <c r="E7" s="754" t="e">
        <f ca="1">_xll.qlInterestRateIndexMaturity($D$10,D7)</f>
        <v>#NAME?</v>
      </c>
      <c r="F7" s="791" t="e">
        <f ca="1"/>
        <v>#NAME?</v>
      </c>
      <c r="G7" s="571" t="e">
        <f ca="1">_xll.qlDayCounterYearFraction(DayCounter,SettlementDate,D7,,,Trigger)</f>
        <v>#NAME?</v>
      </c>
      <c r="H7" s="571" t="e">
        <f ca="1">_xll.qlDayCounterYearFraction(DayCounter,SettlementDate,E7,,,Trigger)</f>
        <v>#NAME?</v>
      </c>
      <c r="I7" s="571" t="e">
        <f ca="1">H7-G7</f>
        <v>#NAME?</v>
      </c>
      <c r="J7" s="571" t="e">
        <f ca="1">(H7^2-G7^2)/2</f>
        <v>#NAME?</v>
      </c>
      <c r="K7" s="571" t="e">
        <f ca="1">(H7^3-G7^3)/3</f>
        <v>#NAME?</v>
      </c>
      <c r="L7" s="790" t="b">
        <v>0</v>
      </c>
      <c r="S7" s="779"/>
      <c r="T7" s="776"/>
      <c r="U7" s="775"/>
      <c r="AB7" s="562" t="e">
        <f ca="1">_xll.qlCalendarAdvance(Calendar,AB6,"1d","mf",,Trigger)</f>
        <v>#NAME?</v>
      </c>
      <c r="AC7" s="578" t="e">
        <f ca="1">_xll.qlDayCounterYearFraction(DayCounter,SettlementDate,AB7,,,Trigger)</f>
        <v>#NAME?</v>
      </c>
      <c r="AD7" s="575" t="e">
        <f t="shared" ca="1" si="0"/>
        <v>#NAME?</v>
      </c>
      <c r="AE7" s="575" t="e">
        <f t="shared" ca="1" si="1"/>
        <v>#NAME?</v>
      </c>
      <c r="AF7" s="575" t="e">
        <f t="shared" ca="1" si="2"/>
        <v>#NAME?</v>
      </c>
    </row>
    <row r="8" spans="1:35" ht="12" customHeight="1" x14ac:dyDescent="0.2">
      <c r="A8" s="565"/>
      <c r="B8" s="789"/>
      <c r="C8" s="789"/>
      <c r="D8" s="788"/>
      <c r="E8" s="788"/>
      <c r="F8" s="787"/>
      <c r="G8" s="786"/>
      <c r="H8" s="786"/>
      <c r="I8" s="786"/>
      <c r="J8" s="786"/>
      <c r="K8" s="786"/>
      <c r="L8" s="785"/>
      <c r="S8" s="784" t="s">
        <v>363</v>
      </c>
      <c r="T8" s="776"/>
      <c r="U8" s="775"/>
      <c r="AB8" s="562" t="e">
        <f ca="1">_xll.qlCalendarAdvance(Calendar,AB7,"1d","mf",,Trigger)</f>
        <v>#NAME?</v>
      </c>
      <c r="AC8" s="578" t="e">
        <f ca="1">_xll.qlDayCounterYearFraction(DayCounter,SettlementDate,AB8,,,Trigger)</f>
        <v>#NAME?</v>
      </c>
      <c r="AD8" s="575" t="e">
        <f t="shared" ca="1" si="0"/>
        <v>#NAME?</v>
      </c>
      <c r="AE8" s="575" t="e">
        <f t="shared" ca="1" si="1"/>
        <v>#NAME?</v>
      </c>
      <c r="AF8" s="575" t="e">
        <f t="shared" ca="1" si="2"/>
        <v>#NAME?</v>
      </c>
    </row>
    <row r="9" spans="1:35" ht="12" customHeight="1" x14ac:dyDescent="0.2">
      <c r="C9" s="594" t="s">
        <v>107</v>
      </c>
      <c r="D9" s="778" t="s">
        <v>175</v>
      </c>
      <c r="N9" s="1377" t="s">
        <v>351</v>
      </c>
      <c r="O9" s="783"/>
      <c r="P9" s="782" t="e">
        <f t="array" aca="1" ref="P9:P10" ca="1">_xll.ohFilter(J3:J7,L3:L7)</f>
        <v>#NAME?</v>
      </c>
      <c r="Q9" s="781" t="e">
        <f t="array" aca="1" ref="Q9:Q10" ca="1">_xll.ohFilter(I3:I7,L3:L7)</f>
        <v>#NAME?</v>
      </c>
      <c r="R9" s="1379" t="s">
        <v>180</v>
      </c>
      <c r="S9" s="771" t="e">
        <f t="array" aca="1" ref="S9:S10" ca="1">MMULT(W9:X10,U9:U10)</f>
        <v>#NAME?</v>
      </c>
      <c r="T9" s="1379" t="s">
        <v>358</v>
      </c>
      <c r="U9" s="817" t="e">
        <f t="array" aca="1" ref="U9:U10" ca="1">_xll.ohFilter(F3:F7,L3:L7)</f>
        <v>#NAME?</v>
      </c>
      <c r="W9" s="782" t="e">
        <f t="array" aca="1" ref="W9:X10" ca="1">MINVERSE(P9:Q10)</f>
        <v>#NAME?</v>
      </c>
      <c r="X9" s="781" t="e">
        <f ca="1"/>
        <v>#NAME?</v>
      </c>
      <c r="AB9" s="562" t="e">
        <f ca="1">_xll.qlCalendarAdvance(Calendar,AB8,"1d","mf",,Trigger)</f>
        <v>#NAME?</v>
      </c>
      <c r="AC9" s="578" t="e">
        <f ca="1">_xll.qlDayCounterYearFraction(DayCounter,SettlementDate,AB9,,,Trigger)</f>
        <v>#NAME?</v>
      </c>
      <c r="AD9" s="575" t="e">
        <f t="shared" ca="1" si="0"/>
        <v>#NAME?</v>
      </c>
      <c r="AE9" s="575" t="e">
        <f t="shared" ca="1" si="1"/>
        <v>#NAME?</v>
      </c>
      <c r="AF9" s="575" t="e">
        <f t="shared" ca="1" si="2"/>
        <v>#NAME?</v>
      </c>
    </row>
    <row r="10" spans="1:35" ht="12" customHeight="1" x14ac:dyDescent="0.2">
      <c r="C10" s="594" t="s">
        <v>14</v>
      </c>
      <c r="D10" s="778" t="str">
        <f>PROPER(Currency)&amp;IborType&amp;D9</f>
        <v>Euribor1M</v>
      </c>
      <c r="N10" s="1377"/>
      <c r="O10" s="783"/>
      <c r="P10" s="782" t="e">
        <f ca="1"/>
        <v>#NAME?</v>
      </c>
      <c r="Q10" s="781" t="e">
        <f ca="1"/>
        <v>#NAME?</v>
      </c>
      <c r="R10" s="1379"/>
      <c r="S10" s="771" t="e">
        <f ca="1"/>
        <v>#NAME?</v>
      </c>
      <c r="T10" s="1379"/>
      <c r="U10" s="817" t="e">
        <f ca="1"/>
        <v>#NAME?</v>
      </c>
      <c r="W10" s="782" t="e">
        <f ca="1"/>
        <v>#NAME?</v>
      </c>
      <c r="X10" s="781" t="e">
        <f ca="1"/>
        <v>#NAME?</v>
      </c>
      <c r="AB10" s="562" t="e">
        <f ca="1">_xll.qlCalendarAdvance(Calendar,AB9,"1d","mf",,Trigger)</f>
        <v>#NAME?</v>
      </c>
      <c r="AC10" s="578" t="e">
        <f ca="1">_xll.qlDayCounterYearFraction(DayCounter,SettlementDate,AB10,,,Trigger)</f>
        <v>#NAME?</v>
      </c>
      <c r="AD10" s="575" t="e">
        <f t="shared" ca="1" si="0"/>
        <v>#NAME?</v>
      </c>
      <c r="AE10" s="575" t="e">
        <f t="shared" ca="1" si="1"/>
        <v>#NAME?</v>
      </c>
      <c r="AF10" s="575" t="e">
        <f t="shared" ca="1" si="2"/>
        <v>#NAME?</v>
      </c>
    </row>
    <row r="11" spans="1:35" ht="12" customHeight="1" x14ac:dyDescent="0.2">
      <c r="C11" s="594" t="s">
        <v>309</v>
      </c>
      <c r="D11" s="780" t="s">
        <v>362</v>
      </c>
      <c r="S11" s="779"/>
      <c r="T11" s="776"/>
      <c r="U11" s="775"/>
      <c r="AB11" s="562" t="e">
        <f ca="1">_xll.qlCalendarAdvance(Calendar,AB10,"1d","mf",,Trigger)</f>
        <v>#NAME?</v>
      </c>
      <c r="AC11" s="578" t="e">
        <f ca="1">_xll.qlDayCounterYearFraction(DayCounter,SettlementDate,AB11,,,Trigger)</f>
        <v>#NAME?</v>
      </c>
      <c r="AD11" s="575" t="e">
        <f t="shared" ca="1" si="0"/>
        <v>#NAME?</v>
      </c>
      <c r="AE11" s="575" t="e">
        <f t="shared" ca="1" si="1"/>
        <v>#NAME?</v>
      </c>
      <c r="AF11" s="575" t="e">
        <f t="shared" ca="1" si="2"/>
        <v>#NAME?</v>
      </c>
    </row>
    <row r="12" spans="1:35" ht="12" customHeight="1" x14ac:dyDescent="0.2">
      <c r="C12" s="594" t="s">
        <v>361</v>
      </c>
      <c r="D12" s="778" t="s">
        <v>376</v>
      </c>
      <c r="S12" s="777" t="s">
        <v>359</v>
      </c>
      <c r="T12" s="776"/>
      <c r="U12" s="775"/>
      <c r="AB12" s="562" t="e">
        <f ca="1">_xll.qlCalendarAdvance(Calendar,AB11,"1d","mf",,Trigger)</f>
        <v>#NAME?</v>
      </c>
      <c r="AC12" s="578" t="e">
        <f ca="1">_xll.qlDayCounterYearFraction(DayCounter,SettlementDate,AB12,,,Trigger)</f>
        <v>#NAME?</v>
      </c>
      <c r="AD12" s="575" t="e">
        <f t="shared" ca="1" si="0"/>
        <v>#NAME?</v>
      </c>
      <c r="AE12" s="575" t="e">
        <f t="shared" ca="1" si="1"/>
        <v>#NAME?</v>
      </c>
      <c r="AF12" s="575" t="e">
        <f t="shared" ca="1" si="2"/>
        <v>#NAME?</v>
      </c>
    </row>
    <row r="13" spans="1:35" ht="12" customHeight="1" x14ac:dyDescent="0.2">
      <c r="J13" s="822" t="str">
        <f>"Synthetic Deposits "&amp;D9</f>
        <v>Synthetic Deposits 1M</v>
      </c>
      <c r="K13" s="822"/>
      <c r="L13" s="822"/>
      <c r="N13" s="770" t="s">
        <v>355</v>
      </c>
      <c r="Q13" s="768" t="e">
        <f t="array" aca="1" ref="Q13" ca="1">_xll.ohFilter(I3:I7,L3:L7)</f>
        <v>#NAME?</v>
      </c>
      <c r="R13" s="770" t="s">
        <v>180</v>
      </c>
      <c r="S13" s="771" t="e">
        <f ca="1">MMULT(W13,U13)</f>
        <v>#NAME?</v>
      </c>
      <c r="T13" s="770" t="s">
        <v>358</v>
      </c>
      <c r="U13" s="817" t="e">
        <f t="array" aca="1" ref="U13" ca="1">_xll.ohFilter(F3:F7,L3:L7)</f>
        <v>#NAME?</v>
      </c>
      <c r="W13" s="768" t="e">
        <f ca="1">MINVERSE(Q13)</f>
        <v>#NAME?</v>
      </c>
      <c r="AB13" s="562" t="e">
        <f ca="1">_xll.qlCalendarAdvance(Calendar,AB12,"1d","mf",,Trigger)</f>
        <v>#NAME?</v>
      </c>
      <c r="AC13" s="578" t="e">
        <f ca="1">_xll.qlDayCounterYearFraction(DayCounter,SettlementDate,AB13,,,Trigger)</f>
        <v>#NAME?</v>
      </c>
      <c r="AD13" s="575" t="e">
        <f t="shared" ca="1" si="0"/>
        <v>#NAME?</v>
      </c>
      <c r="AE13" s="575" t="e">
        <f t="shared" ca="1" si="1"/>
        <v>#NAME?</v>
      </c>
      <c r="AF13" s="575" t="e">
        <f t="shared" ca="1" si="2"/>
        <v>#NAME?</v>
      </c>
    </row>
    <row r="14" spans="1:35" ht="12" customHeight="1" x14ac:dyDescent="0.2">
      <c r="C14" s="594" t="s">
        <v>319</v>
      </c>
      <c r="D14" s="594" t="s">
        <v>357</v>
      </c>
      <c r="E14" s="594" t="s">
        <v>356</v>
      </c>
      <c r="F14" s="594" t="s">
        <v>275</v>
      </c>
      <c r="G14" s="594" t="s">
        <v>316</v>
      </c>
      <c r="H14" s="594" t="s">
        <v>315</v>
      </c>
      <c r="I14" s="766" t="s">
        <v>314</v>
      </c>
      <c r="J14" s="765" t="s">
        <v>355</v>
      </c>
      <c r="K14" s="765" t="s">
        <v>351</v>
      </c>
      <c r="L14" s="765" t="s">
        <v>354</v>
      </c>
      <c r="AB14" s="562" t="e">
        <f ca="1">_xll.qlCalendarAdvance(Calendar,AB13,"1d","mf",,Trigger)</f>
        <v>#NAME?</v>
      </c>
      <c r="AC14" s="578" t="e">
        <f ca="1">_xll.qlDayCounterYearFraction(DayCounter,SettlementDate,AB14,,,Trigger)</f>
        <v>#NAME?</v>
      </c>
      <c r="AD14" s="575" t="e">
        <f t="shared" ca="1" si="0"/>
        <v>#NAME?</v>
      </c>
      <c r="AE14" s="575" t="e">
        <f t="shared" ca="1" si="1"/>
        <v>#NAME?</v>
      </c>
      <c r="AF14" s="575" t="e">
        <f t="shared" ca="1" si="2"/>
        <v>#NAME?</v>
      </c>
    </row>
    <row r="15" spans="1:35" ht="12" customHeight="1" x14ac:dyDescent="0.2">
      <c r="C15" s="764" t="s">
        <v>242</v>
      </c>
      <c r="D15" s="763" t="e">
        <f ca="1">SettlementDate</f>
        <v>#NAME?</v>
      </c>
      <c r="E15" s="583" t="e">
        <f ca="1">_xll.qlCalendarAdvance(Calendar,SettlementDate,C15,"Following",,Trigger)</f>
        <v>#NAME?</v>
      </c>
      <c r="F15" s="600" t="e">
        <f ca="1">_xll.qlDayCounterYearFraction(DayCounter,D15,E15,,,Trigger)</f>
        <v>#NAME?</v>
      </c>
      <c r="G15" s="581" t="e">
        <f ca="1">_xll.qlYieldTSDiscount(Discounting,D15,,AllTriggers)</f>
        <v>#NAME?</v>
      </c>
      <c r="H15" s="581" t="e">
        <f ca="1">_xll.qlYieldTSDiscount(Discounting,E15,,AllTriggers)</f>
        <v>#NAME?</v>
      </c>
      <c r="I15" s="575" t="e">
        <f ca="1">(G15/H15-1)/F15</f>
        <v>#NAME?</v>
      </c>
      <c r="J15" s="575" t="e">
        <f ca="1">((1+I15*F15)*EXP($S$13*F15)-1)/F15</f>
        <v>#NAME?</v>
      </c>
      <c r="K15" s="575" t="e">
        <f ca="1">((1+F15*I15)*EXP($S$10*F15+0.5*$S$9*F15^2)-1)/F15</f>
        <v>#NAME?</v>
      </c>
      <c r="L15" s="575" t="e">
        <f ca="1">((1+F15*I15)*EXP($S$5*F15+0.5*$S$4*F15^2+1/3*$S$3*F15^3)-1)/F15</f>
        <v>#NAME?</v>
      </c>
      <c r="AB15" s="562" t="e">
        <f ca="1">_xll.qlCalendarAdvance(Calendar,AB14,"1d","mf",,Trigger)</f>
        <v>#NAME?</v>
      </c>
      <c r="AC15" s="578" t="e">
        <f ca="1">_xll.qlDayCounterYearFraction(DayCounter,SettlementDate,AB15,,,Trigger)</f>
        <v>#NAME?</v>
      </c>
      <c r="AD15" s="575" t="e">
        <f t="shared" ca="1" si="0"/>
        <v>#NAME?</v>
      </c>
      <c r="AE15" s="575" t="e">
        <f t="shared" ca="1" si="1"/>
        <v>#NAME?</v>
      </c>
      <c r="AF15" s="575" t="e">
        <f t="shared" ca="1" si="2"/>
        <v>#NAME?</v>
      </c>
    </row>
    <row r="16" spans="1:35" ht="12" customHeight="1" x14ac:dyDescent="0.2">
      <c r="C16" s="760" t="s">
        <v>353</v>
      </c>
      <c r="D16" s="759" t="e">
        <f ca="1">SettlementDate</f>
        <v>#NAME?</v>
      </c>
      <c r="E16" s="562" t="e">
        <f ca="1">_xll.qlCalendarAdvance(Calendar,SettlementDate,C16,"Following",,Trigger)</f>
        <v>#NAME?</v>
      </c>
      <c r="F16" s="578" t="e">
        <f ca="1">_xll.qlDayCounterYearFraction(DayCounter,D16,E16,,,Trigger)</f>
        <v>#NAME?</v>
      </c>
      <c r="G16" s="577" t="e">
        <f ca="1">_xll.qlYieldTSDiscount(Discounting,D16,,AllTriggers)</f>
        <v>#NAME?</v>
      </c>
      <c r="H16" s="821" t="e">
        <f ca="1">_xll.qlYieldTSDiscount(Discounting,E16,,AllTriggers)</f>
        <v>#NAME?</v>
      </c>
      <c r="I16" s="575" t="e">
        <f ca="1">(G16/H16-1)/F16</f>
        <v>#NAME?</v>
      </c>
      <c r="J16" s="575" t="e">
        <f ca="1">((1+I16*F16)*EXP($S$13*F16)-1)/F16</f>
        <v>#NAME?</v>
      </c>
      <c r="K16" s="575" t="e">
        <f ca="1">((1+F16*I16)*EXP($S$10*F16+0.5*$S$9*F16^2)-1)/F16</f>
        <v>#NAME?</v>
      </c>
      <c r="L16" s="575" t="e">
        <f ca="1">((1+F16*I16)*EXP($S$5*F16+0.5*$S$4*F16^2+1/3*$S$3*F16^3)-1)/F16</f>
        <v>#NAME?</v>
      </c>
      <c r="AB16" s="562" t="e">
        <f ca="1">_xll.qlCalendarAdvance(Calendar,AB15,"1d","mf",,Trigger)</f>
        <v>#NAME?</v>
      </c>
      <c r="AC16" s="578" t="e">
        <f ca="1">_xll.qlDayCounterYearFraction(DayCounter,SettlementDate,AB16,,,Trigger)</f>
        <v>#NAME?</v>
      </c>
      <c r="AD16" s="575" t="e">
        <f t="shared" ca="1" si="0"/>
        <v>#NAME?</v>
      </c>
      <c r="AE16" s="575" t="e">
        <f t="shared" ca="1" si="1"/>
        <v>#NAME?</v>
      </c>
      <c r="AF16" s="575" t="e">
        <f t="shared" ca="1" si="2"/>
        <v>#NAME?</v>
      </c>
    </row>
    <row r="17" spans="3:32" ht="12" customHeight="1" x14ac:dyDescent="0.2">
      <c r="C17" s="760" t="s">
        <v>177</v>
      </c>
      <c r="D17" s="759" t="e">
        <f ca="1">SettlementDate</f>
        <v>#NAME?</v>
      </c>
      <c r="E17" s="562" t="e">
        <f ca="1">_xll.qlCalendarAdvance(Calendar,SettlementDate,C17,"Following",,Trigger)</f>
        <v>#NAME?</v>
      </c>
      <c r="F17" s="578" t="e">
        <f ca="1">_xll.qlDayCounterYearFraction(DayCounter,D17,E17,,,Trigger)</f>
        <v>#NAME?</v>
      </c>
      <c r="G17" s="577" t="e">
        <f ca="1">_xll.qlYieldTSDiscount(Discounting,D17,,AllTriggers)</f>
        <v>#NAME?</v>
      </c>
      <c r="H17" s="821" t="e">
        <f ca="1">_xll.qlYieldTSDiscount(Discounting,E17,,AllTriggers)</f>
        <v>#NAME?</v>
      </c>
      <c r="I17" s="575" t="e">
        <f ca="1">(G17/H17-1)/F17</f>
        <v>#NAME?</v>
      </c>
      <c r="J17" s="575" t="e">
        <f ca="1">((1+I17*F17)*EXP($S$13*F17)-1)/F17</f>
        <v>#NAME?</v>
      </c>
      <c r="K17" s="575" t="e">
        <f ca="1">((1+F17*I17)*EXP($S$10*F17+0.5*$S$9*F17^2)-1)/F17</f>
        <v>#NAME?</v>
      </c>
      <c r="L17" s="575" t="e">
        <f ca="1">((1+F17*I17)*EXP($S$5*F17+0.5*$S$4*F17^2+1/3*$S$3*F17^3)-1)/F17</f>
        <v>#NAME?</v>
      </c>
      <c r="AB17" s="562" t="e">
        <f ca="1">_xll.qlCalendarAdvance(Calendar,AB16,"1d","mf",,Trigger)</f>
        <v>#NAME?</v>
      </c>
      <c r="AC17" s="578" t="e">
        <f ca="1">_xll.qlDayCounterYearFraction(DayCounter,SettlementDate,AB17,,,Trigger)</f>
        <v>#NAME?</v>
      </c>
      <c r="AD17" s="575" t="e">
        <f t="shared" ca="1" si="0"/>
        <v>#NAME?</v>
      </c>
      <c r="AE17" s="575" t="e">
        <f t="shared" ca="1" si="1"/>
        <v>#NAME?</v>
      </c>
      <c r="AF17" s="575" t="e">
        <f t="shared" ca="1" si="2"/>
        <v>#NAME?</v>
      </c>
    </row>
    <row r="18" spans="3:32" ht="12" customHeight="1" x14ac:dyDescent="0.2">
      <c r="C18" s="760" t="s">
        <v>176</v>
      </c>
      <c r="D18" s="759" t="e">
        <f ca="1">SettlementDate</f>
        <v>#NAME?</v>
      </c>
      <c r="E18" s="562" t="e">
        <f ca="1">_xll.qlCalendarAdvance(Calendar,SettlementDate,C18,"Following",,Trigger)</f>
        <v>#NAME?</v>
      </c>
      <c r="F18" s="578" t="e">
        <f ca="1">_xll.qlDayCounterYearFraction(DayCounter,D18,E18,,,Trigger)</f>
        <v>#NAME?</v>
      </c>
      <c r="G18" s="577" t="e">
        <f ca="1">_xll.qlYieldTSDiscount(Discounting,D18,,AllTriggers)</f>
        <v>#NAME?</v>
      </c>
      <c r="H18" s="821" t="e">
        <f ca="1">_xll.qlYieldTSDiscount(Discounting,E18,,AllTriggers)</f>
        <v>#NAME?</v>
      </c>
      <c r="I18" s="575" t="e">
        <f ca="1">(G18/H18-1)/F18</f>
        <v>#NAME?</v>
      </c>
      <c r="J18" s="575" t="e">
        <f ca="1">((1+I18*F18)*EXP($S$13*F18)-1)/F18</f>
        <v>#NAME?</v>
      </c>
      <c r="K18" s="575" t="e">
        <f ca="1">((1+F18*I18)*EXP($S$10*F18+0.5*$S$9*F18^2)-1)/F18</f>
        <v>#NAME?</v>
      </c>
      <c r="L18" s="575" t="e">
        <f ca="1">((1+F18*I18)*EXP($S$5*F18+0.5*$S$4*F18^2+1/3*$S$3*F18^3)-1)/F18</f>
        <v>#NAME?</v>
      </c>
      <c r="AB18" s="562" t="e">
        <f ca="1">_xll.qlCalendarAdvance(Calendar,AB17,"1d","mf",,Trigger)</f>
        <v>#NAME?</v>
      </c>
      <c r="AC18" s="578" t="e">
        <f ca="1">_xll.qlDayCounterYearFraction(DayCounter,SettlementDate,AB18,,,Trigger)</f>
        <v>#NAME?</v>
      </c>
      <c r="AD18" s="575" t="e">
        <f t="shared" ca="1" si="0"/>
        <v>#NAME?</v>
      </c>
      <c r="AE18" s="575" t="e">
        <f t="shared" ca="1" si="1"/>
        <v>#NAME?</v>
      </c>
      <c r="AF18" s="575" t="e">
        <f t="shared" ca="1" si="2"/>
        <v>#NAME?</v>
      </c>
    </row>
    <row r="19" spans="3:32" ht="12" customHeight="1" x14ac:dyDescent="0.2">
      <c r="C19" s="755" t="s">
        <v>175</v>
      </c>
      <c r="D19" s="754" t="e">
        <f ca="1">SettlementDate</f>
        <v>#NAME?</v>
      </c>
      <c r="E19" s="560" t="e">
        <f ca="1">_xll.qlCalendarAdvance(Calendar,SettlementDate,C19,"mf",TRUE,Trigger)</f>
        <v>#NAME?</v>
      </c>
      <c r="F19" s="571" t="e">
        <f ca="1">_xll.qlDayCounterYearFraction(DayCounter,D19,E19,,,Trigger)</f>
        <v>#NAME?</v>
      </c>
      <c r="G19" s="570" t="e">
        <f ca="1">_xll.qlYieldTSDiscount(Discounting,D19,,AllTriggers)</f>
        <v>#NAME?</v>
      </c>
      <c r="H19" s="820" t="e">
        <f ca="1">_xll.qlYieldTSDiscount(Discounting,E19,,AllTriggers)</f>
        <v>#NAME?</v>
      </c>
      <c r="I19" s="568" t="e">
        <f ca="1">(G19/H19-1)/F19</f>
        <v>#NAME?</v>
      </c>
      <c r="J19" s="568" t="e">
        <f ca="1">((1+I19*F19)*EXP($S$13*F19)-1)/F19</f>
        <v>#NAME?</v>
      </c>
      <c r="K19" s="568" t="e">
        <f ca="1">((1+F19*I19)*EXP($S$10*F19+0.5*$S$9*F19^2)-1)/F19</f>
        <v>#NAME?</v>
      </c>
      <c r="L19" s="568" t="e">
        <f ca="1">((1+F19*I19)*EXP($S$5*F19+0.5*$S$4*F19^2+1/3*$S$3*F19^3)-1)/F19</f>
        <v>#NAME?</v>
      </c>
      <c r="AB19" s="562" t="e">
        <f ca="1">_xll.qlCalendarAdvance(Calendar,AB18,"1d","mf",,Trigger)</f>
        <v>#NAME?</v>
      </c>
      <c r="AC19" s="578" t="e">
        <f ca="1">_xll.qlDayCounterYearFraction(DayCounter,SettlementDate,AB19,,,Trigger)</f>
        <v>#NAME?</v>
      </c>
      <c r="AD19" s="575" t="e">
        <f t="shared" ca="1" si="0"/>
        <v>#NAME?</v>
      </c>
      <c r="AE19" s="575" t="e">
        <f t="shared" ca="1" si="1"/>
        <v>#NAME?</v>
      </c>
      <c r="AF19" s="575" t="e">
        <f t="shared" ca="1" si="2"/>
        <v>#NAME?</v>
      </c>
    </row>
    <row r="20" spans="3:32" ht="12" customHeight="1" x14ac:dyDescent="0.2">
      <c r="AB20" s="562" t="e">
        <f ca="1">_xll.qlCalendarAdvance(Calendar,AB19,"1d","mf",,Trigger)</f>
        <v>#NAME?</v>
      </c>
      <c r="AC20" s="578" t="e">
        <f ca="1">_xll.qlDayCounterYearFraction(DayCounter,SettlementDate,AB20,,,Trigger)</f>
        <v>#NAME?</v>
      </c>
      <c r="AD20" s="575" t="e">
        <f t="shared" ca="1" si="0"/>
        <v>#NAME?</v>
      </c>
      <c r="AE20" s="575" t="e">
        <f t="shared" ca="1" si="1"/>
        <v>#NAME?</v>
      </c>
      <c r="AF20" s="575" t="e">
        <f t="shared" ca="1" si="2"/>
        <v>#NAME?</v>
      </c>
    </row>
    <row r="21" spans="3:32" ht="12" customHeight="1" x14ac:dyDescent="0.2">
      <c r="C21" s="594" t="s">
        <v>352</v>
      </c>
      <c r="AB21" s="562" t="e">
        <f ca="1">_xll.qlCalendarAdvance(Calendar,AB20,"1d","mf",,Trigger)</f>
        <v>#NAME?</v>
      </c>
      <c r="AC21" s="578" t="e">
        <f ca="1">_xll.qlDayCounterYearFraction(DayCounter,SettlementDate,AB21,,,Trigger)</f>
        <v>#NAME?</v>
      </c>
      <c r="AD21" s="575" t="e">
        <f t="shared" ca="1" si="0"/>
        <v>#NAME?</v>
      </c>
      <c r="AE21" s="575" t="e">
        <f t="shared" ca="1" si="1"/>
        <v>#NAME?</v>
      </c>
      <c r="AF21" s="575" t="e">
        <f t="shared" ca="1" si="2"/>
        <v>#NAME?</v>
      </c>
    </row>
    <row r="22" spans="3:32" ht="12" customHeight="1" x14ac:dyDescent="0.2">
      <c r="C22" s="750" t="s">
        <v>364</v>
      </c>
      <c r="AB22" s="562" t="e">
        <f ca="1">_xll.qlCalendarAdvance(Calendar,AB21,"1d","mf",,Trigger)</f>
        <v>#NAME?</v>
      </c>
      <c r="AC22" s="578" t="e">
        <f ca="1">_xll.qlDayCounterYearFraction(DayCounter,SettlementDate,AB22,,,Trigger)</f>
        <v>#NAME?</v>
      </c>
      <c r="AD22" s="575" t="e">
        <f t="shared" ca="1" si="0"/>
        <v>#NAME?</v>
      </c>
      <c r="AE22" s="575" t="e">
        <f t="shared" ca="1" si="1"/>
        <v>#NAME?</v>
      </c>
      <c r="AF22" s="575" t="e">
        <f t="shared" ca="1" si="2"/>
        <v>#NAME?</v>
      </c>
    </row>
    <row r="23" spans="3:32" ht="12" customHeight="1" x14ac:dyDescent="0.2">
      <c r="C23" s="575" t="e">
        <f ca="1">IF($C$22="FLAT",J15,IF($C$22="linear",K15,L15))</f>
        <v>#NAME?</v>
      </c>
      <c r="AB23" s="562" t="e">
        <f ca="1">_xll.qlCalendarAdvance(Calendar,AB22,"1d","mf",,Trigger)</f>
        <v>#NAME?</v>
      </c>
      <c r="AC23" s="578" t="e">
        <f ca="1">_xll.qlDayCounterYearFraction(DayCounter,SettlementDate,AB23,,,Trigger)</f>
        <v>#NAME?</v>
      </c>
      <c r="AD23" s="575" t="e">
        <f t="shared" ca="1" si="0"/>
        <v>#NAME?</v>
      </c>
      <c r="AE23" s="575" t="e">
        <f t="shared" ca="1" si="1"/>
        <v>#NAME?</v>
      </c>
      <c r="AF23" s="575" t="e">
        <f t="shared" ca="1" si="2"/>
        <v>#NAME?</v>
      </c>
    </row>
    <row r="24" spans="3:32" ht="12" customHeight="1" x14ac:dyDescent="0.2">
      <c r="C24" s="575" t="e">
        <f ca="1">IF($C$22="FLAT",J16,IF($C$22="linear",K16,L16))</f>
        <v>#NAME?</v>
      </c>
      <c r="AB24" s="562" t="e">
        <f ca="1">_xll.qlCalendarAdvance(Calendar,AB23,"1d","mf",,Trigger)</f>
        <v>#NAME?</v>
      </c>
      <c r="AC24" s="578" t="e">
        <f ca="1">_xll.qlDayCounterYearFraction(DayCounter,SettlementDate,AB24,,,Trigger)</f>
        <v>#NAME?</v>
      </c>
      <c r="AD24" s="575" t="e">
        <f t="shared" ca="1" si="0"/>
        <v>#NAME?</v>
      </c>
      <c r="AE24" s="575" t="e">
        <f t="shared" ca="1" si="1"/>
        <v>#NAME?</v>
      </c>
      <c r="AF24" s="575" t="e">
        <f t="shared" ca="1" si="2"/>
        <v>#NAME?</v>
      </c>
    </row>
    <row r="25" spans="3:32" ht="12" customHeight="1" x14ac:dyDescent="0.2">
      <c r="C25" s="575" t="e">
        <f ca="1">IF($C$22="FLAT",J17,IF($C$22="linear",K17,L17))</f>
        <v>#NAME?</v>
      </c>
      <c r="AB25" s="562" t="e">
        <f ca="1">_xll.qlCalendarAdvance(Calendar,AB24,"1d","mf",,Trigger)</f>
        <v>#NAME?</v>
      </c>
      <c r="AC25" s="578" t="e">
        <f ca="1">_xll.qlDayCounterYearFraction(DayCounter,SettlementDate,AB25,,,Trigger)</f>
        <v>#NAME?</v>
      </c>
      <c r="AD25" s="575" t="e">
        <f t="shared" ca="1" si="0"/>
        <v>#NAME?</v>
      </c>
      <c r="AE25" s="575" t="e">
        <f t="shared" ca="1" si="1"/>
        <v>#NAME?</v>
      </c>
      <c r="AF25" s="575" t="e">
        <f t="shared" ca="1" si="2"/>
        <v>#NAME?</v>
      </c>
    </row>
    <row r="26" spans="3:32" ht="12" customHeight="1" x14ac:dyDescent="0.2">
      <c r="C26" s="575" t="e">
        <f ca="1">IF($C$22="FLAT",J18,IF($C$22="linear",K18,L18))</f>
        <v>#NAME?</v>
      </c>
      <c r="AB26" s="560" t="e">
        <f ca="1">_xll.qlCalendarAdvance(Calendar,AB25,"1d","mf",,Trigger)</f>
        <v>#NAME?</v>
      </c>
      <c r="AC26" s="571" t="e">
        <f ca="1">_xll.qlDayCounterYearFraction(DayCounter,SettlementDate,AB26,,,Trigger)</f>
        <v>#NAME?</v>
      </c>
      <c r="AD26" s="568" t="e">
        <f t="shared" ca="1" si="0"/>
        <v>#NAME?</v>
      </c>
      <c r="AE26" s="568" t="e">
        <f t="shared" ca="1" si="1"/>
        <v>#NAME?</v>
      </c>
      <c r="AF26" s="568" t="e">
        <f t="shared" ca="1" si="2"/>
        <v>#NAME?</v>
      </c>
    </row>
    <row r="27" spans="3:32" ht="12" customHeight="1" x14ac:dyDescent="0.2">
      <c r="C27" s="568"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749"/>
      <c r="J39" s="749"/>
    </row>
    <row r="43" spans="9:13" ht="11.25" customHeight="1" x14ac:dyDescent="0.2"/>
    <row r="44" spans="9:13" x14ac:dyDescent="0.2">
      <c r="M44" s="814"/>
    </row>
    <row r="45" spans="9:13" x14ac:dyDescent="0.2">
      <c r="M45" s="814"/>
    </row>
    <row r="46" spans="9:13" x14ac:dyDescent="0.2">
      <c r="M46" s="814"/>
    </row>
    <row r="47" spans="9:13" x14ac:dyDescent="0.2">
      <c r="M47" s="814"/>
    </row>
    <row r="48" spans="9:13" x14ac:dyDescent="0.2">
      <c r="M48" s="814"/>
    </row>
    <row r="58" spans="9:10" x14ac:dyDescent="0.2">
      <c r="I58" s="749"/>
    </row>
    <row r="59" spans="9:10" x14ac:dyDescent="0.2">
      <c r="I59" s="749"/>
    </row>
    <row r="60" spans="9:10" x14ac:dyDescent="0.2">
      <c r="I60" s="749"/>
    </row>
    <row r="61" spans="9:10" x14ac:dyDescent="0.2">
      <c r="I61" s="749"/>
    </row>
    <row r="62" spans="9:10" x14ac:dyDescent="0.2">
      <c r="I62" s="749"/>
    </row>
    <row r="63" spans="9:10" x14ac:dyDescent="0.2">
      <c r="I63" s="749"/>
    </row>
    <row r="64" spans="9:10" x14ac:dyDescent="0.2">
      <c r="I64" s="749"/>
      <c r="J64" s="749"/>
    </row>
    <row r="65" spans="9:10" x14ac:dyDescent="0.2">
      <c r="I65" s="749"/>
      <c r="J65" s="749"/>
    </row>
    <row r="66" spans="9:10" x14ac:dyDescent="0.2">
      <c r="I66" s="749"/>
      <c r="J66" s="749"/>
    </row>
    <row r="67" spans="9:10" x14ac:dyDescent="0.2">
      <c r="I67" s="749"/>
      <c r="J67" s="749"/>
    </row>
    <row r="68" spans="9:10" x14ac:dyDescent="0.2">
      <c r="I68" s="749"/>
      <c r="J68" s="749"/>
    </row>
    <row r="69" spans="9:10" x14ac:dyDescent="0.2">
      <c r="I69" s="749"/>
      <c r="J69" s="749"/>
    </row>
    <row r="70" spans="9:10" x14ac:dyDescent="0.2">
      <c r="I70" s="749"/>
      <c r="J70" s="749"/>
    </row>
    <row r="71" spans="9:10" x14ac:dyDescent="0.2">
      <c r="I71" s="749"/>
      <c r="J71" s="749"/>
    </row>
    <row r="72" spans="9:10" x14ac:dyDescent="0.2">
      <c r="I72" s="749"/>
      <c r="J72" s="749"/>
    </row>
    <row r="73" spans="9:10" x14ac:dyDescent="0.2">
      <c r="I73" s="749"/>
      <c r="J73" s="749"/>
    </row>
    <row r="74" spans="9:10" x14ac:dyDescent="0.2">
      <c r="I74" s="749"/>
      <c r="J74" s="749"/>
    </row>
    <row r="75" spans="9:10" x14ac:dyDescent="0.2">
      <c r="I75" s="749"/>
      <c r="J75" s="749"/>
    </row>
    <row r="76" spans="9:10" x14ac:dyDescent="0.2">
      <c r="I76" s="749"/>
      <c r="J76" s="749"/>
    </row>
    <row r="77" spans="9:10" x14ac:dyDescent="0.2">
      <c r="I77" s="749"/>
      <c r="J77" s="749"/>
    </row>
    <row r="78" spans="9:10" x14ac:dyDescent="0.2">
      <c r="I78" s="749"/>
      <c r="J78" s="749"/>
    </row>
    <row r="79" spans="9:10" x14ac:dyDescent="0.2">
      <c r="I79" s="749"/>
      <c r="J79" s="749"/>
    </row>
    <row r="80" spans="9:10" x14ac:dyDescent="0.2">
      <c r="I80" s="749"/>
      <c r="J80" s="749"/>
    </row>
    <row r="81" spans="9:10" x14ac:dyDescent="0.2">
      <c r="I81" s="749"/>
      <c r="J81" s="749"/>
    </row>
    <row r="82" spans="9:10" x14ac:dyDescent="0.2">
      <c r="I82" s="749"/>
      <c r="J82" s="749"/>
    </row>
    <row r="83" spans="9:10" x14ac:dyDescent="0.2">
      <c r="I83" s="749"/>
      <c r="J83" s="749"/>
    </row>
    <row r="84" spans="9:10" x14ac:dyDescent="0.2">
      <c r="I84" s="749"/>
      <c r="J84" s="749"/>
    </row>
    <row r="85" spans="9:10" x14ac:dyDescent="0.2">
      <c r="I85" s="749"/>
      <c r="J85" s="749"/>
    </row>
    <row r="86" spans="9:10" x14ac:dyDescent="0.2">
      <c r="I86" s="749"/>
      <c r="J86" s="749"/>
    </row>
    <row r="87" spans="9:10" x14ac:dyDescent="0.2">
      <c r="I87" s="749"/>
      <c r="J87" s="749"/>
    </row>
    <row r="88" spans="9:10" x14ac:dyDescent="0.2">
      <c r="I88" s="749"/>
      <c r="J88" s="749"/>
    </row>
    <row r="89" spans="9:10" x14ac:dyDescent="0.2">
      <c r="I89" s="749"/>
      <c r="J89" s="749"/>
    </row>
    <row r="90" spans="9:10" x14ac:dyDescent="0.2">
      <c r="I90" s="749"/>
      <c r="J90" s="749"/>
    </row>
    <row r="91" spans="9:10" x14ac:dyDescent="0.2">
      <c r="I91" s="749"/>
      <c r="J91" s="749"/>
    </row>
    <row r="92" spans="9:10" x14ac:dyDescent="0.2">
      <c r="I92" s="749"/>
      <c r="J92" s="749"/>
    </row>
    <row r="93" spans="9:10" x14ac:dyDescent="0.2">
      <c r="I93" s="749"/>
      <c r="J93" s="749"/>
    </row>
    <row r="94" spans="9:10" x14ac:dyDescent="0.2">
      <c r="I94" s="749"/>
      <c r="J94" s="749"/>
    </row>
    <row r="95" spans="9:10" x14ac:dyDescent="0.2">
      <c r="I95" s="749"/>
      <c r="J95" s="749"/>
    </row>
    <row r="96" spans="9:10" x14ac:dyDescent="0.2">
      <c r="I96" s="749"/>
      <c r="J96" s="749"/>
    </row>
    <row r="97" spans="9:10" x14ac:dyDescent="0.2">
      <c r="I97" s="749"/>
      <c r="J97" s="749"/>
    </row>
    <row r="98" spans="9:10" x14ac:dyDescent="0.2">
      <c r="I98" s="749"/>
      <c r="J98" s="749"/>
    </row>
    <row r="99" spans="9:10" x14ac:dyDescent="0.2">
      <c r="I99" s="749"/>
      <c r="J99" s="749"/>
    </row>
    <row r="100" spans="9:10" x14ac:dyDescent="0.2">
      <c r="I100" s="749"/>
      <c r="J100" s="749"/>
    </row>
    <row r="101" spans="9:10" x14ac:dyDescent="0.2">
      <c r="I101" s="749"/>
      <c r="J101" s="749"/>
    </row>
    <row r="102" spans="9:10" x14ac:dyDescent="0.2">
      <c r="I102" s="749"/>
      <c r="J102" s="749"/>
    </row>
    <row r="103" spans="9:10" x14ac:dyDescent="0.2">
      <c r="I103" s="749"/>
      <c r="J103" s="749"/>
    </row>
    <row r="104" spans="9:10" x14ac:dyDescent="0.2">
      <c r="I104" s="749"/>
      <c r="J104" s="749"/>
    </row>
    <row r="105" spans="9:10" x14ac:dyDescent="0.2">
      <c r="I105" s="749"/>
      <c r="J105" s="749"/>
    </row>
    <row r="106" spans="9:10" x14ac:dyDescent="0.2">
      <c r="I106" s="749"/>
      <c r="J106" s="749"/>
    </row>
    <row r="107" spans="9:10" x14ac:dyDescent="0.2">
      <c r="I107" s="749"/>
      <c r="J107" s="749"/>
    </row>
    <row r="108" spans="9:10" x14ac:dyDescent="0.2">
      <c r="I108" s="749"/>
      <c r="J108" s="749"/>
    </row>
    <row r="109" spans="9:10" x14ac:dyDescent="0.2">
      <c r="I109" s="749"/>
      <c r="J109" s="749"/>
    </row>
    <row r="110" spans="9:10" x14ac:dyDescent="0.2">
      <c r="I110" s="749"/>
      <c r="J110" s="749"/>
    </row>
    <row r="111" spans="9:10" x14ac:dyDescent="0.2">
      <c r="I111" s="563"/>
      <c r="J111" s="749"/>
    </row>
    <row r="112" spans="9:10" x14ac:dyDescent="0.2">
      <c r="I112" s="563"/>
      <c r="J112" s="749"/>
    </row>
    <row r="113" spans="9:10" x14ac:dyDescent="0.2">
      <c r="I113" s="563"/>
      <c r="J113" s="749"/>
    </row>
    <row r="114" spans="9:10" x14ac:dyDescent="0.2">
      <c r="I114" s="563"/>
      <c r="J114" s="749"/>
    </row>
    <row r="115" spans="9:10" x14ac:dyDescent="0.2">
      <c r="I115" s="563"/>
      <c r="J115" s="749"/>
    </row>
    <row r="116" spans="9:10" x14ac:dyDescent="0.2">
      <c r="I116" s="563"/>
      <c r="J116" s="749"/>
    </row>
    <row r="117" spans="9:10" x14ac:dyDescent="0.2">
      <c r="I117" s="563"/>
      <c r="J117" s="563"/>
    </row>
    <row r="118" spans="9:10" x14ac:dyDescent="0.2">
      <c r="I118" s="563"/>
      <c r="J118" s="563"/>
    </row>
    <row r="119" spans="9:10" x14ac:dyDescent="0.2">
      <c r="I119" s="563"/>
      <c r="J119" s="563"/>
    </row>
    <row r="120" spans="9:10" x14ac:dyDescent="0.2">
      <c r="I120" s="563"/>
      <c r="J120" s="563"/>
    </row>
    <row r="121" spans="9:10" x14ac:dyDescent="0.2">
      <c r="I121" s="563"/>
      <c r="J121" s="563"/>
    </row>
    <row r="122" spans="9:10" x14ac:dyDescent="0.2">
      <c r="I122" s="563"/>
      <c r="J122" s="563"/>
    </row>
    <row r="123" spans="9:10" x14ac:dyDescent="0.2">
      <c r="I123" s="563"/>
      <c r="J123" s="563"/>
    </row>
    <row r="124" spans="9:10" x14ac:dyDescent="0.2">
      <c r="I124" s="563"/>
      <c r="J124" s="563"/>
    </row>
    <row r="125" spans="9:10" x14ac:dyDescent="0.2">
      <c r="I125" s="563"/>
      <c r="J125" s="563"/>
    </row>
    <row r="126" spans="9:10" x14ac:dyDescent="0.2">
      <c r="I126" s="563"/>
      <c r="J126" s="563"/>
    </row>
    <row r="127" spans="9:10" x14ac:dyDescent="0.2">
      <c r="J127" s="563"/>
    </row>
    <row r="128" spans="9:10" x14ac:dyDescent="0.2">
      <c r="J128" s="563"/>
    </row>
    <row r="129" spans="10:10" x14ac:dyDescent="0.2">
      <c r="J129" s="563"/>
    </row>
    <row r="130" spans="10:10" x14ac:dyDescent="0.2">
      <c r="J130" s="563"/>
    </row>
    <row r="131" spans="10:10" x14ac:dyDescent="0.2">
      <c r="J131" s="563"/>
    </row>
    <row r="132" spans="10:10" x14ac:dyDescent="0.2">
      <c r="J132" s="563"/>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6" width="9" style="556" bestFit="1"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bestFit="1" customWidth="1"/>
    <col min="30" max="31" width="8.140625" style="556"/>
    <col min="32" max="32" width="17.42578125" style="556" bestFit="1" customWidth="1"/>
    <col min="33" max="33" width="7" style="556" bestFit="1" customWidth="1"/>
    <col min="34" max="35" width="8.140625" style="556" bestFit="1" customWidth="1"/>
    <col min="36" max="36" width="10.42578125" style="556"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7" t="s">
        <v>367</v>
      </c>
      <c r="AB2" s="1377"/>
      <c r="AC2" s="1377"/>
      <c r="AF2" s="594" t="s">
        <v>357</v>
      </c>
      <c r="AG2" s="594" t="s">
        <v>275</v>
      </c>
      <c r="AH2" s="594" t="s">
        <v>366</v>
      </c>
      <c r="AI2" s="594" t="s">
        <v>286</v>
      </c>
      <c r="AJ2" s="594" t="s">
        <v>365</v>
      </c>
    </row>
    <row r="3" spans="1:39" ht="12" customHeight="1" x14ac:dyDescent="0.25">
      <c r="C3" s="813" t="str">
        <f>$D$10&amp;"LastFixing"&amp;QuoteSuffix</f>
        <v>Euribor3MLastFixing_Quote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3M'!P3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8"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817"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93" t="e">
        <f ca="1">IF(_xll.qlIMMIsIMMdate(D4,FALSE),_xll.qlIMMcode(D4),"0")</f>
        <v>#NAME?</v>
      </c>
      <c r="B4" s="819" t="e">
        <f ca="1">A4+SUBSTITUTE($D$9,"M","")</f>
        <v>#NAME?</v>
      </c>
      <c r="C4" s="802" t="e">
        <f ca="1">"Delta("&amp;A4&amp;"M,"&amp;B4&amp;"M)extrap"</f>
        <v>#NAME?</v>
      </c>
      <c r="D4" s="759" t="e">
        <f ca="1">IF((_xll.qlIMMNextDate(SettlementDate-1,FALSE)-SettlementDate)&lt;7,_xll.qlIMMNextDate(SettlementDate-1,FALSE),SettlementDate)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LN((1+(_xll.qlInterpolationInterpolate(B3Minterpolation,D4,TRUE,AllTriggers)+I4)*H4)/(1+I4*H4))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8"/>
      <c r="S4" s="782" t="e">
        <f ca="1"/>
        <v>#NAME?</v>
      </c>
      <c r="T4" s="803" t="e">
        <f ca="1"/>
        <v>#NAME?</v>
      </c>
      <c r="U4" s="781" t="e">
        <f ca="1"/>
        <v>#NAME?</v>
      </c>
      <c r="V4" s="804" t="s">
        <v>180</v>
      </c>
      <c r="W4" s="771" t="e">
        <f ca="1"/>
        <v>#NAME?</v>
      </c>
      <c r="X4" s="804" t="s">
        <v>358</v>
      </c>
      <c r="Y4" s="817"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_xll.ohTrigger(AF3:AF65)</f>
        <v>#NAME?</v>
      </c>
    </row>
    <row r="5" spans="1:39" ht="12" customHeight="1" x14ac:dyDescent="0.2">
      <c r="A5" s="565" t="e">
        <f t="shared" ref="A5:B7" ca="1" si="3">MONTH(D5)</f>
        <v>#NAME?</v>
      </c>
      <c r="B5" s="819" t="e">
        <f t="shared" ca="1" si="3"/>
        <v>#NAME?</v>
      </c>
      <c r="C5" s="802" t="e">
        <f ca="1">"Delta("&amp;A5&amp;"M,"&amp;B5&amp;"M)"</f>
        <v>#NAME?</v>
      </c>
      <c r="D5" s="759" t="e">
        <f ca="1">_xll.qlIMMNextDate(D4,FALSE)</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LN((1+(_xll.qlInterpolationInterpolate(B3Minterpolation,D5,TRUE,AllTriggers)+I5)*H5)/(1+I5*H5))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8"/>
      <c r="S5" s="782" t="e">
        <f ca="1"/>
        <v>#NAME?</v>
      </c>
      <c r="T5" s="803" t="e">
        <f ca="1"/>
        <v>#NAME?</v>
      </c>
      <c r="U5" s="781" t="e">
        <f ca="1"/>
        <v>#NAME?</v>
      </c>
      <c r="V5" s="565"/>
      <c r="W5" s="771" t="e">
        <f ca="1"/>
        <v>#NAME?</v>
      </c>
      <c r="X5" s="804"/>
      <c r="Y5" s="817"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t="e">
        <f t="shared" ca="1" si="3"/>
        <v>#NAME?</v>
      </c>
      <c r="B6" s="819" t="e">
        <f t="shared" ca="1" si="3"/>
        <v>#NAME?</v>
      </c>
      <c r="C6" s="802" t="e">
        <f ca="1">"Delta("&amp;A6&amp;"M,"&amp;B6&amp;"M)"</f>
        <v>#NAME?</v>
      </c>
      <c r="D6" s="759" t="e">
        <f ca="1">_xll.qlIMMNextDate(D5,FALSE)</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LN((1+(_xll.qlInterpolationInterpolate(B3Minterpolation,D6,TRUE,AllTriggers)+I6)*H6)/(1+I6*H6))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t="e">
        <f t="shared" ca="1" si="3"/>
        <v>#NAME?</v>
      </c>
      <c r="B7" s="819" t="e">
        <f t="shared" ca="1" si="3"/>
        <v>#NAME?</v>
      </c>
      <c r="C7" s="795" t="e">
        <f ca="1">"Delta("&amp;A7&amp;"M,"&amp;B7&amp;"M)"</f>
        <v>#NAME?</v>
      </c>
      <c r="D7" s="754" t="e">
        <f ca="1">_xll.qlIMMNextDate(D6,FALSE)</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LN((1+(_xll.qlInterpolationInterpolate(B3Minterpolation,D7,TRUE,AllTriggers)+I7)*H7)/(1+I7*H7))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127</v>
      </c>
      <c r="R9" s="1377" t="s">
        <v>351</v>
      </c>
      <c r="S9" s="783"/>
      <c r="T9" s="782" t="e">
        <f t="array" aca="1" ref="T9:T10" ca="1">_xll.ohFilter(N3:N7,P3:P7)</f>
        <v>#NAME?</v>
      </c>
      <c r="U9" s="781" t="e">
        <f t="array" aca="1" ref="U9:U10" ca="1">_xll.ohFilter(M3:M7,P3:P7)</f>
        <v>#NAME?</v>
      </c>
      <c r="V9" s="1379" t="s">
        <v>180</v>
      </c>
      <c r="W9" s="771" t="e">
        <f t="array" aca="1" ref="W9:W10" ca="1">MMULT(AA9:AB10,Y9:Y10)</f>
        <v>#NAME?</v>
      </c>
      <c r="X9" s="1379" t="s">
        <v>358</v>
      </c>
      <c r="Y9" s="817"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Euribor3M</v>
      </c>
      <c r="R10" s="1377"/>
      <c r="S10" s="783"/>
      <c r="T10" s="782" t="e">
        <f ca="1"/>
        <v>#NAME?</v>
      </c>
      <c r="U10" s="781" t="e">
        <f ca="1"/>
        <v>#NAME?</v>
      </c>
      <c r="V10" s="1379"/>
      <c r="W10" s="771" t="e">
        <f ca="1"/>
        <v>#NAME?</v>
      </c>
      <c r="X10" s="1379"/>
      <c r="Y10" s="817"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375</v>
      </c>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818" t="str">
        <f>"Synthetic Deposits "&amp;D9</f>
        <v>Synthetic Deposits 3M</v>
      </c>
      <c r="O13" s="818"/>
      <c r="P13" s="818"/>
      <c r="R13" s="770" t="s">
        <v>355</v>
      </c>
      <c r="U13" s="768" t="e">
        <f t="array" aca="1" ref="U13" ca="1">_xll.ohFilter(M3:M7,P3:P7)</f>
        <v>#NAME?</v>
      </c>
      <c r="V13" s="770" t="s">
        <v>180</v>
      </c>
      <c r="W13" s="771" t="e">
        <f ca="1">MMULT(AA13,Y13)</f>
        <v>#NAME?</v>
      </c>
      <c r="X13" s="770" t="s">
        <v>358</v>
      </c>
      <c r="Y13" s="817"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594" t="s">
        <v>315</v>
      </c>
      <c r="M14" s="766" t="s">
        <v>314</v>
      </c>
      <c r="N14" s="765" t="s">
        <v>355</v>
      </c>
      <c r="O14" s="765" t="s">
        <v>351</v>
      </c>
      <c r="P14" s="765" t="s">
        <v>354</v>
      </c>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1" ca="1" si="4">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581" t="e">
        <f ca="1">_xll.qlYieldTSDiscount(Discounting,E15,,AllTriggers)</f>
        <v>#NAME?</v>
      </c>
      <c r="M15" s="816" t="e">
        <f t="shared" ref="M15:M21" ca="1" si="5">(K15/L15-1)/J15</f>
        <v>#NAME?</v>
      </c>
      <c r="N15" s="580" t="e">
        <f t="shared" ref="N15:N21" ca="1" si="6">((1+M15*J15)*EXP($W$13*J15)-1)/J15</f>
        <v>#NAME?</v>
      </c>
      <c r="O15" s="580" t="e">
        <f t="shared" ref="O15:O21" ca="1" si="7">((1+J15*M15)*EXP($W$10*J15+0.5*$W$9*J15^2)-1)/J15</f>
        <v>#NAME?</v>
      </c>
      <c r="P15" s="580" t="e">
        <f t="shared" ref="P15:P21" ca="1" si="8">((1+J15*M15)*EXP($W$5*J15+0.5*$W$4*J15^2+1/3*$W$3*J15^3)-1)/J15</f>
        <v>#NAME?</v>
      </c>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4"/>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577" t="e">
        <f ca="1">_xll.qlYieldTSDiscount(Discounting,E16,,AllTriggers)</f>
        <v>#NAME?</v>
      </c>
      <c r="M16" s="816" t="e">
        <f t="shared" ca="1" si="5"/>
        <v>#NAME?</v>
      </c>
      <c r="N16" s="575" t="e">
        <f t="shared" ca="1" si="6"/>
        <v>#NAME?</v>
      </c>
      <c r="O16" s="575" t="e">
        <f t="shared" ca="1" si="7"/>
        <v>#NAME?</v>
      </c>
      <c r="P16" s="575" t="e">
        <f t="shared" ca="1" si="8"/>
        <v>#NAME?</v>
      </c>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4"/>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577" t="e">
        <f ca="1">_xll.qlYieldTSDiscount(Discounting,E17,,AllTriggers)</f>
        <v>#NAME?</v>
      </c>
      <c r="M17" s="816" t="e">
        <f t="shared" ca="1" si="5"/>
        <v>#NAME?</v>
      </c>
      <c r="N17" s="575" t="e">
        <f t="shared" ca="1" si="6"/>
        <v>#NAME?</v>
      </c>
      <c r="O17" s="575" t="e">
        <f t="shared" ca="1" si="7"/>
        <v>#NAME?</v>
      </c>
      <c r="P17" s="575" t="e">
        <f t="shared" ca="1" si="8"/>
        <v>#NAME?</v>
      </c>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4"/>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577" t="e">
        <f ca="1">_xll.qlYieldTSDiscount(Discounting,E18,,AllTriggers)</f>
        <v>#NAME?</v>
      </c>
      <c r="M18" s="816" t="e">
        <f t="shared" ca="1" si="5"/>
        <v>#NAME?</v>
      </c>
      <c r="N18" s="575" t="e">
        <f t="shared" ca="1" si="6"/>
        <v>#NAME?</v>
      </c>
      <c r="O18" s="575" t="e">
        <f t="shared" ca="1" si="7"/>
        <v>#NAME?</v>
      </c>
      <c r="P18" s="575" t="e">
        <f t="shared" ca="1" si="8"/>
        <v>#NAME?</v>
      </c>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4"/>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577" t="e">
        <f ca="1">_xll.qlYieldTSDiscount(Discounting,E19,,AllTriggers)</f>
        <v>#NAME?</v>
      </c>
      <c r="M19" s="816" t="e">
        <f t="shared" ca="1" si="5"/>
        <v>#NAME?</v>
      </c>
      <c r="N19" s="575" t="e">
        <f t="shared" ca="1" si="6"/>
        <v>#NAME?</v>
      </c>
      <c r="O19" s="575" t="e">
        <f t="shared" ca="1" si="7"/>
        <v>#NAME?</v>
      </c>
      <c r="P19" s="575" t="e">
        <f t="shared" ca="1" si="8"/>
        <v>#NAME?</v>
      </c>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4"/>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577" t="e">
        <f ca="1">_xll.qlYieldTSDiscount(Discounting,E20,,AllTriggers)</f>
        <v>#NAME?</v>
      </c>
      <c r="M20" s="816" t="e">
        <f t="shared" ca="1" si="5"/>
        <v>#NAME?</v>
      </c>
      <c r="N20" s="575" t="e">
        <f t="shared" ca="1" si="6"/>
        <v>#NAME?</v>
      </c>
      <c r="O20" s="575" t="e">
        <f t="shared" ca="1" si="7"/>
        <v>#NAME?</v>
      </c>
      <c r="P20" s="575" t="e">
        <f t="shared" ca="1" si="8"/>
        <v>#NAME?</v>
      </c>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55" t="s">
        <v>127</v>
      </c>
      <c r="D21" s="754" t="e">
        <f t="shared" ca="1" si="4"/>
        <v>#NAME?</v>
      </c>
      <c r="E21" s="560" t="e">
        <f ca="1">_xll.qlCalendarAdvance(Calendar,SettlementDate,C21,"mf",TRUE,Trigger)</f>
        <v>#NAME?</v>
      </c>
      <c r="F21" s="753"/>
      <c r="G21" s="753"/>
      <c r="H21" s="753"/>
      <c r="I21" s="753"/>
      <c r="J21" s="571" t="e">
        <f ca="1">_xll.qlDayCounterYearFraction(DayCounter,D21,E21,,,Trigger)</f>
        <v>#NAME?</v>
      </c>
      <c r="K21" s="752" t="e">
        <f ca="1">_xll.qlYieldTSDiscount(Discounting,D21,,AllTriggers)</f>
        <v>#NAME?</v>
      </c>
      <c r="L21" s="570" t="e">
        <f ca="1">_xll.qlYieldTSDiscount(Discounting,E21,,AllTriggers)</f>
        <v>#NAME?</v>
      </c>
      <c r="M21" s="815" t="e">
        <f t="shared" ca="1" si="5"/>
        <v>#NAME?</v>
      </c>
      <c r="N21" s="568" t="e">
        <f t="shared" ca="1" si="6"/>
        <v>#NAME?</v>
      </c>
      <c r="O21" s="568" t="e">
        <f t="shared" ca="1" si="7"/>
        <v>#NAME?</v>
      </c>
      <c r="P21" s="568" t="e">
        <f t="shared" ca="1" si="8"/>
        <v>#NAME?</v>
      </c>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594" t="s">
        <v>352</v>
      </c>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0" t="s">
        <v>364</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575" t="e">
        <f t="shared" ref="C25:C31" ca="1" si="9">IF($C$24="FLAT",N15,IF($C$24="linear",O15,P15))</f>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75" t="e">
        <f t="shared" ca="1" si="9"/>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575" t="e">
        <f t="shared" ca="1" si="9"/>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ca="1" si="9"/>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9"/>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9"/>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68" t="e">
        <f t="shared" ca="1" si="9"/>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13:36" x14ac:dyDescent="0.2">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13:36" x14ac:dyDescent="0.2">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13:36" x14ac:dyDescent="0.2">
      <c r="AF35" s="562" t="e">
        <f ca="1">_xll.qlCalendarAdvance(Calendar,AF34,"1d","mf",,Trigger)</f>
        <v>#NAME?</v>
      </c>
      <c r="AG35" s="578" t="e">
        <f ca="1">_xll.qlDayCounterYearFraction(DayCounter,SettlementDate,AF35,,,Trigger)</f>
        <v>#NAME?</v>
      </c>
      <c r="AH35" s="575" t="e">
        <f t="shared" ref="AH35:AH65" ca="1" si="10">$W$13</f>
        <v>#NAME?</v>
      </c>
      <c r="AI35" s="575" t="e">
        <f t="shared" ref="AI35:AI65" ca="1" si="11">$W$10+$W$9*AG35</f>
        <v>#NAME?</v>
      </c>
      <c r="AJ35" s="575" t="e">
        <f t="shared" ref="AJ35:AJ65" ca="1" si="12">($W$5+$W$4*AG35+$W$3*AG35^2)</f>
        <v>#NAME?</v>
      </c>
    </row>
    <row r="36" spans="13:36" x14ac:dyDescent="0.2">
      <c r="AF36" s="562" t="e">
        <f ca="1">_xll.qlCalendarAdvance(Calendar,AF35,"1d","mf",,Trigger)</f>
        <v>#NAME?</v>
      </c>
      <c r="AG36" s="578" t="e">
        <f ca="1">_xll.qlDayCounterYearFraction(DayCounter,SettlementDate,AF36,,,Trigger)</f>
        <v>#NAME?</v>
      </c>
      <c r="AH36" s="575" t="e">
        <f t="shared" ca="1" si="10"/>
        <v>#NAME?</v>
      </c>
      <c r="AI36" s="575" t="e">
        <f t="shared" ca="1" si="11"/>
        <v>#NAME?</v>
      </c>
      <c r="AJ36" s="575" t="e">
        <f t="shared" ca="1" si="12"/>
        <v>#NAME?</v>
      </c>
    </row>
    <row r="37" spans="13:36" x14ac:dyDescent="0.2">
      <c r="AF37" s="562" t="e">
        <f ca="1">_xll.qlCalendarAdvance(Calendar,AF36,"1d","mf",,Trigger)</f>
        <v>#NAME?</v>
      </c>
      <c r="AG37" s="578" t="e">
        <f ca="1">_xll.qlDayCounterYearFraction(DayCounter,SettlementDate,AF37,,,Trigger)</f>
        <v>#NAME?</v>
      </c>
      <c r="AH37" s="575" t="e">
        <f t="shared" ca="1" si="10"/>
        <v>#NAME?</v>
      </c>
      <c r="AI37" s="575" t="e">
        <f t="shared" ca="1" si="11"/>
        <v>#NAME?</v>
      </c>
      <c r="AJ37" s="575" t="e">
        <f t="shared" ca="1" si="12"/>
        <v>#NAME?</v>
      </c>
    </row>
    <row r="38" spans="13:36" x14ac:dyDescent="0.2">
      <c r="AF38" s="562" t="e">
        <f ca="1">_xll.qlCalendarAdvance(Calendar,AF37,"1d","mf",,Trigger)</f>
        <v>#NAME?</v>
      </c>
      <c r="AG38" s="578" t="e">
        <f ca="1">_xll.qlDayCounterYearFraction(DayCounter,SettlementDate,AF38,,,Trigger)</f>
        <v>#NAME?</v>
      </c>
      <c r="AH38" s="575" t="e">
        <f t="shared" ca="1" si="10"/>
        <v>#NAME?</v>
      </c>
      <c r="AI38" s="575" t="e">
        <f t="shared" ca="1" si="11"/>
        <v>#NAME?</v>
      </c>
      <c r="AJ38" s="575" t="e">
        <f t="shared" ca="1" si="12"/>
        <v>#NAME?</v>
      </c>
    </row>
    <row r="39" spans="13:36" x14ac:dyDescent="0.2">
      <c r="AF39" s="562" t="e">
        <f ca="1">_xll.qlCalendarAdvance(Calendar,AF38,"1d","mf",,Trigger)</f>
        <v>#NAME?</v>
      </c>
      <c r="AG39" s="578" t="e">
        <f ca="1">_xll.qlDayCounterYearFraction(DayCounter,SettlementDate,AF39,,,Trigger)</f>
        <v>#NAME?</v>
      </c>
      <c r="AH39" s="575" t="e">
        <f t="shared" ca="1" si="10"/>
        <v>#NAME?</v>
      </c>
      <c r="AI39" s="575" t="e">
        <f t="shared" ca="1" si="11"/>
        <v>#NAME?</v>
      </c>
      <c r="AJ39" s="575" t="e">
        <f t="shared" ca="1" si="12"/>
        <v>#NAME?</v>
      </c>
    </row>
    <row r="40" spans="13:36" x14ac:dyDescent="0.2">
      <c r="AF40" s="562" t="e">
        <f ca="1">_xll.qlCalendarAdvance(Calendar,AF39,"1d","mf",,Trigger)</f>
        <v>#NAME?</v>
      </c>
      <c r="AG40" s="578" t="e">
        <f ca="1">_xll.qlDayCounterYearFraction(DayCounter,SettlementDate,AF40,,,Trigger)</f>
        <v>#NAME?</v>
      </c>
      <c r="AH40" s="575" t="e">
        <f t="shared" ca="1" si="10"/>
        <v>#NAME?</v>
      </c>
      <c r="AI40" s="575" t="e">
        <f t="shared" ca="1" si="11"/>
        <v>#NAME?</v>
      </c>
      <c r="AJ40" s="575" t="e">
        <f t="shared" ca="1" si="12"/>
        <v>#NAME?</v>
      </c>
    </row>
    <row r="41" spans="13:36" x14ac:dyDescent="0.2">
      <c r="M41" s="749"/>
      <c r="N41" s="749"/>
      <c r="AF41" s="562" t="e">
        <f ca="1">_xll.qlCalendarAdvance(Calendar,AF40,"1d","mf",,Trigger)</f>
        <v>#NAME?</v>
      </c>
      <c r="AG41" s="578" t="e">
        <f ca="1">_xll.qlDayCounterYearFraction(DayCounter,SettlementDate,AF41,,,Trigger)</f>
        <v>#NAME?</v>
      </c>
      <c r="AH41" s="575" t="e">
        <f t="shared" ca="1" si="10"/>
        <v>#NAME?</v>
      </c>
      <c r="AI41" s="575" t="e">
        <f t="shared" ca="1" si="11"/>
        <v>#NAME?</v>
      </c>
      <c r="AJ41" s="575" t="e">
        <f t="shared" ca="1" si="12"/>
        <v>#NAME?</v>
      </c>
    </row>
    <row r="42" spans="13:36" x14ac:dyDescent="0.2">
      <c r="AF42" s="562" t="e">
        <f ca="1">_xll.qlCalendarAdvance(Calendar,AF41,"1d","mf",,Trigger)</f>
        <v>#NAME?</v>
      </c>
      <c r="AG42" s="578" t="e">
        <f ca="1">_xll.qlDayCounterYearFraction(DayCounter,SettlementDate,AF42,,,Trigger)</f>
        <v>#NAME?</v>
      </c>
      <c r="AH42" s="575" t="e">
        <f t="shared" ca="1" si="10"/>
        <v>#NAME?</v>
      </c>
      <c r="AI42" s="575" t="e">
        <f t="shared" ca="1" si="11"/>
        <v>#NAME?</v>
      </c>
      <c r="AJ42" s="575" t="e">
        <f t="shared" ca="1" si="12"/>
        <v>#NAME?</v>
      </c>
    </row>
    <row r="43" spans="13:36" ht="11.25" customHeight="1" x14ac:dyDescent="0.2">
      <c r="AF43" s="562" t="e">
        <f ca="1">_xll.qlCalendarAdvance(Calendar,AF42,"1d","mf",,Trigger)</f>
        <v>#NAME?</v>
      </c>
      <c r="AG43" s="578" t="e">
        <f ca="1">_xll.qlDayCounterYearFraction(DayCounter,SettlementDate,AF43,,,Trigger)</f>
        <v>#NAME?</v>
      </c>
      <c r="AH43" s="575" t="e">
        <f t="shared" ca="1" si="10"/>
        <v>#NAME?</v>
      </c>
      <c r="AI43" s="575" t="e">
        <f t="shared" ca="1" si="11"/>
        <v>#NAME?</v>
      </c>
      <c r="AJ43" s="575" t="e">
        <f t="shared" ca="1" si="12"/>
        <v>#NAME?</v>
      </c>
    </row>
    <row r="44" spans="13:36" x14ac:dyDescent="0.2">
      <c r="Q44" s="814"/>
      <c r="AF44" s="562" t="e">
        <f ca="1">_xll.qlCalendarAdvance(Calendar,AF43,"1d","mf",,Trigger)</f>
        <v>#NAME?</v>
      </c>
      <c r="AG44" s="578" t="e">
        <f ca="1">_xll.qlDayCounterYearFraction(DayCounter,SettlementDate,AF44,,,Trigger)</f>
        <v>#NAME?</v>
      </c>
      <c r="AH44" s="575" t="e">
        <f t="shared" ca="1" si="10"/>
        <v>#NAME?</v>
      </c>
      <c r="AI44" s="575" t="e">
        <f t="shared" ca="1" si="11"/>
        <v>#NAME?</v>
      </c>
      <c r="AJ44" s="575" t="e">
        <f t="shared" ca="1" si="12"/>
        <v>#NAME?</v>
      </c>
    </row>
    <row r="45" spans="13:36" x14ac:dyDescent="0.2">
      <c r="Q45" s="814"/>
      <c r="AF45" s="562" t="e">
        <f ca="1">_xll.qlCalendarAdvance(Calendar,AF44,"1d","mf",,Trigger)</f>
        <v>#NAME?</v>
      </c>
      <c r="AG45" s="578" t="e">
        <f ca="1">_xll.qlDayCounterYearFraction(DayCounter,SettlementDate,AF45,,,Trigger)</f>
        <v>#NAME?</v>
      </c>
      <c r="AH45" s="575" t="e">
        <f t="shared" ca="1" si="10"/>
        <v>#NAME?</v>
      </c>
      <c r="AI45" s="575" t="e">
        <f t="shared" ca="1" si="11"/>
        <v>#NAME?</v>
      </c>
      <c r="AJ45" s="575" t="e">
        <f t="shared" ca="1" si="12"/>
        <v>#NAME?</v>
      </c>
    </row>
    <row r="46" spans="13:36" x14ac:dyDescent="0.2">
      <c r="Q46" s="814"/>
      <c r="AF46" s="562" t="e">
        <f ca="1">_xll.qlCalendarAdvance(Calendar,AF45,"1d","mf",,Trigger)</f>
        <v>#NAME?</v>
      </c>
      <c r="AG46" s="578" t="e">
        <f ca="1">_xll.qlDayCounterYearFraction(DayCounter,SettlementDate,AF46,,,Trigger)</f>
        <v>#NAME?</v>
      </c>
      <c r="AH46" s="575" t="e">
        <f t="shared" ca="1" si="10"/>
        <v>#NAME?</v>
      </c>
      <c r="AI46" s="575" t="e">
        <f t="shared" ca="1" si="11"/>
        <v>#NAME?</v>
      </c>
      <c r="AJ46" s="575" t="e">
        <f t="shared" ca="1" si="12"/>
        <v>#NAME?</v>
      </c>
    </row>
    <row r="47" spans="13:36" x14ac:dyDescent="0.2">
      <c r="Q47" s="814"/>
      <c r="AF47" s="562" t="e">
        <f ca="1">_xll.qlCalendarAdvance(Calendar,AF46,"1d","mf",,Trigger)</f>
        <v>#NAME?</v>
      </c>
      <c r="AG47" s="578" t="e">
        <f ca="1">_xll.qlDayCounterYearFraction(DayCounter,SettlementDate,AF47,,,Trigger)</f>
        <v>#NAME?</v>
      </c>
      <c r="AH47" s="575" t="e">
        <f t="shared" ca="1" si="10"/>
        <v>#NAME?</v>
      </c>
      <c r="AI47" s="575" t="e">
        <f t="shared" ca="1" si="11"/>
        <v>#NAME?</v>
      </c>
      <c r="AJ47" s="575" t="e">
        <f t="shared" ca="1" si="12"/>
        <v>#NAME?</v>
      </c>
    </row>
    <row r="48" spans="13:36" x14ac:dyDescent="0.2">
      <c r="Q48" s="814"/>
      <c r="AF48" s="562" t="e">
        <f ca="1">_xll.qlCalendarAdvance(Calendar,AF47,"1d","mf",,Trigger)</f>
        <v>#NAME?</v>
      </c>
      <c r="AG48" s="578" t="e">
        <f ca="1">_xll.qlDayCounterYearFraction(DayCounter,SettlementDate,AF48,,,Trigger)</f>
        <v>#NAME?</v>
      </c>
      <c r="AH48" s="575" t="e">
        <f t="shared" ca="1" si="10"/>
        <v>#NAME?</v>
      </c>
      <c r="AI48" s="575" t="e">
        <f t="shared" ca="1" si="11"/>
        <v>#NAME?</v>
      </c>
      <c r="AJ48" s="575" t="e">
        <f t="shared" ca="1" si="12"/>
        <v>#NAME?</v>
      </c>
    </row>
    <row r="49" spans="13:36" x14ac:dyDescent="0.2">
      <c r="AF49" s="562" t="e">
        <f ca="1">_xll.qlCalendarAdvance(Calendar,AF48,"1d","mf",,Trigger)</f>
        <v>#NAME?</v>
      </c>
      <c r="AG49" s="578" t="e">
        <f ca="1">_xll.qlDayCounterYearFraction(DayCounter,SettlementDate,AF49,,,Trigger)</f>
        <v>#NAME?</v>
      </c>
      <c r="AH49" s="575" t="e">
        <f t="shared" ca="1" si="10"/>
        <v>#NAME?</v>
      </c>
      <c r="AI49" s="575" t="e">
        <f t="shared" ca="1" si="11"/>
        <v>#NAME?</v>
      </c>
      <c r="AJ49" s="575" t="e">
        <f t="shared" ca="1" si="12"/>
        <v>#NAME?</v>
      </c>
    </row>
    <row r="50" spans="13:36" x14ac:dyDescent="0.2">
      <c r="AF50" s="562" t="e">
        <f ca="1">_xll.qlCalendarAdvance(Calendar,AF49,"1d","mf",,Trigger)</f>
        <v>#NAME?</v>
      </c>
      <c r="AG50" s="578" t="e">
        <f ca="1">_xll.qlDayCounterYearFraction(DayCounter,SettlementDate,AF50,,,Trigger)</f>
        <v>#NAME?</v>
      </c>
      <c r="AH50" s="575" t="e">
        <f t="shared" ca="1" si="10"/>
        <v>#NAME?</v>
      </c>
      <c r="AI50" s="575" t="e">
        <f t="shared" ca="1" si="11"/>
        <v>#NAME?</v>
      </c>
      <c r="AJ50" s="575" t="e">
        <f t="shared" ca="1" si="12"/>
        <v>#NAME?</v>
      </c>
    </row>
    <row r="51" spans="13:36" x14ac:dyDescent="0.2">
      <c r="AF51" s="562" t="e">
        <f ca="1">_xll.qlCalendarAdvance(Calendar,AF50,"1d","mf",,Trigger)</f>
        <v>#NAME?</v>
      </c>
      <c r="AG51" s="578" t="e">
        <f ca="1">_xll.qlDayCounterYearFraction(DayCounter,SettlementDate,AF51,,,Trigger)</f>
        <v>#NAME?</v>
      </c>
      <c r="AH51" s="575" t="e">
        <f t="shared" ca="1" si="10"/>
        <v>#NAME?</v>
      </c>
      <c r="AI51" s="575" t="e">
        <f t="shared" ca="1" si="11"/>
        <v>#NAME?</v>
      </c>
      <c r="AJ51" s="575" t="e">
        <f t="shared" ca="1" si="12"/>
        <v>#NAME?</v>
      </c>
    </row>
    <row r="52" spans="13:36" x14ac:dyDescent="0.2">
      <c r="AF52" s="562" t="e">
        <f ca="1">_xll.qlCalendarAdvance(Calendar,AF51,"1d","mf",,Trigger)</f>
        <v>#NAME?</v>
      </c>
      <c r="AG52" s="578" t="e">
        <f ca="1">_xll.qlDayCounterYearFraction(DayCounter,SettlementDate,AF52,,,Trigger)</f>
        <v>#NAME?</v>
      </c>
      <c r="AH52" s="575" t="e">
        <f t="shared" ca="1" si="10"/>
        <v>#NAME?</v>
      </c>
      <c r="AI52" s="575" t="e">
        <f t="shared" ca="1" si="11"/>
        <v>#NAME?</v>
      </c>
      <c r="AJ52" s="575" t="e">
        <f t="shared" ca="1" si="12"/>
        <v>#NAME?</v>
      </c>
    </row>
    <row r="53" spans="13:36" x14ac:dyDescent="0.2">
      <c r="AF53" s="562" t="e">
        <f ca="1">_xll.qlCalendarAdvance(Calendar,AF52,"1d","mf",,Trigger)</f>
        <v>#NAME?</v>
      </c>
      <c r="AG53" s="578" t="e">
        <f ca="1">_xll.qlDayCounterYearFraction(DayCounter,SettlementDate,AF53,,,Trigger)</f>
        <v>#NAME?</v>
      </c>
      <c r="AH53" s="575" t="e">
        <f t="shared" ca="1" si="10"/>
        <v>#NAME?</v>
      </c>
      <c r="AI53" s="575" t="e">
        <f t="shared" ca="1" si="11"/>
        <v>#NAME?</v>
      </c>
      <c r="AJ53" s="575" t="e">
        <f t="shared" ca="1" si="12"/>
        <v>#NAME?</v>
      </c>
    </row>
    <row r="54" spans="13:36" x14ac:dyDescent="0.2">
      <c r="AF54" s="562" t="e">
        <f ca="1">_xll.qlCalendarAdvance(Calendar,AF53,"1d","mf",,Trigger)</f>
        <v>#NAME?</v>
      </c>
      <c r="AG54" s="578" t="e">
        <f ca="1">_xll.qlDayCounterYearFraction(DayCounter,SettlementDate,AF54,,,Trigger)</f>
        <v>#NAME?</v>
      </c>
      <c r="AH54" s="575" t="e">
        <f t="shared" ca="1" si="10"/>
        <v>#NAME?</v>
      </c>
      <c r="AI54" s="575" t="e">
        <f t="shared" ca="1" si="11"/>
        <v>#NAME?</v>
      </c>
      <c r="AJ54" s="575" t="e">
        <f t="shared" ca="1" si="12"/>
        <v>#NAME?</v>
      </c>
    </row>
    <row r="55" spans="13:36" x14ac:dyDescent="0.2">
      <c r="AF55" s="562" t="e">
        <f ca="1">_xll.qlCalendarAdvance(Calendar,AF54,"1d","mf",,Trigger)</f>
        <v>#NAME?</v>
      </c>
      <c r="AG55" s="578" t="e">
        <f ca="1">_xll.qlDayCounterYearFraction(DayCounter,SettlementDate,AF55,,,Trigger)</f>
        <v>#NAME?</v>
      </c>
      <c r="AH55" s="575" t="e">
        <f t="shared" ca="1" si="10"/>
        <v>#NAME?</v>
      </c>
      <c r="AI55" s="575" t="e">
        <f t="shared" ca="1" si="11"/>
        <v>#NAME?</v>
      </c>
      <c r="AJ55" s="575" t="e">
        <f t="shared" ca="1" si="12"/>
        <v>#NAME?</v>
      </c>
    </row>
    <row r="56" spans="13:36" x14ac:dyDescent="0.2">
      <c r="AF56" s="562" t="e">
        <f ca="1">_xll.qlCalendarAdvance(Calendar,AF55,"1d","mf",,Trigger)</f>
        <v>#NAME?</v>
      </c>
      <c r="AG56" s="578" t="e">
        <f ca="1">_xll.qlDayCounterYearFraction(DayCounter,SettlementDate,AF56,,,Trigger)</f>
        <v>#NAME?</v>
      </c>
      <c r="AH56" s="575" t="e">
        <f t="shared" ca="1" si="10"/>
        <v>#NAME?</v>
      </c>
      <c r="AI56" s="575" t="e">
        <f t="shared" ca="1" si="11"/>
        <v>#NAME?</v>
      </c>
      <c r="AJ56" s="575" t="e">
        <f t="shared" ca="1" si="12"/>
        <v>#NAME?</v>
      </c>
    </row>
    <row r="57" spans="13:36" x14ac:dyDescent="0.2">
      <c r="AF57" s="562" t="e">
        <f ca="1">_xll.qlCalendarAdvance(Calendar,AF56,"1d","mf",,Trigger)</f>
        <v>#NAME?</v>
      </c>
      <c r="AG57" s="578" t="e">
        <f ca="1">_xll.qlDayCounterYearFraction(DayCounter,SettlementDate,AF57,,,Trigger)</f>
        <v>#NAME?</v>
      </c>
      <c r="AH57" s="575" t="e">
        <f t="shared" ca="1" si="10"/>
        <v>#NAME?</v>
      </c>
      <c r="AI57" s="575" t="e">
        <f t="shared" ca="1" si="11"/>
        <v>#NAME?</v>
      </c>
      <c r="AJ57" s="575" t="e">
        <f t="shared" ca="1" si="12"/>
        <v>#NAME?</v>
      </c>
    </row>
    <row r="58" spans="13:36" x14ac:dyDescent="0.2">
      <c r="AF58" s="562" t="e">
        <f ca="1">_xll.qlCalendarAdvance(Calendar,AF57,"1d","mf",,Trigger)</f>
        <v>#NAME?</v>
      </c>
      <c r="AG58" s="578" t="e">
        <f ca="1">_xll.qlDayCounterYearFraction(DayCounter,SettlementDate,AF58,,,Trigger)</f>
        <v>#NAME?</v>
      </c>
      <c r="AH58" s="575" t="e">
        <f t="shared" ca="1" si="10"/>
        <v>#NAME?</v>
      </c>
      <c r="AI58" s="575" t="e">
        <f t="shared" ca="1" si="11"/>
        <v>#NAME?</v>
      </c>
      <c r="AJ58" s="575" t="e">
        <f t="shared" ca="1" si="12"/>
        <v>#NAME?</v>
      </c>
    </row>
    <row r="59" spans="13:36" x14ac:dyDescent="0.2">
      <c r="AF59" s="562" t="e">
        <f ca="1">_xll.qlCalendarAdvance(Calendar,AF58,"1d","mf",,Trigger)</f>
        <v>#NAME?</v>
      </c>
      <c r="AG59" s="578" t="e">
        <f ca="1">_xll.qlDayCounterYearFraction(DayCounter,SettlementDate,AF59,,,Trigger)</f>
        <v>#NAME?</v>
      </c>
      <c r="AH59" s="575" t="e">
        <f t="shared" ca="1" si="10"/>
        <v>#NAME?</v>
      </c>
      <c r="AI59" s="575" t="e">
        <f t="shared" ca="1" si="11"/>
        <v>#NAME?</v>
      </c>
      <c r="AJ59" s="575" t="e">
        <f t="shared" ca="1" si="12"/>
        <v>#NAME?</v>
      </c>
    </row>
    <row r="60" spans="13:36" x14ac:dyDescent="0.2">
      <c r="M60" s="749"/>
      <c r="AF60" s="562" t="e">
        <f ca="1">_xll.qlCalendarAdvance(Calendar,AF59,"1d","mf",,Trigger)</f>
        <v>#NAME?</v>
      </c>
      <c r="AG60" s="578" t="e">
        <f ca="1">_xll.qlDayCounterYearFraction(DayCounter,SettlementDate,AF60,,,Trigger)</f>
        <v>#NAME?</v>
      </c>
      <c r="AH60" s="575" t="e">
        <f t="shared" ca="1" si="10"/>
        <v>#NAME?</v>
      </c>
      <c r="AI60" s="575" t="e">
        <f t="shared" ca="1" si="11"/>
        <v>#NAME?</v>
      </c>
      <c r="AJ60" s="575" t="e">
        <f t="shared" ca="1" si="12"/>
        <v>#NAME?</v>
      </c>
    </row>
    <row r="61" spans="13:36" x14ac:dyDescent="0.2">
      <c r="M61" s="749"/>
      <c r="AF61" s="562" t="e">
        <f ca="1">_xll.qlCalendarAdvance(Calendar,AF60,"1d","mf",,Trigger)</f>
        <v>#NAME?</v>
      </c>
      <c r="AG61" s="578" t="e">
        <f ca="1">_xll.qlDayCounterYearFraction(DayCounter,SettlementDate,AF61,,,Trigger)</f>
        <v>#NAME?</v>
      </c>
      <c r="AH61" s="575" t="e">
        <f t="shared" ca="1" si="10"/>
        <v>#NAME?</v>
      </c>
      <c r="AI61" s="575" t="e">
        <f t="shared" ca="1" si="11"/>
        <v>#NAME?</v>
      </c>
      <c r="AJ61" s="575" t="e">
        <f t="shared" ca="1" si="12"/>
        <v>#NAME?</v>
      </c>
    </row>
    <row r="62" spans="13:36" x14ac:dyDescent="0.2">
      <c r="M62" s="749"/>
      <c r="AF62" s="562" t="e">
        <f ca="1">_xll.qlCalendarAdvance(Calendar,AF61,"1d","mf",,Trigger)</f>
        <v>#NAME?</v>
      </c>
      <c r="AG62" s="578" t="e">
        <f ca="1">_xll.qlDayCounterYearFraction(DayCounter,SettlementDate,AF62,,,Trigger)</f>
        <v>#NAME?</v>
      </c>
      <c r="AH62" s="575" t="e">
        <f t="shared" ca="1" si="10"/>
        <v>#NAME?</v>
      </c>
      <c r="AI62" s="575" t="e">
        <f t="shared" ca="1" si="11"/>
        <v>#NAME?</v>
      </c>
      <c r="AJ62" s="575" t="e">
        <f t="shared" ca="1" si="12"/>
        <v>#NAME?</v>
      </c>
    </row>
    <row r="63" spans="13:36" x14ac:dyDescent="0.2">
      <c r="M63" s="749"/>
      <c r="AF63" s="562" t="e">
        <f ca="1">_xll.qlCalendarAdvance(Calendar,AF62,"1d","mf",,Trigger)</f>
        <v>#NAME?</v>
      </c>
      <c r="AG63" s="578" t="e">
        <f ca="1">_xll.qlDayCounterYearFraction(DayCounter,SettlementDate,AF63,,,Trigger)</f>
        <v>#NAME?</v>
      </c>
      <c r="AH63" s="575" t="e">
        <f t="shared" ca="1" si="10"/>
        <v>#NAME?</v>
      </c>
      <c r="AI63" s="575" t="e">
        <f t="shared" ca="1" si="11"/>
        <v>#NAME?</v>
      </c>
      <c r="AJ63" s="575" t="e">
        <f t="shared" ca="1" si="12"/>
        <v>#NAME?</v>
      </c>
    </row>
    <row r="64" spans="13:36" x14ac:dyDescent="0.2">
      <c r="M64" s="749"/>
      <c r="AF64" s="562" t="e">
        <f ca="1">_xll.qlCalendarAdvance(Calendar,AF63,"1d","mf",,Trigger)</f>
        <v>#NAME?</v>
      </c>
      <c r="AG64" s="578" t="e">
        <f ca="1">_xll.qlDayCounterYearFraction(DayCounter,SettlementDate,AF64,,,Trigger)</f>
        <v>#NAME?</v>
      </c>
      <c r="AH64" s="575" t="e">
        <f t="shared" ca="1" si="10"/>
        <v>#NAME?</v>
      </c>
      <c r="AI64" s="575" t="e">
        <f t="shared" ca="1" si="11"/>
        <v>#NAME?</v>
      </c>
      <c r="AJ64" s="575" t="e">
        <f t="shared" ca="1" si="12"/>
        <v>#NAME?</v>
      </c>
    </row>
    <row r="65" spans="13:36" x14ac:dyDescent="0.2">
      <c r="M65" s="749"/>
      <c r="AF65" s="560" t="e">
        <f ca="1">_xll.qlCalendarAdvance(Calendar,AF64,"1d","mf",,Trigger)</f>
        <v>#NAME?</v>
      </c>
      <c r="AG65" s="571" t="e">
        <f ca="1">_xll.qlDayCounterYearFraction(DayCounter,SettlementDate,AF65,,,Trigger)</f>
        <v>#NAME?</v>
      </c>
      <c r="AH65" s="568" t="e">
        <f t="shared" ca="1" si="10"/>
        <v>#NAME?</v>
      </c>
      <c r="AI65" s="568" t="e">
        <f t="shared" ca="1" si="11"/>
        <v>#NAME?</v>
      </c>
      <c r="AJ65" s="568" t="e">
        <f t="shared" ca="1" si="12"/>
        <v>#NAME?</v>
      </c>
    </row>
    <row r="66" spans="13:36" x14ac:dyDescent="0.2">
      <c r="M66" s="749"/>
      <c r="N66" s="749"/>
    </row>
    <row r="67" spans="13:36" x14ac:dyDescent="0.2">
      <c r="M67" s="749"/>
      <c r="N67" s="749"/>
    </row>
    <row r="68" spans="13:36" x14ac:dyDescent="0.2">
      <c r="M68" s="749"/>
      <c r="N68" s="749"/>
    </row>
    <row r="69" spans="13:36" x14ac:dyDescent="0.2">
      <c r="M69" s="749"/>
      <c r="N69" s="749"/>
    </row>
    <row r="70" spans="13:36" x14ac:dyDescent="0.2">
      <c r="M70" s="749"/>
      <c r="N70" s="749"/>
    </row>
    <row r="71" spans="13:36" x14ac:dyDescent="0.2">
      <c r="M71" s="749"/>
      <c r="N71" s="749"/>
    </row>
    <row r="72" spans="13:36" x14ac:dyDescent="0.2">
      <c r="M72" s="749"/>
      <c r="N72" s="749"/>
    </row>
    <row r="73" spans="13:36" x14ac:dyDescent="0.2">
      <c r="M73" s="749"/>
      <c r="N73" s="749"/>
    </row>
    <row r="74" spans="13:36" x14ac:dyDescent="0.2">
      <c r="M74" s="749"/>
      <c r="N74" s="749"/>
    </row>
    <row r="75" spans="13:36" x14ac:dyDescent="0.2">
      <c r="M75" s="749"/>
      <c r="N75" s="749"/>
    </row>
    <row r="76" spans="13:36" x14ac:dyDescent="0.2">
      <c r="M76" s="749"/>
      <c r="N76" s="749"/>
    </row>
    <row r="77" spans="13:36" x14ac:dyDescent="0.2">
      <c r="M77" s="749"/>
      <c r="N77" s="749"/>
    </row>
    <row r="78" spans="13:36" x14ac:dyDescent="0.2">
      <c r="M78" s="749"/>
      <c r="N78" s="749"/>
    </row>
    <row r="79" spans="13:36" x14ac:dyDescent="0.2">
      <c r="M79" s="749"/>
      <c r="N79" s="749"/>
    </row>
    <row r="80" spans="13:36" x14ac:dyDescent="0.2">
      <c r="M80" s="749"/>
      <c r="N80" s="749"/>
    </row>
    <row r="81" spans="13:14" x14ac:dyDescent="0.2">
      <c r="M81" s="749"/>
      <c r="N81" s="749"/>
    </row>
    <row r="82" spans="13:14" x14ac:dyDescent="0.2">
      <c r="M82" s="749"/>
      <c r="N82" s="749"/>
    </row>
    <row r="83" spans="13:14" x14ac:dyDescent="0.2">
      <c r="M83" s="749"/>
      <c r="N83" s="749"/>
    </row>
    <row r="84" spans="13:14" x14ac:dyDescent="0.2">
      <c r="M84" s="749"/>
      <c r="N84" s="749"/>
    </row>
    <row r="85" spans="13:14" x14ac:dyDescent="0.2">
      <c r="M85" s="749"/>
      <c r="N85" s="749"/>
    </row>
    <row r="86" spans="13:14" x14ac:dyDescent="0.2">
      <c r="M86" s="749"/>
      <c r="N86" s="749"/>
    </row>
    <row r="87" spans="13:14" x14ac:dyDescent="0.2">
      <c r="M87" s="749"/>
      <c r="N87" s="749"/>
    </row>
    <row r="88" spans="13:14" x14ac:dyDescent="0.2">
      <c r="M88" s="749"/>
      <c r="N88" s="749"/>
    </row>
    <row r="89" spans="13:14" x14ac:dyDescent="0.2">
      <c r="M89" s="749"/>
      <c r="N89" s="749"/>
    </row>
    <row r="90" spans="13:14" x14ac:dyDescent="0.2">
      <c r="M90" s="749"/>
      <c r="N90" s="749"/>
    </row>
    <row r="91" spans="13:14" x14ac:dyDescent="0.2">
      <c r="M91" s="749"/>
      <c r="N91" s="749"/>
    </row>
    <row r="92" spans="13:14" x14ac:dyDescent="0.2">
      <c r="M92" s="749"/>
      <c r="N92" s="749"/>
    </row>
    <row r="93" spans="13:14" x14ac:dyDescent="0.2">
      <c r="M93" s="749"/>
      <c r="N93" s="749"/>
    </row>
    <row r="94" spans="13:14" x14ac:dyDescent="0.2">
      <c r="M94" s="749"/>
      <c r="N94" s="749"/>
    </row>
    <row r="95" spans="13:14" x14ac:dyDescent="0.2">
      <c r="M95" s="749"/>
      <c r="N95" s="749"/>
    </row>
    <row r="96" spans="13:14" x14ac:dyDescent="0.2">
      <c r="M96" s="749"/>
      <c r="N96" s="749"/>
    </row>
    <row r="97" spans="13:14" x14ac:dyDescent="0.2">
      <c r="M97" s="749"/>
      <c r="N97" s="749"/>
    </row>
    <row r="98" spans="13:14" x14ac:dyDescent="0.2">
      <c r="M98" s="749"/>
      <c r="N98" s="749"/>
    </row>
    <row r="99" spans="13:14" x14ac:dyDescent="0.2">
      <c r="M99" s="749"/>
      <c r="N99" s="749"/>
    </row>
    <row r="100" spans="13:14" x14ac:dyDescent="0.2">
      <c r="M100" s="749"/>
      <c r="N100" s="749"/>
    </row>
    <row r="101" spans="13:14" x14ac:dyDescent="0.2">
      <c r="M101" s="749"/>
      <c r="N101" s="749"/>
    </row>
    <row r="102" spans="13:14" x14ac:dyDescent="0.2">
      <c r="M102" s="749"/>
      <c r="N102" s="749"/>
    </row>
    <row r="103" spans="13:14" x14ac:dyDescent="0.2">
      <c r="M103" s="749"/>
      <c r="N103" s="749"/>
    </row>
    <row r="104" spans="13:14" x14ac:dyDescent="0.2">
      <c r="M104" s="749"/>
      <c r="N104" s="749"/>
    </row>
    <row r="105" spans="13:14" x14ac:dyDescent="0.2">
      <c r="M105" s="749"/>
      <c r="N105" s="749"/>
    </row>
    <row r="106" spans="13:14" x14ac:dyDescent="0.2">
      <c r="M106" s="749"/>
      <c r="N106" s="749"/>
    </row>
    <row r="107" spans="13:14" x14ac:dyDescent="0.2">
      <c r="M107" s="749"/>
      <c r="N107" s="749"/>
    </row>
    <row r="108" spans="13:14" x14ac:dyDescent="0.2">
      <c r="M108" s="749"/>
      <c r="N108" s="749"/>
    </row>
    <row r="109" spans="13:14" x14ac:dyDescent="0.2">
      <c r="M109" s="749"/>
      <c r="N109" s="749"/>
    </row>
    <row r="110" spans="13:14" x14ac:dyDescent="0.2">
      <c r="M110" s="749"/>
      <c r="N110" s="749"/>
    </row>
    <row r="111" spans="13:14" x14ac:dyDescent="0.2">
      <c r="M111" s="749"/>
      <c r="N111" s="749"/>
    </row>
    <row r="112" spans="13:14" x14ac:dyDescent="0.2">
      <c r="M112" s="749"/>
      <c r="N112" s="749"/>
    </row>
    <row r="113" spans="13:14" x14ac:dyDescent="0.2">
      <c r="M113" s="563"/>
      <c r="N113" s="749"/>
    </row>
    <row r="114" spans="13:14" x14ac:dyDescent="0.2">
      <c r="M114" s="563"/>
      <c r="N114" s="749"/>
    </row>
    <row r="115" spans="13:14" x14ac:dyDescent="0.2">
      <c r="M115" s="563"/>
      <c r="N115" s="749"/>
    </row>
    <row r="116" spans="13:14" x14ac:dyDescent="0.2">
      <c r="M116" s="563"/>
      <c r="N116" s="749"/>
    </row>
    <row r="117" spans="13:14" x14ac:dyDescent="0.2">
      <c r="M117" s="563"/>
      <c r="N117" s="749"/>
    </row>
    <row r="118" spans="13:14" x14ac:dyDescent="0.2">
      <c r="M118" s="563"/>
      <c r="N118" s="749"/>
    </row>
    <row r="119" spans="13:14" x14ac:dyDescent="0.2">
      <c r="M119" s="563"/>
      <c r="N119" s="563"/>
    </row>
    <row r="120" spans="13:14" x14ac:dyDescent="0.2">
      <c r="M120" s="563"/>
      <c r="N120" s="563"/>
    </row>
    <row r="121" spans="13:14" x14ac:dyDescent="0.2">
      <c r="M121" s="563"/>
      <c r="N121" s="563"/>
    </row>
    <row r="122" spans="13:14" x14ac:dyDescent="0.2">
      <c r="M122" s="563"/>
      <c r="N122" s="563"/>
    </row>
    <row r="123" spans="13:14" x14ac:dyDescent="0.2">
      <c r="M123" s="563"/>
      <c r="N123" s="563"/>
    </row>
    <row r="124" spans="13:14" x14ac:dyDescent="0.2">
      <c r="M124" s="563"/>
      <c r="N124" s="563"/>
    </row>
    <row r="125" spans="13:14" x14ac:dyDescent="0.2">
      <c r="M125" s="563"/>
      <c r="N125" s="563"/>
    </row>
    <row r="126" spans="13:14" x14ac:dyDescent="0.2">
      <c r="M126" s="563"/>
      <c r="N126" s="563"/>
    </row>
    <row r="127" spans="13:14" x14ac:dyDescent="0.2">
      <c r="M127" s="563"/>
      <c r="N127" s="563"/>
    </row>
    <row r="128" spans="13:14" x14ac:dyDescent="0.2">
      <c r="M128" s="563"/>
      <c r="N128" s="563"/>
    </row>
    <row r="129" spans="14:14" x14ac:dyDescent="0.2">
      <c r="N129" s="563"/>
    </row>
    <row r="130" spans="14:14" x14ac:dyDescent="0.2">
      <c r="N130" s="563"/>
    </row>
    <row r="131" spans="14:14" x14ac:dyDescent="0.2">
      <c r="N131" s="563"/>
    </row>
    <row r="132" spans="14:14" x14ac:dyDescent="0.2">
      <c r="N132" s="563"/>
    </row>
    <row r="133" spans="14:14" x14ac:dyDescent="0.2">
      <c r="N133" s="563"/>
    </row>
    <row r="134" spans="14:14" x14ac:dyDescent="0.2">
      <c r="N134" s="563"/>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A2:AM134"/>
  <sheetViews>
    <sheetView topLeftCell="L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5" width="8.140625"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7" t="s">
        <v>367</v>
      </c>
      <c r="AB2" s="1377"/>
      <c r="AC2" s="1377"/>
      <c r="AF2" s="594" t="s">
        <v>357</v>
      </c>
      <c r="AG2" s="594" t="s">
        <v>275</v>
      </c>
      <c r="AH2" s="594" t="s">
        <v>366</v>
      </c>
      <c r="AI2" s="594" t="s">
        <v>286</v>
      </c>
      <c r="AJ2" s="594" t="s">
        <v>365</v>
      </c>
    </row>
    <row r="3" spans="1:39" ht="12" customHeight="1" x14ac:dyDescent="0.25">
      <c r="C3" s="813" t="str">
        <f>$D$10&amp;"LastFixing"&amp;QuoteSuffix</f>
        <v>Euribor6MLastFixing_Quote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8"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34" ca="1" si="0">$W$13</f>
        <v>#NAME?</v>
      </c>
      <c r="AI3" s="580" t="e">
        <f t="shared" ref="AI3:AI34" ca="1" si="1">$W$10+$W$9*AG3</f>
        <v>#NAME?</v>
      </c>
      <c r="AJ3" s="580" t="e">
        <f t="shared" ref="AJ3:AJ34" ca="1" si="2">($W$5+$W$4*AG3+$W$3*AG3^2)</f>
        <v>#NAME?</v>
      </c>
      <c r="AL3" s="1361" t="s">
        <v>529</v>
      </c>
      <c r="AM3" s="1364" t="e">
        <f ca="1">_xll.ohTrigger('General Settings_3'!Trigger)</f>
        <v>#NAME?</v>
      </c>
    </row>
    <row r="4" spans="1:39" ht="12" customHeight="1" thickBot="1" x14ac:dyDescent="0.3">
      <c r="A4" s="556">
        <v>0</v>
      </c>
      <c r="B4" s="796">
        <f>A4+SUBSTITUTE($D$9,"M","")</f>
        <v>6</v>
      </c>
      <c r="C4" s="802" t="str">
        <f>"Delta("&amp;A4&amp;"M,"&amp;B4&amp;"M)extrap"</f>
        <v>Delta(0M,6M)extrap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LN((1+(_xll.qlInterpolationInterpolate(B6Minterpolation,D4,TRUE,AllTriggers)+I4)*H4)/(1+I4*H4))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8"/>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_xll.ohTrigger(AF3:AF132)</f>
        <v>#NAME?</v>
      </c>
    </row>
    <row r="5" spans="1:39" ht="12" customHeight="1" x14ac:dyDescent="0.2">
      <c r="A5" s="565">
        <v>1</v>
      </c>
      <c r="B5" s="796">
        <f>A5+SUBSTITUTE($D$9,"M","")</f>
        <v>7</v>
      </c>
      <c r="C5" s="802" t="str">
        <f>"Delta("&amp;A5&amp;"M,"&amp;B5&amp;"M)"</f>
        <v>Delta(1M,7M)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LN((1+(_xll.qlInterpolationInterpolate(B6Minterpolation,D5,TRUE,AllTriggers)+I5)*H5)/(1+I5*H5))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8"/>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A6+SUBSTITUTE($D$9,"M","")</f>
        <v>8</v>
      </c>
      <c r="C6" s="802" t="str">
        <f>"Delta("&amp;A6&amp;"M,"&amp;B6&amp;"M)"</f>
        <v>Delta(2M,8M)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LN((1+(_xll.qlInterpolationInterpolate(B6Minterpolation,D6,TRUE,AllTriggers)+I6)*H6)/(1+I6*H6))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A7+SUBSTITUTE($D$9,"M","")</f>
        <v>9</v>
      </c>
      <c r="C7" s="795" t="str">
        <f>"Delta("&amp;A7&amp;"M,"&amp;B7&amp;"M)"</f>
        <v>Delta(3M,9M)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LN((1+(_xll.qlInterpolationInterpolate(B6Minterpolation,D7,TRUE,AllTriggers)+I7)*H7)/(1+I7*H7))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92</v>
      </c>
      <c r="R9" s="1377" t="s">
        <v>351</v>
      </c>
      <c r="S9" s="783"/>
      <c r="T9" s="782" t="e">
        <f t="array" aca="1" ref="T9:T10" ca="1">_xll.ohFilter(N3:N7,P3:P7)</f>
        <v>#NAME?</v>
      </c>
      <c r="U9" s="781" t="e">
        <f t="array" aca="1" ref="U9:U10" ca="1">_xll.ohFilter(M3:M7,P3:P7)</f>
        <v>#NAME?</v>
      </c>
      <c r="V9" s="1379" t="s">
        <v>180</v>
      </c>
      <c r="W9" s="771" t="e">
        <f t="array" aca="1" ref="W9:W10" ca="1">MMULT(AA9:AB10,Y9:Y10)</f>
        <v>#NAME?</v>
      </c>
      <c r="X9" s="1379"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Euribor6M</v>
      </c>
      <c r="R10" s="1377"/>
      <c r="S10" s="783"/>
      <c r="T10" s="782" t="e">
        <f ca="1"/>
        <v>#NAME?</v>
      </c>
      <c r="U10" s="781" t="e">
        <f ca="1"/>
        <v>#NAME?</v>
      </c>
      <c r="V10" s="1379"/>
      <c r="W10" s="771" t="e">
        <f ca="1"/>
        <v>#NAME?</v>
      </c>
      <c r="X10" s="1379"/>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6M</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24"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24" ca="1" si="4">(K15/L15-1)/J15</f>
        <v>#NAME?</v>
      </c>
      <c r="N15" s="575" t="e">
        <f t="shared" ref="N15:N24" ca="1" si="5">((1+M15*J15)*EXP($W$13*J15)-1)/J15</f>
        <v>#NAME?</v>
      </c>
      <c r="O15" s="575" t="e">
        <f t="shared" ref="O15:O24" ca="1" si="6">((1+J15*M15)*EXP($W$10*J15+0.5*$W$9*J15^2)-1)/J15</f>
        <v>#NAME?</v>
      </c>
      <c r="P15" s="575" t="e">
        <f t="shared" ref="P15:P24"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55" t="s">
        <v>92</v>
      </c>
      <c r="D24" s="754" t="e">
        <f t="shared" ca="1" si="3"/>
        <v>#NAME?</v>
      </c>
      <c r="E24" s="560" t="e">
        <f ca="1">_xll.qlCalendarAdvance(Calendar,SettlementDate,C24,"mf",TRUE,Trigger)</f>
        <v>#NAME?</v>
      </c>
      <c r="F24" s="753"/>
      <c r="G24" s="753"/>
      <c r="H24" s="753"/>
      <c r="I24" s="753"/>
      <c r="J24" s="571" t="e">
        <f ca="1">_xll.qlDayCounterYearFraction(DayCounter,D24,E24,,,Trigger)</f>
        <v>#NAME?</v>
      </c>
      <c r="K24" s="752" t="e">
        <f ca="1">_xll.qlYieldTSDiscount(Discounting,D24,,AllTriggers)</f>
        <v>#NAME?</v>
      </c>
      <c r="L24" s="752" t="e">
        <f ca="1">_xll.qlYieldTSDiscount(Discounting,E24,,AllTriggers)</f>
        <v>#NAME?</v>
      </c>
      <c r="M24" s="751" t="e">
        <f t="shared" ca="1" si="4"/>
        <v>#NAME?</v>
      </c>
      <c r="N24" s="568" t="e">
        <f t="shared" ca="1" si="5"/>
        <v>#NAME?</v>
      </c>
      <c r="O24" s="568" t="e">
        <f t="shared" ca="1" si="6"/>
        <v>#NAME?</v>
      </c>
      <c r="P24" s="568"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594" t="s">
        <v>352</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50" t="s">
        <v>351</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575" t="e">
        <f t="shared" ref="C28:C37" ca="1" si="8">IF($C$27="FLAT",N15,IF($C$27="linear",O15,P15))</f>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575" t="e">
        <f t="shared" ca="1" si="8"/>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575" t="e">
        <f t="shared" ca="1" si="8"/>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C31" s="575" t="e">
        <f t="shared" ca="1" si="8"/>
        <v>#NAME?</v>
      </c>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75" t="e">
        <f t="shared" ca="1" si="8"/>
        <v>#NAME?</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575" t="e">
        <f t="shared" ca="1" si="8"/>
        <v>#NAME?</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ca="1" si="8"/>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ref="AH35:AH66" ca="1" si="9">$W$13</f>
        <v>#NAME?</v>
      </c>
      <c r="AI35" s="575" t="e">
        <f t="shared" ref="AI35:AI66" ca="1" si="10">$W$10+$W$9*AG35</f>
        <v>#NAME?</v>
      </c>
      <c r="AJ35" s="575" t="e">
        <f t="shared" ref="AJ35:AJ66" ca="1" si="11">($W$5+$W$4*AG35+$W$3*AG35^2)</f>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9"/>
        <v>#NAME?</v>
      </c>
      <c r="AI36" s="575" t="e">
        <f t="shared" ca="1" si="10"/>
        <v>#NAME?</v>
      </c>
      <c r="AJ36" s="575" t="e">
        <f t="shared" ca="1" si="11"/>
        <v>#NAME?</v>
      </c>
    </row>
    <row r="37" spans="3:36" ht="12" customHeight="1" x14ac:dyDescent="0.2">
      <c r="C37" s="568" t="e">
        <f t="shared" ca="1" si="8"/>
        <v>#NAME?</v>
      </c>
      <c r="AF37" s="562" t="e">
        <f ca="1">_xll.qlCalendarAdvance(Calendar,AF36,"1d","mf",,Trigger)</f>
        <v>#NAME?</v>
      </c>
      <c r="AG37" s="578" t="e">
        <f ca="1">_xll.qlDayCounterYearFraction(DayCounter,SettlementDate,AF37,,,Trigger)</f>
        <v>#NAME?</v>
      </c>
      <c r="AH37" s="575" t="e">
        <f t="shared" ca="1" si="9"/>
        <v>#NAME?</v>
      </c>
      <c r="AI37" s="575" t="e">
        <f t="shared" ca="1" si="10"/>
        <v>#NAME?</v>
      </c>
      <c r="AJ37" s="575" t="e">
        <f t="shared" ca="1" si="11"/>
        <v>#NAME?</v>
      </c>
    </row>
    <row r="38" spans="3:36" x14ac:dyDescent="0.2">
      <c r="AF38" s="562" t="e">
        <f ca="1">_xll.qlCalendarAdvance(Calendar,AF37,"1d","mf",,Trigger)</f>
        <v>#NAME?</v>
      </c>
      <c r="AG38" s="578" t="e">
        <f ca="1">_xll.qlDayCounterYearFraction(DayCounter,SettlementDate,AF38,,,Trigger)</f>
        <v>#NAME?</v>
      </c>
      <c r="AH38" s="575" t="e">
        <f t="shared" ca="1" si="9"/>
        <v>#NAME?</v>
      </c>
      <c r="AI38" s="575" t="e">
        <f t="shared" ca="1" si="10"/>
        <v>#NAME?</v>
      </c>
      <c r="AJ38" s="575" t="e">
        <f t="shared" ca="1" si="11"/>
        <v>#NAME?</v>
      </c>
    </row>
    <row r="39" spans="3:36" x14ac:dyDescent="0.2">
      <c r="AF39" s="562" t="e">
        <f ca="1">_xll.qlCalendarAdvance(Calendar,AF38,"1d","mf",,Trigger)</f>
        <v>#NAME?</v>
      </c>
      <c r="AG39" s="578" t="e">
        <f ca="1">_xll.qlDayCounterYearFraction(DayCounter,SettlementDate,AF39,,,Trigger)</f>
        <v>#NAME?</v>
      </c>
      <c r="AH39" s="575" t="e">
        <f t="shared" ca="1" si="9"/>
        <v>#NAME?</v>
      </c>
      <c r="AI39" s="575" t="e">
        <f t="shared" ca="1" si="10"/>
        <v>#NAME?</v>
      </c>
      <c r="AJ39" s="575" t="e">
        <f t="shared" ca="1" si="11"/>
        <v>#NAME?</v>
      </c>
    </row>
    <row r="40" spans="3:36" x14ac:dyDescent="0.2">
      <c r="AF40" s="562" t="e">
        <f ca="1">_xll.qlCalendarAdvance(Calendar,AF39,"1d","mf",,Trigger)</f>
        <v>#NAME?</v>
      </c>
      <c r="AG40" s="578" t="e">
        <f ca="1">_xll.qlDayCounterYearFraction(DayCounter,SettlementDate,AF40,,,Trigger)</f>
        <v>#NAME?</v>
      </c>
      <c r="AH40" s="575" t="e">
        <f t="shared" ca="1" si="9"/>
        <v>#NAME?</v>
      </c>
      <c r="AI40" s="575" t="e">
        <f t="shared" ca="1" si="10"/>
        <v>#NAME?</v>
      </c>
      <c r="AJ40" s="575" t="e">
        <f t="shared" ca="1" si="11"/>
        <v>#NAME?</v>
      </c>
    </row>
    <row r="41" spans="3:36" x14ac:dyDescent="0.2">
      <c r="N41" s="749"/>
      <c r="O41" s="749"/>
      <c r="AF41" s="562" t="e">
        <f ca="1">_xll.qlCalendarAdvance(Calendar,AF40,"1d","mf",,Trigger)</f>
        <v>#NAME?</v>
      </c>
      <c r="AG41" s="578" t="e">
        <f ca="1">_xll.qlDayCounterYearFraction(DayCounter,SettlementDate,AF41,,,Trigger)</f>
        <v>#NAME?</v>
      </c>
      <c r="AH41" s="575" t="e">
        <f t="shared" ca="1" si="9"/>
        <v>#NAME?</v>
      </c>
      <c r="AI41" s="575" t="e">
        <f t="shared" ca="1" si="10"/>
        <v>#NAME?</v>
      </c>
      <c r="AJ41" s="575" t="e">
        <f t="shared" ca="1" si="11"/>
        <v>#NAME?</v>
      </c>
    </row>
    <row r="42" spans="3:36" x14ac:dyDescent="0.2">
      <c r="AF42" s="562" t="e">
        <f ca="1">_xll.qlCalendarAdvance(Calendar,AF41,"1d","mf",,Trigger)</f>
        <v>#NAME?</v>
      </c>
      <c r="AG42" s="578" t="e">
        <f ca="1">_xll.qlDayCounterYearFraction(DayCounter,SettlementDate,AF42,,,Trigger)</f>
        <v>#NAME?</v>
      </c>
      <c r="AH42" s="575" t="e">
        <f t="shared" ca="1" si="9"/>
        <v>#NAME?</v>
      </c>
      <c r="AI42" s="575" t="e">
        <f t="shared" ca="1" si="10"/>
        <v>#NAME?</v>
      </c>
      <c r="AJ42" s="575" t="e">
        <f t="shared" ca="1" si="11"/>
        <v>#NAME?</v>
      </c>
    </row>
    <row r="43" spans="3:36" ht="11.25" customHeight="1" x14ac:dyDescent="0.2">
      <c r="AF43" s="562" t="e">
        <f ca="1">_xll.qlCalendarAdvance(Calendar,AF42,"1d","mf",,Trigger)</f>
        <v>#NAME?</v>
      </c>
      <c r="AG43" s="578" t="e">
        <f ca="1">_xll.qlDayCounterYearFraction(DayCounter,SettlementDate,AF43,,,Trigger)</f>
        <v>#NAME?</v>
      </c>
      <c r="AH43" s="575" t="e">
        <f t="shared" ca="1" si="9"/>
        <v>#NAME?</v>
      </c>
      <c r="AI43" s="575" t="e">
        <f t="shared" ca="1" si="10"/>
        <v>#NAME?</v>
      </c>
      <c r="AJ43" s="575" t="e">
        <f t="shared" ca="1" si="11"/>
        <v>#NAME?</v>
      </c>
    </row>
    <row r="44" spans="3:36" x14ac:dyDescent="0.2">
      <c r="AF44" s="562" t="e">
        <f ca="1">_xll.qlCalendarAdvance(Calendar,AF43,"1d","mf",,Trigger)</f>
        <v>#NAME?</v>
      </c>
      <c r="AG44" s="578" t="e">
        <f ca="1">_xll.qlDayCounterYearFraction(DayCounter,SettlementDate,AF44,,,Trigger)</f>
        <v>#NAME?</v>
      </c>
      <c r="AH44" s="575" t="e">
        <f t="shared" ca="1" si="9"/>
        <v>#NAME?</v>
      </c>
      <c r="AI44" s="575" t="e">
        <f t="shared" ca="1" si="10"/>
        <v>#NAME?</v>
      </c>
      <c r="AJ44" s="575" t="e">
        <f t="shared" ca="1" si="11"/>
        <v>#NAME?</v>
      </c>
    </row>
    <row r="45" spans="3:36" x14ac:dyDescent="0.2">
      <c r="AF45" s="562" t="e">
        <f ca="1">_xll.qlCalendarAdvance(Calendar,AF44,"1d","mf",,Trigger)</f>
        <v>#NAME?</v>
      </c>
      <c r="AG45" s="578" t="e">
        <f ca="1">_xll.qlDayCounterYearFraction(DayCounter,SettlementDate,AF45,,,Trigger)</f>
        <v>#NAME?</v>
      </c>
      <c r="AH45" s="575" t="e">
        <f t="shared" ca="1" si="9"/>
        <v>#NAME?</v>
      </c>
      <c r="AI45" s="575" t="e">
        <f t="shared" ca="1" si="10"/>
        <v>#NAME?</v>
      </c>
      <c r="AJ45" s="575" t="e">
        <f t="shared" ca="1" si="11"/>
        <v>#NAME?</v>
      </c>
    </row>
    <row r="46" spans="3:36" x14ac:dyDescent="0.2">
      <c r="AF46" s="562" t="e">
        <f ca="1">_xll.qlCalendarAdvance(Calendar,AF45,"1d","mf",,Trigger)</f>
        <v>#NAME?</v>
      </c>
      <c r="AG46" s="578" t="e">
        <f ca="1">_xll.qlDayCounterYearFraction(DayCounter,SettlementDate,AF46,,,Trigger)</f>
        <v>#NAME?</v>
      </c>
      <c r="AH46" s="575" t="e">
        <f t="shared" ca="1" si="9"/>
        <v>#NAME?</v>
      </c>
      <c r="AI46" s="575" t="e">
        <f t="shared" ca="1" si="10"/>
        <v>#NAME?</v>
      </c>
      <c r="AJ46" s="575" t="e">
        <f t="shared" ca="1" si="11"/>
        <v>#NAME?</v>
      </c>
    </row>
    <row r="47" spans="3:36" x14ac:dyDescent="0.2">
      <c r="AF47" s="562" t="e">
        <f ca="1">_xll.qlCalendarAdvance(Calendar,AF46,"1d","mf",,Trigger)</f>
        <v>#NAME?</v>
      </c>
      <c r="AG47" s="578" t="e">
        <f ca="1">_xll.qlDayCounterYearFraction(DayCounter,SettlementDate,AF47,,,Trigger)</f>
        <v>#NAME?</v>
      </c>
      <c r="AH47" s="575" t="e">
        <f t="shared" ca="1" si="9"/>
        <v>#NAME?</v>
      </c>
      <c r="AI47" s="575" t="e">
        <f t="shared" ca="1" si="10"/>
        <v>#NAME?</v>
      </c>
      <c r="AJ47" s="575" t="e">
        <f t="shared" ca="1" si="11"/>
        <v>#NAME?</v>
      </c>
    </row>
    <row r="48" spans="3:36" x14ac:dyDescent="0.2">
      <c r="AF48" s="562" t="e">
        <f ca="1">_xll.qlCalendarAdvance(Calendar,AF47,"1d","mf",,Trigger)</f>
        <v>#NAME?</v>
      </c>
      <c r="AG48" s="578" t="e">
        <f ca="1">_xll.qlDayCounterYearFraction(DayCounter,SettlementDate,AF48,,,Trigger)</f>
        <v>#NAME?</v>
      </c>
      <c r="AH48" s="575" t="e">
        <f t="shared" ca="1" si="9"/>
        <v>#NAME?</v>
      </c>
      <c r="AI48" s="575" t="e">
        <f t="shared" ca="1" si="10"/>
        <v>#NAME?</v>
      </c>
      <c r="AJ48" s="575" t="e">
        <f t="shared" ca="1" si="11"/>
        <v>#NAME?</v>
      </c>
    </row>
    <row r="49" spans="14:36" x14ac:dyDescent="0.2">
      <c r="AF49" s="562" t="e">
        <f ca="1">_xll.qlCalendarAdvance(Calendar,AF48,"1d","mf",,Trigger)</f>
        <v>#NAME?</v>
      </c>
      <c r="AG49" s="578" t="e">
        <f ca="1">_xll.qlDayCounterYearFraction(DayCounter,SettlementDate,AF49,,,Trigger)</f>
        <v>#NAME?</v>
      </c>
      <c r="AH49" s="575" t="e">
        <f t="shared" ca="1" si="9"/>
        <v>#NAME?</v>
      </c>
      <c r="AI49" s="575" t="e">
        <f t="shared" ca="1" si="10"/>
        <v>#NAME?</v>
      </c>
      <c r="AJ49" s="575" t="e">
        <f t="shared" ca="1" si="11"/>
        <v>#NAME?</v>
      </c>
    </row>
    <row r="50" spans="14:36" x14ac:dyDescent="0.2">
      <c r="AF50" s="562" t="e">
        <f ca="1">_xll.qlCalendarAdvance(Calendar,AF49,"1d","mf",,Trigger)</f>
        <v>#NAME?</v>
      </c>
      <c r="AG50" s="578" t="e">
        <f ca="1">_xll.qlDayCounterYearFraction(DayCounter,SettlementDate,AF50,,,Trigger)</f>
        <v>#NAME?</v>
      </c>
      <c r="AH50" s="575" t="e">
        <f t="shared" ca="1" si="9"/>
        <v>#NAME?</v>
      </c>
      <c r="AI50" s="575" t="e">
        <f t="shared" ca="1" si="10"/>
        <v>#NAME?</v>
      </c>
      <c r="AJ50" s="575" t="e">
        <f t="shared" ca="1" si="11"/>
        <v>#NAME?</v>
      </c>
    </row>
    <row r="51" spans="14:36" x14ac:dyDescent="0.2">
      <c r="AF51" s="562" t="e">
        <f ca="1">_xll.qlCalendarAdvance(Calendar,AF50,"1d","mf",,Trigger)</f>
        <v>#NAME?</v>
      </c>
      <c r="AG51" s="578" t="e">
        <f ca="1">_xll.qlDayCounterYearFraction(DayCounter,SettlementDate,AF51,,,Trigger)</f>
        <v>#NAME?</v>
      </c>
      <c r="AH51" s="575" t="e">
        <f t="shared" ca="1" si="9"/>
        <v>#NAME?</v>
      </c>
      <c r="AI51" s="575" t="e">
        <f t="shared" ca="1" si="10"/>
        <v>#NAME?</v>
      </c>
      <c r="AJ51" s="575" t="e">
        <f t="shared" ca="1" si="11"/>
        <v>#NAME?</v>
      </c>
    </row>
    <row r="52" spans="14:36" x14ac:dyDescent="0.2">
      <c r="AF52" s="562" t="e">
        <f ca="1">_xll.qlCalendarAdvance(Calendar,AF51,"1d","mf",,Trigger)</f>
        <v>#NAME?</v>
      </c>
      <c r="AG52" s="578" t="e">
        <f ca="1">_xll.qlDayCounterYearFraction(DayCounter,SettlementDate,AF52,,,Trigger)</f>
        <v>#NAME?</v>
      </c>
      <c r="AH52" s="575" t="e">
        <f t="shared" ca="1" si="9"/>
        <v>#NAME?</v>
      </c>
      <c r="AI52" s="575" t="e">
        <f t="shared" ca="1" si="10"/>
        <v>#NAME?</v>
      </c>
      <c r="AJ52" s="575" t="e">
        <f t="shared" ca="1" si="11"/>
        <v>#NAME?</v>
      </c>
    </row>
    <row r="53" spans="14:36" x14ac:dyDescent="0.2">
      <c r="AF53" s="562" t="e">
        <f ca="1">_xll.qlCalendarAdvance(Calendar,AF52,"1d","mf",,Trigger)</f>
        <v>#NAME?</v>
      </c>
      <c r="AG53" s="578" t="e">
        <f ca="1">_xll.qlDayCounterYearFraction(DayCounter,SettlementDate,AF53,,,Trigger)</f>
        <v>#NAME?</v>
      </c>
      <c r="AH53" s="575" t="e">
        <f t="shared" ca="1" si="9"/>
        <v>#NAME?</v>
      </c>
      <c r="AI53" s="575" t="e">
        <f t="shared" ca="1" si="10"/>
        <v>#NAME?</v>
      </c>
      <c r="AJ53" s="575" t="e">
        <f t="shared" ca="1" si="11"/>
        <v>#NAME?</v>
      </c>
    </row>
    <row r="54" spans="14:36" x14ac:dyDescent="0.2">
      <c r="AF54" s="562" t="e">
        <f ca="1">_xll.qlCalendarAdvance(Calendar,AF53,"1d","mf",,Trigger)</f>
        <v>#NAME?</v>
      </c>
      <c r="AG54" s="578" t="e">
        <f ca="1">_xll.qlDayCounterYearFraction(DayCounter,SettlementDate,AF54,,,Trigger)</f>
        <v>#NAME?</v>
      </c>
      <c r="AH54" s="575" t="e">
        <f t="shared" ca="1" si="9"/>
        <v>#NAME?</v>
      </c>
      <c r="AI54" s="575" t="e">
        <f t="shared" ca="1" si="10"/>
        <v>#NAME?</v>
      </c>
      <c r="AJ54" s="575" t="e">
        <f t="shared" ca="1" si="11"/>
        <v>#NAME?</v>
      </c>
    </row>
    <row r="55" spans="14:36" x14ac:dyDescent="0.2">
      <c r="AF55" s="562" t="e">
        <f ca="1">_xll.qlCalendarAdvance(Calendar,AF54,"1d","mf",,Trigger)</f>
        <v>#NAME?</v>
      </c>
      <c r="AG55" s="578" t="e">
        <f ca="1">_xll.qlDayCounterYearFraction(DayCounter,SettlementDate,AF55,,,Trigger)</f>
        <v>#NAME?</v>
      </c>
      <c r="AH55" s="575" t="e">
        <f t="shared" ca="1" si="9"/>
        <v>#NAME?</v>
      </c>
      <c r="AI55" s="575" t="e">
        <f t="shared" ca="1" si="10"/>
        <v>#NAME?</v>
      </c>
      <c r="AJ55" s="575" t="e">
        <f t="shared" ca="1" si="11"/>
        <v>#NAME?</v>
      </c>
    </row>
    <row r="56" spans="14:36" x14ac:dyDescent="0.2">
      <c r="AF56" s="562" t="e">
        <f ca="1">_xll.qlCalendarAdvance(Calendar,AF55,"1d","mf",,Trigger)</f>
        <v>#NAME?</v>
      </c>
      <c r="AG56" s="578" t="e">
        <f ca="1">_xll.qlDayCounterYearFraction(DayCounter,SettlementDate,AF56,,,Trigger)</f>
        <v>#NAME?</v>
      </c>
      <c r="AH56" s="575" t="e">
        <f t="shared" ca="1" si="9"/>
        <v>#NAME?</v>
      </c>
      <c r="AI56" s="575" t="e">
        <f t="shared" ca="1" si="10"/>
        <v>#NAME?</v>
      </c>
      <c r="AJ56" s="575" t="e">
        <f t="shared" ca="1" si="11"/>
        <v>#NAME?</v>
      </c>
    </row>
    <row r="57" spans="14:36" x14ac:dyDescent="0.2">
      <c r="AF57" s="562" t="e">
        <f ca="1">_xll.qlCalendarAdvance(Calendar,AF56,"1d","mf",,Trigger)</f>
        <v>#NAME?</v>
      </c>
      <c r="AG57" s="578" t="e">
        <f ca="1">_xll.qlDayCounterYearFraction(DayCounter,SettlementDate,AF57,,,Trigger)</f>
        <v>#NAME?</v>
      </c>
      <c r="AH57" s="575" t="e">
        <f t="shared" ca="1" si="9"/>
        <v>#NAME?</v>
      </c>
      <c r="AI57" s="575" t="e">
        <f t="shared" ca="1" si="10"/>
        <v>#NAME?</v>
      </c>
      <c r="AJ57" s="575" t="e">
        <f t="shared" ca="1" si="11"/>
        <v>#NAME?</v>
      </c>
    </row>
    <row r="58" spans="14:36" x14ac:dyDescent="0.2">
      <c r="AF58" s="562" t="e">
        <f ca="1">_xll.qlCalendarAdvance(Calendar,AF57,"1d","mf",,Trigger)</f>
        <v>#NAME?</v>
      </c>
      <c r="AG58" s="578" t="e">
        <f ca="1">_xll.qlDayCounterYearFraction(DayCounter,SettlementDate,AF58,,,Trigger)</f>
        <v>#NAME?</v>
      </c>
      <c r="AH58" s="575" t="e">
        <f t="shared" ca="1" si="9"/>
        <v>#NAME?</v>
      </c>
      <c r="AI58" s="575" t="e">
        <f t="shared" ca="1" si="10"/>
        <v>#NAME?</v>
      </c>
      <c r="AJ58" s="575" t="e">
        <f t="shared" ca="1" si="11"/>
        <v>#NAME?</v>
      </c>
    </row>
    <row r="59" spans="14:36" x14ac:dyDescent="0.2">
      <c r="AF59" s="562" t="e">
        <f ca="1">_xll.qlCalendarAdvance(Calendar,AF58,"1d","mf",,Trigger)</f>
        <v>#NAME?</v>
      </c>
      <c r="AG59" s="578" t="e">
        <f ca="1">_xll.qlDayCounterYearFraction(DayCounter,SettlementDate,AF59,,,Trigger)</f>
        <v>#NAME?</v>
      </c>
      <c r="AH59" s="575" t="e">
        <f t="shared" ca="1" si="9"/>
        <v>#NAME?</v>
      </c>
      <c r="AI59" s="575" t="e">
        <f t="shared" ca="1" si="10"/>
        <v>#NAME?</v>
      </c>
      <c r="AJ59" s="575" t="e">
        <f t="shared" ca="1" si="11"/>
        <v>#NAME?</v>
      </c>
    </row>
    <row r="60" spans="14:36" x14ac:dyDescent="0.2">
      <c r="N60" s="749"/>
      <c r="AF60" s="562" t="e">
        <f ca="1">_xll.qlCalendarAdvance(Calendar,AF59,"1d","mf",,Trigger)</f>
        <v>#NAME?</v>
      </c>
      <c r="AG60" s="578" t="e">
        <f ca="1">_xll.qlDayCounterYearFraction(DayCounter,SettlementDate,AF60,,,Trigger)</f>
        <v>#NAME?</v>
      </c>
      <c r="AH60" s="575" t="e">
        <f t="shared" ca="1" si="9"/>
        <v>#NAME?</v>
      </c>
      <c r="AI60" s="575" t="e">
        <f t="shared" ca="1" si="10"/>
        <v>#NAME?</v>
      </c>
      <c r="AJ60" s="575" t="e">
        <f t="shared" ca="1" si="11"/>
        <v>#NAME?</v>
      </c>
    </row>
    <row r="61" spans="14:36" x14ac:dyDescent="0.2">
      <c r="N61" s="749"/>
      <c r="AF61" s="562" t="e">
        <f ca="1">_xll.qlCalendarAdvance(Calendar,AF60,"1d","mf",,Trigger)</f>
        <v>#NAME?</v>
      </c>
      <c r="AG61" s="578" t="e">
        <f ca="1">_xll.qlDayCounterYearFraction(DayCounter,SettlementDate,AF61,,,Trigger)</f>
        <v>#NAME?</v>
      </c>
      <c r="AH61" s="575" t="e">
        <f t="shared" ca="1" si="9"/>
        <v>#NAME?</v>
      </c>
      <c r="AI61" s="575" t="e">
        <f t="shared" ca="1" si="10"/>
        <v>#NAME?</v>
      </c>
      <c r="AJ61" s="575" t="e">
        <f t="shared" ca="1" si="11"/>
        <v>#NAME?</v>
      </c>
    </row>
    <row r="62" spans="14:36" x14ac:dyDescent="0.2">
      <c r="N62" s="749"/>
      <c r="AF62" s="562" t="e">
        <f ca="1">_xll.qlCalendarAdvance(Calendar,AF61,"1d","mf",,Trigger)</f>
        <v>#NAME?</v>
      </c>
      <c r="AG62" s="578" t="e">
        <f ca="1">_xll.qlDayCounterYearFraction(DayCounter,SettlementDate,AF62,,,Trigger)</f>
        <v>#NAME?</v>
      </c>
      <c r="AH62" s="575" t="e">
        <f t="shared" ca="1" si="9"/>
        <v>#NAME?</v>
      </c>
      <c r="AI62" s="575" t="e">
        <f t="shared" ca="1" si="10"/>
        <v>#NAME?</v>
      </c>
      <c r="AJ62" s="575" t="e">
        <f t="shared" ca="1" si="11"/>
        <v>#NAME?</v>
      </c>
    </row>
    <row r="63" spans="14:36" x14ac:dyDescent="0.2">
      <c r="N63" s="749"/>
      <c r="AF63" s="562" t="e">
        <f ca="1">_xll.qlCalendarAdvance(Calendar,AF62,"1d","mf",,Trigger)</f>
        <v>#NAME?</v>
      </c>
      <c r="AG63" s="578" t="e">
        <f ca="1">_xll.qlDayCounterYearFraction(DayCounter,SettlementDate,AF63,,,Trigger)</f>
        <v>#NAME?</v>
      </c>
      <c r="AH63" s="575" t="e">
        <f t="shared" ca="1" si="9"/>
        <v>#NAME?</v>
      </c>
      <c r="AI63" s="575" t="e">
        <f t="shared" ca="1" si="10"/>
        <v>#NAME?</v>
      </c>
      <c r="AJ63" s="575" t="e">
        <f t="shared" ca="1" si="11"/>
        <v>#NAME?</v>
      </c>
    </row>
    <row r="64" spans="14:36" x14ac:dyDescent="0.2">
      <c r="N64" s="749"/>
      <c r="AF64" s="562" t="e">
        <f ca="1">_xll.qlCalendarAdvance(Calendar,AF63,"1d","mf",,Trigger)</f>
        <v>#NAME?</v>
      </c>
      <c r="AG64" s="578" t="e">
        <f ca="1">_xll.qlDayCounterYearFraction(DayCounter,SettlementDate,AF64,,,Trigger)</f>
        <v>#NAME?</v>
      </c>
      <c r="AH64" s="575" t="e">
        <f t="shared" ca="1" si="9"/>
        <v>#NAME?</v>
      </c>
      <c r="AI64" s="575" t="e">
        <f t="shared" ca="1" si="10"/>
        <v>#NAME?</v>
      </c>
      <c r="AJ64" s="575" t="e">
        <f t="shared" ca="1" si="11"/>
        <v>#NAME?</v>
      </c>
    </row>
    <row r="65" spans="14:36" x14ac:dyDescent="0.2">
      <c r="N65" s="749"/>
      <c r="AF65" s="562" t="e">
        <f ca="1">_xll.qlCalendarAdvance(Calendar,AF64,"1d","mf",,Trigger)</f>
        <v>#NAME?</v>
      </c>
      <c r="AG65" s="578" t="e">
        <f ca="1">_xll.qlDayCounterYearFraction(DayCounter,SettlementDate,AF65,,,Trigger)</f>
        <v>#NAME?</v>
      </c>
      <c r="AH65" s="575" t="e">
        <f t="shared" ca="1" si="9"/>
        <v>#NAME?</v>
      </c>
      <c r="AI65" s="575" t="e">
        <f t="shared" ca="1" si="10"/>
        <v>#NAME?</v>
      </c>
      <c r="AJ65" s="575" t="e">
        <f t="shared" ca="1" si="11"/>
        <v>#NAME?</v>
      </c>
    </row>
    <row r="66" spans="14:36" x14ac:dyDescent="0.2">
      <c r="N66" s="749"/>
      <c r="O66" s="749"/>
      <c r="AF66" s="562" t="e">
        <f ca="1">_xll.qlCalendarAdvance(Calendar,AF65,"1d","mf",,Trigger)</f>
        <v>#NAME?</v>
      </c>
      <c r="AG66" s="578" t="e">
        <f ca="1">_xll.qlDayCounterYearFraction(DayCounter,SettlementDate,AF66,,,Trigger)</f>
        <v>#NAME?</v>
      </c>
      <c r="AH66" s="575" t="e">
        <f t="shared" ca="1" si="9"/>
        <v>#NAME?</v>
      </c>
      <c r="AI66" s="575" t="e">
        <f t="shared" ca="1" si="10"/>
        <v>#NAME?</v>
      </c>
      <c r="AJ66" s="575" t="e">
        <f t="shared" ca="1" si="11"/>
        <v>#NAME?</v>
      </c>
    </row>
    <row r="67" spans="14:36" x14ac:dyDescent="0.2">
      <c r="N67" s="749"/>
      <c r="O67" s="749"/>
      <c r="AF67" s="562" t="e">
        <f ca="1">_xll.qlCalendarAdvance(Calendar,AF66,"1d","mf",,Trigger)</f>
        <v>#NAME?</v>
      </c>
      <c r="AG67" s="578" t="e">
        <f ca="1">_xll.qlDayCounterYearFraction(DayCounter,SettlementDate,AF67,,,Trigger)</f>
        <v>#NAME?</v>
      </c>
      <c r="AH67" s="575" t="e">
        <f t="shared" ref="AH67:AH98" ca="1" si="12">$W$13</f>
        <v>#NAME?</v>
      </c>
      <c r="AI67" s="575" t="e">
        <f t="shared" ref="AI67:AI98" ca="1" si="13">$W$10+$W$9*AG67</f>
        <v>#NAME?</v>
      </c>
      <c r="AJ67" s="575" t="e">
        <f t="shared" ref="AJ67:AJ98" ca="1" si="14">($W$5+$W$4*AG67+$W$3*AG67^2)</f>
        <v>#NAME?</v>
      </c>
    </row>
    <row r="68" spans="14:36" x14ac:dyDescent="0.2">
      <c r="N68" s="749"/>
      <c r="O68" s="749"/>
      <c r="AF68" s="562" t="e">
        <f ca="1">_xll.qlCalendarAdvance(Calendar,AF67,"1d","mf",,Trigger)</f>
        <v>#NAME?</v>
      </c>
      <c r="AG68" s="578" t="e">
        <f ca="1">_xll.qlDayCounterYearFraction(DayCounter,SettlementDate,AF68,,,Trigger)</f>
        <v>#NAME?</v>
      </c>
      <c r="AH68" s="575" t="e">
        <f t="shared" ca="1" si="12"/>
        <v>#NAME?</v>
      </c>
      <c r="AI68" s="575" t="e">
        <f t="shared" ca="1" si="13"/>
        <v>#NAME?</v>
      </c>
      <c r="AJ68" s="575" t="e">
        <f t="shared" ca="1" si="14"/>
        <v>#NAME?</v>
      </c>
    </row>
    <row r="69" spans="14:36" x14ac:dyDescent="0.2">
      <c r="N69" s="749"/>
      <c r="O69" s="749"/>
      <c r="AF69" s="562" t="e">
        <f ca="1">_xll.qlCalendarAdvance(Calendar,AF68,"1d","mf",,Trigger)</f>
        <v>#NAME?</v>
      </c>
      <c r="AG69" s="578" t="e">
        <f ca="1">_xll.qlDayCounterYearFraction(DayCounter,SettlementDate,AF69,,,Trigger)</f>
        <v>#NAME?</v>
      </c>
      <c r="AH69" s="575" t="e">
        <f t="shared" ca="1" si="12"/>
        <v>#NAME?</v>
      </c>
      <c r="AI69" s="575" t="e">
        <f t="shared" ca="1" si="13"/>
        <v>#NAME?</v>
      </c>
      <c r="AJ69" s="575" t="e">
        <f t="shared" ca="1" si="14"/>
        <v>#NAME?</v>
      </c>
    </row>
    <row r="70" spans="14:36" x14ac:dyDescent="0.2">
      <c r="N70" s="749"/>
      <c r="O70" s="749"/>
      <c r="AF70" s="562" t="e">
        <f ca="1">_xll.qlCalendarAdvance(Calendar,AF69,"1d","mf",,Trigger)</f>
        <v>#NAME?</v>
      </c>
      <c r="AG70" s="578" t="e">
        <f ca="1">_xll.qlDayCounterYearFraction(DayCounter,SettlementDate,AF70,,,Trigger)</f>
        <v>#NAME?</v>
      </c>
      <c r="AH70" s="575" t="e">
        <f t="shared" ca="1" si="12"/>
        <v>#NAME?</v>
      </c>
      <c r="AI70" s="575" t="e">
        <f t="shared" ca="1" si="13"/>
        <v>#NAME?</v>
      </c>
      <c r="AJ70" s="575" t="e">
        <f t="shared" ca="1" si="14"/>
        <v>#NAME?</v>
      </c>
    </row>
    <row r="71" spans="14:36" x14ac:dyDescent="0.2">
      <c r="N71" s="749"/>
      <c r="O71" s="749"/>
      <c r="AF71" s="562" t="e">
        <f ca="1">_xll.qlCalendarAdvance(Calendar,AF70,"1d","mf",,Trigger)</f>
        <v>#NAME?</v>
      </c>
      <c r="AG71" s="578" t="e">
        <f ca="1">_xll.qlDayCounterYearFraction(DayCounter,SettlementDate,AF71,,,Trigger)</f>
        <v>#NAME?</v>
      </c>
      <c r="AH71" s="575" t="e">
        <f t="shared" ca="1" si="12"/>
        <v>#NAME?</v>
      </c>
      <c r="AI71" s="575" t="e">
        <f t="shared" ca="1" si="13"/>
        <v>#NAME?</v>
      </c>
      <c r="AJ71" s="575" t="e">
        <f t="shared" ca="1" si="14"/>
        <v>#NAME?</v>
      </c>
    </row>
    <row r="72" spans="14:36" x14ac:dyDescent="0.2">
      <c r="N72" s="749"/>
      <c r="O72" s="749"/>
      <c r="AF72" s="562" t="e">
        <f ca="1">_xll.qlCalendarAdvance(Calendar,AF71,"1d","mf",,Trigger)</f>
        <v>#NAME?</v>
      </c>
      <c r="AG72" s="578" t="e">
        <f ca="1">_xll.qlDayCounterYearFraction(DayCounter,SettlementDate,AF72,,,Trigger)</f>
        <v>#NAME?</v>
      </c>
      <c r="AH72" s="575" t="e">
        <f t="shared" ca="1" si="12"/>
        <v>#NAME?</v>
      </c>
      <c r="AI72" s="575" t="e">
        <f t="shared" ca="1" si="13"/>
        <v>#NAME?</v>
      </c>
      <c r="AJ72" s="575" t="e">
        <f t="shared" ca="1" si="14"/>
        <v>#NAME?</v>
      </c>
    </row>
    <row r="73" spans="14:36" x14ac:dyDescent="0.2">
      <c r="N73" s="749"/>
      <c r="O73" s="749"/>
      <c r="AF73" s="562" t="e">
        <f ca="1">_xll.qlCalendarAdvance(Calendar,AF72,"1d","mf",,Trigger)</f>
        <v>#NAME?</v>
      </c>
      <c r="AG73" s="578" t="e">
        <f ca="1">_xll.qlDayCounterYearFraction(DayCounter,SettlementDate,AF73,,,Trigger)</f>
        <v>#NAME?</v>
      </c>
      <c r="AH73" s="575" t="e">
        <f t="shared" ca="1" si="12"/>
        <v>#NAME?</v>
      </c>
      <c r="AI73" s="575" t="e">
        <f t="shared" ca="1" si="13"/>
        <v>#NAME?</v>
      </c>
      <c r="AJ73" s="575" t="e">
        <f t="shared" ca="1" si="14"/>
        <v>#NAME?</v>
      </c>
    </row>
    <row r="74" spans="14:36" x14ac:dyDescent="0.2">
      <c r="N74" s="749"/>
      <c r="O74" s="749"/>
      <c r="AF74" s="562" t="e">
        <f ca="1">_xll.qlCalendarAdvance(Calendar,AF73,"1d","mf",,Trigger)</f>
        <v>#NAME?</v>
      </c>
      <c r="AG74" s="578" t="e">
        <f ca="1">_xll.qlDayCounterYearFraction(DayCounter,SettlementDate,AF74,,,Trigger)</f>
        <v>#NAME?</v>
      </c>
      <c r="AH74" s="575" t="e">
        <f t="shared" ca="1" si="12"/>
        <v>#NAME?</v>
      </c>
      <c r="AI74" s="575" t="e">
        <f t="shared" ca="1" si="13"/>
        <v>#NAME?</v>
      </c>
      <c r="AJ74" s="575" t="e">
        <f t="shared" ca="1" si="14"/>
        <v>#NAME?</v>
      </c>
    </row>
    <row r="75" spans="14:36" x14ac:dyDescent="0.2">
      <c r="N75" s="749"/>
      <c r="O75" s="749"/>
      <c r="AF75" s="562" t="e">
        <f ca="1">_xll.qlCalendarAdvance(Calendar,AF74,"1d","mf",,Trigger)</f>
        <v>#NAME?</v>
      </c>
      <c r="AG75" s="578" t="e">
        <f ca="1">_xll.qlDayCounterYearFraction(DayCounter,SettlementDate,AF75,,,Trigger)</f>
        <v>#NAME?</v>
      </c>
      <c r="AH75" s="575" t="e">
        <f t="shared" ca="1" si="12"/>
        <v>#NAME?</v>
      </c>
      <c r="AI75" s="575" t="e">
        <f t="shared" ca="1" si="13"/>
        <v>#NAME?</v>
      </c>
      <c r="AJ75" s="575" t="e">
        <f t="shared" ca="1" si="14"/>
        <v>#NAME?</v>
      </c>
    </row>
    <row r="76" spans="14:36" x14ac:dyDescent="0.2">
      <c r="N76" s="749"/>
      <c r="O76" s="749"/>
      <c r="AF76" s="562" t="e">
        <f ca="1">_xll.qlCalendarAdvance(Calendar,AF75,"1d","mf",,Trigger)</f>
        <v>#NAME?</v>
      </c>
      <c r="AG76" s="578" t="e">
        <f ca="1">_xll.qlDayCounterYearFraction(DayCounter,SettlementDate,AF76,,,Trigger)</f>
        <v>#NAME?</v>
      </c>
      <c r="AH76" s="575" t="e">
        <f t="shared" ca="1" si="12"/>
        <v>#NAME?</v>
      </c>
      <c r="AI76" s="575" t="e">
        <f t="shared" ca="1" si="13"/>
        <v>#NAME?</v>
      </c>
      <c r="AJ76" s="575" t="e">
        <f t="shared" ca="1" si="14"/>
        <v>#NAME?</v>
      </c>
    </row>
    <row r="77" spans="14:36" x14ac:dyDescent="0.2">
      <c r="N77" s="749"/>
      <c r="O77" s="749"/>
      <c r="AF77" s="562" t="e">
        <f ca="1">_xll.qlCalendarAdvance(Calendar,AF76,"1d","mf",,Trigger)</f>
        <v>#NAME?</v>
      </c>
      <c r="AG77" s="578" t="e">
        <f ca="1">_xll.qlDayCounterYearFraction(DayCounter,SettlementDate,AF77,,,Trigger)</f>
        <v>#NAME?</v>
      </c>
      <c r="AH77" s="575" t="e">
        <f t="shared" ca="1" si="12"/>
        <v>#NAME?</v>
      </c>
      <c r="AI77" s="575" t="e">
        <f t="shared" ca="1" si="13"/>
        <v>#NAME?</v>
      </c>
      <c r="AJ77" s="575" t="e">
        <f t="shared" ca="1" si="14"/>
        <v>#NAME?</v>
      </c>
    </row>
    <row r="78" spans="14:36" x14ac:dyDescent="0.2">
      <c r="N78" s="749"/>
      <c r="O78" s="749"/>
      <c r="AF78" s="562" t="e">
        <f ca="1">_xll.qlCalendarAdvance(Calendar,AF77,"1d","mf",,Trigger)</f>
        <v>#NAME?</v>
      </c>
      <c r="AG78" s="578" t="e">
        <f ca="1">_xll.qlDayCounterYearFraction(DayCounter,SettlementDate,AF78,,,Trigger)</f>
        <v>#NAME?</v>
      </c>
      <c r="AH78" s="575" t="e">
        <f t="shared" ca="1" si="12"/>
        <v>#NAME?</v>
      </c>
      <c r="AI78" s="575" t="e">
        <f t="shared" ca="1" si="13"/>
        <v>#NAME?</v>
      </c>
      <c r="AJ78" s="575" t="e">
        <f t="shared" ca="1" si="14"/>
        <v>#NAME?</v>
      </c>
    </row>
    <row r="79" spans="14:36" x14ac:dyDescent="0.2">
      <c r="N79" s="749"/>
      <c r="O79" s="749"/>
      <c r="AF79" s="562" t="e">
        <f ca="1">_xll.qlCalendarAdvance(Calendar,AF78,"1d","mf",,Trigger)</f>
        <v>#NAME?</v>
      </c>
      <c r="AG79" s="578" t="e">
        <f ca="1">_xll.qlDayCounterYearFraction(DayCounter,SettlementDate,AF79,,,Trigger)</f>
        <v>#NAME?</v>
      </c>
      <c r="AH79" s="575" t="e">
        <f t="shared" ca="1" si="12"/>
        <v>#NAME?</v>
      </c>
      <c r="AI79" s="575" t="e">
        <f t="shared" ca="1" si="13"/>
        <v>#NAME?</v>
      </c>
      <c r="AJ79" s="575" t="e">
        <f t="shared" ca="1" si="14"/>
        <v>#NAME?</v>
      </c>
    </row>
    <row r="80" spans="14:36" x14ac:dyDescent="0.2">
      <c r="N80" s="749"/>
      <c r="O80" s="749"/>
      <c r="AF80" s="562" t="e">
        <f ca="1">_xll.qlCalendarAdvance(Calendar,AF79,"1d","mf",,Trigger)</f>
        <v>#NAME?</v>
      </c>
      <c r="AG80" s="578" t="e">
        <f ca="1">_xll.qlDayCounterYearFraction(DayCounter,SettlementDate,AF80,,,Trigger)</f>
        <v>#NAME?</v>
      </c>
      <c r="AH80" s="575" t="e">
        <f t="shared" ca="1" si="12"/>
        <v>#NAME?</v>
      </c>
      <c r="AI80" s="575" t="e">
        <f t="shared" ca="1" si="13"/>
        <v>#NAME?</v>
      </c>
      <c r="AJ80" s="575" t="e">
        <f t="shared" ca="1" si="14"/>
        <v>#NAME?</v>
      </c>
    </row>
    <row r="81" spans="14:36" x14ac:dyDescent="0.2">
      <c r="N81" s="749"/>
      <c r="O81" s="749"/>
      <c r="AF81" s="562" t="e">
        <f ca="1">_xll.qlCalendarAdvance(Calendar,AF80,"1d","mf",,Trigger)</f>
        <v>#NAME?</v>
      </c>
      <c r="AG81" s="578" t="e">
        <f ca="1">_xll.qlDayCounterYearFraction(DayCounter,SettlementDate,AF81,,,Trigger)</f>
        <v>#NAME?</v>
      </c>
      <c r="AH81" s="575" t="e">
        <f t="shared" ca="1" si="12"/>
        <v>#NAME?</v>
      </c>
      <c r="AI81" s="575" t="e">
        <f t="shared" ca="1" si="13"/>
        <v>#NAME?</v>
      </c>
      <c r="AJ81" s="575" t="e">
        <f t="shared" ca="1" si="14"/>
        <v>#NAME?</v>
      </c>
    </row>
    <row r="82" spans="14:36" x14ac:dyDescent="0.2">
      <c r="N82" s="749"/>
      <c r="O82" s="749"/>
      <c r="AF82" s="562" t="e">
        <f ca="1">_xll.qlCalendarAdvance(Calendar,AF81,"1d","mf",,Trigger)</f>
        <v>#NAME?</v>
      </c>
      <c r="AG82" s="578" t="e">
        <f ca="1">_xll.qlDayCounterYearFraction(DayCounter,SettlementDate,AF82,,,Trigger)</f>
        <v>#NAME?</v>
      </c>
      <c r="AH82" s="575" t="e">
        <f t="shared" ca="1" si="12"/>
        <v>#NAME?</v>
      </c>
      <c r="AI82" s="575" t="e">
        <f t="shared" ca="1" si="13"/>
        <v>#NAME?</v>
      </c>
      <c r="AJ82" s="575" t="e">
        <f t="shared" ca="1" si="14"/>
        <v>#NAME?</v>
      </c>
    </row>
    <row r="83" spans="14:36" x14ac:dyDescent="0.2">
      <c r="N83" s="749"/>
      <c r="O83" s="749"/>
      <c r="AF83" s="562" t="e">
        <f ca="1">_xll.qlCalendarAdvance(Calendar,AF82,"1d","mf",,Trigger)</f>
        <v>#NAME?</v>
      </c>
      <c r="AG83" s="578" t="e">
        <f ca="1">_xll.qlDayCounterYearFraction(DayCounter,SettlementDate,AF83,,,Trigger)</f>
        <v>#NAME?</v>
      </c>
      <c r="AH83" s="575" t="e">
        <f t="shared" ca="1" si="12"/>
        <v>#NAME?</v>
      </c>
      <c r="AI83" s="575" t="e">
        <f t="shared" ca="1" si="13"/>
        <v>#NAME?</v>
      </c>
      <c r="AJ83" s="575" t="e">
        <f t="shared" ca="1" si="14"/>
        <v>#NAME?</v>
      </c>
    </row>
    <row r="84" spans="14:36" x14ac:dyDescent="0.2">
      <c r="N84" s="749"/>
      <c r="O84" s="749"/>
      <c r="AF84" s="562" t="e">
        <f ca="1">_xll.qlCalendarAdvance(Calendar,AF83,"1d","mf",,Trigger)</f>
        <v>#NAME?</v>
      </c>
      <c r="AG84" s="578" t="e">
        <f ca="1">_xll.qlDayCounterYearFraction(DayCounter,SettlementDate,AF84,,,Trigger)</f>
        <v>#NAME?</v>
      </c>
      <c r="AH84" s="575" t="e">
        <f t="shared" ca="1" si="12"/>
        <v>#NAME?</v>
      </c>
      <c r="AI84" s="575" t="e">
        <f t="shared" ca="1" si="13"/>
        <v>#NAME?</v>
      </c>
      <c r="AJ84" s="575" t="e">
        <f t="shared" ca="1" si="14"/>
        <v>#NAME?</v>
      </c>
    </row>
    <row r="85" spans="14:36" x14ac:dyDescent="0.2">
      <c r="N85" s="749"/>
      <c r="O85" s="749"/>
      <c r="AF85" s="562" t="e">
        <f ca="1">_xll.qlCalendarAdvance(Calendar,AF84,"1d","mf",,Trigger)</f>
        <v>#NAME?</v>
      </c>
      <c r="AG85" s="578" t="e">
        <f ca="1">_xll.qlDayCounterYearFraction(DayCounter,SettlementDate,AF85,,,Trigger)</f>
        <v>#NAME?</v>
      </c>
      <c r="AH85" s="575" t="e">
        <f t="shared" ca="1" si="12"/>
        <v>#NAME?</v>
      </c>
      <c r="AI85" s="575" t="e">
        <f t="shared" ca="1" si="13"/>
        <v>#NAME?</v>
      </c>
      <c r="AJ85" s="575" t="e">
        <f t="shared" ca="1" si="14"/>
        <v>#NAME?</v>
      </c>
    </row>
    <row r="86" spans="14:36" x14ac:dyDescent="0.2">
      <c r="N86" s="749"/>
      <c r="O86" s="749"/>
      <c r="AF86" s="562" t="e">
        <f ca="1">_xll.qlCalendarAdvance(Calendar,AF85,"1d","mf",,Trigger)</f>
        <v>#NAME?</v>
      </c>
      <c r="AG86" s="578" t="e">
        <f ca="1">_xll.qlDayCounterYearFraction(DayCounter,SettlementDate,AF86,,,Trigger)</f>
        <v>#NAME?</v>
      </c>
      <c r="AH86" s="575" t="e">
        <f t="shared" ca="1" si="12"/>
        <v>#NAME?</v>
      </c>
      <c r="AI86" s="575" t="e">
        <f t="shared" ca="1" si="13"/>
        <v>#NAME?</v>
      </c>
      <c r="AJ86" s="575" t="e">
        <f t="shared" ca="1" si="14"/>
        <v>#NAME?</v>
      </c>
    </row>
    <row r="87" spans="14:36" x14ac:dyDescent="0.2">
      <c r="N87" s="749"/>
      <c r="O87" s="749"/>
      <c r="AF87" s="562" t="e">
        <f ca="1">_xll.qlCalendarAdvance(Calendar,AF86,"1d","mf",,Trigger)</f>
        <v>#NAME?</v>
      </c>
      <c r="AG87" s="578" t="e">
        <f ca="1">_xll.qlDayCounterYearFraction(DayCounter,SettlementDate,AF87,,,Trigger)</f>
        <v>#NAME?</v>
      </c>
      <c r="AH87" s="575" t="e">
        <f t="shared" ca="1" si="12"/>
        <v>#NAME?</v>
      </c>
      <c r="AI87" s="575" t="e">
        <f t="shared" ca="1" si="13"/>
        <v>#NAME?</v>
      </c>
      <c r="AJ87" s="575" t="e">
        <f t="shared" ca="1" si="14"/>
        <v>#NAME?</v>
      </c>
    </row>
    <row r="88" spans="14:36" x14ac:dyDescent="0.2">
      <c r="N88" s="749"/>
      <c r="O88" s="749"/>
      <c r="AF88" s="562" t="e">
        <f ca="1">_xll.qlCalendarAdvance(Calendar,AF87,"1d","mf",,Trigger)</f>
        <v>#NAME?</v>
      </c>
      <c r="AG88" s="578" t="e">
        <f ca="1">_xll.qlDayCounterYearFraction(DayCounter,SettlementDate,AF88,,,Trigger)</f>
        <v>#NAME?</v>
      </c>
      <c r="AH88" s="575" t="e">
        <f t="shared" ca="1" si="12"/>
        <v>#NAME?</v>
      </c>
      <c r="AI88" s="575" t="e">
        <f t="shared" ca="1" si="13"/>
        <v>#NAME?</v>
      </c>
      <c r="AJ88" s="575" t="e">
        <f t="shared" ca="1" si="14"/>
        <v>#NAME?</v>
      </c>
    </row>
    <row r="89" spans="14:36" x14ac:dyDescent="0.2">
      <c r="N89" s="749"/>
      <c r="O89" s="749"/>
      <c r="AF89" s="562" t="e">
        <f ca="1">_xll.qlCalendarAdvance(Calendar,AF88,"1d","mf",,Trigger)</f>
        <v>#NAME?</v>
      </c>
      <c r="AG89" s="578" t="e">
        <f ca="1">_xll.qlDayCounterYearFraction(DayCounter,SettlementDate,AF89,,,Trigger)</f>
        <v>#NAME?</v>
      </c>
      <c r="AH89" s="575" t="e">
        <f t="shared" ca="1" si="12"/>
        <v>#NAME?</v>
      </c>
      <c r="AI89" s="575" t="e">
        <f t="shared" ca="1" si="13"/>
        <v>#NAME?</v>
      </c>
      <c r="AJ89" s="575" t="e">
        <f t="shared" ca="1" si="14"/>
        <v>#NAME?</v>
      </c>
    </row>
    <row r="90" spans="14:36" x14ac:dyDescent="0.2">
      <c r="N90" s="749"/>
      <c r="O90" s="749"/>
      <c r="AF90" s="562" t="e">
        <f ca="1">_xll.qlCalendarAdvance(Calendar,AF89,"1d","mf",,Trigger)</f>
        <v>#NAME?</v>
      </c>
      <c r="AG90" s="578" t="e">
        <f ca="1">_xll.qlDayCounterYearFraction(DayCounter,SettlementDate,AF90,,,Trigger)</f>
        <v>#NAME?</v>
      </c>
      <c r="AH90" s="575" t="e">
        <f t="shared" ca="1" si="12"/>
        <v>#NAME?</v>
      </c>
      <c r="AI90" s="575" t="e">
        <f t="shared" ca="1" si="13"/>
        <v>#NAME?</v>
      </c>
      <c r="AJ90" s="575" t="e">
        <f t="shared" ca="1" si="14"/>
        <v>#NAME?</v>
      </c>
    </row>
    <row r="91" spans="14:36" x14ac:dyDescent="0.2">
      <c r="N91" s="749"/>
      <c r="O91" s="749"/>
      <c r="AF91" s="562" t="e">
        <f ca="1">_xll.qlCalendarAdvance(Calendar,AF90,"1d","mf",,Trigger)</f>
        <v>#NAME?</v>
      </c>
      <c r="AG91" s="578" t="e">
        <f ca="1">_xll.qlDayCounterYearFraction(DayCounter,SettlementDate,AF91,,,Trigger)</f>
        <v>#NAME?</v>
      </c>
      <c r="AH91" s="575" t="e">
        <f t="shared" ca="1" si="12"/>
        <v>#NAME?</v>
      </c>
      <c r="AI91" s="575" t="e">
        <f t="shared" ca="1" si="13"/>
        <v>#NAME?</v>
      </c>
      <c r="AJ91" s="575" t="e">
        <f t="shared" ca="1" si="14"/>
        <v>#NAME?</v>
      </c>
    </row>
    <row r="92" spans="14:36" x14ac:dyDescent="0.2">
      <c r="N92" s="749"/>
      <c r="O92" s="749"/>
      <c r="AF92" s="562" t="e">
        <f ca="1">_xll.qlCalendarAdvance(Calendar,AF91,"1d","mf",,Trigger)</f>
        <v>#NAME?</v>
      </c>
      <c r="AG92" s="578" t="e">
        <f ca="1">_xll.qlDayCounterYearFraction(DayCounter,SettlementDate,AF92,,,Trigger)</f>
        <v>#NAME?</v>
      </c>
      <c r="AH92" s="575" t="e">
        <f t="shared" ca="1" si="12"/>
        <v>#NAME?</v>
      </c>
      <c r="AI92" s="575" t="e">
        <f t="shared" ca="1" si="13"/>
        <v>#NAME?</v>
      </c>
      <c r="AJ92" s="575" t="e">
        <f t="shared" ca="1" si="14"/>
        <v>#NAME?</v>
      </c>
    </row>
    <row r="93" spans="14:36" x14ac:dyDescent="0.2">
      <c r="N93" s="749"/>
      <c r="O93" s="749"/>
      <c r="AF93" s="562" t="e">
        <f ca="1">_xll.qlCalendarAdvance(Calendar,AF92,"1d","mf",,Trigger)</f>
        <v>#NAME?</v>
      </c>
      <c r="AG93" s="578" t="e">
        <f ca="1">_xll.qlDayCounterYearFraction(DayCounter,SettlementDate,AF93,,,Trigger)</f>
        <v>#NAME?</v>
      </c>
      <c r="AH93" s="575" t="e">
        <f t="shared" ca="1" si="12"/>
        <v>#NAME?</v>
      </c>
      <c r="AI93" s="575" t="e">
        <f t="shared" ca="1" si="13"/>
        <v>#NAME?</v>
      </c>
      <c r="AJ93" s="575" t="e">
        <f t="shared" ca="1" si="14"/>
        <v>#NAME?</v>
      </c>
    </row>
    <row r="94" spans="14:36" x14ac:dyDescent="0.2">
      <c r="N94" s="749"/>
      <c r="O94" s="749"/>
      <c r="AF94" s="562" t="e">
        <f ca="1">_xll.qlCalendarAdvance(Calendar,AF93,"1d","mf",,Trigger)</f>
        <v>#NAME?</v>
      </c>
      <c r="AG94" s="578" t="e">
        <f ca="1">_xll.qlDayCounterYearFraction(DayCounter,SettlementDate,AF94,,,Trigger)</f>
        <v>#NAME?</v>
      </c>
      <c r="AH94" s="575" t="e">
        <f t="shared" ca="1" si="12"/>
        <v>#NAME?</v>
      </c>
      <c r="AI94" s="575" t="e">
        <f t="shared" ca="1" si="13"/>
        <v>#NAME?</v>
      </c>
      <c r="AJ94" s="575" t="e">
        <f t="shared" ca="1" si="14"/>
        <v>#NAME?</v>
      </c>
    </row>
    <row r="95" spans="14:36" x14ac:dyDescent="0.2">
      <c r="N95" s="749"/>
      <c r="O95" s="749"/>
      <c r="AF95" s="562" t="e">
        <f ca="1">_xll.qlCalendarAdvance(Calendar,AF94,"1d","mf",,Trigger)</f>
        <v>#NAME?</v>
      </c>
      <c r="AG95" s="578" t="e">
        <f ca="1">_xll.qlDayCounterYearFraction(DayCounter,SettlementDate,AF95,,,Trigger)</f>
        <v>#NAME?</v>
      </c>
      <c r="AH95" s="575" t="e">
        <f t="shared" ca="1" si="12"/>
        <v>#NAME?</v>
      </c>
      <c r="AI95" s="575" t="e">
        <f t="shared" ca="1" si="13"/>
        <v>#NAME?</v>
      </c>
      <c r="AJ95" s="575" t="e">
        <f t="shared" ca="1" si="14"/>
        <v>#NAME?</v>
      </c>
    </row>
    <row r="96" spans="14:36" x14ac:dyDescent="0.2">
      <c r="N96" s="749"/>
      <c r="O96" s="749"/>
      <c r="AF96" s="562" t="e">
        <f ca="1">_xll.qlCalendarAdvance(Calendar,AF95,"1d","mf",,Trigger)</f>
        <v>#NAME?</v>
      </c>
      <c r="AG96" s="578" t="e">
        <f ca="1">_xll.qlDayCounterYearFraction(DayCounter,SettlementDate,AF96,,,Trigger)</f>
        <v>#NAME?</v>
      </c>
      <c r="AH96" s="575" t="e">
        <f t="shared" ca="1" si="12"/>
        <v>#NAME?</v>
      </c>
      <c r="AI96" s="575" t="e">
        <f t="shared" ca="1" si="13"/>
        <v>#NAME?</v>
      </c>
      <c r="AJ96" s="575" t="e">
        <f t="shared" ca="1" si="14"/>
        <v>#NAME?</v>
      </c>
    </row>
    <row r="97" spans="14:36" x14ac:dyDescent="0.2">
      <c r="N97" s="749"/>
      <c r="O97" s="749"/>
      <c r="AF97" s="562" t="e">
        <f ca="1">_xll.qlCalendarAdvance(Calendar,AF96,"1d","mf",,Trigger)</f>
        <v>#NAME?</v>
      </c>
      <c r="AG97" s="578" t="e">
        <f ca="1">_xll.qlDayCounterYearFraction(DayCounter,SettlementDate,AF97,,,Trigger)</f>
        <v>#NAME?</v>
      </c>
      <c r="AH97" s="575" t="e">
        <f t="shared" ca="1" si="12"/>
        <v>#NAME?</v>
      </c>
      <c r="AI97" s="575" t="e">
        <f t="shared" ca="1" si="13"/>
        <v>#NAME?</v>
      </c>
      <c r="AJ97" s="575" t="e">
        <f t="shared" ca="1" si="14"/>
        <v>#NAME?</v>
      </c>
    </row>
    <row r="98" spans="14:36" x14ac:dyDescent="0.2">
      <c r="N98" s="749"/>
      <c r="O98" s="749"/>
      <c r="AF98" s="562" t="e">
        <f ca="1">_xll.qlCalendarAdvance(Calendar,AF97,"1d","mf",,Trigger)</f>
        <v>#NAME?</v>
      </c>
      <c r="AG98" s="578" t="e">
        <f ca="1">_xll.qlDayCounterYearFraction(DayCounter,SettlementDate,AF98,,,Trigger)</f>
        <v>#NAME?</v>
      </c>
      <c r="AH98" s="575" t="e">
        <f t="shared" ca="1" si="12"/>
        <v>#NAME?</v>
      </c>
      <c r="AI98" s="575" t="e">
        <f t="shared" ca="1" si="13"/>
        <v>#NAME?</v>
      </c>
      <c r="AJ98" s="575" t="e">
        <f t="shared" ca="1" si="14"/>
        <v>#NAME?</v>
      </c>
    </row>
    <row r="99" spans="14:36" x14ac:dyDescent="0.2">
      <c r="N99" s="749"/>
      <c r="O99" s="749"/>
      <c r="AF99" s="562" t="e">
        <f ca="1">_xll.qlCalendarAdvance(Calendar,AF98,"1d","mf",,Trigger)</f>
        <v>#NAME?</v>
      </c>
      <c r="AG99" s="578" t="e">
        <f ca="1">_xll.qlDayCounterYearFraction(DayCounter,SettlementDate,AF99,,,Trigger)</f>
        <v>#NAME?</v>
      </c>
      <c r="AH99" s="575" t="e">
        <f t="shared" ref="AH99:AH132" ca="1" si="15">$W$13</f>
        <v>#NAME?</v>
      </c>
      <c r="AI99" s="575" t="e">
        <f t="shared" ref="AI99:AI132" ca="1" si="16">$W$10+$W$9*AG99</f>
        <v>#NAME?</v>
      </c>
      <c r="AJ99" s="575" t="e">
        <f t="shared" ref="AJ99:AJ132" ca="1" si="17">($W$5+$W$4*AG99+$W$3*AG99^2)</f>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15"/>
        <v>#NAME?</v>
      </c>
      <c r="AI100" s="575" t="e">
        <f t="shared" ca="1" si="16"/>
        <v>#NAME?</v>
      </c>
      <c r="AJ100" s="575" t="e">
        <f t="shared" ca="1" si="17"/>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15"/>
        <v>#NAME?</v>
      </c>
      <c r="AI101" s="575" t="e">
        <f t="shared" ca="1" si="16"/>
        <v>#NAME?</v>
      </c>
      <c r="AJ101" s="575" t="e">
        <f t="shared" ca="1" si="17"/>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15"/>
        <v>#NAME?</v>
      </c>
      <c r="AI102" s="575" t="e">
        <f t="shared" ca="1" si="16"/>
        <v>#NAME?</v>
      </c>
      <c r="AJ102" s="575" t="e">
        <f t="shared" ca="1" si="17"/>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15"/>
        <v>#NAME?</v>
      </c>
      <c r="AI103" s="575" t="e">
        <f t="shared" ca="1" si="16"/>
        <v>#NAME?</v>
      </c>
      <c r="AJ103" s="575" t="e">
        <f t="shared" ca="1" si="17"/>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15"/>
        <v>#NAME?</v>
      </c>
      <c r="AI104" s="575" t="e">
        <f t="shared" ca="1" si="16"/>
        <v>#NAME?</v>
      </c>
      <c r="AJ104" s="575" t="e">
        <f t="shared" ca="1" si="17"/>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15"/>
        <v>#NAME?</v>
      </c>
      <c r="AI105" s="575" t="e">
        <f t="shared" ca="1" si="16"/>
        <v>#NAME?</v>
      </c>
      <c r="AJ105" s="575" t="e">
        <f t="shared" ca="1" si="17"/>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15"/>
        <v>#NAME?</v>
      </c>
      <c r="AI106" s="575" t="e">
        <f t="shared" ca="1" si="16"/>
        <v>#NAME?</v>
      </c>
      <c r="AJ106" s="575" t="e">
        <f t="shared" ca="1" si="17"/>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15"/>
        <v>#NAME?</v>
      </c>
      <c r="AI107" s="575" t="e">
        <f t="shared" ca="1" si="16"/>
        <v>#NAME?</v>
      </c>
      <c r="AJ107" s="575" t="e">
        <f t="shared" ca="1" si="17"/>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15"/>
        <v>#NAME?</v>
      </c>
      <c r="AI108" s="575" t="e">
        <f t="shared" ca="1" si="16"/>
        <v>#NAME?</v>
      </c>
      <c r="AJ108" s="575" t="e">
        <f t="shared" ca="1" si="17"/>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15"/>
        <v>#NAME?</v>
      </c>
      <c r="AI109" s="575" t="e">
        <f t="shared" ca="1" si="16"/>
        <v>#NAME?</v>
      </c>
      <c r="AJ109" s="575" t="e">
        <f t="shared" ca="1" si="17"/>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15"/>
        <v>#NAME?</v>
      </c>
      <c r="AI110" s="575" t="e">
        <f t="shared" ca="1" si="16"/>
        <v>#NAME?</v>
      </c>
      <c r="AJ110" s="575" t="e">
        <f t="shared" ca="1" si="17"/>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15"/>
        <v>#NAME?</v>
      </c>
      <c r="AI111" s="575" t="e">
        <f t="shared" ca="1" si="16"/>
        <v>#NAME?</v>
      </c>
      <c r="AJ111" s="575" t="e">
        <f t="shared" ca="1" si="17"/>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15"/>
        <v>#NAME?</v>
      </c>
      <c r="AI112" s="575" t="e">
        <f t="shared" ca="1" si="16"/>
        <v>#NAME?</v>
      </c>
      <c r="AJ112" s="575" t="e">
        <f t="shared" ca="1" si="17"/>
        <v>#NAME?</v>
      </c>
    </row>
    <row r="113" spans="14:36" x14ac:dyDescent="0.2">
      <c r="N113" s="563"/>
      <c r="O113" s="749"/>
      <c r="AF113" s="562" t="e">
        <f ca="1">_xll.qlCalendarAdvance(Calendar,AF112,"1d","mf",,Trigger)</f>
        <v>#NAME?</v>
      </c>
      <c r="AG113" s="578" t="e">
        <f ca="1">_xll.qlDayCounterYearFraction(DayCounter,SettlementDate,AF113,,,Trigger)</f>
        <v>#NAME?</v>
      </c>
      <c r="AH113" s="575" t="e">
        <f t="shared" ca="1" si="15"/>
        <v>#NAME?</v>
      </c>
      <c r="AI113" s="575" t="e">
        <f t="shared" ca="1" si="16"/>
        <v>#NAME?</v>
      </c>
      <c r="AJ113" s="575" t="e">
        <f t="shared" ca="1" si="17"/>
        <v>#NAME?</v>
      </c>
    </row>
    <row r="114" spans="14:36" x14ac:dyDescent="0.2">
      <c r="N114" s="563"/>
      <c r="O114" s="749"/>
      <c r="AF114" s="562" t="e">
        <f ca="1">_xll.qlCalendarAdvance(Calendar,AF113,"1d","mf",,Trigger)</f>
        <v>#NAME?</v>
      </c>
      <c r="AG114" s="578" t="e">
        <f ca="1">_xll.qlDayCounterYearFraction(DayCounter,SettlementDate,AF114,,,Trigger)</f>
        <v>#NAME?</v>
      </c>
      <c r="AH114" s="575" t="e">
        <f t="shared" ca="1" si="15"/>
        <v>#NAME?</v>
      </c>
      <c r="AI114" s="575" t="e">
        <f t="shared" ca="1" si="16"/>
        <v>#NAME?</v>
      </c>
      <c r="AJ114" s="575" t="e">
        <f t="shared" ca="1" si="17"/>
        <v>#NAME?</v>
      </c>
    </row>
    <row r="115" spans="14:36" x14ac:dyDescent="0.2">
      <c r="N115" s="563"/>
      <c r="O115" s="749"/>
      <c r="AF115" s="562" t="e">
        <f ca="1">_xll.qlCalendarAdvance(Calendar,AF114,"1d","mf",,Trigger)</f>
        <v>#NAME?</v>
      </c>
      <c r="AG115" s="578" t="e">
        <f ca="1">_xll.qlDayCounterYearFraction(DayCounter,SettlementDate,AF115,,,Trigger)</f>
        <v>#NAME?</v>
      </c>
      <c r="AH115" s="575" t="e">
        <f t="shared" ca="1" si="15"/>
        <v>#NAME?</v>
      </c>
      <c r="AI115" s="575" t="e">
        <f t="shared" ca="1" si="16"/>
        <v>#NAME?</v>
      </c>
      <c r="AJ115" s="575" t="e">
        <f t="shared" ca="1" si="17"/>
        <v>#NAME?</v>
      </c>
    </row>
    <row r="116" spans="14:36" x14ac:dyDescent="0.2">
      <c r="N116" s="563"/>
      <c r="O116" s="749"/>
      <c r="AF116" s="562" t="e">
        <f ca="1">_xll.qlCalendarAdvance(Calendar,AF115,"1d","mf",,Trigger)</f>
        <v>#NAME?</v>
      </c>
      <c r="AG116" s="578" t="e">
        <f ca="1">_xll.qlDayCounterYearFraction(DayCounter,SettlementDate,AF116,,,Trigger)</f>
        <v>#NAME?</v>
      </c>
      <c r="AH116" s="575" t="e">
        <f t="shared" ca="1" si="15"/>
        <v>#NAME?</v>
      </c>
      <c r="AI116" s="575" t="e">
        <f t="shared" ca="1" si="16"/>
        <v>#NAME?</v>
      </c>
      <c r="AJ116" s="575" t="e">
        <f t="shared" ca="1" si="17"/>
        <v>#NAME?</v>
      </c>
    </row>
    <row r="117" spans="14:36" x14ac:dyDescent="0.2">
      <c r="N117" s="563"/>
      <c r="O117" s="749"/>
      <c r="AF117" s="562" t="e">
        <f ca="1">_xll.qlCalendarAdvance(Calendar,AF116,"1d","mf",,Trigger)</f>
        <v>#NAME?</v>
      </c>
      <c r="AG117" s="578" t="e">
        <f ca="1">_xll.qlDayCounterYearFraction(DayCounter,SettlementDate,AF117,,,Trigger)</f>
        <v>#NAME?</v>
      </c>
      <c r="AH117" s="575" t="e">
        <f t="shared" ca="1" si="15"/>
        <v>#NAME?</v>
      </c>
      <c r="AI117" s="575" t="e">
        <f t="shared" ca="1" si="16"/>
        <v>#NAME?</v>
      </c>
      <c r="AJ117" s="575" t="e">
        <f t="shared" ca="1" si="17"/>
        <v>#NAME?</v>
      </c>
    </row>
    <row r="118" spans="14:36" x14ac:dyDescent="0.2">
      <c r="N118" s="563"/>
      <c r="O118" s="749"/>
      <c r="AF118" s="562" t="e">
        <f ca="1">_xll.qlCalendarAdvance(Calendar,AF117,"1d","mf",,Trigger)</f>
        <v>#NAME?</v>
      </c>
      <c r="AG118" s="578" t="e">
        <f ca="1">_xll.qlDayCounterYearFraction(DayCounter,SettlementDate,AF118,,,Trigger)</f>
        <v>#NAME?</v>
      </c>
      <c r="AH118" s="575" t="e">
        <f t="shared" ca="1" si="15"/>
        <v>#NAME?</v>
      </c>
      <c r="AI118" s="575" t="e">
        <f t="shared" ca="1" si="16"/>
        <v>#NAME?</v>
      </c>
      <c r="AJ118" s="575" t="e">
        <f t="shared" ca="1" si="17"/>
        <v>#NAME?</v>
      </c>
    </row>
    <row r="119" spans="14:36" x14ac:dyDescent="0.2">
      <c r="N119" s="563"/>
      <c r="O119" s="563"/>
      <c r="AF119" s="562" t="e">
        <f ca="1">_xll.qlCalendarAdvance(Calendar,AF118,"1d","mf",,Trigger)</f>
        <v>#NAME?</v>
      </c>
      <c r="AG119" s="578" t="e">
        <f ca="1">_xll.qlDayCounterYearFraction(DayCounter,SettlementDate,AF119,,,Trigger)</f>
        <v>#NAME?</v>
      </c>
      <c r="AH119" s="575" t="e">
        <f t="shared" ca="1" si="15"/>
        <v>#NAME?</v>
      </c>
      <c r="AI119" s="575" t="e">
        <f t="shared" ca="1" si="16"/>
        <v>#NAME?</v>
      </c>
      <c r="AJ119" s="575" t="e">
        <f t="shared" ca="1" si="17"/>
        <v>#NAME?</v>
      </c>
    </row>
    <row r="120" spans="14:36" x14ac:dyDescent="0.2">
      <c r="N120" s="563"/>
      <c r="O120" s="563"/>
      <c r="AF120" s="562" t="e">
        <f ca="1">_xll.qlCalendarAdvance(Calendar,AF119,"1d","mf",,Trigger)</f>
        <v>#NAME?</v>
      </c>
      <c r="AG120" s="578" t="e">
        <f ca="1">_xll.qlDayCounterYearFraction(DayCounter,SettlementDate,AF120,,,Trigger)</f>
        <v>#NAME?</v>
      </c>
      <c r="AH120" s="575" t="e">
        <f t="shared" ca="1" si="15"/>
        <v>#NAME?</v>
      </c>
      <c r="AI120" s="575" t="e">
        <f t="shared" ca="1" si="16"/>
        <v>#NAME?</v>
      </c>
      <c r="AJ120" s="575" t="e">
        <f t="shared" ca="1" si="17"/>
        <v>#NAME?</v>
      </c>
    </row>
    <row r="121" spans="14:36" x14ac:dyDescent="0.2">
      <c r="N121" s="563"/>
      <c r="O121" s="563"/>
      <c r="AF121" s="562" t="e">
        <f ca="1">_xll.qlCalendarAdvance(Calendar,AF120,"1d","mf",,Trigger)</f>
        <v>#NAME?</v>
      </c>
      <c r="AG121" s="578" t="e">
        <f ca="1">_xll.qlDayCounterYearFraction(DayCounter,SettlementDate,AF121,,,Trigger)</f>
        <v>#NAME?</v>
      </c>
      <c r="AH121" s="575" t="e">
        <f t="shared" ca="1" si="15"/>
        <v>#NAME?</v>
      </c>
      <c r="AI121" s="575" t="e">
        <f t="shared" ca="1" si="16"/>
        <v>#NAME?</v>
      </c>
      <c r="AJ121" s="575" t="e">
        <f t="shared" ca="1" si="17"/>
        <v>#NAME?</v>
      </c>
    </row>
    <row r="122" spans="14:36" x14ac:dyDescent="0.2">
      <c r="N122" s="563"/>
      <c r="O122" s="563"/>
      <c r="AF122" s="562" t="e">
        <f ca="1">_xll.qlCalendarAdvance(Calendar,AF121,"1d","mf",,Trigger)</f>
        <v>#NAME?</v>
      </c>
      <c r="AG122" s="578" t="e">
        <f ca="1">_xll.qlDayCounterYearFraction(DayCounter,SettlementDate,AF122,,,Trigger)</f>
        <v>#NAME?</v>
      </c>
      <c r="AH122" s="575" t="e">
        <f t="shared" ca="1" si="15"/>
        <v>#NAME?</v>
      </c>
      <c r="AI122" s="575" t="e">
        <f t="shared" ca="1" si="16"/>
        <v>#NAME?</v>
      </c>
      <c r="AJ122" s="575" t="e">
        <f t="shared" ca="1" si="17"/>
        <v>#NAME?</v>
      </c>
    </row>
    <row r="123" spans="14:36" x14ac:dyDescent="0.2">
      <c r="N123" s="563"/>
      <c r="O123" s="563"/>
      <c r="AF123" s="562" t="e">
        <f ca="1">_xll.qlCalendarAdvance(Calendar,AF122,"1d","mf",,Trigger)</f>
        <v>#NAME?</v>
      </c>
      <c r="AG123" s="578" t="e">
        <f ca="1">_xll.qlDayCounterYearFraction(DayCounter,SettlementDate,AF123,,,Trigger)</f>
        <v>#NAME?</v>
      </c>
      <c r="AH123" s="575" t="e">
        <f t="shared" ca="1" si="15"/>
        <v>#NAME?</v>
      </c>
      <c r="AI123" s="575" t="e">
        <f t="shared" ca="1" si="16"/>
        <v>#NAME?</v>
      </c>
      <c r="AJ123" s="575" t="e">
        <f t="shared" ca="1" si="17"/>
        <v>#NAME?</v>
      </c>
    </row>
    <row r="124" spans="14:36" x14ac:dyDescent="0.2">
      <c r="N124" s="563"/>
      <c r="O124" s="563"/>
      <c r="AF124" s="562" t="e">
        <f ca="1">_xll.qlCalendarAdvance(Calendar,AF123,"1d","mf",,Trigger)</f>
        <v>#NAME?</v>
      </c>
      <c r="AG124" s="578" t="e">
        <f ca="1">_xll.qlDayCounterYearFraction(DayCounter,SettlementDate,AF124,,,Trigger)</f>
        <v>#NAME?</v>
      </c>
      <c r="AH124" s="575" t="e">
        <f t="shared" ca="1" si="15"/>
        <v>#NAME?</v>
      </c>
      <c r="AI124" s="575" t="e">
        <f t="shared" ca="1" si="16"/>
        <v>#NAME?</v>
      </c>
      <c r="AJ124" s="575" t="e">
        <f t="shared" ca="1" si="17"/>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15"/>
        <v>#NAME?</v>
      </c>
      <c r="AI125" s="575" t="e">
        <f t="shared" ca="1" si="16"/>
        <v>#NAME?</v>
      </c>
      <c r="AJ125" s="575" t="e">
        <f t="shared" ca="1" si="17"/>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15"/>
        <v>#NAME?</v>
      </c>
      <c r="AI126" s="575" t="e">
        <f t="shared" ca="1" si="16"/>
        <v>#NAME?</v>
      </c>
      <c r="AJ126" s="575" t="e">
        <f t="shared" ca="1" si="17"/>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15"/>
        <v>#NAME?</v>
      </c>
      <c r="AI127" s="575" t="e">
        <f t="shared" ca="1" si="16"/>
        <v>#NAME?</v>
      </c>
      <c r="AJ127" s="575" t="e">
        <f t="shared" ca="1" si="17"/>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15"/>
        <v>#NAME?</v>
      </c>
      <c r="AI128" s="575" t="e">
        <f t="shared" ca="1" si="16"/>
        <v>#NAME?</v>
      </c>
      <c r="AJ128" s="575" t="e">
        <f t="shared" ca="1" si="17"/>
        <v>#NAME?</v>
      </c>
    </row>
    <row r="129" spans="15:36" x14ac:dyDescent="0.2">
      <c r="O129" s="563"/>
      <c r="AF129" s="562" t="e">
        <f ca="1">_xll.qlCalendarAdvance(Calendar,AF128,"1d","mf",,Trigger)</f>
        <v>#NAME?</v>
      </c>
      <c r="AG129" s="578" t="e">
        <f ca="1">_xll.qlDayCounterYearFraction(DayCounter,SettlementDate,AF129,,,Trigger)</f>
        <v>#NAME?</v>
      </c>
      <c r="AH129" s="575" t="e">
        <f t="shared" ca="1" si="15"/>
        <v>#NAME?</v>
      </c>
      <c r="AI129" s="575" t="e">
        <f t="shared" ca="1" si="16"/>
        <v>#NAME?</v>
      </c>
      <c r="AJ129" s="575" t="e">
        <f t="shared" ca="1" si="17"/>
        <v>#NAME?</v>
      </c>
    </row>
    <row r="130" spans="15:36" x14ac:dyDescent="0.2">
      <c r="O130" s="563"/>
      <c r="AF130" s="562" t="e">
        <f ca="1">_xll.qlCalendarAdvance(Calendar,AF129,"1d","mf",,Trigger)</f>
        <v>#NAME?</v>
      </c>
      <c r="AG130" s="578" t="e">
        <f ca="1">_xll.qlDayCounterYearFraction(DayCounter,SettlementDate,AF130,,,Trigger)</f>
        <v>#NAME?</v>
      </c>
      <c r="AH130" s="575" t="e">
        <f t="shared" ca="1" si="15"/>
        <v>#NAME?</v>
      </c>
      <c r="AI130" s="575" t="e">
        <f t="shared" ca="1" si="16"/>
        <v>#NAME?</v>
      </c>
      <c r="AJ130" s="575" t="e">
        <f t="shared" ca="1" si="17"/>
        <v>#NAME?</v>
      </c>
    </row>
    <row r="131" spans="15:36" x14ac:dyDescent="0.2">
      <c r="O131" s="563"/>
      <c r="AF131" s="562" t="e">
        <f ca="1">_xll.qlCalendarAdvance(Calendar,AF130,"1d","mf",,Trigger)</f>
        <v>#NAME?</v>
      </c>
      <c r="AG131" s="578" t="e">
        <f ca="1">_xll.qlDayCounterYearFraction(DayCounter,SettlementDate,AF131,,,Trigger)</f>
        <v>#NAME?</v>
      </c>
      <c r="AH131" s="575" t="e">
        <f t="shared" ca="1" si="15"/>
        <v>#NAME?</v>
      </c>
      <c r="AI131" s="575" t="e">
        <f t="shared" ca="1" si="16"/>
        <v>#NAME?</v>
      </c>
      <c r="AJ131" s="575" t="e">
        <f t="shared" ca="1" si="17"/>
        <v>#NAME?</v>
      </c>
    </row>
    <row r="132" spans="15:36" x14ac:dyDescent="0.2">
      <c r="O132" s="563"/>
      <c r="AF132" s="560" t="e">
        <f ca="1">_xll.qlCalendarAdvance(Calendar,AF131,"1d","mf",,Trigger)</f>
        <v>#NAME?</v>
      </c>
      <c r="AG132" s="571" t="e">
        <f ca="1">_xll.qlDayCounterYearFraction(DayCounter,SettlementDate,AF132,,,Trigger)</f>
        <v>#NAME?</v>
      </c>
      <c r="AH132" s="568" t="e">
        <f t="shared" ca="1" si="15"/>
        <v>#NAME?</v>
      </c>
      <c r="AI132" s="568" t="e">
        <f t="shared" ca="1" si="16"/>
        <v>#NAME?</v>
      </c>
      <c r="AJ132" s="568" t="e">
        <f t="shared" ca="1" si="17"/>
        <v>#NAME?</v>
      </c>
    </row>
    <row r="133" spans="15:36" x14ac:dyDescent="0.2">
      <c r="O133" s="563"/>
    </row>
    <row r="134" spans="15:36" x14ac:dyDescent="0.2">
      <c r="O134" s="563"/>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dimension ref="A2:AM259"/>
  <sheetViews>
    <sheetView topLeftCell="O1" workbookViewId="0">
      <selection activeCell="AM3" sqref="AM3:AM4"/>
    </sheetView>
  </sheetViews>
  <sheetFormatPr defaultColWidth="8.140625" defaultRowHeight="11.25" outlineLevelCol="1" x14ac:dyDescent="0.2"/>
  <cols>
    <col min="1" max="2" width="3" style="556" customWidth="1"/>
    <col min="3" max="5" width="19.5703125" style="556" customWidth="1"/>
    <col min="6" max="7" width="12.140625" style="556" hidden="1" customWidth="1" outlineLevel="1"/>
    <col min="8" max="8" width="7" style="556" hidden="1" customWidth="1" outlineLevel="1"/>
    <col min="9" max="9" width="9" style="556" hidden="1" customWidth="1" outlineLevel="1"/>
    <col min="10" max="10" width="9" style="556" bestFit="1" customWidth="1" collapsed="1"/>
    <col min="11" max="12" width="12.140625" style="556" bestFit="1" customWidth="1"/>
    <col min="13" max="13" width="9" style="556" bestFit="1" customWidth="1"/>
    <col min="14" max="16" width="9" style="556" customWidth="1"/>
    <col min="17" max="17" width="9.28515625" style="556" customWidth="1"/>
    <col min="18" max="18" width="11.28515625" style="556" customWidth="1"/>
    <col min="19" max="21" width="5.85546875" style="556" customWidth="1"/>
    <col min="22" max="22" width="2" style="556" bestFit="1" customWidth="1"/>
    <col min="23" max="23" width="9.28515625" style="556" customWidth="1"/>
    <col min="24" max="24" width="2" style="556" bestFit="1" customWidth="1"/>
    <col min="25" max="25" width="9.28515625" style="556" customWidth="1"/>
    <col min="26" max="26" width="10.7109375" style="556" bestFit="1" customWidth="1"/>
    <col min="27" max="29" width="8" style="556" customWidth="1"/>
    <col min="30" max="31" width="8.140625" style="556"/>
    <col min="32" max="32" width="17.42578125" style="556" bestFit="1" customWidth="1"/>
    <col min="33" max="33" width="7" style="556" bestFit="1" customWidth="1"/>
    <col min="34" max="34" width="8" style="556" bestFit="1" customWidth="1"/>
    <col min="35" max="35" width="9" style="556" bestFit="1" customWidth="1"/>
    <col min="36" max="36" width="10" style="556" bestFit="1" customWidth="1"/>
    <col min="37" max="16384" width="8.140625" style="556"/>
  </cols>
  <sheetData>
    <row r="2" spans="1:39" ht="19.5" customHeight="1" thickBot="1" x14ac:dyDescent="0.25">
      <c r="C2" s="594" t="s">
        <v>101</v>
      </c>
      <c r="D2" s="594" t="s">
        <v>357</v>
      </c>
      <c r="E2" s="594" t="s">
        <v>356</v>
      </c>
      <c r="F2" s="594" t="s">
        <v>316</v>
      </c>
      <c r="G2" s="594" t="s">
        <v>315</v>
      </c>
      <c r="H2" s="594" t="s">
        <v>275</v>
      </c>
      <c r="I2" s="594" t="s">
        <v>314</v>
      </c>
      <c r="J2" s="594" t="s">
        <v>311</v>
      </c>
      <c r="K2" s="594" t="s">
        <v>374</v>
      </c>
      <c r="L2" s="594" t="s">
        <v>373</v>
      </c>
      <c r="M2" s="594" t="s">
        <v>372</v>
      </c>
      <c r="N2" s="766" t="s">
        <v>371</v>
      </c>
      <c r="O2" s="594" t="s">
        <v>370</v>
      </c>
      <c r="P2" s="594" t="s">
        <v>369</v>
      </c>
      <c r="W2" s="777" t="s">
        <v>368</v>
      </c>
      <c r="AA2" s="1377" t="s">
        <v>367</v>
      </c>
      <c r="AB2" s="1377"/>
      <c r="AC2" s="1377"/>
      <c r="AF2" s="594" t="s">
        <v>357</v>
      </c>
      <c r="AG2" s="594" t="s">
        <v>275</v>
      </c>
      <c r="AH2" s="594" t="s">
        <v>366</v>
      </c>
      <c r="AI2" s="594" t="s">
        <v>286</v>
      </c>
      <c r="AJ2" s="594" t="s">
        <v>365</v>
      </c>
    </row>
    <row r="3" spans="1:39" ht="12" customHeight="1" x14ac:dyDescent="0.25">
      <c r="C3" s="813" t="str">
        <f>$D$10&amp;"LastFixing"&amp;QuoteSuffix</f>
        <v>Euribor1YLastFixing_Quote</v>
      </c>
      <c r="D3" s="812" t="e">
        <f ca="1">_xll.qlCalendarAdvance(Calendar,_xll.qlLastFixingQuoteReferenceDate($C$3),_xll.qlInterestRateIndexFixingDays($D$10)&amp;"D","f",,LastFixingsTrigger)</f>
        <v>#NAME?</v>
      </c>
      <c r="E3" s="812" t="e">
        <f ca="1">_xll.qlInterestRateIndexMaturity($D$10,D3)</f>
        <v>#NAME?</v>
      </c>
      <c r="F3" s="811" t="e">
        <f ca="1">_xll.qlYieldTSDiscount(Discounting,D3,,AllTriggers)</f>
        <v>#NAME?</v>
      </c>
      <c r="G3" s="811" t="e">
        <f ca="1">_xll.qlYieldTSDiscount(Discounting,E3,,AllTriggers)</f>
        <v>#NAME?</v>
      </c>
      <c r="H3" s="810" t="e">
        <f ca="1">_xll.qlDayCounterYearFraction(DayCounter,D3,E3,,,Trigger)</f>
        <v>#NAME?</v>
      </c>
      <c r="I3" s="809" t="e">
        <f ca="1">(F3/G3-1)/H3</f>
        <v>#NAME?</v>
      </c>
      <c r="J3" s="808" t="e">
        <f ca="1">'Delta 6M '!P3</f>
        <v>#NAME?</v>
      </c>
      <c r="K3" s="590" t="e">
        <f ca="1">_xll.qlDayCounterYearFraction(DayCounter,SettlementDate,D3,,,Trigger)</f>
        <v>#NAME?</v>
      </c>
      <c r="L3" s="590" t="e">
        <f ca="1">_xll.qlDayCounterYearFraction(DayCounter,SettlementDate,E3,,,Trigger)</f>
        <v>#NAME?</v>
      </c>
      <c r="M3" s="590" t="e">
        <f ca="1">L3-K3</f>
        <v>#NAME?</v>
      </c>
      <c r="N3" s="590" t="e">
        <f ca="1">(L3^2-K3^2)/2</f>
        <v>#NAME?</v>
      </c>
      <c r="O3" s="590" t="e">
        <f ca="1">(L3^3-K3^3)/3</f>
        <v>#NAME?</v>
      </c>
      <c r="P3" s="807" t="b">
        <f>IF(D12="fixing",TRUE,FALSE)</f>
        <v>0</v>
      </c>
      <c r="R3" s="1378" t="s">
        <v>364</v>
      </c>
      <c r="S3" s="782" t="e">
        <f t="array" aca="1" ref="S3:S5" ca="1">_xll.ohFilter(O3:O7,P3:P7)</f>
        <v>#NAME?</v>
      </c>
      <c r="T3" s="803" t="e">
        <f t="array" aca="1" ref="T3:T5" ca="1">_xll.ohFilter(N3:N7,P3:P7)</f>
        <v>#NAME?</v>
      </c>
      <c r="U3" s="781" t="e">
        <f t="array" aca="1" ref="U3:U5" ca="1">_xll.ohFilter(M3:M7,P3:P7)</f>
        <v>#NAME?</v>
      </c>
      <c r="V3" s="806"/>
      <c r="W3" s="771" t="e">
        <f t="array" aca="1" ref="W3:W5" ca="1">MMULT(AA3:AC5,Y3:Y5)</f>
        <v>#NAME?</v>
      </c>
      <c r="X3" s="805"/>
      <c r="Y3" s="769" t="e">
        <f t="array" aca="1" ref="Y3:Y5" ca="1">_xll.ohFilter(J3:J7,P3:P7)</f>
        <v>#NAME?</v>
      </c>
      <c r="AA3" s="782" t="e">
        <f t="array" aca="1" ref="AA3:AC5" ca="1">MINVERSE(S3:U5)</f>
        <v>#NAME?</v>
      </c>
      <c r="AB3" s="803" t="e">
        <f ca="1"/>
        <v>#NAME?</v>
      </c>
      <c r="AC3" s="781" t="e">
        <f ca="1"/>
        <v>#NAME?</v>
      </c>
      <c r="AF3" s="583" t="e">
        <f ca="1">SettlementDate</f>
        <v>#NAME?</v>
      </c>
      <c r="AG3" s="578" t="e">
        <f ca="1">_xll.qlDayCounterYearFraction(DayCounter,SettlementDate,AF3,,,Trigger)</f>
        <v>#NAME?</v>
      </c>
      <c r="AH3" s="580" t="e">
        <f t="shared" ref="AH3:AH66" ca="1" si="0">$W$13</f>
        <v>#NAME?</v>
      </c>
      <c r="AI3" s="580" t="e">
        <f t="shared" ref="AI3:AI66" ca="1" si="1">$W$10+$W$9*AG3</f>
        <v>#NAME?</v>
      </c>
      <c r="AJ3" s="580" t="e">
        <f t="shared" ref="AJ3:AJ66" ca="1" si="2">($W$5+$W$4*AG3+$W$3*AG3^2)</f>
        <v>#NAME?</v>
      </c>
      <c r="AL3" s="1361" t="s">
        <v>529</v>
      </c>
      <c r="AM3" s="1364" t="e">
        <f ca="1">_xll.ohTrigger('General Settings_3'!Trigger)</f>
        <v>#NAME?</v>
      </c>
    </row>
    <row r="4" spans="1:39" ht="12" customHeight="1" thickBot="1" x14ac:dyDescent="0.3">
      <c r="A4" s="556">
        <v>0</v>
      </c>
      <c r="B4" s="796">
        <f>A4+12</f>
        <v>12</v>
      </c>
      <c r="C4" s="802" t="str">
        <f>"Delta("&amp;A4&amp;"M,"&amp;B4&amp;"M)extrap"</f>
        <v>Delta(0M,12M)extrap</v>
      </c>
      <c r="D4" s="759" t="e">
        <f ca="1">SettlementDate</f>
        <v>#NAME?</v>
      </c>
      <c r="E4" s="759" t="e">
        <f ca="1">_xll.qlInterestRateIndexMaturity($D$10,D4)</f>
        <v>#NAME?</v>
      </c>
      <c r="F4" s="801" t="e">
        <f ca="1">_xll.qlYieldTSDiscount(Discounting,D4,,AllTriggers)</f>
        <v>#NAME?</v>
      </c>
      <c r="G4" s="801" t="e">
        <f ca="1">_xll.qlYieldTSDiscount(Discounting,E4,,AllTriggers)</f>
        <v>#NAME?</v>
      </c>
      <c r="H4" s="800" t="e">
        <f ca="1">_xll.qlDayCounterYearFraction(DayCounter,D4,E4,,,Trigger)</f>
        <v>#NAME?</v>
      </c>
      <c r="I4" s="799" t="e">
        <f ca="1">(F4/G4-1)/H4</f>
        <v>#NAME?</v>
      </c>
      <c r="J4" s="798" t="e">
        <f ca="1">LN((1+(_xll.qlInterpolationInterpolate(B12Minterpolation,D4,TRUE,AllTriggers)+I4)*H4)/(1+I4*H4))</f>
        <v>#NAME?</v>
      </c>
      <c r="K4" s="578" t="e">
        <f ca="1">_xll.qlDayCounterYearFraction(DayCounter,SettlementDate,D4,,,Trigger)</f>
        <v>#NAME?</v>
      </c>
      <c r="L4" s="578" t="e">
        <f ca="1">_xll.qlDayCounterYearFraction(DayCounter,SettlementDate,E4,,,Trigger)</f>
        <v>#NAME?</v>
      </c>
      <c r="M4" s="578" t="e">
        <f ca="1">L4-K4</f>
        <v>#NAME?</v>
      </c>
      <c r="N4" s="578" t="e">
        <f ca="1">(L4^2-K4^2)/2</f>
        <v>#NAME?</v>
      </c>
      <c r="O4" s="578" t="e">
        <f ca="1">(L4^3-K4^3)/3</f>
        <v>#NAME?</v>
      </c>
      <c r="P4" s="797" t="b">
        <f>IF(D12="fixing",FALSE,TRUE)</f>
        <v>1</v>
      </c>
      <c r="R4" s="1378"/>
      <c r="S4" s="782" t="e">
        <f ca="1"/>
        <v>#NAME?</v>
      </c>
      <c r="T4" s="803" t="e">
        <f ca="1"/>
        <v>#NAME?</v>
      </c>
      <c r="U4" s="781" t="e">
        <f ca="1"/>
        <v>#NAME?</v>
      </c>
      <c r="V4" s="804" t="s">
        <v>180</v>
      </c>
      <c r="W4" s="771" t="e">
        <f ca="1"/>
        <v>#NAME?</v>
      </c>
      <c r="X4" s="804" t="s">
        <v>358</v>
      </c>
      <c r="Y4" s="769" t="e">
        <f ca="1"/>
        <v>#NAME?</v>
      </c>
      <c r="AA4" s="782" t="e">
        <f ca="1"/>
        <v>#NAME?</v>
      </c>
      <c r="AB4" s="803" t="e">
        <f ca="1"/>
        <v>#NAME?</v>
      </c>
      <c r="AC4" s="781" t="e">
        <f ca="1"/>
        <v>#NAME?</v>
      </c>
      <c r="AF4" s="562" t="e">
        <f ca="1">_xll.qlCalendarAdvance(Calendar,AF3,"1d","mf",,Trigger)</f>
        <v>#NAME?</v>
      </c>
      <c r="AG4" s="578" t="e">
        <f ca="1">_xll.qlDayCounterYearFraction(DayCounter,SettlementDate,AF4,,,Trigger)</f>
        <v>#NAME?</v>
      </c>
      <c r="AH4" s="575" t="e">
        <f t="shared" ca="1" si="0"/>
        <v>#NAME?</v>
      </c>
      <c r="AI4" s="575" t="e">
        <f t="shared" ca="1" si="1"/>
        <v>#NAME?</v>
      </c>
      <c r="AJ4" s="575" t="e">
        <f t="shared" ca="1" si="2"/>
        <v>#NAME?</v>
      </c>
      <c r="AL4" s="1362" t="s">
        <v>530</v>
      </c>
      <c r="AM4" s="1365" t="e">
        <f ca="1">_xll.ohTrigger(AF3:AF259)</f>
        <v>#NAME?</v>
      </c>
    </row>
    <row r="5" spans="1:39" ht="12" customHeight="1" x14ac:dyDescent="0.2">
      <c r="A5" s="565">
        <v>1</v>
      </c>
      <c r="B5" s="796">
        <f>A5+12</f>
        <v>13</v>
      </c>
      <c r="C5" s="802" t="str">
        <f>"Delta("&amp;A5&amp;"M,"&amp;B5&amp;"M)"</f>
        <v>Delta(1M,13M)</v>
      </c>
      <c r="D5" s="759" t="e">
        <f ca="1">_xll.qlCalendarAdvance(Calendar,SettlementDate,A5&amp;"M","mf")</f>
        <v>#NAME?</v>
      </c>
      <c r="E5" s="759" t="e">
        <f ca="1">_xll.qlInterestRateIndexMaturity($D$10,D5)</f>
        <v>#NAME?</v>
      </c>
      <c r="F5" s="801" t="e">
        <f ca="1">_xll.qlYieldTSDiscount(Discounting,D5,,AllTriggers)</f>
        <v>#NAME?</v>
      </c>
      <c r="G5" s="801" t="e">
        <f ca="1">_xll.qlYieldTSDiscount(Discounting,E5,,AllTriggers)</f>
        <v>#NAME?</v>
      </c>
      <c r="H5" s="800" t="e">
        <f ca="1">_xll.qlDayCounterYearFraction(DayCounter,D5,E5,,,Trigger)</f>
        <v>#NAME?</v>
      </c>
      <c r="I5" s="799" t="e">
        <f ca="1">(F5/G5-1)/H5</f>
        <v>#NAME?</v>
      </c>
      <c r="J5" s="798" t="e">
        <f ca="1">LN((1+(_xll.qlInterpolationInterpolate(B12Minterpolation,D5,TRUE,AllTriggers)+I5)*H5)/(1+I5*H5))</f>
        <v>#NAME?</v>
      </c>
      <c r="K5" s="578" t="e">
        <f ca="1">_xll.qlDayCounterYearFraction(DayCounter,SettlementDate,D5,,,Trigger)</f>
        <v>#NAME?</v>
      </c>
      <c r="L5" s="578" t="e">
        <f ca="1">_xll.qlDayCounterYearFraction(DayCounter,SettlementDate,E5,,,Trigger)</f>
        <v>#NAME?</v>
      </c>
      <c r="M5" s="578" t="e">
        <f ca="1">L5-K5</f>
        <v>#NAME?</v>
      </c>
      <c r="N5" s="578" t="e">
        <f ca="1">(L5^2-K5^2)/2</f>
        <v>#NAME?</v>
      </c>
      <c r="O5" s="578" t="e">
        <f ca="1">(L5^3-K5^3)/3</f>
        <v>#NAME?</v>
      </c>
      <c r="P5" s="797" t="b">
        <v>1</v>
      </c>
      <c r="R5" s="1378"/>
      <c r="S5" s="782" t="e">
        <f ca="1"/>
        <v>#NAME?</v>
      </c>
      <c r="T5" s="803" t="e">
        <f ca="1"/>
        <v>#NAME?</v>
      </c>
      <c r="U5" s="781" t="e">
        <f ca="1"/>
        <v>#NAME?</v>
      </c>
      <c r="V5" s="565"/>
      <c r="W5" s="771" t="e">
        <f ca="1"/>
        <v>#NAME?</v>
      </c>
      <c r="X5" s="804"/>
      <c r="Y5" s="769" t="e">
        <f ca="1"/>
        <v>#NAME?</v>
      </c>
      <c r="AA5" s="782" t="e">
        <f ca="1"/>
        <v>#NAME?</v>
      </c>
      <c r="AB5" s="803" t="e">
        <f ca="1"/>
        <v>#NAME?</v>
      </c>
      <c r="AC5" s="781" t="e">
        <f ca="1"/>
        <v>#NAME?</v>
      </c>
      <c r="AF5" s="562" t="e">
        <f ca="1">_xll.qlCalendarAdvance(Calendar,AF4,"1d","mf",,Trigger)</f>
        <v>#NAME?</v>
      </c>
      <c r="AG5" s="578" t="e">
        <f ca="1">_xll.qlDayCounterYearFraction(DayCounter,SettlementDate,AF5,,,Trigger)</f>
        <v>#NAME?</v>
      </c>
      <c r="AH5" s="575" t="e">
        <f t="shared" ca="1" si="0"/>
        <v>#NAME?</v>
      </c>
      <c r="AI5" s="575" t="e">
        <f t="shared" ca="1" si="1"/>
        <v>#NAME?</v>
      </c>
      <c r="AJ5" s="575" t="e">
        <f t="shared" ca="1" si="2"/>
        <v>#NAME?</v>
      </c>
    </row>
    <row r="6" spans="1:39" ht="12" customHeight="1" x14ac:dyDescent="0.2">
      <c r="A6" s="565">
        <v>2</v>
      </c>
      <c r="B6" s="796">
        <f>A6+12</f>
        <v>14</v>
      </c>
      <c r="C6" s="802" t="str">
        <f>"Delta("&amp;A6&amp;"M,"&amp;B6&amp;"M)"</f>
        <v>Delta(2M,14M)</v>
      </c>
      <c r="D6" s="759" t="e">
        <f ca="1">_xll.qlCalendarAdvance(Calendar,SettlementDate,A6&amp;"M","mf")</f>
        <v>#NAME?</v>
      </c>
      <c r="E6" s="759" t="e">
        <f ca="1">_xll.qlInterestRateIndexMaturity($D$10,D6)</f>
        <v>#NAME?</v>
      </c>
      <c r="F6" s="801" t="e">
        <f ca="1">_xll.qlYieldTSDiscount(Discounting,D6,,AllTriggers)</f>
        <v>#NAME?</v>
      </c>
      <c r="G6" s="801" t="e">
        <f ca="1">_xll.qlYieldTSDiscount(Discounting,E6,,AllTriggers)</f>
        <v>#NAME?</v>
      </c>
      <c r="H6" s="800" t="e">
        <f ca="1">_xll.qlDayCounterYearFraction(DayCounter,D6,E6,,,Trigger)</f>
        <v>#NAME?</v>
      </c>
      <c r="I6" s="799" t="e">
        <f ca="1">(F6/G6-1)/H6</f>
        <v>#NAME?</v>
      </c>
      <c r="J6" s="798" t="e">
        <f ca="1">LN((1+(_xll.qlInterpolationInterpolate(B12Minterpolation,D6,TRUE,AllTriggers)+I6)*H6)/(1+I6*H6))</f>
        <v>#NAME?</v>
      </c>
      <c r="K6" s="578" t="e">
        <f ca="1">_xll.qlDayCounterYearFraction(DayCounter,SettlementDate,D6,,,Trigger)</f>
        <v>#NAME?</v>
      </c>
      <c r="L6" s="578" t="e">
        <f ca="1">_xll.qlDayCounterYearFraction(DayCounter,SettlementDate,E6,,,Trigger)</f>
        <v>#NAME?</v>
      </c>
      <c r="M6" s="578" t="e">
        <f ca="1">L6-K6</f>
        <v>#NAME?</v>
      </c>
      <c r="N6" s="578" t="e">
        <f ca="1">(L6^2-K6^2)/2</f>
        <v>#NAME?</v>
      </c>
      <c r="O6" s="578" t="e">
        <f ca="1">(L6^3-K6^3)/3</f>
        <v>#NAME?</v>
      </c>
      <c r="P6" s="797" t="b">
        <v>1</v>
      </c>
      <c r="W6" s="779"/>
      <c r="X6" s="776"/>
      <c r="Y6" s="775"/>
      <c r="AF6" s="562" t="e">
        <f ca="1">_xll.qlCalendarAdvance(Calendar,AF5,"1d","mf",,Trigger)</f>
        <v>#NAME?</v>
      </c>
      <c r="AG6" s="578" t="e">
        <f ca="1">_xll.qlDayCounterYearFraction(DayCounter,SettlementDate,AF6,,,Trigger)</f>
        <v>#NAME?</v>
      </c>
      <c r="AH6" s="575" t="e">
        <f t="shared" ca="1" si="0"/>
        <v>#NAME?</v>
      </c>
      <c r="AI6" s="575" t="e">
        <f t="shared" ca="1" si="1"/>
        <v>#NAME?</v>
      </c>
      <c r="AJ6" s="575" t="e">
        <f t="shared" ca="1" si="2"/>
        <v>#NAME?</v>
      </c>
    </row>
    <row r="7" spans="1:39" ht="12" customHeight="1" x14ac:dyDescent="0.2">
      <c r="A7" s="565">
        <v>3</v>
      </c>
      <c r="B7" s="796">
        <f>A7+12</f>
        <v>15</v>
      </c>
      <c r="C7" s="795" t="str">
        <f>"Delta("&amp;A7&amp;"M,"&amp;B7&amp;"M)"</f>
        <v>Delta(3M,15M)</v>
      </c>
      <c r="D7" s="754" t="e">
        <f ca="1">_xll.qlCalendarAdvance(Calendar,SettlementDate,A7&amp;"M","mf")</f>
        <v>#NAME?</v>
      </c>
      <c r="E7" s="754" t="e">
        <f ca="1">_xll.qlInterestRateIndexMaturity($D$10,D7)</f>
        <v>#NAME?</v>
      </c>
      <c r="F7" s="794" t="e">
        <f ca="1">_xll.qlYieldTSDiscount(Discounting,D7,,AllTriggers)</f>
        <v>#NAME?</v>
      </c>
      <c r="G7" s="794" t="e">
        <f ca="1">_xll.qlYieldTSDiscount(Discounting,E7,,AllTriggers)</f>
        <v>#NAME?</v>
      </c>
      <c r="H7" s="793" t="e">
        <f ca="1">_xll.qlDayCounterYearFraction(DayCounter,D7,E7,,,Trigger)</f>
        <v>#NAME?</v>
      </c>
      <c r="I7" s="792" t="e">
        <f ca="1">(F7/G7-1)/H7</f>
        <v>#NAME?</v>
      </c>
      <c r="J7" s="791" t="e">
        <f ca="1">LN((1+(_xll.qlInterpolationInterpolate(B12Minterpolation,D7,TRUE,AllTriggers)+I7)*H7)/(1+I7*H7))</f>
        <v>#NAME?</v>
      </c>
      <c r="K7" s="571" t="e">
        <f ca="1">_xll.qlDayCounterYearFraction(DayCounter,SettlementDate,D7,,,Trigger)</f>
        <v>#NAME?</v>
      </c>
      <c r="L7" s="571" t="e">
        <f ca="1">_xll.qlDayCounterYearFraction(DayCounter,SettlementDate,E7,,,Trigger)</f>
        <v>#NAME?</v>
      </c>
      <c r="M7" s="571" t="e">
        <f ca="1">L7-K7</f>
        <v>#NAME?</v>
      </c>
      <c r="N7" s="571" t="e">
        <f ca="1">(L7^2-K7^2)/2</f>
        <v>#NAME?</v>
      </c>
      <c r="O7" s="571" t="e">
        <f ca="1">(L7^3-K7^3)/3</f>
        <v>#NAME?</v>
      </c>
      <c r="P7" s="790" t="b">
        <v>0</v>
      </c>
      <c r="W7" s="779"/>
      <c r="X7" s="776"/>
      <c r="Y7" s="775"/>
      <c r="AF7" s="562" t="e">
        <f ca="1">_xll.qlCalendarAdvance(Calendar,AF6,"1d","mf",,Trigger)</f>
        <v>#NAME?</v>
      </c>
      <c r="AG7" s="578" t="e">
        <f ca="1">_xll.qlDayCounterYearFraction(DayCounter,SettlementDate,AF7,,,Trigger)</f>
        <v>#NAME?</v>
      </c>
      <c r="AH7" s="575" t="e">
        <f t="shared" ca="1" si="0"/>
        <v>#NAME?</v>
      </c>
      <c r="AI7" s="575" t="e">
        <f t="shared" ca="1" si="1"/>
        <v>#NAME?</v>
      </c>
      <c r="AJ7" s="575" t="e">
        <f t="shared" ca="1" si="2"/>
        <v>#NAME?</v>
      </c>
    </row>
    <row r="8" spans="1:39" ht="12" customHeight="1" x14ac:dyDescent="0.2">
      <c r="B8" s="789"/>
      <c r="C8" s="789"/>
      <c r="D8" s="788"/>
      <c r="E8" s="788"/>
      <c r="F8" s="788"/>
      <c r="G8" s="788"/>
      <c r="H8" s="788"/>
      <c r="I8" s="788"/>
      <c r="J8" s="787"/>
      <c r="K8" s="786"/>
      <c r="L8" s="786"/>
      <c r="M8" s="786"/>
      <c r="N8" s="786"/>
      <c r="O8" s="786"/>
      <c r="P8" s="785"/>
      <c r="W8" s="784" t="s">
        <v>363</v>
      </c>
      <c r="X8" s="776"/>
      <c r="Y8" s="775"/>
      <c r="AF8" s="562" t="e">
        <f ca="1">_xll.qlCalendarAdvance(Calendar,AF7,"1d","mf",,Trigger)</f>
        <v>#NAME?</v>
      </c>
      <c r="AG8" s="578" t="e">
        <f ca="1">_xll.qlDayCounterYearFraction(DayCounter,SettlementDate,AF8,,,Trigger)</f>
        <v>#NAME?</v>
      </c>
      <c r="AH8" s="575" t="e">
        <f t="shared" ca="1" si="0"/>
        <v>#NAME?</v>
      </c>
      <c r="AI8" s="575" t="e">
        <f t="shared" ca="1" si="1"/>
        <v>#NAME?</v>
      </c>
      <c r="AJ8" s="575" t="e">
        <f t="shared" ca="1" si="2"/>
        <v>#NAME?</v>
      </c>
    </row>
    <row r="9" spans="1:39" ht="12" customHeight="1" x14ac:dyDescent="0.2">
      <c r="C9" s="594" t="s">
        <v>107</v>
      </c>
      <c r="D9" s="778" t="s">
        <v>58</v>
      </c>
      <c r="R9" s="1377" t="s">
        <v>351</v>
      </c>
      <c r="S9" s="783"/>
      <c r="T9" s="782" t="e">
        <f t="array" aca="1" ref="T9:T10" ca="1">_xll.ohFilter(N3:N7,P3:P7)</f>
        <v>#NAME?</v>
      </c>
      <c r="U9" s="781" t="e">
        <f t="array" aca="1" ref="U9:U10" ca="1">_xll.ohFilter(M3:M7,P3:P7)</f>
        <v>#NAME?</v>
      </c>
      <c r="V9" s="1379" t="s">
        <v>180</v>
      </c>
      <c r="W9" s="771" t="e">
        <f t="array" aca="1" ref="W9:W10" ca="1">MMULT(AA9:AB10,Y9:Y10)</f>
        <v>#NAME?</v>
      </c>
      <c r="X9" s="1379" t="s">
        <v>358</v>
      </c>
      <c r="Y9" s="769" t="e">
        <f t="array" aca="1" ref="Y9:Y10" ca="1">_xll.ohFilter(J3:J7,P3:P7)</f>
        <v>#NAME?</v>
      </c>
      <c r="AA9" s="782" t="e">
        <f t="array" aca="1" ref="AA9:AB10" ca="1">MINVERSE(T9:U10)</f>
        <v>#NAME?</v>
      </c>
      <c r="AB9" s="781" t="e">
        <f ca="1"/>
        <v>#NAME?</v>
      </c>
      <c r="AF9" s="562" t="e">
        <f ca="1">_xll.qlCalendarAdvance(Calendar,AF8,"1d","mf",,Trigger)</f>
        <v>#NAME?</v>
      </c>
      <c r="AG9" s="578" t="e">
        <f ca="1">_xll.qlDayCounterYearFraction(DayCounter,SettlementDate,AF9,,,Trigger)</f>
        <v>#NAME?</v>
      </c>
      <c r="AH9" s="575" t="e">
        <f t="shared" ca="1" si="0"/>
        <v>#NAME?</v>
      </c>
      <c r="AI9" s="575" t="e">
        <f t="shared" ca="1" si="1"/>
        <v>#NAME?</v>
      </c>
      <c r="AJ9" s="575" t="e">
        <f t="shared" ca="1" si="2"/>
        <v>#NAME?</v>
      </c>
    </row>
    <row r="10" spans="1:39" ht="12" customHeight="1" x14ac:dyDescent="0.2">
      <c r="C10" s="594" t="s">
        <v>14</v>
      </c>
      <c r="D10" s="778" t="str">
        <f>PROPER(Currency)&amp;IborType&amp;$D$9</f>
        <v>Euribor1Y</v>
      </c>
      <c r="R10" s="1377"/>
      <c r="S10" s="783"/>
      <c r="T10" s="782" t="e">
        <f ca="1"/>
        <v>#NAME?</v>
      </c>
      <c r="U10" s="781" t="e">
        <f ca="1"/>
        <v>#NAME?</v>
      </c>
      <c r="V10" s="1379"/>
      <c r="W10" s="771" t="e">
        <f ca="1"/>
        <v>#NAME?</v>
      </c>
      <c r="X10" s="1379"/>
      <c r="Y10" s="769" t="e">
        <f ca="1"/>
        <v>#NAME?</v>
      </c>
      <c r="AA10" s="782" t="e">
        <f ca="1"/>
        <v>#NAME?</v>
      </c>
      <c r="AB10" s="781" t="e">
        <f ca="1"/>
        <v>#NAME?</v>
      </c>
      <c r="AF10" s="562" t="e">
        <f ca="1">_xll.qlCalendarAdvance(Calendar,AF9,"1d","mf",,Trigger)</f>
        <v>#NAME?</v>
      </c>
      <c r="AG10" s="578" t="e">
        <f ca="1">_xll.qlDayCounterYearFraction(DayCounter,SettlementDate,AF10,,,Trigger)</f>
        <v>#NAME?</v>
      </c>
      <c r="AH10" s="575" t="e">
        <f t="shared" ca="1" si="0"/>
        <v>#NAME?</v>
      </c>
      <c r="AI10" s="575" t="e">
        <f t="shared" ca="1" si="1"/>
        <v>#NAME?</v>
      </c>
      <c r="AJ10" s="575" t="e">
        <f t="shared" ca="1" si="2"/>
        <v>#NAME?</v>
      </c>
    </row>
    <row r="11" spans="1:39" ht="12" customHeight="1" x14ac:dyDescent="0.2">
      <c r="C11" s="594" t="s">
        <v>309</v>
      </c>
      <c r="D11" s="780" t="s">
        <v>362</v>
      </c>
      <c r="W11" s="779"/>
      <c r="X11" s="776"/>
      <c r="Y11" s="775"/>
      <c r="AF11" s="562" t="e">
        <f ca="1">_xll.qlCalendarAdvance(Calendar,AF10,"1d","mf",,Trigger)</f>
        <v>#NAME?</v>
      </c>
      <c r="AG11" s="578" t="e">
        <f ca="1">_xll.qlDayCounterYearFraction(DayCounter,SettlementDate,AF11,,,Trigger)</f>
        <v>#NAME?</v>
      </c>
      <c r="AH11" s="575" t="e">
        <f t="shared" ca="1" si="0"/>
        <v>#NAME?</v>
      </c>
      <c r="AI11" s="575" t="e">
        <f t="shared" ca="1" si="1"/>
        <v>#NAME?</v>
      </c>
      <c r="AJ11" s="575" t="e">
        <f t="shared" ca="1" si="2"/>
        <v>#NAME?</v>
      </c>
    </row>
    <row r="12" spans="1:39" ht="12" customHeight="1" x14ac:dyDescent="0.2">
      <c r="C12" s="594" t="s">
        <v>361</v>
      </c>
      <c r="D12" s="778" t="s">
        <v>360</v>
      </c>
      <c r="Q12" s="749"/>
      <c r="W12" s="777" t="s">
        <v>359</v>
      </c>
      <c r="X12" s="776"/>
      <c r="Y12" s="775"/>
      <c r="AF12" s="562" t="e">
        <f ca="1">_xll.qlCalendarAdvance(Calendar,AF11,"1d","mf",,Trigger)</f>
        <v>#NAME?</v>
      </c>
      <c r="AG12" s="578" t="e">
        <f ca="1">_xll.qlDayCounterYearFraction(DayCounter,SettlementDate,AF12,,,Trigger)</f>
        <v>#NAME?</v>
      </c>
      <c r="AH12" s="575" t="e">
        <f t="shared" ca="1" si="0"/>
        <v>#NAME?</v>
      </c>
      <c r="AI12" s="575" t="e">
        <f t="shared" ca="1" si="1"/>
        <v>#NAME?</v>
      </c>
      <c r="AJ12" s="575" t="e">
        <f t="shared" ca="1" si="2"/>
        <v>#NAME?</v>
      </c>
    </row>
    <row r="13" spans="1:39" ht="12" customHeight="1" x14ac:dyDescent="0.2">
      <c r="N13" s="774" t="str">
        <f>"Synthetic Deposits "&amp;D9</f>
        <v>Synthetic Deposits 1Y</v>
      </c>
      <c r="O13" s="773"/>
      <c r="P13" s="772"/>
      <c r="Q13" s="749"/>
      <c r="R13" s="770" t="s">
        <v>355</v>
      </c>
      <c r="U13" s="768" t="e">
        <f t="array" aca="1" ref="U13" ca="1">_xll.ohFilter(M3:M7,P3:P7)</f>
        <v>#NAME?</v>
      </c>
      <c r="V13" s="770" t="s">
        <v>180</v>
      </c>
      <c r="W13" s="771" t="e">
        <f ca="1">MMULT(AA13,Y13)</f>
        <v>#NAME?</v>
      </c>
      <c r="X13" s="770" t="s">
        <v>358</v>
      </c>
      <c r="Y13" s="769" t="e">
        <f t="array" aca="1" ref="Y13" ca="1">_xll.ohFilter(J3:J7,P3:P7)</f>
        <v>#NAME?</v>
      </c>
      <c r="AA13" s="768" t="e">
        <f ca="1">MINVERSE(U13)</f>
        <v>#NAME?</v>
      </c>
      <c r="AF13" s="562" t="e">
        <f ca="1">_xll.qlCalendarAdvance(Calendar,AF12,"1d","mf",,Trigger)</f>
        <v>#NAME?</v>
      </c>
      <c r="AG13" s="578" t="e">
        <f ca="1">_xll.qlDayCounterYearFraction(DayCounter,SettlementDate,AF13,,,Trigger)</f>
        <v>#NAME?</v>
      </c>
      <c r="AH13" s="575" t="e">
        <f t="shared" ca="1" si="0"/>
        <v>#NAME?</v>
      </c>
      <c r="AI13" s="575" t="e">
        <f t="shared" ca="1" si="1"/>
        <v>#NAME?</v>
      </c>
      <c r="AJ13" s="575" t="e">
        <f t="shared" ca="1" si="2"/>
        <v>#NAME?</v>
      </c>
    </row>
    <row r="14" spans="1:39" ht="12" customHeight="1" x14ac:dyDescent="0.2">
      <c r="C14" s="594" t="s">
        <v>319</v>
      </c>
      <c r="D14" s="594" t="s">
        <v>357</v>
      </c>
      <c r="E14" s="594" t="s">
        <v>356</v>
      </c>
      <c r="F14" s="767"/>
      <c r="G14" s="767"/>
      <c r="H14" s="767"/>
      <c r="I14" s="767"/>
      <c r="J14" s="766" t="s">
        <v>275</v>
      </c>
      <c r="K14" s="766" t="s">
        <v>316</v>
      </c>
      <c r="L14" s="766" t="s">
        <v>315</v>
      </c>
      <c r="M14" s="766" t="s">
        <v>314</v>
      </c>
      <c r="N14" s="765" t="s">
        <v>355</v>
      </c>
      <c r="O14" s="765" t="s">
        <v>351</v>
      </c>
      <c r="P14" s="765" t="s">
        <v>354</v>
      </c>
      <c r="Q14" s="749"/>
      <c r="AF14" s="562" t="e">
        <f ca="1">_xll.qlCalendarAdvance(Calendar,AF13,"1d","mf",,Trigger)</f>
        <v>#NAME?</v>
      </c>
      <c r="AG14" s="578" t="e">
        <f ca="1">_xll.qlDayCounterYearFraction(DayCounter,SettlementDate,AF14,,,Trigger)</f>
        <v>#NAME?</v>
      </c>
      <c r="AH14" s="575" t="e">
        <f t="shared" ca="1" si="0"/>
        <v>#NAME?</v>
      </c>
      <c r="AI14" s="575" t="e">
        <f t="shared" ca="1" si="1"/>
        <v>#NAME?</v>
      </c>
      <c r="AJ14" s="575" t="e">
        <f t="shared" ca="1" si="2"/>
        <v>#NAME?</v>
      </c>
    </row>
    <row r="15" spans="1:39" ht="12" customHeight="1" x14ac:dyDescent="0.2">
      <c r="C15" s="764" t="s">
        <v>242</v>
      </c>
      <c r="D15" s="763" t="e">
        <f t="shared" ref="D15:D30" ca="1" si="3">SettlementDate</f>
        <v>#NAME?</v>
      </c>
      <c r="E15" s="583" t="e">
        <f ca="1">_xll.qlCalendarAdvance(Calendar,SettlementDate,C15,"Following",,Trigger)</f>
        <v>#NAME?</v>
      </c>
      <c r="F15" s="758"/>
      <c r="G15" s="758"/>
      <c r="H15" s="758"/>
      <c r="I15" s="758"/>
      <c r="J15" s="600" t="e">
        <f ca="1">_xll.qlDayCounterYearFraction(DayCounter,D15,E15,,,Trigger)</f>
        <v>#NAME?</v>
      </c>
      <c r="K15" s="762" t="e">
        <f ca="1">_xll.qlYieldTSDiscount(Discounting,D15,,AllTriggers)</f>
        <v>#NAME?</v>
      </c>
      <c r="L15" s="762" t="e">
        <f ca="1">_xll.qlYieldTSDiscount(Discounting,E15,,AllTriggers)</f>
        <v>#NAME?</v>
      </c>
      <c r="M15" s="761" t="e">
        <f t="shared" ref="M15:M30" ca="1" si="4">(K15/L15-1)/J15</f>
        <v>#NAME?</v>
      </c>
      <c r="N15" s="575" t="e">
        <f t="shared" ref="N15:N30" ca="1" si="5">((1+M15*J15)*EXP($W$13*J15)-1)/J15</f>
        <v>#NAME?</v>
      </c>
      <c r="O15" s="575" t="e">
        <f t="shared" ref="O15:O30" ca="1" si="6">((1+J15*M15)*EXP($W$10*J15+0.5*$W$9*J15^2)-1)/J15</f>
        <v>#NAME?</v>
      </c>
      <c r="P15" s="575" t="e">
        <f t="shared" ref="P15:P30" ca="1" si="7">((1+J15*M15)*EXP($W$5*J15+0.5*$W$4*J15^2+1/3*$W$3*J15^3)-1)/J15</f>
        <v>#NAME?</v>
      </c>
      <c r="Q15" s="749"/>
      <c r="AF15" s="562" t="e">
        <f ca="1">_xll.qlCalendarAdvance(Calendar,AF14,"1d","mf",,Trigger)</f>
        <v>#NAME?</v>
      </c>
      <c r="AG15" s="578" t="e">
        <f ca="1">_xll.qlDayCounterYearFraction(DayCounter,SettlementDate,AF15,,,Trigger)</f>
        <v>#NAME?</v>
      </c>
      <c r="AH15" s="575" t="e">
        <f t="shared" ca="1" si="0"/>
        <v>#NAME?</v>
      </c>
      <c r="AI15" s="575" t="e">
        <f t="shared" ca="1" si="1"/>
        <v>#NAME?</v>
      </c>
      <c r="AJ15" s="575" t="e">
        <f t="shared" ca="1" si="2"/>
        <v>#NAME?</v>
      </c>
    </row>
    <row r="16" spans="1:39" ht="12" customHeight="1" x14ac:dyDescent="0.2">
      <c r="C16" s="760" t="s">
        <v>353</v>
      </c>
      <c r="D16" s="759" t="e">
        <f t="shared" ca="1" si="3"/>
        <v>#NAME?</v>
      </c>
      <c r="E16" s="562" t="e">
        <f ca="1">_xll.qlCalendarAdvance(Calendar,SettlementDate,C16,"Following",,Trigger)</f>
        <v>#NAME?</v>
      </c>
      <c r="F16" s="758"/>
      <c r="G16" s="758"/>
      <c r="H16" s="758"/>
      <c r="I16" s="758"/>
      <c r="J16" s="578" t="e">
        <f ca="1">_xll.qlDayCounterYearFraction(DayCounter,D16,E16,,,Trigger)</f>
        <v>#NAME?</v>
      </c>
      <c r="K16" s="757" t="e">
        <f ca="1">_xll.qlYieldTSDiscount(Discounting,D16,,AllTriggers)</f>
        <v>#NAME?</v>
      </c>
      <c r="L16" s="757" t="e">
        <f ca="1">_xll.qlYieldTSDiscount(Discounting,E16,,AllTriggers)</f>
        <v>#NAME?</v>
      </c>
      <c r="M16" s="756" t="e">
        <f t="shared" ca="1" si="4"/>
        <v>#NAME?</v>
      </c>
      <c r="N16" s="575" t="e">
        <f t="shared" ca="1" si="5"/>
        <v>#NAME?</v>
      </c>
      <c r="O16" s="575" t="e">
        <f t="shared" ca="1" si="6"/>
        <v>#NAME?</v>
      </c>
      <c r="P16" s="575" t="e">
        <f t="shared" ca="1" si="7"/>
        <v>#NAME?</v>
      </c>
      <c r="Q16" s="749"/>
      <c r="AF16" s="562" t="e">
        <f ca="1">_xll.qlCalendarAdvance(Calendar,AF15,"1d","mf",,Trigger)</f>
        <v>#NAME?</v>
      </c>
      <c r="AG16" s="578" t="e">
        <f ca="1">_xll.qlDayCounterYearFraction(DayCounter,SettlementDate,AF16,,,Trigger)</f>
        <v>#NAME?</v>
      </c>
      <c r="AH16" s="575" t="e">
        <f t="shared" ca="1" si="0"/>
        <v>#NAME?</v>
      </c>
      <c r="AI16" s="575" t="e">
        <f t="shared" ca="1" si="1"/>
        <v>#NAME?</v>
      </c>
      <c r="AJ16" s="575" t="e">
        <f t="shared" ca="1" si="2"/>
        <v>#NAME?</v>
      </c>
    </row>
    <row r="17" spans="3:36" ht="12" customHeight="1" x14ac:dyDescent="0.2">
      <c r="C17" s="760" t="s">
        <v>177</v>
      </c>
      <c r="D17" s="759" t="e">
        <f t="shared" ca="1" si="3"/>
        <v>#NAME?</v>
      </c>
      <c r="E17" s="562" t="e">
        <f ca="1">_xll.qlCalendarAdvance(Calendar,SettlementDate,C17,"Following",,Trigger)</f>
        <v>#NAME?</v>
      </c>
      <c r="F17" s="758"/>
      <c r="G17" s="758"/>
      <c r="H17" s="758"/>
      <c r="I17" s="758"/>
      <c r="J17" s="578" t="e">
        <f ca="1">_xll.qlDayCounterYearFraction(DayCounter,D17,E17,,,Trigger)</f>
        <v>#NAME?</v>
      </c>
      <c r="K17" s="757" t="e">
        <f ca="1">_xll.qlYieldTSDiscount(Discounting,D17,,AllTriggers)</f>
        <v>#NAME?</v>
      </c>
      <c r="L17" s="757" t="e">
        <f ca="1">_xll.qlYieldTSDiscount(Discounting,E17,,AllTriggers)</f>
        <v>#NAME?</v>
      </c>
      <c r="M17" s="756" t="e">
        <f t="shared" ca="1" si="4"/>
        <v>#NAME?</v>
      </c>
      <c r="N17" s="575" t="e">
        <f t="shared" ca="1" si="5"/>
        <v>#NAME?</v>
      </c>
      <c r="O17" s="575" t="e">
        <f t="shared" ca="1" si="6"/>
        <v>#NAME?</v>
      </c>
      <c r="P17" s="575" t="e">
        <f t="shared" ca="1" si="7"/>
        <v>#NAME?</v>
      </c>
      <c r="Q17" s="749"/>
      <c r="AF17" s="562" t="e">
        <f ca="1">_xll.qlCalendarAdvance(Calendar,AF16,"1d","mf",,Trigger)</f>
        <v>#NAME?</v>
      </c>
      <c r="AG17" s="578" t="e">
        <f ca="1">_xll.qlDayCounterYearFraction(DayCounter,SettlementDate,AF17,,,Trigger)</f>
        <v>#NAME?</v>
      </c>
      <c r="AH17" s="575" t="e">
        <f t="shared" ca="1" si="0"/>
        <v>#NAME?</v>
      </c>
      <c r="AI17" s="575" t="e">
        <f t="shared" ca="1" si="1"/>
        <v>#NAME?</v>
      </c>
      <c r="AJ17" s="575" t="e">
        <f t="shared" ca="1" si="2"/>
        <v>#NAME?</v>
      </c>
    </row>
    <row r="18" spans="3:36" ht="12" customHeight="1" x14ac:dyDescent="0.2">
      <c r="C18" s="760" t="s">
        <v>176</v>
      </c>
      <c r="D18" s="759" t="e">
        <f t="shared" ca="1" si="3"/>
        <v>#NAME?</v>
      </c>
      <c r="E18" s="562" t="e">
        <f ca="1">_xll.qlCalendarAdvance(Calendar,SettlementDate,C18,"Following",,Trigger)</f>
        <v>#NAME?</v>
      </c>
      <c r="F18" s="758"/>
      <c r="G18" s="758"/>
      <c r="H18" s="758"/>
      <c r="I18" s="758"/>
      <c r="J18" s="578" t="e">
        <f ca="1">_xll.qlDayCounterYearFraction(DayCounter,D18,E18,,,Trigger)</f>
        <v>#NAME?</v>
      </c>
      <c r="K18" s="757" t="e">
        <f ca="1">_xll.qlYieldTSDiscount(Discounting,D18,,AllTriggers)</f>
        <v>#NAME?</v>
      </c>
      <c r="L18" s="757" t="e">
        <f ca="1">_xll.qlYieldTSDiscount(Discounting,E18,,AllTriggers)</f>
        <v>#NAME?</v>
      </c>
      <c r="M18" s="756" t="e">
        <f t="shared" ca="1" si="4"/>
        <v>#NAME?</v>
      </c>
      <c r="N18" s="575" t="e">
        <f t="shared" ca="1" si="5"/>
        <v>#NAME?</v>
      </c>
      <c r="O18" s="575" t="e">
        <f t="shared" ca="1" si="6"/>
        <v>#NAME?</v>
      </c>
      <c r="P18" s="575" t="e">
        <f t="shared" ca="1" si="7"/>
        <v>#NAME?</v>
      </c>
      <c r="Q18" s="749"/>
      <c r="AF18" s="562" t="e">
        <f ca="1">_xll.qlCalendarAdvance(Calendar,AF17,"1d","mf",,Trigger)</f>
        <v>#NAME?</v>
      </c>
      <c r="AG18" s="578" t="e">
        <f ca="1">_xll.qlDayCounterYearFraction(DayCounter,SettlementDate,AF18,,,Trigger)</f>
        <v>#NAME?</v>
      </c>
      <c r="AH18" s="575" t="e">
        <f t="shared" ca="1" si="0"/>
        <v>#NAME?</v>
      </c>
      <c r="AI18" s="575" t="e">
        <f t="shared" ca="1" si="1"/>
        <v>#NAME?</v>
      </c>
      <c r="AJ18" s="575" t="e">
        <f t="shared" ca="1" si="2"/>
        <v>#NAME?</v>
      </c>
    </row>
    <row r="19" spans="3:36" ht="12" customHeight="1" x14ac:dyDescent="0.2">
      <c r="C19" s="760" t="s">
        <v>175</v>
      </c>
      <c r="D19" s="759" t="e">
        <f t="shared" ca="1" si="3"/>
        <v>#NAME?</v>
      </c>
      <c r="E19" s="562" t="e">
        <f ca="1">_xll.qlCalendarAdvance(Calendar,SettlementDate,C19,"mf",TRUE,Trigger)</f>
        <v>#NAME?</v>
      </c>
      <c r="F19" s="758"/>
      <c r="G19" s="758"/>
      <c r="H19" s="758"/>
      <c r="I19" s="758"/>
      <c r="J19" s="578" t="e">
        <f ca="1">_xll.qlDayCounterYearFraction(DayCounter,D19,E19,,,Trigger)</f>
        <v>#NAME?</v>
      </c>
      <c r="K19" s="757" t="e">
        <f ca="1">_xll.qlYieldTSDiscount(Discounting,D19,,AllTriggers)</f>
        <v>#NAME?</v>
      </c>
      <c r="L19" s="757" t="e">
        <f ca="1">_xll.qlYieldTSDiscount(Discounting,E19,,AllTriggers)</f>
        <v>#NAME?</v>
      </c>
      <c r="M19" s="756" t="e">
        <f t="shared" ca="1" si="4"/>
        <v>#NAME?</v>
      </c>
      <c r="N19" s="575" t="e">
        <f t="shared" ca="1" si="5"/>
        <v>#NAME?</v>
      </c>
      <c r="O19" s="575" t="e">
        <f t="shared" ca="1" si="6"/>
        <v>#NAME?</v>
      </c>
      <c r="P19" s="575" t="e">
        <f t="shared" ca="1" si="7"/>
        <v>#NAME?</v>
      </c>
      <c r="Q19" s="749"/>
      <c r="AF19" s="562" t="e">
        <f ca="1">_xll.qlCalendarAdvance(Calendar,AF18,"1d","mf",,Trigger)</f>
        <v>#NAME?</v>
      </c>
      <c r="AG19" s="578" t="e">
        <f ca="1">_xll.qlDayCounterYearFraction(DayCounter,SettlementDate,AF19,,,Trigger)</f>
        <v>#NAME?</v>
      </c>
      <c r="AH19" s="575" t="e">
        <f t="shared" ca="1" si="0"/>
        <v>#NAME?</v>
      </c>
      <c r="AI19" s="575" t="e">
        <f t="shared" ca="1" si="1"/>
        <v>#NAME?</v>
      </c>
      <c r="AJ19" s="575" t="e">
        <f t="shared" ca="1" si="2"/>
        <v>#NAME?</v>
      </c>
    </row>
    <row r="20" spans="3:36" ht="12" customHeight="1" x14ac:dyDescent="0.2">
      <c r="C20" s="760" t="s">
        <v>174</v>
      </c>
      <c r="D20" s="759" t="e">
        <f t="shared" ca="1" si="3"/>
        <v>#NAME?</v>
      </c>
      <c r="E20" s="562" t="e">
        <f ca="1">_xll.qlCalendarAdvance(Calendar,SettlementDate,C20,"mf",TRUE,Trigger)</f>
        <v>#NAME?</v>
      </c>
      <c r="F20" s="758"/>
      <c r="G20" s="758"/>
      <c r="H20" s="758"/>
      <c r="I20" s="758"/>
      <c r="J20" s="578" t="e">
        <f ca="1">_xll.qlDayCounterYearFraction(DayCounter,D20,E20,,,Trigger)</f>
        <v>#NAME?</v>
      </c>
      <c r="K20" s="757" t="e">
        <f ca="1">_xll.qlYieldTSDiscount(Discounting,D20,,AllTriggers)</f>
        <v>#NAME?</v>
      </c>
      <c r="L20" s="757" t="e">
        <f ca="1">_xll.qlYieldTSDiscount(Discounting,E20,,AllTriggers)</f>
        <v>#NAME?</v>
      </c>
      <c r="M20" s="756" t="e">
        <f t="shared" ca="1" si="4"/>
        <v>#NAME?</v>
      </c>
      <c r="N20" s="575" t="e">
        <f t="shared" ca="1" si="5"/>
        <v>#NAME?</v>
      </c>
      <c r="O20" s="575" t="e">
        <f t="shared" ca="1" si="6"/>
        <v>#NAME?</v>
      </c>
      <c r="P20" s="575" t="e">
        <f t="shared" ca="1" si="7"/>
        <v>#NAME?</v>
      </c>
      <c r="Q20" s="749"/>
      <c r="AF20" s="562" t="e">
        <f ca="1">_xll.qlCalendarAdvance(Calendar,AF19,"1d","mf",,Trigger)</f>
        <v>#NAME?</v>
      </c>
      <c r="AG20" s="578" t="e">
        <f ca="1">_xll.qlDayCounterYearFraction(DayCounter,SettlementDate,AF20,,,Trigger)</f>
        <v>#NAME?</v>
      </c>
      <c r="AH20" s="575" t="e">
        <f t="shared" ca="1" si="0"/>
        <v>#NAME?</v>
      </c>
      <c r="AI20" s="575" t="e">
        <f t="shared" ca="1" si="1"/>
        <v>#NAME?</v>
      </c>
      <c r="AJ20" s="575" t="e">
        <f t="shared" ca="1" si="2"/>
        <v>#NAME?</v>
      </c>
    </row>
    <row r="21" spans="3:36" ht="12" customHeight="1" x14ac:dyDescent="0.2">
      <c r="C21" s="760" t="s">
        <v>127</v>
      </c>
      <c r="D21" s="759" t="e">
        <f t="shared" ca="1" si="3"/>
        <v>#NAME?</v>
      </c>
      <c r="E21" s="562" t="e">
        <f ca="1">_xll.qlCalendarAdvance(Calendar,SettlementDate,C21,"mf",TRUE,Trigger)</f>
        <v>#NAME?</v>
      </c>
      <c r="F21" s="758"/>
      <c r="G21" s="758"/>
      <c r="H21" s="758"/>
      <c r="I21" s="758"/>
      <c r="J21" s="578" t="e">
        <f ca="1">_xll.qlDayCounterYearFraction(DayCounter,D21,E21,,,Trigger)</f>
        <v>#NAME?</v>
      </c>
      <c r="K21" s="757" t="e">
        <f ca="1">_xll.qlYieldTSDiscount(Discounting,D21,,AllTriggers)</f>
        <v>#NAME?</v>
      </c>
      <c r="L21" s="757" t="e">
        <f ca="1">_xll.qlYieldTSDiscount(Discounting,E21,,AllTriggers)</f>
        <v>#NAME?</v>
      </c>
      <c r="M21" s="756" t="e">
        <f t="shared" ca="1" si="4"/>
        <v>#NAME?</v>
      </c>
      <c r="N21" s="575" t="e">
        <f t="shared" ca="1" si="5"/>
        <v>#NAME?</v>
      </c>
      <c r="O21" s="575" t="e">
        <f t="shared" ca="1" si="6"/>
        <v>#NAME?</v>
      </c>
      <c r="P21" s="575" t="e">
        <f t="shared" ca="1" si="7"/>
        <v>#NAME?</v>
      </c>
      <c r="Q21" s="749"/>
      <c r="AF21" s="562" t="e">
        <f ca="1">_xll.qlCalendarAdvance(Calendar,AF20,"1d","mf",,Trigger)</f>
        <v>#NAME?</v>
      </c>
      <c r="AG21" s="578" t="e">
        <f ca="1">_xll.qlDayCounterYearFraction(DayCounter,SettlementDate,AF21,,,Trigger)</f>
        <v>#NAME?</v>
      </c>
      <c r="AH21" s="575" t="e">
        <f t="shared" ca="1" si="0"/>
        <v>#NAME?</v>
      </c>
      <c r="AI21" s="575" t="e">
        <f t="shared" ca="1" si="1"/>
        <v>#NAME?</v>
      </c>
      <c r="AJ21" s="575" t="e">
        <f t="shared" ca="1" si="2"/>
        <v>#NAME?</v>
      </c>
    </row>
    <row r="22" spans="3:36" ht="12" customHeight="1" x14ac:dyDescent="0.2">
      <c r="C22" s="760" t="s">
        <v>173</v>
      </c>
      <c r="D22" s="759" t="e">
        <f t="shared" ca="1" si="3"/>
        <v>#NAME?</v>
      </c>
      <c r="E22" s="562" t="e">
        <f ca="1">_xll.qlCalendarAdvance(Calendar,SettlementDate,C22,"mf",TRUE,Trigger)</f>
        <v>#NAME?</v>
      </c>
      <c r="F22" s="758"/>
      <c r="G22" s="758"/>
      <c r="H22" s="758"/>
      <c r="I22" s="758"/>
      <c r="J22" s="578" t="e">
        <f ca="1">_xll.qlDayCounterYearFraction(DayCounter,D22,E22,,,Trigger)</f>
        <v>#NAME?</v>
      </c>
      <c r="K22" s="757" t="e">
        <f ca="1">_xll.qlYieldTSDiscount(Discounting,D22,,AllTriggers)</f>
        <v>#NAME?</v>
      </c>
      <c r="L22" s="757" t="e">
        <f ca="1">_xll.qlYieldTSDiscount(Discounting,E22,,AllTriggers)</f>
        <v>#NAME?</v>
      </c>
      <c r="M22" s="756" t="e">
        <f t="shared" ca="1" si="4"/>
        <v>#NAME?</v>
      </c>
      <c r="N22" s="575" t="e">
        <f t="shared" ca="1" si="5"/>
        <v>#NAME?</v>
      </c>
      <c r="O22" s="575" t="e">
        <f t="shared" ca="1" si="6"/>
        <v>#NAME?</v>
      </c>
      <c r="P22" s="575" t="e">
        <f t="shared" ca="1" si="7"/>
        <v>#NAME?</v>
      </c>
      <c r="Q22" s="749"/>
      <c r="AF22" s="562" t="e">
        <f ca="1">_xll.qlCalendarAdvance(Calendar,AF21,"1d","mf",,Trigger)</f>
        <v>#NAME?</v>
      </c>
      <c r="AG22" s="578" t="e">
        <f ca="1">_xll.qlDayCounterYearFraction(DayCounter,SettlementDate,AF22,,,Trigger)</f>
        <v>#NAME?</v>
      </c>
      <c r="AH22" s="575" t="e">
        <f t="shared" ca="1" si="0"/>
        <v>#NAME?</v>
      </c>
      <c r="AI22" s="575" t="e">
        <f t="shared" ca="1" si="1"/>
        <v>#NAME?</v>
      </c>
      <c r="AJ22" s="575" t="e">
        <f t="shared" ca="1" si="2"/>
        <v>#NAME?</v>
      </c>
    </row>
    <row r="23" spans="3:36" ht="12" customHeight="1" x14ac:dyDescent="0.2">
      <c r="C23" s="760" t="s">
        <v>172</v>
      </c>
      <c r="D23" s="759" t="e">
        <f t="shared" ca="1" si="3"/>
        <v>#NAME?</v>
      </c>
      <c r="E23" s="562" t="e">
        <f ca="1">_xll.qlCalendarAdvance(Calendar,SettlementDate,C23,"mf",TRUE,Trigger)</f>
        <v>#NAME?</v>
      </c>
      <c r="F23" s="758"/>
      <c r="G23" s="758"/>
      <c r="H23" s="758"/>
      <c r="I23" s="758"/>
      <c r="J23" s="578" t="e">
        <f ca="1">_xll.qlDayCounterYearFraction(DayCounter,D23,E23,,,Trigger)</f>
        <v>#NAME?</v>
      </c>
      <c r="K23" s="757" t="e">
        <f ca="1">_xll.qlYieldTSDiscount(Discounting,D23,,AllTriggers)</f>
        <v>#NAME?</v>
      </c>
      <c r="L23" s="757" t="e">
        <f ca="1">_xll.qlYieldTSDiscount(Discounting,E23,,AllTriggers)</f>
        <v>#NAME?</v>
      </c>
      <c r="M23" s="756" t="e">
        <f t="shared" ca="1" si="4"/>
        <v>#NAME?</v>
      </c>
      <c r="N23" s="575" t="e">
        <f t="shared" ca="1" si="5"/>
        <v>#NAME?</v>
      </c>
      <c r="O23" s="575" t="e">
        <f t="shared" ca="1" si="6"/>
        <v>#NAME?</v>
      </c>
      <c r="P23" s="575" t="e">
        <f t="shared" ca="1" si="7"/>
        <v>#NAME?</v>
      </c>
      <c r="Q23" s="749"/>
      <c r="AF23" s="562" t="e">
        <f ca="1">_xll.qlCalendarAdvance(Calendar,AF22,"1d","mf",,Trigger)</f>
        <v>#NAME?</v>
      </c>
      <c r="AG23" s="578" t="e">
        <f ca="1">_xll.qlDayCounterYearFraction(DayCounter,SettlementDate,AF23,,,Trigger)</f>
        <v>#NAME?</v>
      </c>
      <c r="AH23" s="575" t="e">
        <f t="shared" ca="1" si="0"/>
        <v>#NAME?</v>
      </c>
      <c r="AI23" s="575" t="e">
        <f t="shared" ca="1" si="1"/>
        <v>#NAME?</v>
      </c>
      <c r="AJ23" s="575" t="e">
        <f t="shared" ca="1" si="2"/>
        <v>#NAME?</v>
      </c>
    </row>
    <row r="24" spans="3:36" ht="12" customHeight="1" x14ac:dyDescent="0.2">
      <c r="C24" s="760" t="s">
        <v>92</v>
      </c>
      <c r="D24" s="759" t="e">
        <f t="shared" ca="1" si="3"/>
        <v>#NAME?</v>
      </c>
      <c r="E24" s="562" t="e">
        <f ca="1">_xll.qlCalendarAdvance(Calendar,SettlementDate,C24,"mf",TRUE,Trigger)</f>
        <v>#NAME?</v>
      </c>
      <c r="F24" s="758"/>
      <c r="G24" s="758"/>
      <c r="H24" s="758"/>
      <c r="I24" s="758"/>
      <c r="J24" s="578" t="e">
        <f ca="1">_xll.qlDayCounterYearFraction(DayCounter,D24,E24,,,Trigger)</f>
        <v>#NAME?</v>
      </c>
      <c r="K24" s="757" t="e">
        <f ca="1">_xll.qlYieldTSDiscount(Discounting,D24,,AllTriggers)</f>
        <v>#NAME?</v>
      </c>
      <c r="L24" s="757" t="e">
        <f ca="1">_xll.qlYieldTSDiscount(Discounting,E24,,AllTriggers)</f>
        <v>#NAME?</v>
      </c>
      <c r="M24" s="756" t="e">
        <f t="shared" ca="1" si="4"/>
        <v>#NAME?</v>
      </c>
      <c r="N24" s="575" t="e">
        <f t="shared" ca="1" si="5"/>
        <v>#NAME?</v>
      </c>
      <c r="O24" s="575" t="e">
        <f t="shared" ca="1" si="6"/>
        <v>#NAME?</v>
      </c>
      <c r="P24" s="575" t="e">
        <f t="shared" ca="1" si="7"/>
        <v>#NAME?</v>
      </c>
      <c r="AF24" s="562" t="e">
        <f ca="1">_xll.qlCalendarAdvance(Calendar,AF23,"1d","mf",,Trigger)</f>
        <v>#NAME?</v>
      </c>
      <c r="AG24" s="578" t="e">
        <f ca="1">_xll.qlDayCounterYearFraction(DayCounter,SettlementDate,AF24,,,Trigger)</f>
        <v>#NAME?</v>
      </c>
      <c r="AH24" s="575" t="e">
        <f t="shared" ca="1" si="0"/>
        <v>#NAME?</v>
      </c>
      <c r="AI24" s="575" t="e">
        <f t="shared" ca="1" si="1"/>
        <v>#NAME?</v>
      </c>
      <c r="AJ24" s="575" t="e">
        <f t="shared" ca="1" si="2"/>
        <v>#NAME?</v>
      </c>
    </row>
    <row r="25" spans="3:36" ht="12" customHeight="1" x14ac:dyDescent="0.2">
      <c r="C25" s="760" t="s">
        <v>171</v>
      </c>
      <c r="D25" s="759" t="e">
        <f t="shared" ca="1" si="3"/>
        <v>#NAME?</v>
      </c>
      <c r="E25" s="562" t="e">
        <f ca="1">_xll.qlCalendarAdvance(Calendar,SettlementDate,C25,"mf",TRUE,Trigger)</f>
        <v>#NAME?</v>
      </c>
      <c r="F25" s="758"/>
      <c r="G25" s="758"/>
      <c r="H25" s="758"/>
      <c r="I25" s="758"/>
      <c r="J25" s="578" t="e">
        <f ca="1">_xll.qlDayCounterYearFraction(DayCounter,D25,E25,,,Trigger)</f>
        <v>#NAME?</v>
      </c>
      <c r="K25" s="757" t="e">
        <f ca="1">_xll.qlYieldTSDiscount(Discounting,D25,,AllTriggers)</f>
        <v>#NAME?</v>
      </c>
      <c r="L25" s="757" t="e">
        <f ca="1">_xll.qlYieldTSDiscount(Discounting,E25,,AllTriggers)</f>
        <v>#NAME?</v>
      </c>
      <c r="M25" s="756" t="e">
        <f t="shared" ca="1" si="4"/>
        <v>#NAME?</v>
      </c>
      <c r="N25" s="575" t="e">
        <f t="shared" ca="1" si="5"/>
        <v>#NAME?</v>
      </c>
      <c r="O25" s="575" t="e">
        <f t="shared" ca="1" si="6"/>
        <v>#NAME?</v>
      </c>
      <c r="P25" s="575" t="e">
        <f t="shared" ca="1" si="7"/>
        <v>#NAME?</v>
      </c>
      <c r="AF25" s="562" t="e">
        <f ca="1">_xll.qlCalendarAdvance(Calendar,AF24,"1d","mf",,Trigger)</f>
        <v>#NAME?</v>
      </c>
      <c r="AG25" s="578" t="e">
        <f ca="1">_xll.qlDayCounterYearFraction(DayCounter,SettlementDate,AF25,,,Trigger)</f>
        <v>#NAME?</v>
      </c>
      <c r="AH25" s="575" t="e">
        <f t="shared" ca="1" si="0"/>
        <v>#NAME?</v>
      </c>
      <c r="AI25" s="575" t="e">
        <f t="shared" ca="1" si="1"/>
        <v>#NAME?</v>
      </c>
      <c r="AJ25" s="575" t="e">
        <f t="shared" ca="1" si="2"/>
        <v>#NAME?</v>
      </c>
    </row>
    <row r="26" spans="3:36" ht="12" customHeight="1" x14ac:dyDescent="0.2">
      <c r="C26" s="760" t="s">
        <v>170</v>
      </c>
      <c r="D26" s="759" t="e">
        <f t="shared" ca="1" si="3"/>
        <v>#NAME?</v>
      </c>
      <c r="E26" s="562" t="e">
        <f ca="1">_xll.qlCalendarAdvance(Calendar,SettlementDate,C26,"mf",TRUE,Trigger)</f>
        <v>#NAME?</v>
      </c>
      <c r="F26" s="758"/>
      <c r="G26" s="758"/>
      <c r="H26" s="758"/>
      <c r="I26" s="758"/>
      <c r="J26" s="578" t="e">
        <f ca="1">_xll.qlDayCounterYearFraction(DayCounter,D26,E26,,,Trigger)</f>
        <v>#NAME?</v>
      </c>
      <c r="K26" s="757" t="e">
        <f ca="1">_xll.qlYieldTSDiscount(Discounting,D26,,AllTriggers)</f>
        <v>#NAME?</v>
      </c>
      <c r="L26" s="757" t="e">
        <f ca="1">_xll.qlYieldTSDiscount(Discounting,E26,,AllTriggers)</f>
        <v>#NAME?</v>
      </c>
      <c r="M26" s="756" t="e">
        <f t="shared" ca="1" si="4"/>
        <v>#NAME?</v>
      </c>
      <c r="N26" s="575" t="e">
        <f t="shared" ca="1" si="5"/>
        <v>#NAME?</v>
      </c>
      <c r="O26" s="575" t="e">
        <f t="shared" ca="1" si="6"/>
        <v>#NAME?</v>
      </c>
      <c r="P26" s="575" t="e">
        <f t="shared" ca="1" si="7"/>
        <v>#NAME?</v>
      </c>
      <c r="AF26" s="562" t="e">
        <f ca="1">_xll.qlCalendarAdvance(Calendar,AF25,"1d","mf",,Trigger)</f>
        <v>#NAME?</v>
      </c>
      <c r="AG26" s="578" t="e">
        <f ca="1">_xll.qlDayCounterYearFraction(DayCounter,SettlementDate,AF26,,,Trigger)</f>
        <v>#NAME?</v>
      </c>
      <c r="AH26" s="575" t="e">
        <f t="shared" ca="1" si="0"/>
        <v>#NAME?</v>
      </c>
      <c r="AI26" s="575" t="e">
        <f t="shared" ca="1" si="1"/>
        <v>#NAME?</v>
      </c>
      <c r="AJ26" s="575" t="e">
        <f t="shared" ca="1" si="2"/>
        <v>#NAME?</v>
      </c>
    </row>
    <row r="27" spans="3:36" ht="12" customHeight="1" x14ac:dyDescent="0.2">
      <c r="C27" s="760" t="s">
        <v>169</v>
      </c>
      <c r="D27" s="759" t="e">
        <f t="shared" ca="1" si="3"/>
        <v>#NAME?</v>
      </c>
      <c r="E27" s="562" t="e">
        <f ca="1">_xll.qlCalendarAdvance(Calendar,SettlementDate,C27,"mf",TRUE,Trigger)</f>
        <v>#NAME?</v>
      </c>
      <c r="F27" s="758"/>
      <c r="G27" s="758"/>
      <c r="H27" s="758"/>
      <c r="I27" s="758"/>
      <c r="J27" s="578" t="e">
        <f ca="1">_xll.qlDayCounterYearFraction(DayCounter,D27,E27,,,Trigger)</f>
        <v>#NAME?</v>
      </c>
      <c r="K27" s="757" t="e">
        <f ca="1">_xll.qlYieldTSDiscount(Discounting,D27,,AllTriggers)</f>
        <v>#NAME?</v>
      </c>
      <c r="L27" s="757" t="e">
        <f ca="1">_xll.qlYieldTSDiscount(Discounting,E27,,AllTriggers)</f>
        <v>#NAME?</v>
      </c>
      <c r="M27" s="756" t="e">
        <f t="shared" ca="1" si="4"/>
        <v>#NAME?</v>
      </c>
      <c r="N27" s="575" t="e">
        <f t="shared" ca="1" si="5"/>
        <v>#NAME?</v>
      </c>
      <c r="O27" s="575" t="e">
        <f t="shared" ca="1" si="6"/>
        <v>#NAME?</v>
      </c>
      <c r="P27" s="575" t="e">
        <f t="shared" ca="1" si="7"/>
        <v>#NAME?</v>
      </c>
      <c r="AF27" s="562" t="e">
        <f ca="1">_xll.qlCalendarAdvance(Calendar,AF26,"1d","mf",,Trigger)</f>
        <v>#NAME?</v>
      </c>
      <c r="AG27" s="578" t="e">
        <f ca="1">_xll.qlDayCounterYearFraction(DayCounter,SettlementDate,AF27,,,Trigger)</f>
        <v>#NAME?</v>
      </c>
      <c r="AH27" s="575" t="e">
        <f t="shared" ca="1" si="0"/>
        <v>#NAME?</v>
      </c>
      <c r="AI27" s="575" t="e">
        <f t="shared" ca="1" si="1"/>
        <v>#NAME?</v>
      </c>
      <c r="AJ27" s="575" t="e">
        <f t="shared" ca="1" si="2"/>
        <v>#NAME?</v>
      </c>
    </row>
    <row r="28" spans="3:36" ht="12" customHeight="1" x14ac:dyDescent="0.2">
      <c r="C28" s="760" t="s">
        <v>168</v>
      </c>
      <c r="D28" s="759" t="e">
        <f t="shared" ca="1" si="3"/>
        <v>#NAME?</v>
      </c>
      <c r="E28" s="562" t="e">
        <f ca="1">_xll.qlCalendarAdvance(Calendar,SettlementDate,C28,"mf",TRUE,Trigger)</f>
        <v>#NAME?</v>
      </c>
      <c r="F28" s="758"/>
      <c r="G28" s="758"/>
      <c r="H28" s="758"/>
      <c r="I28" s="758"/>
      <c r="J28" s="578" t="e">
        <f ca="1">_xll.qlDayCounterYearFraction(DayCounter,D28,E28,,,Trigger)</f>
        <v>#NAME?</v>
      </c>
      <c r="K28" s="757" t="e">
        <f ca="1">_xll.qlYieldTSDiscount(Discounting,D28,,AllTriggers)</f>
        <v>#NAME?</v>
      </c>
      <c r="L28" s="757" t="e">
        <f ca="1">_xll.qlYieldTSDiscount(Discounting,E28,,AllTriggers)</f>
        <v>#NAME?</v>
      </c>
      <c r="M28" s="756" t="e">
        <f t="shared" ca="1" si="4"/>
        <v>#NAME?</v>
      </c>
      <c r="N28" s="575" t="e">
        <f t="shared" ca="1" si="5"/>
        <v>#NAME?</v>
      </c>
      <c r="O28" s="575" t="e">
        <f t="shared" ca="1" si="6"/>
        <v>#NAME?</v>
      </c>
      <c r="P28" s="575" t="e">
        <f t="shared" ca="1" si="7"/>
        <v>#NAME?</v>
      </c>
      <c r="AF28" s="562" t="e">
        <f ca="1">_xll.qlCalendarAdvance(Calendar,AF27,"1d","mf",,Trigger)</f>
        <v>#NAME?</v>
      </c>
      <c r="AG28" s="578" t="e">
        <f ca="1">_xll.qlDayCounterYearFraction(DayCounter,SettlementDate,AF28,,,Trigger)</f>
        <v>#NAME?</v>
      </c>
      <c r="AH28" s="575" t="e">
        <f t="shared" ca="1" si="0"/>
        <v>#NAME?</v>
      </c>
      <c r="AI28" s="575" t="e">
        <f t="shared" ca="1" si="1"/>
        <v>#NAME?</v>
      </c>
      <c r="AJ28" s="575" t="e">
        <f t="shared" ca="1" si="2"/>
        <v>#NAME?</v>
      </c>
    </row>
    <row r="29" spans="3:36" ht="12" customHeight="1" x14ac:dyDescent="0.2">
      <c r="C29" s="760" t="s">
        <v>167</v>
      </c>
      <c r="D29" s="759" t="e">
        <f t="shared" ca="1" si="3"/>
        <v>#NAME?</v>
      </c>
      <c r="E29" s="562" t="e">
        <f ca="1">_xll.qlCalendarAdvance(Calendar,SettlementDate,C29,"mf",TRUE,Trigger)</f>
        <v>#NAME?</v>
      </c>
      <c r="F29" s="758"/>
      <c r="G29" s="758"/>
      <c r="H29" s="758"/>
      <c r="I29" s="758"/>
      <c r="J29" s="578" t="e">
        <f ca="1">_xll.qlDayCounterYearFraction(DayCounter,D29,E29,,,Trigger)</f>
        <v>#NAME?</v>
      </c>
      <c r="K29" s="757" t="e">
        <f ca="1">_xll.qlYieldTSDiscount(Discounting,D29,,AllTriggers)</f>
        <v>#NAME?</v>
      </c>
      <c r="L29" s="757" t="e">
        <f ca="1">_xll.qlYieldTSDiscount(Discounting,E29,,AllTriggers)</f>
        <v>#NAME?</v>
      </c>
      <c r="M29" s="756" t="e">
        <f t="shared" ca="1" si="4"/>
        <v>#NAME?</v>
      </c>
      <c r="N29" s="575" t="e">
        <f t="shared" ca="1" si="5"/>
        <v>#NAME?</v>
      </c>
      <c r="O29" s="575" t="e">
        <f t="shared" ca="1" si="6"/>
        <v>#NAME?</v>
      </c>
      <c r="P29" s="575" t="e">
        <f t="shared" ca="1" si="7"/>
        <v>#NAME?</v>
      </c>
      <c r="AF29" s="562" t="e">
        <f ca="1">_xll.qlCalendarAdvance(Calendar,AF28,"1d","mf",,Trigger)</f>
        <v>#NAME?</v>
      </c>
      <c r="AG29" s="578" t="e">
        <f ca="1">_xll.qlDayCounterYearFraction(DayCounter,SettlementDate,AF29,,,Trigger)</f>
        <v>#NAME?</v>
      </c>
      <c r="AH29" s="575" t="e">
        <f t="shared" ca="1" si="0"/>
        <v>#NAME?</v>
      </c>
      <c r="AI29" s="575" t="e">
        <f t="shared" ca="1" si="1"/>
        <v>#NAME?</v>
      </c>
      <c r="AJ29" s="575" t="e">
        <f t="shared" ca="1" si="2"/>
        <v>#NAME?</v>
      </c>
    </row>
    <row r="30" spans="3:36" ht="12" customHeight="1" x14ac:dyDescent="0.2">
      <c r="C30" s="755" t="s">
        <v>318</v>
      </c>
      <c r="D30" s="754" t="e">
        <f t="shared" ca="1" si="3"/>
        <v>#NAME?</v>
      </c>
      <c r="E30" s="560" t="e">
        <f ca="1">_xll.qlCalendarAdvance(Calendar,SettlementDate,C30,"mf",TRUE,Trigger)</f>
        <v>#NAME?</v>
      </c>
      <c r="F30" s="753"/>
      <c r="G30" s="753"/>
      <c r="H30" s="753"/>
      <c r="I30" s="753"/>
      <c r="J30" s="571" t="e">
        <f ca="1">_xll.qlDayCounterYearFraction(DayCounter,D30,E30,,,Trigger)</f>
        <v>#NAME?</v>
      </c>
      <c r="K30" s="752" t="e">
        <f ca="1">_xll.qlYieldTSDiscount(Discounting,D30,,AllTriggers)</f>
        <v>#NAME?</v>
      </c>
      <c r="L30" s="752" t="e">
        <f ca="1">_xll.qlYieldTSDiscount(Discounting,E30,,AllTriggers)</f>
        <v>#NAME?</v>
      </c>
      <c r="M30" s="751" t="e">
        <f t="shared" ca="1" si="4"/>
        <v>#NAME?</v>
      </c>
      <c r="N30" s="568" t="e">
        <f t="shared" ca="1" si="5"/>
        <v>#NAME?</v>
      </c>
      <c r="O30" s="568" t="e">
        <f t="shared" ca="1" si="6"/>
        <v>#NAME?</v>
      </c>
      <c r="P30" s="568" t="e">
        <f t="shared" ca="1" si="7"/>
        <v>#NAME?</v>
      </c>
      <c r="AF30" s="562" t="e">
        <f ca="1">_xll.qlCalendarAdvance(Calendar,AF29,"1d","mf",,Trigger)</f>
        <v>#NAME?</v>
      </c>
      <c r="AG30" s="578" t="e">
        <f ca="1">_xll.qlDayCounterYearFraction(DayCounter,SettlementDate,AF30,,,Trigger)</f>
        <v>#NAME?</v>
      </c>
      <c r="AH30" s="575" t="e">
        <f t="shared" ca="1" si="0"/>
        <v>#NAME?</v>
      </c>
      <c r="AI30" s="575" t="e">
        <f t="shared" ca="1" si="1"/>
        <v>#NAME?</v>
      </c>
      <c r="AJ30" s="575" t="e">
        <f t="shared" ca="1" si="2"/>
        <v>#NAME?</v>
      </c>
    </row>
    <row r="31" spans="3:36" ht="12" customHeight="1" x14ac:dyDescent="0.2">
      <c r="AF31" s="562" t="e">
        <f ca="1">_xll.qlCalendarAdvance(Calendar,AF30,"1d","mf",,Trigger)</f>
        <v>#NAME?</v>
      </c>
      <c r="AG31" s="578" t="e">
        <f ca="1">_xll.qlDayCounterYearFraction(DayCounter,SettlementDate,AF31,,,Trigger)</f>
        <v>#NAME?</v>
      </c>
      <c r="AH31" s="575" t="e">
        <f t="shared" ca="1" si="0"/>
        <v>#NAME?</v>
      </c>
      <c r="AI31" s="575" t="e">
        <f t="shared" ca="1" si="1"/>
        <v>#NAME?</v>
      </c>
      <c r="AJ31" s="575" t="e">
        <f t="shared" ca="1" si="2"/>
        <v>#NAME?</v>
      </c>
    </row>
    <row r="32" spans="3:36" ht="12" customHeight="1" x14ac:dyDescent="0.2">
      <c r="C32" s="594" t="s">
        <v>352</v>
      </c>
      <c r="AF32" s="562" t="e">
        <f ca="1">_xll.qlCalendarAdvance(Calendar,AF31,"1d","mf",,Trigger)</f>
        <v>#NAME?</v>
      </c>
      <c r="AG32" s="578" t="e">
        <f ca="1">_xll.qlDayCounterYearFraction(DayCounter,SettlementDate,AF32,,,Trigger)</f>
        <v>#NAME?</v>
      </c>
      <c r="AH32" s="575" t="e">
        <f t="shared" ca="1" si="0"/>
        <v>#NAME?</v>
      </c>
      <c r="AI32" s="575" t="e">
        <f t="shared" ca="1" si="1"/>
        <v>#NAME?</v>
      </c>
      <c r="AJ32" s="575" t="e">
        <f t="shared" ca="1" si="2"/>
        <v>#NAME?</v>
      </c>
    </row>
    <row r="33" spans="3:36" ht="12" customHeight="1" x14ac:dyDescent="0.2">
      <c r="C33" s="750" t="s">
        <v>351</v>
      </c>
      <c r="AF33" s="562" t="e">
        <f ca="1">_xll.qlCalendarAdvance(Calendar,AF32,"1d","mf",,Trigger)</f>
        <v>#NAME?</v>
      </c>
      <c r="AG33" s="578" t="e">
        <f ca="1">_xll.qlDayCounterYearFraction(DayCounter,SettlementDate,AF33,,,Trigger)</f>
        <v>#NAME?</v>
      </c>
      <c r="AH33" s="575" t="e">
        <f t="shared" ca="1" si="0"/>
        <v>#NAME?</v>
      </c>
      <c r="AI33" s="575" t="e">
        <f t="shared" ca="1" si="1"/>
        <v>#NAME?</v>
      </c>
      <c r="AJ33" s="575" t="e">
        <f t="shared" ca="1" si="2"/>
        <v>#NAME?</v>
      </c>
    </row>
    <row r="34" spans="3:36" ht="12" customHeight="1" x14ac:dyDescent="0.2">
      <c r="C34" s="575" t="e">
        <f t="shared" ref="C34:C49" ca="1" si="8">IF($C$33="FLAT",N15,IF($C$33="linear",O15,P15))</f>
        <v>#NAME?</v>
      </c>
      <c r="AF34" s="562" t="e">
        <f ca="1">_xll.qlCalendarAdvance(Calendar,AF33,"1d","mf",,Trigger)</f>
        <v>#NAME?</v>
      </c>
      <c r="AG34" s="578" t="e">
        <f ca="1">_xll.qlDayCounterYearFraction(DayCounter,SettlementDate,AF34,,,Trigger)</f>
        <v>#NAME?</v>
      </c>
      <c r="AH34" s="575" t="e">
        <f t="shared" ca="1" si="0"/>
        <v>#NAME?</v>
      </c>
      <c r="AI34" s="575" t="e">
        <f t="shared" ca="1" si="1"/>
        <v>#NAME?</v>
      </c>
      <c r="AJ34" s="575" t="e">
        <f t="shared" ca="1" si="2"/>
        <v>#NAME?</v>
      </c>
    </row>
    <row r="35" spans="3:36" ht="12" customHeight="1" x14ac:dyDescent="0.2">
      <c r="C35" s="575" t="e">
        <f t="shared" ca="1" si="8"/>
        <v>#NAME?</v>
      </c>
      <c r="AF35" s="562" t="e">
        <f ca="1">_xll.qlCalendarAdvance(Calendar,AF34,"1d","mf",,Trigger)</f>
        <v>#NAME?</v>
      </c>
      <c r="AG35" s="578" t="e">
        <f ca="1">_xll.qlDayCounterYearFraction(DayCounter,SettlementDate,AF35,,,Trigger)</f>
        <v>#NAME?</v>
      </c>
      <c r="AH35" s="575" t="e">
        <f t="shared" ca="1" si="0"/>
        <v>#NAME?</v>
      </c>
      <c r="AI35" s="575" t="e">
        <f t="shared" ca="1" si="1"/>
        <v>#NAME?</v>
      </c>
      <c r="AJ35" s="575" t="e">
        <f t="shared" ca="1" si="2"/>
        <v>#NAME?</v>
      </c>
    </row>
    <row r="36" spans="3:36" ht="12" customHeight="1" x14ac:dyDescent="0.2">
      <c r="C36" s="575" t="e">
        <f t="shared" ca="1" si="8"/>
        <v>#NAME?</v>
      </c>
      <c r="AF36" s="562" t="e">
        <f ca="1">_xll.qlCalendarAdvance(Calendar,AF35,"1d","mf",,Trigger)</f>
        <v>#NAME?</v>
      </c>
      <c r="AG36" s="578" t="e">
        <f ca="1">_xll.qlDayCounterYearFraction(DayCounter,SettlementDate,AF36,,,Trigger)</f>
        <v>#NAME?</v>
      </c>
      <c r="AH36" s="575" t="e">
        <f t="shared" ca="1" si="0"/>
        <v>#NAME?</v>
      </c>
      <c r="AI36" s="575" t="e">
        <f t="shared" ca="1" si="1"/>
        <v>#NAME?</v>
      </c>
      <c r="AJ36" s="575" t="e">
        <f t="shared" ca="1" si="2"/>
        <v>#NAME?</v>
      </c>
    </row>
    <row r="37" spans="3:36" ht="12" customHeight="1" x14ac:dyDescent="0.2">
      <c r="C37" s="575" t="e">
        <f t="shared" ca="1" si="8"/>
        <v>#NAME?</v>
      </c>
      <c r="AF37" s="562" t="e">
        <f ca="1">_xll.qlCalendarAdvance(Calendar,AF36,"1d","mf",,Trigger)</f>
        <v>#NAME?</v>
      </c>
      <c r="AG37" s="578" t="e">
        <f ca="1">_xll.qlDayCounterYearFraction(DayCounter,SettlementDate,AF37,,,Trigger)</f>
        <v>#NAME?</v>
      </c>
      <c r="AH37" s="575" t="e">
        <f t="shared" ca="1" si="0"/>
        <v>#NAME?</v>
      </c>
      <c r="AI37" s="575" t="e">
        <f t="shared" ca="1" si="1"/>
        <v>#NAME?</v>
      </c>
      <c r="AJ37" s="575" t="e">
        <f t="shared" ca="1" si="2"/>
        <v>#NAME?</v>
      </c>
    </row>
    <row r="38" spans="3:36" x14ac:dyDescent="0.2">
      <c r="C38" s="575" t="e">
        <f t="shared" ca="1" si="8"/>
        <v>#NAME?</v>
      </c>
      <c r="AF38" s="562" t="e">
        <f ca="1">_xll.qlCalendarAdvance(Calendar,AF37,"1d","mf",,Trigger)</f>
        <v>#NAME?</v>
      </c>
      <c r="AG38" s="578" t="e">
        <f ca="1">_xll.qlDayCounterYearFraction(DayCounter,SettlementDate,AF38,,,Trigger)</f>
        <v>#NAME?</v>
      </c>
      <c r="AH38" s="575" t="e">
        <f t="shared" ca="1" si="0"/>
        <v>#NAME?</v>
      </c>
      <c r="AI38" s="575" t="e">
        <f t="shared" ca="1" si="1"/>
        <v>#NAME?</v>
      </c>
      <c r="AJ38" s="575" t="e">
        <f t="shared" ca="1" si="2"/>
        <v>#NAME?</v>
      </c>
    </row>
    <row r="39" spans="3:36" x14ac:dyDescent="0.2">
      <c r="C39" s="575" t="e">
        <f t="shared" ca="1" si="8"/>
        <v>#NAME?</v>
      </c>
      <c r="AF39" s="562" t="e">
        <f ca="1">_xll.qlCalendarAdvance(Calendar,AF38,"1d","mf",,Trigger)</f>
        <v>#NAME?</v>
      </c>
      <c r="AG39" s="578" t="e">
        <f ca="1">_xll.qlDayCounterYearFraction(DayCounter,SettlementDate,AF39,,,Trigger)</f>
        <v>#NAME?</v>
      </c>
      <c r="AH39" s="575" t="e">
        <f t="shared" ca="1" si="0"/>
        <v>#NAME?</v>
      </c>
      <c r="AI39" s="575" t="e">
        <f t="shared" ca="1" si="1"/>
        <v>#NAME?</v>
      </c>
      <c r="AJ39" s="575" t="e">
        <f t="shared" ca="1" si="2"/>
        <v>#NAME?</v>
      </c>
    </row>
    <row r="40" spans="3:36" x14ac:dyDescent="0.2">
      <c r="C40" s="575" t="e">
        <f t="shared" ca="1" si="8"/>
        <v>#NAME?</v>
      </c>
      <c r="AF40" s="562" t="e">
        <f ca="1">_xll.qlCalendarAdvance(Calendar,AF39,"1d","mf",,Trigger)</f>
        <v>#NAME?</v>
      </c>
      <c r="AG40" s="578" t="e">
        <f ca="1">_xll.qlDayCounterYearFraction(DayCounter,SettlementDate,AF40,,,Trigger)</f>
        <v>#NAME?</v>
      </c>
      <c r="AH40" s="575" t="e">
        <f t="shared" ca="1" si="0"/>
        <v>#NAME?</v>
      </c>
      <c r="AI40" s="575" t="e">
        <f t="shared" ca="1" si="1"/>
        <v>#NAME?</v>
      </c>
      <c r="AJ40" s="575" t="e">
        <f t="shared" ca="1" si="2"/>
        <v>#NAME?</v>
      </c>
    </row>
    <row r="41" spans="3:36" x14ac:dyDescent="0.2">
      <c r="C41" s="575" t="e">
        <f t="shared" ca="1" si="8"/>
        <v>#NAME?</v>
      </c>
      <c r="AF41" s="562" t="e">
        <f ca="1">_xll.qlCalendarAdvance(Calendar,AF40,"1d","mf",,Trigger)</f>
        <v>#NAME?</v>
      </c>
      <c r="AG41" s="578" t="e">
        <f ca="1">_xll.qlDayCounterYearFraction(DayCounter,SettlementDate,AF41,,,Trigger)</f>
        <v>#NAME?</v>
      </c>
      <c r="AH41" s="575" t="e">
        <f t="shared" ca="1" si="0"/>
        <v>#NAME?</v>
      </c>
      <c r="AI41" s="575" t="e">
        <f t="shared" ca="1" si="1"/>
        <v>#NAME?</v>
      </c>
      <c r="AJ41" s="575" t="e">
        <f t="shared" ca="1" si="2"/>
        <v>#NAME?</v>
      </c>
    </row>
    <row r="42" spans="3:36" x14ac:dyDescent="0.2">
      <c r="C42" s="575" t="e">
        <f t="shared" ca="1" si="8"/>
        <v>#NAME?</v>
      </c>
      <c r="AF42" s="562" t="e">
        <f ca="1">_xll.qlCalendarAdvance(Calendar,AF41,"1d","mf",,Trigger)</f>
        <v>#NAME?</v>
      </c>
      <c r="AG42" s="578" t="e">
        <f ca="1">_xll.qlDayCounterYearFraction(DayCounter,SettlementDate,AF42,,,Trigger)</f>
        <v>#NAME?</v>
      </c>
      <c r="AH42" s="575" t="e">
        <f t="shared" ca="1" si="0"/>
        <v>#NAME?</v>
      </c>
      <c r="AI42" s="575" t="e">
        <f t="shared" ca="1" si="1"/>
        <v>#NAME?</v>
      </c>
      <c r="AJ42" s="575" t="e">
        <f t="shared" ca="1" si="2"/>
        <v>#NAME?</v>
      </c>
    </row>
    <row r="43" spans="3:36" ht="11.25" customHeight="1" x14ac:dyDescent="0.2">
      <c r="C43" s="575" t="e">
        <f t="shared" ca="1" si="8"/>
        <v>#NAME?</v>
      </c>
      <c r="AF43" s="562" t="e">
        <f ca="1">_xll.qlCalendarAdvance(Calendar,AF42,"1d","mf",,Trigger)</f>
        <v>#NAME?</v>
      </c>
      <c r="AG43" s="578" t="e">
        <f ca="1">_xll.qlDayCounterYearFraction(DayCounter,SettlementDate,AF43,,,Trigger)</f>
        <v>#NAME?</v>
      </c>
      <c r="AH43" s="575" t="e">
        <f t="shared" ca="1" si="0"/>
        <v>#NAME?</v>
      </c>
      <c r="AI43" s="575" t="e">
        <f t="shared" ca="1" si="1"/>
        <v>#NAME?</v>
      </c>
      <c r="AJ43" s="575" t="e">
        <f t="shared" ca="1" si="2"/>
        <v>#NAME?</v>
      </c>
    </row>
    <row r="44" spans="3:36" x14ac:dyDescent="0.2">
      <c r="C44" s="575" t="e">
        <f t="shared" ca="1" si="8"/>
        <v>#NAME?</v>
      </c>
      <c r="AF44" s="562" t="e">
        <f ca="1">_xll.qlCalendarAdvance(Calendar,AF43,"1d","mf",,Trigger)</f>
        <v>#NAME?</v>
      </c>
      <c r="AG44" s="578" t="e">
        <f ca="1">_xll.qlDayCounterYearFraction(DayCounter,SettlementDate,AF44,,,Trigger)</f>
        <v>#NAME?</v>
      </c>
      <c r="AH44" s="575" t="e">
        <f t="shared" ca="1" si="0"/>
        <v>#NAME?</v>
      </c>
      <c r="AI44" s="575" t="e">
        <f t="shared" ca="1" si="1"/>
        <v>#NAME?</v>
      </c>
      <c r="AJ44" s="575" t="e">
        <f t="shared" ca="1" si="2"/>
        <v>#NAME?</v>
      </c>
    </row>
    <row r="45" spans="3:36" x14ac:dyDescent="0.2">
      <c r="C45" s="575" t="e">
        <f t="shared" ca="1" si="8"/>
        <v>#NAME?</v>
      </c>
      <c r="AF45" s="562" t="e">
        <f ca="1">_xll.qlCalendarAdvance(Calendar,AF44,"1d","mf",,Trigger)</f>
        <v>#NAME?</v>
      </c>
      <c r="AG45" s="578" t="e">
        <f ca="1">_xll.qlDayCounterYearFraction(DayCounter,SettlementDate,AF45,,,Trigger)</f>
        <v>#NAME?</v>
      </c>
      <c r="AH45" s="575" t="e">
        <f t="shared" ca="1" si="0"/>
        <v>#NAME?</v>
      </c>
      <c r="AI45" s="575" t="e">
        <f t="shared" ca="1" si="1"/>
        <v>#NAME?</v>
      </c>
      <c r="AJ45" s="575" t="e">
        <f t="shared" ca="1" si="2"/>
        <v>#NAME?</v>
      </c>
    </row>
    <row r="46" spans="3:36" x14ac:dyDescent="0.2">
      <c r="C46" s="575" t="e">
        <f t="shared" ca="1" si="8"/>
        <v>#NAME?</v>
      </c>
      <c r="AF46" s="562" t="e">
        <f ca="1">_xll.qlCalendarAdvance(Calendar,AF45,"1d","mf",,Trigger)</f>
        <v>#NAME?</v>
      </c>
      <c r="AG46" s="578" t="e">
        <f ca="1">_xll.qlDayCounterYearFraction(DayCounter,SettlementDate,AF46,,,Trigger)</f>
        <v>#NAME?</v>
      </c>
      <c r="AH46" s="575" t="e">
        <f t="shared" ca="1" si="0"/>
        <v>#NAME?</v>
      </c>
      <c r="AI46" s="575" t="e">
        <f t="shared" ca="1" si="1"/>
        <v>#NAME?</v>
      </c>
      <c r="AJ46" s="575" t="e">
        <f t="shared" ca="1" si="2"/>
        <v>#NAME?</v>
      </c>
    </row>
    <row r="47" spans="3:36" x14ac:dyDescent="0.2">
      <c r="C47" s="575" t="e">
        <f t="shared" ca="1" si="8"/>
        <v>#NAME?</v>
      </c>
      <c r="N47" s="749"/>
      <c r="O47" s="749"/>
      <c r="AF47" s="562" t="e">
        <f ca="1">_xll.qlCalendarAdvance(Calendar,AF46,"1d","mf",,Trigger)</f>
        <v>#NAME?</v>
      </c>
      <c r="AG47" s="578" t="e">
        <f ca="1">_xll.qlDayCounterYearFraction(DayCounter,SettlementDate,AF47,,,Trigger)</f>
        <v>#NAME?</v>
      </c>
      <c r="AH47" s="575" t="e">
        <f t="shared" ca="1" si="0"/>
        <v>#NAME?</v>
      </c>
      <c r="AI47" s="575" t="e">
        <f t="shared" ca="1" si="1"/>
        <v>#NAME?</v>
      </c>
      <c r="AJ47" s="575" t="e">
        <f t="shared" ca="1" si="2"/>
        <v>#NAME?</v>
      </c>
    </row>
    <row r="48" spans="3:36" x14ac:dyDescent="0.2">
      <c r="C48" s="575" t="e">
        <f t="shared" ca="1" si="8"/>
        <v>#NAME?</v>
      </c>
      <c r="AF48" s="562" t="e">
        <f ca="1">_xll.qlCalendarAdvance(Calendar,AF47,"1d","mf",,Trigger)</f>
        <v>#NAME?</v>
      </c>
      <c r="AG48" s="578" t="e">
        <f ca="1">_xll.qlDayCounterYearFraction(DayCounter,SettlementDate,AF48,,,Trigger)</f>
        <v>#NAME?</v>
      </c>
      <c r="AH48" s="575" t="e">
        <f t="shared" ca="1" si="0"/>
        <v>#NAME?</v>
      </c>
      <c r="AI48" s="575" t="e">
        <f t="shared" ca="1" si="1"/>
        <v>#NAME?</v>
      </c>
      <c r="AJ48" s="575" t="e">
        <f t="shared" ca="1" si="2"/>
        <v>#NAME?</v>
      </c>
    </row>
    <row r="49" spans="3:36" x14ac:dyDescent="0.2">
      <c r="C49" s="568" t="e">
        <f t="shared" ca="1" si="8"/>
        <v>#NAME?</v>
      </c>
      <c r="AF49" s="562" t="e">
        <f ca="1">_xll.qlCalendarAdvance(Calendar,AF48,"1d","mf",,Trigger)</f>
        <v>#NAME?</v>
      </c>
      <c r="AG49" s="578" t="e">
        <f ca="1">_xll.qlDayCounterYearFraction(DayCounter,SettlementDate,AF49,,,Trigger)</f>
        <v>#NAME?</v>
      </c>
      <c r="AH49" s="575" t="e">
        <f t="shared" ca="1" si="0"/>
        <v>#NAME?</v>
      </c>
      <c r="AI49" s="575" t="e">
        <f t="shared" ca="1" si="1"/>
        <v>#NAME?</v>
      </c>
      <c r="AJ49" s="575" t="e">
        <f t="shared" ca="1" si="2"/>
        <v>#NAME?</v>
      </c>
    </row>
    <row r="50" spans="3:36" x14ac:dyDescent="0.2">
      <c r="AF50" s="562" t="e">
        <f ca="1">_xll.qlCalendarAdvance(Calendar,AF49,"1d","mf",,Trigger)</f>
        <v>#NAME?</v>
      </c>
      <c r="AG50" s="578" t="e">
        <f ca="1">_xll.qlDayCounterYearFraction(DayCounter,SettlementDate,AF50,,,Trigger)</f>
        <v>#NAME?</v>
      </c>
      <c r="AH50" s="575" t="e">
        <f t="shared" ca="1" si="0"/>
        <v>#NAME?</v>
      </c>
      <c r="AI50" s="575" t="e">
        <f t="shared" ca="1" si="1"/>
        <v>#NAME?</v>
      </c>
      <c r="AJ50" s="575" t="e">
        <f t="shared" ca="1" si="2"/>
        <v>#NAME?</v>
      </c>
    </row>
    <row r="51" spans="3:36" x14ac:dyDescent="0.2">
      <c r="AF51" s="562" t="e">
        <f ca="1">_xll.qlCalendarAdvance(Calendar,AF50,"1d","mf",,Trigger)</f>
        <v>#NAME?</v>
      </c>
      <c r="AG51" s="578" t="e">
        <f ca="1">_xll.qlDayCounterYearFraction(DayCounter,SettlementDate,AF51,,,Trigger)</f>
        <v>#NAME?</v>
      </c>
      <c r="AH51" s="575" t="e">
        <f t="shared" ca="1" si="0"/>
        <v>#NAME?</v>
      </c>
      <c r="AI51" s="575" t="e">
        <f t="shared" ca="1" si="1"/>
        <v>#NAME?</v>
      </c>
      <c r="AJ51" s="575" t="e">
        <f t="shared" ca="1" si="2"/>
        <v>#NAME?</v>
      </c>
    </row>
    <row r="52" spans="3:36" x14ac:dyDescent="0.2">
      <c r="AF52" s="562" t="e">
        <f ca="1">_xll.qlCalendarAdvance(Calendar,AF51,"1d","mf",,Trigger)</f>
        <v>#NAME?</v>
      </c>
      <c r="AG52" s="578" t="e">
        <f ca="1">_xll.qlDayCounterYearFraction(DayCounter,SettlementDate,AF52,,,Trigger)</f>
        <v>#NAME?</v>
      </c>
      <c r="AH52" s="575" t="e">
        <f t="shared" ca="1" si="0"/>
        <v>#NAME?</v>
      </c>
      <c r="AI52" s="575" t="e">
        <f t="shared" ca="1" si="1"/>
        <v>#NAME?</v>
      </c>
      <c r="AJ52" s="575" t="e">
        <f t="shared" ca="1" si="2"/>
        <v>#NAME?</v>
      </c>
    </row>
    <row r="53" spans="3:36" x14ac:dyDescent="0.2">
      <c r="AF53" s="562" t="e">
        <f ca="1">_xll.qlCalendarAdvance(Calendar,AF52,"1d","mf",,Trigger)</f>
        <v>#NAME?</v>
      </c>
      <c r="AG53" s="578" t="e">
        <f ca="1">_xll.qlDayCounterYearFraction(DayCounter,SettlementDate,AF53,,,Trigger)</f>
        <v>#NAME?</v>
      </c>
      <c r="AH53" s="575" t="e">
        <f t="shared" ca="1" si="0"/>
        <v>#NAME?</v>
      </c>
      <c r="AI53" s="575" t="e">
        <f t="shared" ca="1" si="1"/>
        <v>#NAME?</v>
      </c>
      <c r="AJ53" s="575" t="e">
        <f t="shared" ca="1" si="2"/>
        <v>#NAME?</v>
      </c>
    </row>
    <row r="54" spans="3:36" x14ac:dyDescent="0.2">
      <c r="AF54" s="562" t="e">
        <f ca="1">_xll.qlCalendarAdvance(Calendar,AF53,"1d","mf",,Trigger)</f>
        <v>#NAME?</v>
      </c>
      <c r="AG54" s="578" t="e">
        <f ca="1">_xll.qlDayCounterYearFraction(DayCounter,SettlementDate,AF54,,,Trigger)</f>
        <v>#NAME?</v>
      </c>
      <c r="AH54" s="575" t="e">
        <f t="shared" ca="1" si="0"/>
        <v>#NAME?</v>
      </c>
      <c r="AI54" s="575" t="e">
        <f t="shared" ca="1" si="1"/>
        <v>#NAME?</v>
      </c>
      <c r="AJ54" s="575" t="e">
        <f t="shared" ca="1" si="2"/>
        <v>#NAME?</v>
      </c>
    </row>
    <row r="55" spans="3:36" x14ac:dyDescent="0.2">
      <c r="AF55" s="562" t="e">
        <f ca="1">_xll.qlCalendarAdvance(Calendar,AF54,"1d","mf",,Trigger)</f>
        <v>#NAME?</v>
      </c>
      <c r="AG55" s="578" t="e">
        <f ca="1">_xll.qlDayCounterYearFraction(DayCounter,SettlementDate,AF55,,,Trigger)</f>
        <v>#NAME?</v>
      </c>
      <c r="AH55" s="575" t="e">
        <f t="shared" ca="1" si="0"/>
        <v>#NAME?</v>
      </c>
      <c r="AI55" s="575" t="e">
        <f t="shared" ca="1" si="1"/>
        <v>#NAME?</v>
      </c>
      <c r="AJ55" s="575" t="e">
        <f t="shared" ca="1" si="2"/>
        <v>#NAME?</v>
      </c>
    </row>
    <row r="56" spans="3:36" x14ac:dyDescent="0.2">
      <c r="AF56" s="562" t="e">
        <f ca="1">_xll.qlCalendarAdvance(Calendar,AF55,"1d","mf",,Trigger)</f>
        <v>#NAME?</v>
      </c>
      <c r="AG56" s="578" t="e">
        <f ca="1">_xll.qlDayCounterYearFraction(DayCounter,SettlementDate,AF56,,,Trigger)</f>
        <v>#NAME?</v>
      </c>
      <c r="AH56" s="575" t="e">
        <f t="shared" ca="1" si="0"/>
        <v>#NAME?</v>
      </c>
      <c r="AI56" s="575" t="e">
        <f t="shared" ca="1" si="1"/>
        <v>#NAME?</v>
      </c>
      <c r="AJ56" s="575" t="e">
        <f t="shared" ca="1" si="2"/>
        <v>#NAME?</v>
      </c>
    </row>
    <row r="57" spans="3:36" x14ac:dyDescent="0.2">
      <c r="AF57" s="562" t="e">
        <f ca="1">_xll.qlCalendarAdvance(Calendar,AF56,"1d","mf",,Trigger)</f>
        <v>#NAME?</v>
      </c>
      <c r="AG57" s="578" t="e">
        <f ca="1">_xll.qlDayCounterYearFraction(DayCounter,SettlementDate,AF57,,,Trigger)</f>
        <v>#NAME?</v>
      </c>
      <c r="AH57" s="575" t="e">
        <f t="shared" ca="1" si="0"/>
        <v>#NAME?</v>
      </c>
      <c r="AI57" s="575" t="e">
        <f t="shared" ca="1" si="1"/>
        <v>#NAME?</v>
      </c>
      <c r="AJ57" s="575" t="e">
        <f t="shared" ca="1" si="2"/>
        <v>#NAME?</v>
      </c>
    </row>
    <row r="58" spans="3:36" x14ac:dyDescent="0.2">
      <c r="AF58" s="562" t="e">
        <f ca="1">_xll.qlCalendarAdvance(Calendar,AF57,"1d","mf",,Trigger)</f>
        <v>#NAME?</v>
      </c>
      <c r="AG58" s="578" t="e">
        <f ca="1">_xll.qlDayCounterYearFraction(DayCounter,SettlementDate,AF58,,,Trigger)</f>
        <v>#NAME?</v>
      </c>
      <c r="AH58" s="575" t="e">
        <f t="shared" ca="1" si="0"/>
        <v>#NAME?</v>
      </c>
      <c r="AI58" s="575" t="e">
        <f t="shared" ca="1" si="1"/>
        <v>#NAME?</v>
      </c>
      <c r="AJ58" s="575" t="e">
        <f t="shared" ca="1" si="2"/>
        <v>#NAME?</v>
      </c>
    </row>
    <row r="59" spans="3:36" x14ac:dyDescent="0.2">
      <c r="AF59" s="562" t="e">
        <f ca="1">_xll.qlCalendarAdvance(Calendar,AF58,"1d","mf",,Trigger)</f>
        <v>#NAME?</v>
      </c>
      <c r="AG59" s="578" t="e">
        <f ca="1">_xll.qlDayCounterYearFraction(DayCounter,SettlementDate,AF59,,,Trigger)</f>
        <v>#NAME?</v>
      </c>
      <c r="AH59" s="575" t="e">
        <f t="shared" ca="1" si="0"/>
        <v>#NAME?</v>
      </c>
      <c r="AI59" s="575" t="e">
        <f t="shared" ca="1" si="1"/>
        <v>#NAME?</v>
      </c>
      <c r="AJ59" s="575" t="e">
        <f t="shared" ca="1" si="2"/>
        <v>#NAME?</v>
      </c>
    </row>
    <row r="60" spans="3:36" x14ac:dyDescent="0.2">
      <c r="AF60" s="562" t="e">
        <f ca="1">_xll.qlCalendarAdvance(Calendar,AF59,"1d","mf",,Trigger)</f>
        <v>#NAME?</v>
      </c>
      <c r="AG60" s="578" t="e">
        <f ca="1">_xll.qlDayCounterYearFraction(DayCounter,SettlementDate,AF60,,,Trigger)</f>
        <v>#NAME?</v>
      </c>
      <c r="AH60" s="575" t="e">
        <f t="shared" ca="1" si="0"/>
        <v>#NAME?</v>
      </c>
      <c r="AI60" s="575" t="e">
        <f t="shared" ca="1" si="1"/>
        <v>#NAME?</v>
      </c>
      <c r="AJ60" s="575" t="e">
        <f t="shared" ca="1" si="2"/>
        <v>#NAME?</v>
      </c>
    </row>
    <row r="61" spans="3:36" x14ac:dyDescent="0.2">
      <c r="AF61" s="562" t="e">
        <f ca="1">_xll.qlCalendarAdvance(Calendar,AF60,"1d","mf",,Trigger)</f>
        <v>#NAME?</v>
      </c>
      <c r="AG61" s="578" t="e">
        <f ca="1">_xll.qlDayCounterYearFraction(DayCounter,SettlementDate,AF61,,,Trigger)</f>
        <v>#NAME?</v>
      </c>
      <c r="AH61" s="575" t="e">
        <f t="shared" ca="1" si="0"/>
        <v>#NAME?</v>
      </c>
      <c r="AI61" s="575" t="e">
        <f t="shared" ca="1" si="1"/>
        <v>#NAME?</v>
      </c>
      <c r="AJ61" s="575" t="e">
        <f t="shared" ca="1" si="2"/>
        <v>#NAME?</v>
      </c>
    </row>
    <row r="62" spans="3:36" x14ac:dyDescent="0.2">
      <c r="AF62" s="562" t="e">
        <f ca="1">_xll.qlCalendarAdvance(Calendar,AF61,"1d","mf",,Trigger)</f>
        <v>#NAME?</v>
      </c>
      <c r="AG62" s="578" t="e">
        <f ca="1">_xll.qlDayCounterYearFraction(DayCounter,SettlementDate,AF62,,,Trigger)</f>
        <v>#NAME?</v>
      </c>
      <c r="AH62" s="575" t="e">
        <f t="shared" ca="1" si="0"/>
        <v>#NAME?</v>
      </c>
      <c r="AI62" s="575" t="e">
        <f t="shared" ca="1" si="1"/>
        <v>#NAME?</v>
      </c>
      <c r="AJ62" s="575" t="e">
        <f t="shared" ca="1" si="2"/>
        <v>#NAME?</v>
      </c>
    </row>
    <row r="63" spans="3:36" x14ac:dyDescent="0.2">
      <c r="AF63" s="562" t="e">
        <f ca="1">_xll.qlCalendarAdvance(Calendar,AF62,"1d","mf",,Trigger)</f>
        <v>#NAME?</v>
      </c>
      <c r="AG63" s="578" t="e">
        <f ca="1">_xll.qlDayCounterYearFraction(DayCounter,SettlementDate,AF63,,,Trigger)</f>
        <v>#NAME?</v>
      </c>
      <c r="AH63" s="575" t="e">
        <f t="shared" ca="1" si="0"/>
        <v>#NAME?</v>
      </c>
      <c r="AI63" s="575" t="e">
        <f t="shared" ca="1" si="1"/>
        <v>#NAME?</v>
      </c>
      <c r="AJ63" s="575" t="e">
        <f t="shared" ca="1" si="2"/>
        <v>#NAME?</v>
      </c>
    </row>
    <row r="64" spans="3:36" x14ac:dyDescent="0.2">
      <c r="AF64" s="562" t="e">
        <f ca="1">_xll.qlCalendarAdvance(Calendar,AF63,"1d","mf",,Trigger)</f>
        <v>#NAME?</v>
      </c>
      <c r="AG64" s="578" t="e">
        <f ca="1">_xll.qlDayCounterYearFraction(DayCounter,SettlementDate,AF64,,,Trigger)</f>
        <v>#NAME?</v>
      </c>
      <c r="AH64" s="575" t="e">
        <f t="shared" ca="1" si="0"/>
        <v>#NAME?</v>
      </c>
      <c r="AI64" s="575" t="e">
        <f t="shared" ca="1" si="1"/>
        <v>#NAME?</v>
      </c>
      <c r="AJ64" s="575" t="e">
        <f t="shared" ca="1" si="2"/>
        <v>#NAME?</v>
      </c>
    </row>
    <row r="65" spans="14:36" x14ac:dyDescent="0.2">
      <c r="AF65" s="562" t="e">
        <f ca="1">_xll.qlCalendarAdvance(Calendar,AF64,"1d","mf",,Trigger)</f>
        <v>#NAME?</v>
      </c>
      <c r="AG65" s="578" t="e">
        <f ca="1">_xll.qlDayCounterYearFraction(DayCounter,SettlementDate,AF65,,,Trigger)</f>
        <v>#NAME?</v>
      </c>
      <c r="AH65" s="575" t="e">
        <f t="shared" ca="1" si="0"/>
        <v>#NAME?</v>
      </c>
      <c r="AI65" s="575" t="e">
        <f t="shared" ca="1" si="1"/>
        <v>#NAME?</v>
      </c>
      <c r="AJ65" s="575" t="e">
        <f t="shared" ca="1" si="2"/>
        <v>#NAME?</v>
      </c>
    </row>
    <row r="66" spans="14:36" x14ac:dyDescent="0.2">
      <c r="N66" s="749"/>
      <c r="AF66" s="562" t="e">
        <f ca="1">_xll.qlCalendarAdvance(Calendar,AF65,"1d","mf",,Trigger)</f>
        <v>#NAME?</v>
      </c>
      <c r="AG66" s="578" t="e">
        <f ca="1">_xll.qlDayCounterYearFraction(DayCounter,SettlementDate,AF66,,,Trigger)</f>
        <v>#NAME?</v>
      </c>
      <c r="AH66" s="575" t="e">
        <f t="shared" ca="1" si="0"/>
        <v>#NAME?</v>
      </c>
      <c r="AI66" s="575" t="e">
        <f t="shared" ca="1" si="1"/>
        <v>#NAME?</v>
      </c>
      <c r="AJ66" s="575" t="e">
        <f t="shared" ca="1" si="2"/>
        <v>#NAME?</v>
      </c>
    </row>
    <row r="67" spans="14:36" x14ac:dyDescent="0.2">
      <c r="N67" s="749"/>
      <c r="AF67" s="562" t="e">
        <f ca="1">_xll.qlCalendarAdvance(Calendar,AF66,"1d","mf",,Trigger)</f>
        <v>#NAME?</v>
      </c>
      <c r="AG67" s="578" t="e">
        <f ca="1">_xll.qlDayCounterYearFraction(DayCounter,SettlementDate,AF67,,,Trigger)</f>
        <v>#NAME?</v>
      </c>
      <c r="AH67" s="575" t="e">
        <f t="shared" ref="AH67:AH130" ca="1" si="9">$W$13</f>
        <v>#NAME?</v>
      </c>
      <c r="AI67" s="575" t="e">
        <f t="shared" ref="AI67:AI130" ca="1" si="10">$W$10+$W$9*AG67</f>
        <v>#NAME?</v>
      </c>
      <c r="AJ67" s="575" t="e">
        <f t="shared" ref="AJ67:AJ130" ca="1" si="11">($W$5+$W$4*AG67+$W$3*AG67^2)</f>
        <v>#NAME?</v>
      </c>
    </row>
    <row r="68" spans="14:36" x14ac:dyDescent="0.2">
      <c r="N68" s="749"/>
      <c r="AF68" s="562" t="e">
        <f ca="1">_xll.qlCalendarAdvance(Calendar,AF67,"1d","mf",,Trigger)</f>
        <v>#NAME?</v>
      </c>
      <c r="AG68" s="578" t="e">
        <f ca="1">_xll.qlDayCounterYearFraction(DayCounter,SettlementDate,AF68,,,Trigger)</f>
        <v>#NAME?</v>
      </c>
      <c r="AH68" s="575" t="e">
        <f t="shared" ca="1" si="9"/>
        <v>#NAME?</v>
      </c>
      <c r="AI68" s="575" t="e">
        <f t="shared" ca="1" si="10"/>
        <v>#NAME?</v>
      </c>
      <c r="AJ68" s="575" t="e">
        <f t="shared" ca="1" si="11"/>
        <v>#NAME?</v>
      </c>
    </row>
    <row r="69" spans="14:36" x14ac:dyDescent="0.2">
      <c r="N69" s="749"/>
      <c r="AF69" s="562" t="e">
        <f ca="1">_xll.qlCalendarAdvance(Calendar,AF68,"1d","mf",,Trigger)</f>
        <v>#NAME?</v>
      </c>
      <c r="AG69" s="578" t="e">
        <f ca="1">_xll.qlDayCounterYearFraction(DayCounter,SettlementDate,AF69,,,Trigger)</f>
        <v>#NAME?</v>
      </c>
      <c r="AH69" s="575" t="e">
        <f t="shared" ca="1" si="9"/>
        <v>#NAME?</v>
      </c>
      <c r="AI69" s="575" t="e">
        <f t="shared" ca="1" si="10"/>
        <v>#NAME?</v>
      </c>
      <c r="AJ69" s="575" t="e">
        <f t="shared" ca="1" si="11"/>
        <v>#NAME?</v>
      </c>
    </row>
    <row r="70" spans="14:36" x14ac:dyDescent="0.2">
      <c r="N70" s="749"/>
      <c r="AF70" s="562" t="e">
        <f ca="1">_xll.qlCalendarAdvance(Calendar,AF69,"1d","mf",,Trigger)</f>
        <v>#NAME?</v>
      </c>
      <c r="AG70" s="578" t="e">
        <f ca="1">_xll.qlDayCounterYearFraction(DayCounter,SettlementDate,AF70,,,Trigger)</f>
        <v>#NAME?</v>
      </c>
      <c r="AH70" s="575" t="e">
        <f t="shared" ca="1" si="9"/>
        <v>#NAME?</v>
      </c>
      <c r="AI70" s="575" t="e">
        <f t="shared" ca="1" si="10"/>
        <v>#NAME?</v>
      </c>
      <c r="AJ70" s="575" t="e">
        <f t="shared" ca="1" si="11"/>
        <v>#NAME?</v>
      </c>
    </row>
    <row r="71" spans="14:36" x14ac:dyDescent="0.2">
      <c r="N71" s="749"/>
      <c r="AF71" s="562" t="e">
        <f ca="1">_xll.qlCalendarAdvance(Calendar,AF70,"1d","mf",,Trigger)</f>
        <v>#NAME?</v>
      </c>
      <c r="AG71" s="578" t="e">
        <f ca="1">_xll.qlDayCounterYearFraction(DayCounter,SettlementDate,AF71,,,Trigger)</f>
        <v>#NAME?</v>
      </c>
      <c r="AH71" s="575" t="e">
        <f t="shared" ca="1" si="9"/>
        <v>#NAME?</v>
      </c>
      <c r="AI71" s="575" t="e">
        <f t="shared" ca="1" si="10"/>
        <v>#NAME?</v>
      </c>
      <c r="AJ71" s="575" t="e">
        <f t="shared" ca="1" si="11"/>
        <v>#NAME?</v>
      </c>
    </row>
    <row r="72" spans="14:36" x14ac:dyDescent="0.2">
      <c r="N72" s="749"/>
      <c r="O72" s="749"/>
      <c r="AF72" s="562" t="e">
        <f ca="1">_xll.qlCalendarAdvance(Calendar,AF71,"1d","mf",,Trigger)</f>
        <v>#NAME?</v>
      </c>
      <c r="AG72" s="578" t="e">
        <f ca="1">_xll.qlDayCounterYearFraction(DayCounter,SettlementDate,AF72,,,Trigger)</f>
        <v>#NAME?</v>
      </c>
      <c r="AH72" s="575" t="e">
        <f t="shared" ca="1" si="9"/>
        <v>#NAME?</v>
      </c>
      <c r="AI72" s="575" t="e">
        <f t="shared" ca="1" si="10"/>
        <v>#NAME?</v>
      </c>
      <c r="AJ72" s="575" t="e">
        <f t="shared" ca="1" si="11"/>
        <v>#NAME?</v>
      </c>
    </row>
    <row r="73" spans="14:36" x14ac:dyDescent="0.2">
      <c r="N73" s="749"/>
      <c r="O73" s="749"/>
      <c r="AF73" s="562" t="e">
        <f ca="1">_xll.qlCalendarAdvance(Calendar,AF72,"1d","mf",,Trigger)</f>
        <v>#NAME?</v>
      </c>
      <c r="AG73" s="578" t="e">
        <f ca="1">_xll.qlDayCounterYearFraction(DayCounter,SettlementDate,AF73,,,Trigger)</f>
        <v>#NAME?</v>
      </c>
      <c r="AH73" s="575" t="e">
        <f t="shared" ca="1" si="9"/>
        <v>#NAME?</v>
      </c>
      <c r="AI73" s="575" t="e">
        <f t="shared" ca="1" si="10"/>
        <v>#NAME?</v>
      </c>
      <c r="AJ73" s="575" t="e">
        <f t="shared" ca="1" si="11"/>
        <v>#NAME?</v>
      </c>
    </row>
    <row r="74" spans="14:36" x14ac:dyDescent="0.2">
      <c r="N74" s="749"/>
      <c r="O74" s="749"/>
      <c r="AF74" s="562" t="e">
        <f ca="1">_xll.qlCalendarAdvance(Calendar,AF73,"1d","mf",,Trigger)</f>
        <v>#NAME?</v>
      </c>
      <c r="AG74" s="578" t="e">
        <f ca="1">_xll.qlDayCounterYearFraction(DayCounter,SettlementDate,AF74,,,Trigger)</f>
        <v>#NAME?</v>
      </c>
      <c r="AH74" s="575" t="e">
        <f t="shared" ca="1" si="9"/>
        <v>#NAME?</v>
      </c>
      <c r="AI74" s="575" t="e">
        <f t="shared" ca="1" si="10"/>
        <v>#NAME?</v>
      </c>
      <c r="AJ74" s="575" t="e">
        <f t="shared" ca="1" si="11"/>
        <v>#NAME?</v>
      </c>
    </row>
    <row r="75" spans="14:36" x14ac:dyDescent="0.2">
      <c r="N75" s="749"/>
      <c r="O75" s="749"/>
      <c r="AF75" s="562" t="e">
        <f ca="1">_xll.qlCalendarAdvance(Calendar,AF74,"1d","mf",,Trigger)</f>
        <v>#NAME?</v>
      </c>
      <c r="AG75" s="578" t="e">
        <f ca="1">_xll.qlDayCounterYearFraction(DayCounter,SettlementDate,AF75,,,Trigger)</f>
        <v>#NAME?</v>
      </c>
      <c r="AH75" s="575" t="e">
        <f t="shared" ca="1" si="9"/>
        <v>#NAME?</v>
      </c>
      <c r="AI75" s="575" t="e">
        <f t="shared" ca="1" si="10"/>
        <v>#NAME?</v>
      </c>
      <c r="AJ75" s="575" t="e">
        <f t="shared" ca="1" si="11"/>
        <v>#NAME?</v>
      </c>
    </row>
    <row r="76" spans="14:36" x14ac:dyDescent="0.2">
      <c r="N76" s="749"/>
      <c r="O76" s="749"/>
      <c r="AF76" s="562" t="e">
        <f ca="1">_xll.qlCalendarAdvance(Calendar,AF75,"1d","mf",,Trigger)</f>
        <v>#NAME?</v>
      </c>
      <c r="AG76" s="578" t="e">
        <f ca="1">_xll.qlDayCounterYearFraction(DayCounter,SettlementDate,AF76,,,Trigger)</f>
        <v>#NAME?</v>
      </c>
      <c r="AH76" s="575" t="e">
        <f t="shared" ca="1" si="9"/>
        <v>#NAME?</v>
      </c>
      <c r="AI76" s="575" t="e">
        <f t="shared" ca="1" si="10"/>
        <v>#NAME?</v>
      </c>
      <c r="AJ76" s="575" t="e">
        <f t="shared" ca="1" si="11"/>
        <v>#NAME?</v>
      </c>
    </row>
    <row r="77" spans="14:36" x14ac:dyDescent="0.2">
      <c r="N77" s="749"/>
      <c r="O77" s="749"/>
      <c r="AF77" s="562" t="e">
        <f ca="1">_xll.qlCalendarAdvance(Calendar,AF76,"1d","mf",,Trigger)</f>
        <v>#NAME?</v>
      </c>
      <c r="AG77" s="578" t="e">
        <f ca="1">_xll.qlDayCounterYearFraction(DayCounter,SettlementDate,AF77,,,Trigger)</f>
        <v>#NAME?</v>
      </c>
      <c r="AH77" s="575" t="e">
        <f t="shared" ca="1" si="9"/>
        <v>#NAME?</v>
      </c>
      <c r="AI77" s="575" t="e">
        <f t="shared" ca="1" si="10"/>
        <v>#NAME?</v>
      </c>
      <c r="AJ77" s="575" t="e">
        <f t="shared" ca="1" si="11"/>
        <v>#NAME?</v>
      </c>
    </row>
    <row r="78" spans="14:36" x14ac:dyDescent="0.2">
      <c r="N78" s="749"/>
      <c r="O78" s="749"/>
      <c r="AF78" s="562" t="e">
        <f ca="1">_xll.qlCalendarAdvance(Calendar,AF77,"1d","mf",,Trigger)</f>
        <v>#NAME?</v>
      </c>
      <c r="AG78" s="578" t="e">
        <f ca="1">_xll.qlDayCounterYearFraction(DayCounter,SettlementDate,AF78,,,Trigger)</f>
        <v>#NAME?</v>
      </c>
      <c r="AH78" s="575" t="e">
        <f t="shared" ca="1" si="9"/>
        <v>#NAME?</v>
      </c>
      <c r="AI78" s="575" t="e">
        <f t="shared" ca="1" si="10"/>
        <v>#NAME?</v>
      </c>
      <c r="AJ78" s="575" t="e">
        <f t="shared" ca="1" si="11"/>
        <v>#NAME?</v>
      </c>
    </row>
    <row r="79" spans="14:36" x14ac:dyDescent="0.2">
      <c r="N79" s="749"/>
      <c r="O79" s="749"/>
      <c r="AF79" s="562" t="e">
        <f ca="1">_xll.qlCalendarAdvance(Calendar,AF78,"1d","mf",,Trigger)</f>
        <v>#NAME?</v>
      </c>
      <c r="AG79" s="578" t="e">
        <f ca="1">_xll.qlDayCounterYearFraction(DayCounter,SettlementDate,AF79,,,Trigger)</f>
        <v>#NAME?</v>
      </c>
      <c r="AH79" s="575" t="e">
        <f t="shared" ca="1" si="9"/>
        <v>#NAME?</v>
      </c>
      <c r="AI79" s="575" t="e">
        <f t="shared" ca="1" si="10"/>
        <v>#NAME?</v>
      </c>
      <c r="AJ79" s="575" t="e">
        <f t="shared" ca="1" si="11"/>
        <v>#NAME?</v>
      </c>
    </row>
    <row r="80" spans="14:36" x14ac:dyDescent="0.2">
      <c r="N80" s="749"/>
      <c r="O80" s="749"/>
      <c r="AF80" s="562" t="e">
        <f ca="1">_xll.qlCalendarAdvance(Calendar,AF79,"1d","mf",,Trigger)</f>
        <v>#NAME?</v>
      </c>
      <c r="AG80" s="578" t="e">
        <f ca="1">_xll.qlDayCounterYearFraction(DayCounter,SettlementDate,AF80,,,Trigger)</f>
        <v>#NAME?</v>
      </c>
      <c r="AH80" s="575" t="e">
        <f t="shared" ca="1" si="9"/>
        <v>#NAME?</v>
      </c>
      <c r="AI80" s="575" t="e">
        <f t="shared" ca="1" si="10"/>
        <v>#NAME?</v>
      </c>
      <c r="AJ80" s="575" t="e">
        <f t="shared" ca="1" si="11"/>
        <v>#NAME?</v>
      </c>
    </row>
    <row r="81" spans="14:36" x14ac:dyDescent="0.2">
      <c r="N81" s="749"/>
      <c r="O81" s="749"/>
      <c r="AF81" s="562" t="e">
        <f ca="1">_xll.qlCalendarAdvance(Calendar,AF80,"1d","mf",,Trigger)</f>
        <v>#NAME?</v>
      </c>
      <c r="AG81" s="578" t="e">
        <f ca="1">_xll.qlDayCounterYearFraction(DayCounter,SettlementDate,AF81,,,Trigger)</f>
        <v>#NAME?</v>
      </c>
      <c r="AH81" s="575" t="e">
        <f t="shared" ca="1" si="9"/>
        <v>#NAME?</v>
      </c>
      <c r="AI81" s="575" t="e">
        <f t="shared" ca="1" si="10"/>
        <v>#NAME?</v>
      </c>
      <c r="AJ81" s="575" t="e">
        <f t="shared" ca="1" si="11"/>
        <v>#NAME?</v>
      </c>
    </row>
    <row r="82" spans="14:36" x14ac:dyDescent="0.2">
      <c r="N82" s="749"/>
      <c r="O82" s="749"/>
      <c r="AF82" s="562" t="e">
        <f ca="1">_xll.qlCalendarAdvance(Calendar,AF81,"1d","mf",,Trigger)</f>
        <v>#NAME?</v>
      </c>
      <c r="AG82" s="578" t="e">
        <f ca="1">_xll.qlDayCounterYearFraction(DayCounter,SettlementDate,AF82,,,Trigger)</f>
        <v>#NAME?</v>
      </c>
      <c r="AH82" s="575" t="e">
        <f t="shared" ca="1" si="9"/>
        <v>#NAME?</v>
      </c>
      <c r="AI82" s="575" t="e">
        <f t="shared" ca="1" si="10"/>
        <v>#NAME?</v>
      </c>
      <c r="AJ82" s="575" t="e">
        <f t="shared" ca="1" si="11"/>
        <v>#NAME?</v>
      </c>
    </row>
    <row r="83" spans="14:36" x14ac:dyDescent="0.2">
      <c r="N83" s="749"/>
      <c r="O83" s="749"/>
      <c r="AF83" s="562" t="e">
        <f ca="1">_xll.qlCalendarAdvance(Calendar,AF82,"1d","mf",,Trigger)</f>
        <v>#NAME?</v>
      </c>
      <c r="AG83" s="578" t="e">
        <f ca="1">_xll.qlDayCounterYearFraction(DayCounter,SettlementDate,AF83,,,Trigger)</f>
        <v>#NAME?</v>
      </c>
      <c r="AH83" s="575" t="e">
        <f t="shared" ca="1" si="9"/>
        <v>#NAME?</v>
      </c>
      <c r="AI83" s="575" t="e">
        <f t="shared" ca="1" si="10"/>
        <v>#NAME?</v>
      </c>
      <c r="AJ83" s="575" t="e">
        <f t="shared" ca="1" si="11"/>
        <v>#NAME?</v>
      </c>
    </row>
    <row r="84" spans="14:36" x14ac:dyDescent="0.2">
      <c r="N84" s="749"/>
      <c r="O84" s="749"/>
      <c r="AF84" s="562" t="e">
        <f ca="1">_xll.qlCalendarAdvance(Calendar,AF83,"1d","mf",,Trigger)</f>
        <v>#NAME?</v>
      </c>
      <c r="AG84" s="578" t="e">
        <f ca="1">_xll.qlDayCounterYearFraction(DayCounter,SettlementDate,AF84,,,Trigger)</f>
        <v>#NAME?</v>
      </c>
      <c r="AH84" s="575" t="e">
        <f t="shared" ca="1" si="9"/>
        <v>#NAME?</v>
      </c>
      <c r="AI84" s="575" t="e">
        <f t="shared" ca="1" si="10"/>
        <v>#NAME?</v>
      </c>
      <c r="AJ84" s="575" t="e">
        <f t="shared" ca="1" si="11"/>
        <v>#NAME?</v>
      </c>
    </row>
    <row r="85" spans="14:36" x14ac:dyDescent="0.2">
      <c r="N85" s="749"/>
      <c r="O85" s="749"/>
      <c r="AF85" s="562" t="e">
        <f ca="1">_xll.qlCalendarAdvance(Calendar,AF84,"1d","mf",,Trigger)</f>
        <v>#NAME?</v>
      </c>
      <c r="AG85" s="578" t="e">
        <f ca="1">_xll.qlDayCounterYearFraction(DayCounter,SettlementDate,AF85,,,Trigger)</f>
        <v>#NAME?</v>
      </c>
      <c r="AH85" s="575" t="e">
        <f t="shared" ca="1" si="9"/>
        <v>#NAME?</v>
      </c>
      <c r="AI85" s="575" t="e">
        <f t="shared" ca="1" si="10"/>
        <v>#NAME?</v>
      </c>
      <c r="AJ85" s="575" t="e">
        <f t="shared" ca="1" si="11"/>
        <v>#NAME?</v>
      </c>
    </row>
    <row r="86" spans="14:36" x14ac:dyDescent="0.2">
      <c r="N86" s="749"/>
      <c r="O86" s="749"/>
      <c r="AF86" s="562" t="e">
        <f ca="1">_xll.qlCalendarAdvance(Calendar,AF85,"1d","mf",,Trigger)</f>
        <v>#NAME?</v>
      </c>
      <c r="AG86" s="578" t="e">
        <f ca="1">_xll.qlDayCounterYearFraction(DayCounter,SettlementDate,AF86,,,Trigger)</f>
        <v>#NAME?</v>
      </c>
      <c r="AH86" s="575" t="e">
        <f t="shared" ca="1" si="9"/>
        <v>#NAME?</v>
      </c>
      <c r="AI86" s="575" t="e">
        <f t="shared" ca="1" si="10"/>
        <v>#NAME?</v>
      </c>
      <c r="AJ86" s="575" t="e">
        <f t="shared" ca="1" si="11"/>
        <v>#NAME?</v>
      </c>
    </row>
    <row r="87" spans="14:36" x14ac:dyDescent="0.2">
      <c r="N87" s="749"/>
      <c r="O87" s="749"/>
      <c r="AF87" s="562" t="e">
        <f ca="1">_xll.qlCalendarAdvance(Calendar,AF86,"1d","mf",,Trigger)</f>
        <v>#NAME?</v>
      </c>
      <c r="AG87" s="578" t="e">
        <f ca="1">_xll.qlDayCounterYearFraction(DayCounter,SettlementDate,AF87,,,Trigger)</f>
        <v>#NAME?</v>
      </c>
      <c r="AH87" s="575" t="e">
        <f t="shared" ca="1" si="9"/>
        <v>#NAME?</v>
      </c>
      <c r="AI87" s="575" t="e">
        <f t="shared" ca="1" si="10"/>
        <v>#NAME?</v>
      </c>
      <c r="AJ87" s="575" t="e">
        <f t="shared" ca="1" si="11"/>
        <v>#NAME?</v>
      </c>
    </row>
    <row r="88" spans="14:36" x14ac:dyDescent="0.2">
      <c r="N88" s="749"/>
      <c r="O88" s="749"/>
      <c r="AF88" s="562" t="e">
        <f ca="1">_xll.qlCalendarAdvance(Calendar,AF87,"1d","mf",,Trigger)</f>
        <v>#NAME?</v>
      </c>
      <c r="AG88" s="578" t="e">
        <f ca="1">_xll.qlDayCounterYearFraction(DayCounter,SettlementDate,AF88,,,Trigger)</f>
        <v>#NAME?</v>
      </c>
      <c r="AH88" s="575" t="e">
        <f t="shared" ca="1" si="9"/>
        <v>#NAME?</v>
      </c>
      <c r="AI88" s="575" t="e">
        <f t="shared" ca="1" si="10"/>
        <v>#NAME?</v>
      </c>
      <c r="AJ88" s="575" t="e">
        <f t="shared" ca="1" si="11"/>
        <v>#NAME?</v>
      </c>
    </row>
    <row r="89" spans="14:36" x14ac:dyDescent="0.2">
      <c r="N89" s="749"/>
      <c r="O89" s="749"/>
      <c r="AF89" s="562" t="e">
        <f ca="1">_xll.qlCalendarAdvance(Calendar,AF88,"1d","mf",,Trigger)</f>
        <v>#NAME?</v>
      </c>
      <c r="AG89" s="578" t="e">
        <f ca="1">_xll.qlDayCounterYearFraction(DayCounter,SettlementDate,AF89,,,Trigger)</f>
        <v>#NAME?</v>
      </c>
      <c r="AH89" s="575" t="e">
        <f t="shared" ca="1" si="9"/>
        <v>#NAME?</v>
      </c>
      <c r="AI89" s="575" t="e">
        <f t="shared" ca="1" si="10"/>
        <v>#NAME?</v>
      </c>
      <c r="AJ89" s="575" t="e">
        <f t="shared" ca="1" si="11"/>
        <v>#NAME?</v>
      </c>
    </row>
    <row r="90" spans="14:36" x14ac:dyDescent="0.2">
      <c r="N90" s="749"/>
      <c r="O90" s="749"/>
      <c r="AF90" s="562" t="e">
        <f ca="1">_xll.qlCalendarAdvance(Calendar,AF89,"1d","mf",,Trigger)</f>
        <v>#NAME?</v>
      </c>
      <c r="AG90" s="578" t="e">
        <f ca="1">_xll.qlDayCounterYearFraction(DayCounter,SettlementDate,AF90,,,Trigger)</f>
        <v>#NAME?</v>
      </c>
      <c r="AH90" s="575" t="e">
        <f t="shared" ca="1" si="9"/>
        <v>#NAME?</v>
      </c>
      <c r="AI90" s="575" t="e">
        <f t="shared" ca="1" si="10"/>
        <v>#NAME?</v>
      </c>
      <c r="AJ90" s="575" t="e">
        <f t="shared" ca="1" si="11"/>
        <v>#NAME?</v>
      </c>
    </row>
    <row r="91" spans="14:36" x14ac:dyDescent="0.2">
      <c r="N91" s="749"/>
      <c r="O91" s="749"/>
      <c r="AF91" s="562" t="e">
        <f ca="1">_xll.qlCalendarAdvance(Calendar,AF90,"1d","mf",,Trigger)</f>
        <v>#NAME?</v>
      </c>
      <c r="AG91" s="578" t="e">
        <f ca="1">_xll.qlDayCounterYearFraction(DayCounter,SettlementDate,AF91,,,Trigger)</f>
        <v>#NAME?</v>
      </c>
      <c r="AH91" s="575" t="e">
        <f t="shared" ca="1" si="9"/>
        <v>#NAME?</v>
      </c>
      <c r="AI91" s="575" t="e">
        <f t="shared" ca="1" si="10"/>
        <v>#NAME?</v>
      </c>
      <c r="AJ91" s="575" t="e">
        <f t="shared" ca="1" si="11"/>
        <v>#NAME?</v>
      </c>
    </row>
    <row r="92" spans="14:36" x14ac:dyDescent="0.2">
      <c r="N92" s="749"/>
      <c r="O92" s="749"/>
      <c r="AF92" s="562" t="e">
        <f ca="1">_xll.qlCalendarAdvance(Calendar,AF91,"1d","mf",,Trigger)</f>
        <v>#NAME?</v>
      </c>
      <c r="AG92" s="578" t="e">
        <f ca="1">_xll.qlDayCounterYearFraction(DayCounter,SettlementDate,AF92,,,Trigger)</f>
        <v>#NAME?</v>
      </c>
      <c r="AH92" s="575" t="e">
        <f t="shared" ca="1" si="9"/>
        <v>#NAME?</v>
      </c>
      <c r="AI92" s="575" t="e">
        <f t="shared" ca="1" si="10"/>
        <v>#NAME?</v>
      </c>
      <c r="AJ92" s="575" t="e">
        <f t="shared" ca="1" si="11"/>
        <v>#NAME?</v>
      </c>
    </row>
    <row r="93" spans="14:36" x14ac:dyDescent="0.2">
      <c r="N93" s="749"/>
      <c r="O93" s="749"/>
      <c r="AF93" s="562" t="e">
        <f ca="1">_xll.qlCalendarAdvance(Calendar,AF92,"1d","mf",,Trigger)</f>
        <v>#NAME?</v>
      </c>
      <c r="AG93" s="578" t="e">
        <f ca="1">_xll.qlDayCounterYearFraction(DayCounter,SettlementDate,AF93,,,Trigger)</f>
        <v>#NAME?</v>
      </c>
      <c r="AH93" s="575" t="e">
        <f t="shared" ca="1" si="9"/>
        <v>#NAME?</v>
      </c>
      <c r="AI93" s="575" t="e">
        <f t="shared" ca="1" si="10"/>
        <v>#NAME?</v>
      </c>
      <c r="AJ93" s="575" t="e">
        <f t="shared" ca="1" si="11"/>
        <v>#NAME?</v>
      </c>
    </row>
    <row r="94" spans="14:36" x14ac:dyDescent="0.2">
      <c r="N94" s="749"/>
      <c r="O94" s="749"/>
      <c r="AF94" s="562" t="e">
        <f ca="1">_xll.qlCalendarAdvance(Calendar,AF93,"1d","mf",,Trigger)</f>
        <v>#NAME?</v>
      </c>
      <c r="AG94" s="578" t="e">
        <f ca="1">_xll.qlDayCounterYearFraction(DayCounter,SettlementDate,AF94,,,Trigger)</f>
        <v>#NAME?</v>
      </c>
      <c r="AH94" s="575" t="e">
        <f t="shared" ca="1" si="9"/>
        <v>#NAME?</v>
      </c>
      <c r="AI94" s="575" t="e">
        <f t="shared" ca="1" si="10"/>
        <v>#NAME?</v>
      </c>
      <c r="AJ94" s="575" t="e">
        <f t="shared" ca="1" si="11"/>
        <v>#NAME?</v>
      </c>
    </row>
    <row r="95" spans="14:36" x14ac:dyDescent="0.2">
      <c r="N95" s="749"/>
      <c r="O95" s="749"/>
      <c r="AF95" s="562" t="e">
        <f ca="1">_xll.qlCalendarAdvance(Calendar,AF94,"1d","mf",,Trigger)</f>
        <v>#NAME?</v>
      </c>
      <c r="AG95" s="578" t="e">
        <f ca="1">_xll.qlDayCounterYearFraction(DayCounter,SettlementDate,AF95,,,Trigger)</f>
        <v>#NAME?</v>
      </c>
      <c r="AH95" s="575" t="e">
        <f t="shared" ca="1" si="9"/>
        <v>#NAME?</v>
      </c>
      <c r="AI95" s="575" t="e">
        <f t="shared" ca="1" si="10"/>
        <v>#NAME?</v>
      </c>
      <c r="AJ95" s="575" t="e">
        <f t="shared" ca="1" si="11"/>
        <v>#NAME?</v>
      </c>
    </row>
    <row r="96" spans="14:36" x14ac:dyDescent="0.2">
      <c r="N96" s="749"/>
      <c r="O96" s="749"/>
      <c r="AF96" s="562" t="e">
        <f ca="1">_xll.qlCalendarAdvance(Calendar,AF95,"1d","mf",,Trigger)</f>
        <v>#NAME?</v>
      </c>
      <c r="AG96" s="578" t="e">
        <f ca="1">_xll.qlDayCounterYearFraction(DayCounter,SettlementDate,AF96,,,Trigger)</f>
        <v>#NAME?</v>
      </c>
      <c r="AH96" s="575" t="e">
        <f t="shared" ca="1" si="9"/>
        <v>#NAME?</v>
      </c>
      <c r="AI96" s="575" t="e">
        <f t="shared" ca="1" si="10"/>
        <v>#NAME?</v>
      </c>
      <c r="AJ96" s="575" t="e">
        <f t="shared" ca="1" si="11"/>
        <v>#NAME?</v>
      </c>
    </row>
    <row r="97" spans="14:36" x14ac:dyDescent="0.2">
      <c r="N97" s="749"/>
      <c r="O97" s="749"/>
      <c r="AF97" s="562" t="e">
        <f ca="1">_xll.qlCalendarAdvance(Calendar,AF96,"1d","mf",,Trigger)</f>
        <v>#NAME?</v>
      </c>
      <c r="AG97" s="578" t="e">
        <f ca="1">_xll.qlDayCounterYearFraction(DayCounter,SettlementDate,AF97,,,Trigger)</f>
        <v>#NAME?</v>
      </c>
      <c r="AH97" s="575" t="e">
        <f t="shared" ca="1" si="9"/>
        <v>#NAME?</v>
      </c>
      <c r="AI97" s="575" t="e">
        <f t="shared" ca="1" si="10"/>
        <v>#NAME?</v>
      </c>
      <c r="AJ97" s="575" t="e">
        <f t="shared" ca="1" si="11"/>
        <v>#NAME?</v>
      </c>
    </row>
    <row r="98" spans="14:36" x14ac:dyDescent="0.2">
      <c r="N98" s="749"/>
      <c r="O98" s="749"/>
      <c r="AF98" s="562" t="e">
        <f ca="1">_xll.qlCalendarAdvance(Calendar,AF97,"1d","mf",,Trigger)</f>
        <v>#NAME?</v>
      </c>
      <c r="AG98" s="578" t="e">
        <f ca="1">_xll.qlDayCounterYearFraction(DayCounter,SettlementDate,AF98,,,Trigger)</f>
        <v>#NAME?</v>
      </c>
      <c r="AH98" s="575" t="e">
        <f t="shared" ca="1" si="9"/>
        <v>#NAME?</v>
      </c>
      <c r="AI98" s="575" t="e">
        <f t="shared" ca="1" si="10"/>
        <v>#NAME?</v>
      </c>
      <c r="AJ98" s="575" t="e">
        <f t="shared" ca="1" si="11"/>
        <v>#NAME?</v>
      </c>
    </row>
    <row r="99" spans="14:36" x14ac:dyDescent="0.2">
      <c r="N99" s="749"/>
      <c r="O99" s="749"/>
      <c r="AF99" s="562" t="e">
        <f ca="1">_xll.qlCalendarAdvance(Calendar,AF98,"1d","mf",,Trigger)</f>
        <v>#NAME?</v>
      </c>
      <c r="AG99" s="578" t="e">
        <f ca="1">_xll.qlDayCounterYearFraction(DayCounter,SettlementDate,AF99,,,Trigger)</f>
        <v>#NAME?</v>
      </c>
      <c r="AH99" s="575" t="e">
        <f t="shared" ca="1" si="9"/>
        <v>#NAME?</v>
      </c>
      <c r="AI99" s="575" t="e">
        <f t="shared" ca="1" si="10"/>
        <v>#NAME?</v>
      </c>
      <c r="AJ99" s="575" t="e">
        <f t="shared" ca="1" si="11"/>
        <v>#NAME?</v>
      </c>
    </row>
    <row r="100" spans="14:36" x14ac:dyDescent="0.2">
      <c r="N100" s="749"/>
      <c r="O100" s="749"/>
      <c r="AF100" s="562" t="e">
        <f ca="1">_xll.qlCalendarAdvance(Calendar,AF99,"1d","mf",,Trigger)</f>
        <v>#NAME?</v>
      </c>
      <c r="AG100" s="578" t="e">
        <f ca="1">_xll.qlDayCounterYearFraction(DayCounter,SettlementDate,AF100,,,Trigger)</f>
        <v>#NAME?</v>
      </c>
      <c r="AH100" s="575" t="e">
        <f t="shared" ca="1" si="9"/>
        <v>#NAME?</v>
      </c>
      <c r="AI100" s="575" t="e">
        <f t="shared" ca="1" si="10"/>
        <v>#NAME?</v>
      </c>
      <c r="AJ100" s="575" t="e">
        <f t="shared" ca="1" si="11"/>
        <v>#NAME?</v>
      </c>
    </row>
    <row r="101" spans="14:36" x14ac:dyDescent="0.2">
      <c r="N101" s="749"/>
      <c r="O101" s="749"/>
      <c r="AF101" s="562" t="e">
        <f ca="1">_xll.qlCalendarAdvance(Calendar,AF100,"1d","mf",,Trigger)</f>
        <v>#NAME?</v>
      </c>
      <c r="AG101" s="578" t="e">
        <f ca="1">_xll.qlDayCounterYearFraction(DayCounter,SettlementDate,AF101,,,Trigger)</f>
        <v>#NAME?</v>
      </c>
      <c r="AH101" s="575" t="e">
        <f t="shared" ca="1" si="9"/>
        <v>#NAME?</v>
      </c>
      <c r="AI101" s="575" t="e">
        <f t="shared" ca="1" si="10"/>
        <v>#NAME?</v>
      </c>
      <c r="AJ101" s="575" t="e">
        <f t="shared" ca="1" si="11"/>
        <v>#NAME?</v>
      </c>
    </row>
    <row r="102" spans="14:36" x14ac:dyDescent="0.2">
      <c r="N102" s="749"/>
      <c r="O102" s="749"/>
      <c r="AF102" s="562" t="e">
        <f ca="1">_xll.qlCalendarAdvance(Calendar,AF101,"1d","mf",,Trigger)</f>
        <v>#NAME?</v>
      </c>
      <c r="AG102" s="578" t="e">
        <f ca="1">_xll.qlDayCounterYearFraction(DayCounter,SettlementDate,AF102,,,Trigger)</f>
        <v>#NAME?</v>
      </c>
      <c r="AH102" s="575" t="e">
        <f t="shared" ca="1" si="9"/>
        <v>#NAME?</v>
      </c>
      <c r="AI102" s="575" t="e">
        <f t="shared" ca="1" si="10"/>
        <v>#NAME?</v>
      </c>
      <c r="AJ102" s="575" t="e">
        <f t="shared" ca="1" si="11"/>
        <v>#NAME?</v>
      </c>
    </row>
    <row r="103" spans="14:36" x14ac:dyDescent="0.2">
      <c r="N103" s="749"/>
      <c r="O103" s="749"/>
      <c r="AF103" s="562" t="e">
        <f ca="1">_xll.qlCalendarAdvance(Calendar,AF102,"1d","mf",,Trigger)</f>
        <v>#NAME?</v>
      </c>
      <c r="AG103" s="578" t="e">
        <f ca="1">_xll.qlDayCounterYearFraction(DayCounter,SettlementDate,AF103,,,Trigger)</f>
        <v>#NAME?</v>
      </c>
      <c r="AH103" s="575" t="e">
        <f t="shared" ca="1" si="9"/>
        <v>#NAME?</v>
      </c>
      <c r="AI103" s="575" t="e">
        <f t="shared" ca="1" si="10"/>
        <v>#NAME?</v>
      </c>
      <c r="AJ103" s="575" t="e">
        <f t="shared" ca="1" si="11"/>
        <v>#NAME?</v>
      </c>
    </row>
    <row r="104" spans="14:36" x14ac:dyDescent="0.2">
      <c r="N104" s="749"/>
      <c r="O104" s="749"/>
      <c r="AF104" s="562" t="e">
        <f ca="1">_xll.qlCalendarAdvance(Calendar,AF103,"1d","mf",,Trigger)</f>
        <v>#NAME?</v>
      </c>
      <c r="AG104" s="578" t="e">
        <f ca="1">_xll.qlDayCounterYearFraction(DayCounter,SettlementDate,AF104,,,Trigger)</f>
        <v>#NAME?</v>
      </c>
      <c r="AH104" s="575" t="e">
        <f t="shared" ca="1" si="9"/>
        <v>#NAME?</v>
      </c>
      <c r="AI104" s="575" t="e">
        <f t="shared" ca="1" si="10"/>
        <v>#NAME?</v>
      </c>
      <c r="AJ104" s="575" t="e">
        <f t="shared" ca="1" si="11"/>
        <v>#NAME?</v>
      </c>
    </row>
    <row r="105" spans="14:36" x14ac:dyDescent="0.2">
      <c r="N105" s="749"/>
      <c r="O105" s="749"/>
      <c r="AF105" s="562" t="e">
        <f ca="1">_xll.qlCalendarAdvance(Calendar,AF104,"1d","mf",,Trigger)</f>
        <v>#NAME?</v>
      </c>
      <c r="AG105" s="578" t="e">
        <f ca="1">_xll.qlDayCounterYearFraction(DayCounter,SettlementDate,AF105,,,Trigger)</f>
        <v>#NAME?</v>
      </c>
      <c r="AH105" s="575" t="e">
        <f t="shared" ca="1" si="9"/>
        <v>#NAME?</v>
      </c>
      <c r="AI105" s="575" t="e">
        <f t="shared" ca="1" si="10"/>
        <v>#NAME?</v>
      </c>
      <c r="AJ105" s="575" t="e">
        <f t="shared" ca="1" si="11"/>
        <v>#NAME?</v>
      </c>
    </row>
    <row r="106" spans="14:36" x14ac:dyDescent="0.2">
      <c r="N106" s="749"/>
      <c r="O106" s="749"/>
      <c r="AF106" s="562" t="e">
        <f ca="1">_xll.qlCalendarAdvance(Calendar,AF105,"1d","mf",,Trigger)</f>
        <v>#NAME?</v>
      </c>
      <c r="AG106" s="578" t="e">
        <f ca="1">_xll.qlDayCounterYearFraction(DayCounter,SettlementDate,AF106,,,Trigger)</f>
        <v>#NAME?</v>
      </c>
      <c r="AH106" s="575" t="e">
        <f t="shared" ca="1" si="9"/>
        <v>#NAME?</v>
      </c>
      <c r="AI106" s="575" t="e">
        <f t="shared" ca="1" si="10"/>
        <v>#NAME?</v>
      </c>
      <c r="AJ106" s="575" t="e">
        <f t="shared" ca="1" si="11"/>
        <v>#NAME?</v>
      </c>
    </row>
    <row r="107" spans="14:36" x14ac:dyDescent="0.2">
      <c r="N107" s="749"/>
      <c r="O107" s="749"/>
      <c r="AF107" s="562" t="e">
        <f ca="1">_xll.qlCalendarAdvance(Calendar,AF106,"1d","mf",,Trigger)</f>
        <v>#NAME?</v>
      </c>
      <c r="AG107" s="578" t="e">
        <f ca="1">_xll.qlDayCounterYearFraction(DayCounter,SettlementDate,AF107,,,Trigger)</f>
        <v>#NAME?</v>
      </c>
      <c r="AH107" s="575" t="e">
        <f t="shared" ca="1" si="9"/>
        <v>#NAME?</v>
      </c>
      <c r="AI107" s="575" t="e">
        <f t="shared" ca="1" si="10"/>
        <v>#NAME?</v>
      </c>
      <c r="AJ107" s="575" t="e">
        <f t="shared" ca="1" si="11"/>
        <v>#NAME?</v>
      </c>
    </row>
    <row r="108" spans="14:36" x14ac:dyDescent="0.2">
      <c r="N108" s="749"/>
      <c r="O108" s="749"/>
      <c r="AF108" s="562" t="e">
        <f ca="1">_xll.qlCalendarAdvance(Calendar,AF107,"1d","mf",,Trigger)</f>
        <v>#NAME?</v>
      </c>
      <c r="AG108" s="578" t="e">
        <f ca="1">_xll.qlDayCounterYearFraction(DayCounter,SettlementDate,AF108,,,Trigger)</f>
        <v>#NAME?</v>
      </c>
      <c r="AH108" s="575" t="e">
        <f t="shared" ca="1" si="9"/>
        <v>#NAME?</v>
      </c>
      <c r="AI108" s="575" t="e">
        <f t="shared" ca="1" si="10"/>
        <v>#NAME?</v>
      </c>
      <c r="AJ108" s="575" t="e">
        <f t="shared" ca="1" si="11"/>
        <v>#NAME?</v>
      </c>
    </row>
    <row r="109" spans="14:36" x14ac:dyDescent="0.2">
      <c r="N109" s="749"/>
      <c r="O109" s="749"/>
      <c r="AF109" s="562" t="e">
        <f ca="1">_xll.qlCalendarAdvance(Calendar,AF108,"1d","mf",,Trigger)</f>
        <v>#NAME?</v>
      </c>
      <c r="AG109" s="578" t="e">
        <f ca="1">_xll.qlDayCounterYearFraction(DayCounter,SettlementDate,AF109,,,Trigger)</f>
        <v>#NAME?</v>
      </c>
      <c r="AH109" s="575" t="e">
        <f t="shared" ca="1" si="9"/>
        <v>#NAME?</v>
      </c>
      <c r="AI109" s="575" t="e">
        <f t="shared" ca="1" si="10"/>
        <v>#NAME?</v>
      </c>
      <c r="AJ109" s="575" t="e">
        <f t="shared" ca="1" si="11"/>
        <v>#NAME?</v>
      </c>
    </row>
    <row r="110" spans="14:36" x14ac:dyDescent="0.2">
      <c r="N110" s="749"/>
      <c r="O110" s="749"/>
      <c r="AF110" s="562" t="e">
        <f ca="1">_xll.qlCalendarAdvance(Calendar,AF109,"1d","mf",,Trigger)</f>
        <v>#NAME?</v>
      </c>
      <c r="AG110" s="578" t="e">
        <f ca="1">_xll.qlDayCounterYearFraction(DayCounter,SettlementDate,AF110,,,Trigger)</f>
        <v>#NAME?</v>
      </c>
      <c r="AH110" s="575" t="e">
        <f t="shared" ca="1" si="9"/>
        <v>#NAME?</v>
      </c>
      <c r="AI110" s="575" t="e">
        <f t="shared" ca="1" si="10"/>
        <v>#NAME?</v>
      </c>
      <c r="AJ110" s="575" t="e">
        <f t="shared" ca="1" si="11"/>
        <v>#NAME?</v>
      </c>
    </row>
    <row r="111" spans="14:36" x14ac:dyDescent="0.2">
      <c r="N111" s="749"/>
      <c r="O111" s="749"/>
      <c r="AF111" s="562" t="e">
        <f ca="1">_xll.qlCalendarAdvance(Calendar,AF110,"1d","mf",,Trigger)</f>
        <v>#NAME?</v>
      </c>
      <c r="AG111" s="578" t="e">
        <f ca="1">_xll.qlDayCounterYearFraction(DayCounter,SettlementDate,AF111,,,Trigger)</f>
        <v>#NAME?</v>
      </c>
      <c r="AH111" s="575" t="e">
        <f t="shared" ca="1" si="9"/>
        <v>#NAME?</v>
      </c>
      <c r="AI111" s="575" t="e">
        <f t="shared" ca="1" si="10"/>
        <v>#NAME?</v>
      </c>
      <c r="AJ111" s="575" t="e">
        <f t="shared" ca="1" si="11"/>
        <v>#NAME?</v>
      </c>
    </row>
    <row r="112" spans="14:36" x14ac:dyDescent="0.2">
      <c r="N112" s="749"/>
      <c r="O112" s="749"/>
      <c r="AF112" s="562" t="e">
        <f ca="1">_xll.qlCalendarAdvance(Calendar,AF111,"1d","mf",,Trigger)</f>
        <v>#NAME?</v>
      </c>
      <c r="AG112" s="578" t="e">
        <f ca="1">_xll.qlDayCounterYearFraction(DayCounter,SettlementDate,AF112,,,Trigger)</f>
        <v>#NAME?</v>
      </c>
      <c r="AH112" s="575" t="e">
        <f t="shared" ca="1" si="9"/>
        <v>#NAME?</v>
      </c>
      <c r="AI112" s="575" t="e">
        <f t="shared" ca="1" si="10"/>
        <v>#NAME?</v>
      </c>
      <c r="AJ112" s="575" t="e">
        <f t="shared" ca="1" si="11"/>
        <v>#NAME?</v>
      </c>
    </row>
    <row r="113" spans="14:36" x14ac:dyDescent="0.2">
      <c r="N113" s="749"/>
      <c r="O113" s="749"/>
      <c r="AF113" s="562" t="e">
        <f ca="1">_xll.qlCalendarAdvance(Calendar,AF112,"1d","mf",,Trigger)</f>
        <v>#NAME?</v>
      </c>
      <c r="AG113" s="578" t="e">
        <f ca="1">_xll.qlDayCounterYearFraction(DayCounter,SettlementDate,AF113,,,Trigger)</f>
        <v>#NAME?</v>
      </c>
      <c r="AH113" s="575" t="e">
        <f t="shared" ca="1" si="9"/>
        <v>#NAME?</v>
      </c>
      <c r="AI113" s="575" t="e">
        <f t="shared" ca="1" si="10"/>
        <v>#NAME?</v>
      </c>
      <c r="AJ113" s="575" t="e">
        <f t="shared" ca="1" si="11"/>
        <v>#NAME?</v>
      </c>
    </row>
    <row r="114" spans="14:36" x14ac:dyDescent="0.2">
      <c r="N114" s="749"/>
      <c r="O114" s="749"/>
      <c r="AF114" s="562" t="e">
        <f ca="1">_xll.qlCalendarAdvance(Calendar,AF113,"1d","mf",,Trigger)</f>
        <v>#NAME?</v>
      </c>
      <c r="AG114" s="578" t="e">
        <f ca="1">_xll.qlDayCounterYearFraction(DayCounter,SettlementDate,AF114,,,Trigger)</f>
        <v>#NAME?</v>
      </c>
      <c r="AH114" s="575" t="e">
        <f t="shared" ca="1" si="9"/>
        <v>#NAME?</v>
      </c>
      <c r="AI114" s="575" t="e">
        <f t="shared" ca="1" si="10"/>
        <v>#NAME?</v>
      </c>
      <c r="AJ114" s="575" t="e">
        <f t="shared" ca="1" si="11"/>
        <v>#NAME?</v>
      </c>
    </row>
    <row r="115" spans="14:36" x14ac:dyDescent="0.2">
      <c r="N115" s="749"/>
      <c r="O115" s="749"/>
      <c r="AF115" s="562" t="e">
        <f ca="1">_xll.qlCalendarAdvance(Calendar,AF114,"1d","mf",,Trigger)</f>
        <v>#NAME?</v>
      </c>
      <c r="AG115" s="578" t="e">
        <f ca="1">_xll.qlDayCounterYearFraction(DayCounter,SettlementDate,AF115,,,Trigger)</f>
        <v>#NAME?</v>
      </c>
      <c r="AH115" s="575" t="e">
        <f t="shared" ca="1" si="9"/>
        <v>#NAME?</v>
      </c>
      <c r="AI115" s="575" t="e">
        <f t="shared" ca="1" si="10"/>
        <v>#NAME?</v>
      </c>
      <c r="AJ115" s="575" t="e">
        <f t="shared" ca="1" si="11"/>
        <v>#NAME?</v>
      </c>
    </row>
    <row r="116" spans="14:36" x14ac:dyDescent="0.2">
      <c r="N116" s="749"/>
      <c r="O116" s="749"/>
      <c r="AF116" s="562" t="e">
        <f ca="1">_xll.qlCalendarAdvance(Calendar,AF115,"1d","mf",,Trigger)</f>
        <v>#NAME?</v>
      </c>
      <c r="AG116" s="578" t="e">
        <f ca="1">_xll.qlDayCounterYearFraction(DayCounter,SettlementDate,AF116,,,Trigger)</f>
        <v>#NAME?</v>
      </c>
      <c r="AH116" s="575" t="e">
        <f t="shared" ca="1" si="9"/>
        <v>#NAME?</v>
      </c>
      <c r="AI116" s="575" t="e">
        <f t="shared" ca="1" si="10"/>
        <v>#NAME?</v>
      </c>
      <c r="AJ116" s="575" t="e">
        <f t="shared" ca="1" si="11"/>
        <v>#NAME?</v>
      </c>
    </row>
    <row r="117" spans="14:36" x14ac:dyDescent="0.2">
      <c r="N117" s="749"/>
      <c r="O117" s="749"/>
      <c r="AF117" s="562" t="e">
        <f ca="1">_xll.qlCalendarAdvance(Calendar,AF116,"1d","mf",,Trigger)</f>
        <v>#NAME?</v>
      </c>
      <c r="AG117" s="578" t="e">
        <f ca="1">_xll.qlDayCounterYearFraction(DayCounter,SettlementDate,AF117,,,Trigger)</f>
        <v>#NAME?</v>
      </c>
      <c r="AH117" s="575" t="e">
        <f t="shared" ca="1" si="9"/>
        <v>#NAME?</v>
      </c>
      <c r="AI117" s="575" t="e">
        <f t="shared" ca="1" si="10"/>
        <v>#NAME?</v>
      </c>
      <c r="AJ117" s="575" t="e">
        <f t="shared" ca="1" si="11"/>
        <v>#NAME?</v>
      </c>
    </row>
    <row r="118" spans="14:36" x14ac:dyDescent="0.2">
      <c r="N118" s="749"/>
      <c r="O118" s="749"/>
      <c r="AF118" s="562" t="e">
        <f ca="1">_xll.qlCalendarAdvance(Calendar,AF117,"1d","mf",,Trigger)</f>
        <v>#NAME?</v>
      </c>
      <c r="AG118" s="578" t="e">
        <f ca="1">_xll.qlDayCounterYearFraction(DayCounter,SettlementDate,AF118,,,Trigger)</f>
        <v>#NAME?</v>
      </c>
      <c r="AH118" s="575" t="e">
        <f t="shared" ca="1" si="9"/>
        <v>#NAME?</v>
      </c>
      <c r="AI118" s="575" t="e">
        <f t="shared" ca="1" si="10"/>
        <v>#NAME?</v>
      </c>
      <c r="AJ118" s="575" t="e">
        <f t="shared" ca="1" si="11"/>
        <v>#NAME?</v>
      </c>
    </row>
    <row r="119" spans="14:36" x14ac:dyDescent="0.2">
      <c r="N119" s="563"/>
      <c r="O119" s="749"/>
      <c r="AF119" s="562" t="e">
        <f ca="1">_xll.qlCalendarAdvance(Calendar,AF118,"1d","mf",,Trigger)</f>
        <v>#NAME?</v>
      </c>
      <c r="AG119" s="578" t="e">
        <f ca="1">_xll.qlDayCounterYearFraction(DayCounter,SettlementDate,AF119,,,Trigger)</f>
        <v>#NAME?</v>
      </c>
      <c r="AH119" s="575" t="e">
        <f t="shared" ca="1" si="9"/>
        <v>#NAME?</v>
      </c>
      <c r="AI119" s="575" t="e">
        <f t="shared" ca="1" si="10"/>
        <v>#NAME?</v>
      </c>
      <c r="AJ119" s="575" t="e">
        <f t="shared" ca="1" si="11"/>
        <v>#NAME?</v>
      </c>
    </row>
    <row r="120" spans="14:36" x14ac:dyDescent="0.2">
      <c r="N120" s="563"/>
      <c r="O120" s="749"/>
      <c r="AF120" s="562" t="e">
        <f ca="1">_xll.qlCalendarAdvance(Calendar,AF119,"1d","mf",,Trigger)</f>
        <v>#NAME?</v>
      </c>
      <c r="AG120" s="578" t="e">
        <f ca="1">_xll.qlDayCounterYearFraction(DayCounter,SettlementDate,AF120,,,Trigger)</f>
        <v>#NAME?</v>
      </c>
      <c r="AH120" s="575" t="e">
        <f t="shared" ca="1" si="9"/>
        <v>#NAME?</v>
      </c>
      <c r="AI120" s="575" t="e">
        <f t="shared" ca="1" si="10"/>
        <v>#NAME?</v>
      </c>
      <c r="AJ120" s="575" t="e">
        <f t="shared" ca="1" si="11"/>
        <v>#NAME?</v>
      </c>
    </row>
    <row r="121" spans="14:36" x14ac:dyDescent="0.2">
      <c r="N121" s="563"/>
      <c r="O121" s="749"/>
      <c r="AF121" s="562" t="e">
        <f ca="1">_xll.qlCalendarAdvance(Calendar,AF120,"1d","mf",,Trigger)</f>
        <v>#NAME?</v>
      </c>
      <c r="AG121" s="578" t="e">
        <f ca="1">_xll.qlDayCounterYearFraction(DayCounter,SettlementDate,AF121,,,Trigger)</f>
        <v>#NAME?</v>
      </c>
      <c r="AH121" s="575" t="e">
        <f t="shared" ca="1" si="9"/>
        <v>#NAME?</v>
      </c>
      <c r="AI121" s="575" t="e">
        <f t="shared" ca="1" si="10"/>
        <v>#NAME?</v>
      </c>
      <c r="AJ121" s="575" t="e">
        <f t="shared" ca="1" si="11"/>
        <v>#NAME?</v>
      </c>
    </row>
    <row r="122" spans="14:36" x14ac:dyDescent="0.2">
      <c r="N122" s="563"/>
      <c r="O122" s="749"/>
      <c r="AF122" s="562" t="e">
        <f ca="1">_xll.qlCalendarAdvance(Calendar,AF121,"1d","mf",,Trigger)</f>
        <v>#NAME?</v>
      </c>
      <c r="AG122" s="578" t="e">
        <f ca="1">_xll.qlDayCounterYearFraction(DayCounter,SettlementDate,AF122,,,Trigger)</f>
        <v>#NAME?</v>
      </c>
      <c r="AH122" s="575" t="e">
        <f t="shared" ca="1" si="9"/>
        <v>#NAME?</v>
      </c>
      <c r="AI122" s="575" t="e">
        <f t="shared" ca="1" si="10"/>
        <v>#NAME?</v>
      </c>
      <c r="AJ122" s="575" t="e">
        <f t="shared" ca="1" si="11"/>
        <v>#NAME?</v>
      </c>
    </row>
    <row r="123" spans="14:36" x14ac:dyDescent="0.2">
      <c r="N123" s="563"/>
      <c r="O123" s="749"/>
      <c r="AF123" s="562" t="e">
        <f ca="1">_xll.qlCalendarAdvance(Calendar,AF122,"1d","mf",,Trigger)</f>
        <v>#NAME?</v>
      </c>
      <c r="AG123" s="578" t="e">
        <f ca="1">_xll.qlDayCounterYearFraction(DayCounter,SettlementDate,AF123,,,Trigger)</f>
        <v>#NAME?</v>
      </c>
      <c r="AH123" s="575" t="e">
        <f t="shared" ca="1" si="9"/>
        <v>#NAME?</v>
      </c>
      <c r="AI123" s="575" t="e">
        <f t="shared" ca="1" si="10"/>
        <v>#NAME?</v>
      </c>
      <c r="AJ123" s="575" t="e">
        <f t="shared" ca="1" si="11"/>
        <v>#NAME?</v>
      </c>
    </row>
    <row r="124" spans="14:36" x14ac:dyDescent="0.2">
      <c r="N124" s="563"/>
      <c r="O124" s="749"/>
      <c r="AF124" s="562" t="e">
        <f ca="1">_xll.qlCalendarAdvance(Calendar,AF123,"1d","mf",,Trigger)</f>
        <v>#NAME?</v>
      </c>
      <c r="AG124" s="578" t="e">
        <f ca="1">_xll.qlDayCounterYearFraction(DayCounter,SettlementDate,AF124,,,Trigger)</f>
        <v>#NAME?</v>
      </c>
      <c r="AH124" s="575" t="e">
        <f t="shared" ca="1" si="9"/>
        <v>#NAME?</v>
      </c>
      <c r="AI124" s="575" t="e">
        <f t="shared" ca="1" si="10"/>
        <v>#NAME?</v>
      </c>
      <c r="AJ124" s="575" t="e">
        <f t="shared" ca="1" si="11"/>
        <v>#NAME?</v>
      </c>
    </row>
    <row r="125" spans="14:36" x14ac:dyDescent="0.2">
      <c r="N125" s="563"/>
      <c r="O125" s="563"/>
      <c r="AF125" s="562" t="e">
        <f ca="1">_xll.qlCalendarAdvance(Calendar,AF124,"1d","mf",,Trigger)</f>
        <v>#NAME?</v>
      </c>
      <c r="AG125" s="578" t="e">
        <f ca="1">_xll.qlDayCounterYearFraction(DayCounter,SettlementDate,AF125,,,Trigger)</f>
        <v>#NAME?</v>
      </c>
      <c r="AH125" s="575" t="e">
        <f t="shared" ca="1" si="9"/>
        <v>#NAME?</v>
      </c>
      <c r="AI125" s="575" t="e">
        <f t="shared" ca="1" si="10"/>
        <v>#NAME?</v>
      </c>
      <c r="AJ125" s="575" t="e">
        <f t="shared" ca="1" si="11"/>
        <v>#NAME?</v>
      </c>
    </row>
    <row r="126" spans="14:36" x14ac:dyDescent="0.2">
      <c r="N126" s="563"/>
      <c r="O126" s="563"/>
      <c r="AF126" s="562" t="e">
        <f ca="1">_xll.qlCalendarAdvance(Calendar,AF125,"1d","mf",,Trigger)</f>
        <v>#NAME?</v>
      </c>
      <c r="AG126" s="578" t="e">
        <f ca="1">_xll.qlDayCounterYearFraction(DayCounter,SettlementDate,AF126,,,Trigger)</f>
        <v>#NAME?</v>
      </c>
      <c r="AH126" s="575" t="e">
        <f t="shared" ca="1" si="9"/>
        <v>#NAME?</v>
      </c>
      <c r="AI126" s="575" t="e">
        <f t="shared" ca="1" si="10"/>
        <v>#NAME?</v>
      </c>
      <c r="AJ126" s="575" t="e">
        <f t="shared" ca="1" si="11"/>
        <v>#NAME?</v>
      </c>
    </row>
    <row r="127" spans="14:36" x14ac:dyDescent="0.2">
      <c r="N127" s="563"/>
      <c r="O127" s="563"/>
      <c r="AF127" s="562" t="e">
        <f ca="1">_xll.qlCalendarAdvance(Calendar,AF126,"1d","mf",,Trigger)</f>
        <v>#NAME?</v>
      </c>
      <c r="AG127" s="578" t="e">
        <f ca="1">_xll.qlDayCounterYearFraction(DayCounter,SettlementDate,AF127,,,Trigger)</f>
        <v>#NAME?</v>
      </c>
      <c r="AH127" s="575" t="e">
        <f t="shared" ca="1" si="9"/>
        <v>#NAME?</v>
      </c>
      <c r="AI127" s="575" t="e">
        <f t="shared" ca="1" si="10"/>
        <v>#NAME?</v>
      </c>
      <c r="AJ127" s="575" t="e">
        <f t="shared" ca="1" si="11"/>
        <v>#NAME?</v>
      </c>
    </row>
    <row r="128" spans="14:36" x14ac:dyDescent="0.2">
      <c r="N128" s="563"/>
      <c r="O128" s="563"/>
      <c r="AF128" s="562" t="e">
        <f ca="1">_xll.qlCalendarAdvance(Calendar,AF127,"1d","mf",,Trigger)</f>
        <v>#NAME?</v>
      </c>
      <c r="AG128" s="578" t="e">
        <f ca="1">_xll.qlDayCounterYearFraction(DayCounter,SettlementDate,AF128,,,Trigger)</f>
        <v>#NAME?</v>
      </c>
      <c r="AH128" s="575" t="e">
        <f t="shared" ca="1" si="9"/>
        <v>#NAME?</v>
      </c>
      <c r="AI128" s="575" t="e">
        <f t="shared" ca="1" si="10"/>
        <v>#NAME?</v>
      </c>
      <c r="AJ128" s="575" t="e">
        <f t="shared" ca="1" si="11"/>
        <v>#NAME?</v>
      </c>
    </row>
    <row r="129" spans="14:36" x14ac:dyDescent="0.2">
      <c r="N129" s="563"/>
      <c r="O129" s="563"/>
      <c r="AF129" s="562" t="e">
        <f ca="1">_xll.qlCalendarAdvance(Calendar,AF128,"1d","mf",,Trigger)</f>
        <v>#NAME?</v>
      </c>
      <c r="AG129" s="578" t="e">
        <f ca="1">_xll.qlDayCounterYearFraction(DayCounter,SettlementDate,AF129,,,Trigger)</f>
        <v>#NAME?</v>
      </c>
      <c r="AH129" s="575" t="e">
        <f t="shared" ca="1" si="9"/>
        <v>#NAME?</v>
      </c>
      <c r="AI129" s="575" t="e">
        <f t="shared" ca="1" si="10"/>
        <v>#NAME?</v>
      </c>
      <c r="AJ129" s="575" t="e">
        <f t="shared" ca="1" si="11"/>
        <v>#NAME?</v>
      </c>
    </row>
    <row r="130" spans="14:36" x14ac:dyDescent="0.2">
      <c r="N130" s="563"/>
      <c r="O130" s="563"/>
      <c r="AF130" s="562" t="e">
        <f ca="1">_xll.qlCalendarAdvance(Calendar,AF129,"1d","mf",,Trigger)</f>
        <v>#NAME?</v>
      </c>
      <c r="AG130" s="578" t="e">
        <f ca="1">_xll.qlDayCounterYearFraction(DayCounter,SettlementDate,AF130,,,Trigger)</f>
        <v>#NAME?</v>
      </c>
      <c r="AH130" s="575" t="e">
        <f t="shared" ca="1" si="9"/>
        <v>#NAME?</v>
      </c>
      <c r="AI130" s="575" t="e">
        <f t="shared" ca="1" si="10"/>
        <v>#NAME?</v>
      </c>
      <c r="AJ130" s="575" t="e">
        <f t="shared" ca="1" si="11"/>
        <v>#NAME?</v>
      </c>
    </row>
    <row r="131" spans="14:36" x14ac:dyDescent="0.2">
      <c r="N131" s="563"/>
      <c r="O131" s="563"/>
      <c r="AF131" s="562" t="e">
        <f ca="1">_xll.qlCalendarAdvance(Calendar,AF130,"1d","mf",,Trigger)</f>
        <v>#NAME?</v>
      </c>
      <c r="AG131" s="578" t="e">
        <f ca="1">_xll.qlDayCounterYearFraction(DayCounter,SettlementDate,AF131,,,Trigger)</f>
        <v>#NAME?</v>
      </c>
      <c r="AH131" s="575" t="e">
        <f t="shared" ref="AH131:AH194" ca="1" si="12">$W$13</f>
        <v>#NAME?</v>
      </c>
      <c r="AI131" s="575" t="e">
        <f t="shared" ref="AI131:AI194" ca="1" si="13">$W$10+$W$9*AG131</f>
        <v>#NAME?</v>
      </c>
      <c r="AJ131" s="575" t="e">
        <f t="shared" ref="AJ131:AJ194" ca="1" si="14">($W$5+$W$4*AG131+$W$3*AG131^2)</f>
        <v>#NAME?</v>
      </c>
    </row>
    <row r="132" spans="14:36" x14ac:dyDescent="0.2">
      <c r="N132" s="563"/>
      <c r="O132" s="563"/>
      <c r="AF132" s="562" t="e">
        <f ca="1">_xll.qlCalendarAdvance(Calendar,AF131,"1d","mf",,Trigger)</f>
        <v>#NAME?</v>
      </c>
      <c r="AG132" s="578" t="e">
        <f ca="1">_xll.qlDayCounterYearFraction(DayCounter,SettlementDate,AF132,,,Trigger)</f>
        <v>#NAME?</v>
      </c>
      <c r="AH132" s="575" t="e">
        <f t="shared" ca="1" si="12"/>
        <v>#NAME?</v>
      </c>
      <c r="AI132" s="575" t="e">
        <f t="shared" ca="1" si="13"/>
        <v>#NAME?</v>
      </c>
      <c r="AJ132" s="575" t="e">
        <f t="shared" ca="1" si="14"/>
        <v>#NAME?</v>
      </c>
    </row>
    <row r="133" spans="14:36" x14ac:dyDescent="0.2">
      <c r="N133" s="563"/>
      <c r="O133" s="563"/>
      <c r="AF133" s="562" t="e">
        <f ca="1">_xll.qlCalendarAdvance(Calendar,AF132,"1d","mf",,Trigger)</f>
        <v>#NAME?</v>
      </c>
      <c r="AG133" s="578" t="e">
        <f ca="1">_xll.qlDayCounterYearFraction(DayCounter,SettlementDate,AF133,,,Trigger)</f>
        <v>#NAME?</v>
      </c>
      <c r="AH133" s="575" t="e">
        <f t="shared" ca="1" si="12"/>
        <v>#NAME?</v>
      </c>
      <c r="AI133" s="575" t="e">
        <f t="shared" ca="1" si="13"/>
        <v>#NAME?</v>
      </c>
      <c r="AJ133" s="575" t="e">
        <f t="shared" ca="1" si="14"/>
        <v>#NAME?</v>
      </c>
    </row>
    <row r="134" spans="14:36" x14ac:dyDescent="0.2">
      <c r="N134" s="563"/>
      <c r="O134" s="563"/>
      <c r="AF134" s="562" t="e">
        <f ca="1">_xll.qlCalendarAdvance(Calendar,AF133,"1d","mf",,Trigger)</f>
        <v>#NAME?</v>
      </c>
      <c r="AG134" s="578" t="e">
        <f ca="1">_xll.qlDayCounterYearFraction(DayCounter,SettlementDate,AF134,,,Trigger)</f>
        <v>#NAME?</v>
      </c>
      <c r="AH134" s="575" t="e">
        <f t="shared" ca="1" si="12"/>
        <v>#NAME?</v>
      </c>
      <c r="AI134" s="575" t="e">
        <f t="shared" ca="1" si="13"/>
        <v>#NAME?</v>
      </c>
      <c r="AJ134" s="575" t="e">
        <f t="shared" ca="1" si="14"/>
        <v>#NAME?</v>
      </c>
    </row>
    <row r="135" spans="14:36" x14ac:dyDescent="0.2">
      <c r="O135" s="563"/>
      <c r="AF135" s="562" t="e">
        <f ca="1">_xll.qlCalendarAdvance(Calendar,AF134,"1d","mf",,Trigger)</f>
        <v>#NAME?</v>
      </c>
      <c r="AG135" s="578" t="e">
        <f ca="1">_xll.qlDayCounterYearFraction(DayCounter,SettlementDate,AF135,,,Trigger)</f>
        <v>#NAME?</v>
      </c>
      <c r="AH135" s="575" t="e">
        <f t="shared" ca="1" si="12"/>
        <v>#NAME?</v>
      </c>
      <c r="AI135" s="575" t="e">
        <f t="shared" ca="1" si="13"/>
        <v>#NAME?</v>
      </c>
      <c r="AJ135" s="575" t="e">
        <f t="shared" ca="1" si="14"/>
        <v>#NAME?</v>
      </c>
    </row>
    <row r="136" spans="14:36" x14ac:dyDescent="0.2">
      <c r="O136" s="563"/>
      <c r="AF136" s="562" t="e">
        <f ca="1">_xll.qlCalendarAdvance(Calendar,AF135,"1d","mf",,Trigger)</f>
        <v>#NAME?</v>
      </c>
      <c r="AG136" s="578" t="e">
        <f ca="1">_xll.qlDayCounterYearFraction(DayCounter,SettlementDate,AF136,,,Trigger)</f>
        <v>#NAME?</v>
      </c>
      <c r="AH136" s="575" t="e">
        <f t="shared" ca="1" si="12"/>
        <v>#NAME?</v>
      </c>
      <c r="AI136" s="575" t="e">
        <f t="shared" ca="1" si="13"/>
        <v>#NAME?</v>
      </c>
      <c r="AJ136" s="575" t="e">
        <f t="shared" ca="1" si="14"/>
        <v>#NAME?</v>
      </c>
    </row>
    <row r="137" spans="14:36" x14ac:dyDescent="0.2">
      <c r="O137" s="563"/>
      <c r="AF137" s="562" t="e">
        <f ca="1">_xll.qlCalendarAdvance(Calendar,AF136,"1d","mf",,Trigger)</f>
        <v>#NAME?</v>
      </c>
      <c r="AG137" s="578" t="e">
        <f ca="1">_xll.qlDayCounterYearFraction(DayCounter,SettlementDate,AF137,,,Trigger)</f>
        <v>#NAME?</v>
      </c>
      <c r="AH137" s="575" t="e">
        <f t="shared" ca="1" si="12"/>
        <v>#NAME?</v>
      </c>
      <c r="AI137" s="575" t="e">
        <f t="shared" ca="1" si="13"/>
        <v>#NAME?</v>
      </c>
      <c r="AJ137" s="575" t="e">
        <f t="shared" ca="1" si="14"/>
        <v>#NAME?</v>
      </c>
    </row>
    <row r="138" spans="14:36" x14ac:dyDescent="0.2">
      <c r="O138" s="563"/>
      <c r="AF138" s="562" t="e">
        <f ca="1">_xll.qlCalendarAdvance(Calendar,AF137,"1d","mf",,Trigger)</f>
        <v>#NAME?</v>
      </c>
      <c r="AG138" s="578" t="e">
        <f ca="1">_xll.qlDayCounterYearFraction(DayCounter,SettlementDate,AF138,,,Trigger)</f>
        <v>#NAME?</v>
      </c>
      <c r="AH138" s="575" t="e">
        <f t="shared" ca="1" si="12"/>
        <v>#NAME?</v>
      </c>
      <c r="AI138" s="575" t="e">
        <f t="shared" ca="1" si="13"/>
        <v>#NAME?</v>
      </c>
      <c r="AJ138" s="575" t="e">
        <f t="shared" ca="1" si="14"/>
        <v>#NAME?</v>
      </c>
    </row>
    <row r="139" spans="14:36" x14ac:dyDescent="0.2">
      <c r="O139" s="563"/>
      <c r="AF139" s="562" t="e">
        <f ca="1">_xll.qlCalendarAdvance(Calendar,AF138,"1d","mf",,Trigger)</f>
        <v>#NAME?</v>
      </c>
      <c r="AG139" s="578" t="e">
        <f ca="1">_xll.qlDayCounterYearFraction(DayCounter,SettlementDate,AF139,,,Trigger)</f>
        <v>#NAME?</v>
      </c>
      <c r="AH139" s="575" t="e">
        <f t="shared" ca="1" si="12"/>
        <v>#NAME?</v>
      </c>
      <c r="AI139" s="575" t="e">
        <f t="shared" ca="1" si="13"/>
        <v>#NAME?</v>
      </c>
      <c r="AJ139" s="575" t="e">
        <f t="shared" ca="1" si="14"/>
        <v>#NAME?</v>
      </c>
    </row>
    <row r="140" spans="14:36" x14ac:dyDescent="0.2">
      <c r="O140" s="563"/>
      <c r="AF140" s="562" t="e">
        <f ca="1">_xll.qlCalendarAdvance(Calendar,AF139,"1d","mf",,Trigger)</f>
        <v>#NAME?</v>
      </c>
      <c r="AG140" s="578" t="e">
        <f ca="1">_xll.qlDayCounterYearFraction(DayCounter,SettlementDate,AF140,,,Trigger)</f>
        <v>#NAME?</v>
      </c>
      <c r="AH140" s="575" t="e">
        <f t="shared" ca="1" si="12"/>
        <v>#NAME?</v>
      </c>
      <c r="AI140" s="575" t="e">
        <f t="shared" ca="1" si="13"/>
        <v>#NAME?</v>
      </c>
      <c r="AJ140" s="575" t="e">
        <f t="shared" ca="1" si="14"/>
        <v>#NAME?</v>
      </c>
    </row>
    <row r="141" spans="14:36" x14ac:dyDescent="0.2">
      <c r="AF141" s="562" t="e">
        <f ca="1">_xll.qlCalendarAdvance(Calendar,AF140,"1d","mf",,Trigger)</f>
        <v>#NAME?</v>
      </c>
      <c r="AG141" s="578" t="e">
        <f ca="1">_xll.qlDayCounterYearFraction(DayCounter,SettlementDate,AF141,,,Trigger)</f>
        <v>#NAME?</v>
      </c>
      <c r="AH141" s="575" t="e">
        <f t="shared" ca="1" si="12"/>
        <v>#NAME?</v>
      </c>
      <c r="AI141" s="575" t="e">
        <f t="shared" ca="1" si="13"/>
        <v>#NAME?</v>
      </c>
      <c r="AJ141" s="575" t="e">
        <f t="shared" ca="1" si="14"/>
        <v>#NAME?</v>
      </c>
    </row>
    <row r="142" spans="14:36" x14ac:dyDescent="0.2">
      <c r="AF142" s="562" t="e">
        <f ca="1">_xll.qlCalendarAdvance(Calendar,AF141,"1d","mf",,Trigger)</f>
        <v>#NAME?</v>
      </c>
      <c r="AG142" s="578" t="e">
        <f ca="1">_xll.qlDayCounterYearFraction(DayCounter,SettlementDate,AF142,,,Trigger)</f>
        <v>#NAME?</v>
      </c>
      <c r="AH142" s="575" t="e">
        <f t="shared" ca="1" si="12"/>
        <v>#NAME?</v>
      </c>
      <c r="AI142" s="575" t="e">
        <f t="shared" ca="1" si="13"/>
        <v>#NAME?</v>
      </c>
      <c r="AJ142" s="575" t="e">
        <f t="shared" ca="1" si="14"/>
        <v>#NAME?</v>
      </c>
    </row>
    <row r="143" spans="14:36" x14ac:dyDescent="0.2">
      <c r="AF143" s="562" t="e">
        <f ca="1">_xll.qlCalendarAdvance(Calendar,AF142,"1d","mf",,Trigger)</f>
        <v>#NAME?</v>
      </c>
      <c r="AG143" s="578" t="e">
        <f ca="1">_xll.qlDayCounterYearFraction(DayCounter,SettlementDate,AF143,,,Trigger)</f>
        <v>#NAME?</v>
      </c>
      <c r="AH143" s="575" t="e">
        <f t="shared" ca="1" si="12"/>
        <v>#NAME?</v>
      </c>
      <c r="AI143" s="575" t="e">
        <f t="shared" ca="1" si="13"/>
        <v>#NAME?</v>
      </c>
      <c r="AJ143" s="575" t="e">
        <f t="shared" ca="1" si="14"/>
        <v>#NAME?</v>
      </c>
    </row>
    <row r="144" spans="14:36" x14ac:dyDescent="0.2">
      <c r="AF144" s="562" t="e">
        <f ca="1">_xll.qlCalendarAdvance(Calendar,AF143,"1d","mf",,Trigger)</f>
        <v>#NAME?</v>
      </c>
      <c r="AG144" s="578" t="e">
        <f ca="1">_xll.qlDayCounterYearFraction(DayCounter,SettlementDate,AF144,,,Trigger)</f>
        <v>#NAME?</v>
      </c>
      <c r="AH144" s="575" t="e">
        <f t="shared" ca="1" si="12"/>
        <v>#NAME?</v>
      </c>
      <c r="AI144" s="575" t="e">
        <f t="shared" ca="1" si="13"/>
        <v>#NAME?</v>
      </c>
      <c r="AJ144" s="575" t="e">
        <f t="shared" ca="1" si="14"/>
        <v>#NAME?</v>
      </c>
    </row>
    <row r="145" spans="32:36" x14ac:dyDescent="0.2">
      <c r="AF145" s="562" t="e">
        <f ca="1">_xll.qlCalendarAdvance(Calendar,AF144,"1d","mf",,Trigger)</f>
        <v>#NAME?</v>
      </c>
      <c r="AG145" s="578" t="e">
        <f ca="1">_xll.qlDayCounterYearFraction(DayCounter,SettlementDate,AF145,,,Trigger)</f>
        <v>#NAME?</v>
      </c>
      <c r="AH145" s="575" t="e">
        <f t="shared" ca="1" si="12"/>
        <v>#NAME?</v>
      </c>
      <c r="AI145" s="575" t="e">
        <f t="shared" ca="1" si="13"/>
        <v>#NAME?</v>
      </c>
      <c r="AJ145" s="575" t="e">
        <f t="shared" ca="1" si="14"/>
        <v>#NAME?</v>
      </c>
    </row>
    <row r="146" spans="32:36" x14ac:dyDescent="0.2">
      <c r="AF146" s="562" t="e">
        <f ca="1">_xll.qlCalendarAdvance(Calendar,AF145,"1d","mf",,Trigger)</f>
        <v>#NAME?</v>
      </c>
      <c r="AG146" s="578" t="e">
        <f ca="1">_xll.qlDayCounterYearFraction(DayCounter,SettlementDate,AF146,,,Trigger)</f>
        <v>#NAME?</v>
      </c>
      <c r="AH146" s="575" t="e">
        <f t="shared" ca="1" si="12"/>
        <v>#NAME?</v>
      </c>
      <c r="AI146" s="575" t="e">
        <f t="shared" ca="1" si="13"/>
        <v>#NAME?</v>
      </c>
      <c r="AJ146" s="575" t="e">
        <f t="shared" ca="1" si="14"/>
        <v>#NAME?</v>
      </c>
    </row>
    <row r="147" spans="32:36" x14ac:dyDescent="0.2">
      <c r="AF147" s="562" t="e">
        <f ca="1">_xll.qlCalendarAdvance(Calendar,AF146,"1d","mf",,Trigger)</f>
        <v>#NAME?</v>
      </c>
      <c r="AG147" s="578" t="e">
        <f ca="1">_xll.qlDayCounterYearFraction(DayCounter,SettlementDate,AF147,,,Trigger)</f>
        <v>#NAME?</v>
      </c>
      <c r="AH147" s="575" t="e">
        <f t="shared" ca="1" si="12"/>
        <v>#NAME?</v>
      </c>
      <c r="AI147" s="575" t="e">
        <f t="shared" ca="1" si="13"/>
        <v>#NAME?</v>
      </c>
      <c r="AJ147" s="575" t="e">
        <f t="shared" ca="1" si="14"/>
        <v>#NAME?</v>
      </c>
    </row>
    <row r="148" spans="32:36" x14ac:dyDescent="0.2">
      <c r="AF148" s="562" t="e">
        <f ca="1">_xll.qlCalendarAdvance(Calendar,AF147,"1d","mf",,Trigger)</f>
        <v>#NAME?</v>
      </c>
      <c r="AG148" s="578" t="e">
        <f ca="1">_xll.qlDayCounterYearFraction(DayCounter,SettlementDate,AF148,,,Trigger)</f>
        <v>#NAME?</v>
      </c>
      <c r="AH148" s="575" t="e">
        <f t="shared" ca="1" si="12"/>
        <v>#NAME?</v>
      </c>
      <c r="AI148" s="575" t="e">
        <f t="shared" ca="1" si="13"/>
        <v>#NAME?</v>
      </c>
      <c r="AJ148" s="575" t="e">
        <f t="shared" ca="1" si="14"/>
        <v>#NAME?</v>
      </c>
    </row>
    <row r="149" spans="32:36" x14ac:dyDescent="0.2">
      <c r="AF149" s="562" t="e">
        <f ca="1">_xll.qlCalendarAdvance(Calendar,AF148,"1d","mf",,Trigger)</f>
        <v>#NAME?</v>
      </c>
      <c r="AG149" s="578" t="e">
        <f ca="1">_xll.qlDayCounterYearFraction(DayCounter,SettlementDate,AF149,,,Trigger)</f>
        <v>#NAME?</v>
      </c>
      <c r="AH149" s="575" t="e">
        <f t="shared" ca="1" si="12"/>
        <v>#NAME?</v>
      </c>
      <c r="AI149" s="575" t="e">
        <f t="shared" ca="1" si="13"/>
        <v>#NAME?</v>
      </c>
      <c r="AJ149" s="575" t="e">
        <f t="shared" ca="1" si="14"/>
        <v>#NAME?</v>
      </c>
    </row>
    <row r="150" spans="32:36" x14ac:dyDescent="0.2">
      <c r="AF150" s="562" t="e">
        <f ca="1">_xll.qlCalendarAdvance(Calendar,AF149,"1d","mf",,Trigger)</f>
        <v>#NAME?</v>
      </c>
      <c r="AG150" s="578" t="e">
        <f ca="1">_xll.qlDayCounterYearFraction(DayCounter,SettlementDate,AF150,,,Trigger)</f>
        <v>#NAME?</v>
      </c>
      <c r="AH150" s="575" t="e">
        <f t="shared" ca="1" si="12"/>
        <v>#NAME?</v>
      </c>
      <c r="AI150" s="575" t="e">
        <f t="shared" ca="1" si="13"/>
        <v>#NAME?</v>
      </c>
      <c r="AJ150" s="575" t="e">
        <f t="shared" ca="1" si="14"/>
        <v>#NAME?</v>
      </c>
    </row>
    <row r="151" spans="32:36" x14ac:dyDescent="0.2">
      <c r="AF151" s="562" t="e">
        <f ca="1">_xll.qlCalendarAdvance(Calendar,AF150,"1d","mf",,Trigger)</f>
        <v>#NAME?</v>
      </c>
      <c r="AG151" s="578" t="e">
        <f ca="1">_xll.qlDayCounterYearFraction(DayCounter,SettlementDate,AF151,,,Trigger)</f>
        <v>#NAME?</v>
      </c>
      <c r="AH151" s="575" t="e">
        <f t="shared" ca="1" si="12"/>
        <v>#NAME?</v>
      </c>
      <c r="AI151" s="575" t="e">
        <f t="shared" ca="1" si="13"/>
        <v>#NAME?</v>
      </c>
      <c r="AJ151" s="575" t="e">
        <f t="shared" ca="1" si="14"/>
        <v>#NAME?</v>
      </c>
    </row>
    <row r="152" spans="32:36" x14ac:dyDescent="0.2">
      <c r="AF152" s="562" t="e">
        <f ca="1">_xll.qlCalendarAdvance(Calendar,AF151,"1d","mf",,Trigger)</f>
        <v>#NAME?</v>
      </c>
      <c r="AG152" s="578" t="e">
        <f ca="1">_xll.qlDayCounterYearFraction(DayCounter,SettlementDate,AF152,,,Trigger)</f>
        <v>#NAME?</v>
      </c>
      <c r="AH152" s="575" t="e">
        <f t="shared" ca="1" si="12"/>
        <v>#NAME?</v>
      </c>
      <c r="AI152" s="575" t="e">
        <f t="shared" ca="1" si="13"/>
        <v>#NAME?</v>
      </c>
      <c r="AJ152" s="575" t="e">
        <f t="shared" ca="1" si="14"/>
        <v>#NAME?</v>
      </c>
    </row>
    <row r="153" spans="32:36" x14ac:dyDescent="0.2">
      <c r="AF153" s="562" t="e">
        <f ca="1">_xll.qlCalendarAdvance(Calendar,AF152,"1d","mf",,Trigger)</f>
        <v>#NAME?</v>
      </c>
      <c r="AG153" s="578" t="e">
        <f ca="1">_xll.qlDayCounterYearFraction(DayCounter,SettlementDate,AF153,,,Trigger)</f>
        <v>#NAME?</v>
      </c>
      <c r="AH153" s="575" t="e">
        <f t="shared" ca="1" si="12"/>
        <v>#NAME?</v>
      </c>
      <c r="AI153" s="575" t="e">
        <f t="shared" ca="1" si="13"/>
        <v>#NAME?</v>
      </c>
      <c r="AJ153" s="575" t="e">
        <f t="shared" ca="1" si="14"/>
        <v>#NAME?</v>
      </c>
    </row>
    <row r="154" spans="32:36" x14ac:dyDescent="0.2">
      <c r="AF154" s="562" t="e">
        <f ca="1">_xll.qlCalendarAdvance(Calendar,AF153,"1d","mf",,Trigger)</f>
        <v>#NAME?</v>
      </c>
      <c r="AG154" s="578" t="e">
        <f ca="1">_xll.qlDayCounterYearFraction(DayCounter,SettlementDate,AF154,,,Trigger)</f>
        <v>#NAME?</v>
      </c>
      <c r="AH154" s="575" t="e">
        <f t="shared" ca="1" si="12"/>
        <v>#NAME?</v>
      </c>
      <c r="AI154" s="575" t="e">
        <f t="shared" ca="1" si="13"/>
        <v>#NAME?</v>
      </c>
      <c r="AJ154" s="575" t="e">
        <f t="shared" ca="1" si="14"/>
        <v>#NAME?</v>
      </c>
    </row>
    <row r="155" spans="32:36" x14ac:dyDescent="0.2">
      <c r="AF155" s="562" t="e">
        <f ca="1">_xll.qlCalendarAdvance(Calendar,AF154,"1d","mf",,Trigger)</f>
        <v>#NAME?</v>
      </c>
      <c r="AG155" s="578" t="e">
        <f ca="1">_xll.qlDayCounterYearFraction(DayCounter,SettlementDate,AF155,,,Trigger)</f>
        <v>#NAME?</v>
      </c>
      <c r="AH155" s="575" t="e">
        <f t="shared" ca="1" si="12"/>
        <v>#NAME?</v>
      </c>
      <c r="AI155" s="575" t="e">
        <f t="shared" ca="1" si="13"/>
        <v>#NAME?</v>
      </c>
      <c r="AJ155" s="575" t="e">
        <f t="shared" ca="1" si="14"/>
        <v>#NAME?</v>
      </c>
    </row>
    <row r="156" spans="32:36" x14ac:dyDescent="0.2">
      <c r="AF156" s="562" t="e">
        <f ca="1">_xll.qlCalendarAdvance(Calendar,AF155,"1d","mf",,Trigger)</f>
        <v>#NAME?</v>
      </c>
      <c r="AG156" s="578" t="e">
        <f ca="1">_xll.qlDayCounterYearFraction(DayCounter,SettlementDate,AF156,,,Trigger)</f>
        <v>#NAME?</v>
      </c>
      <c r="AH156" s="575" t="e">
        <f t="shared" ca="1" si="12"/>
        <v>#NAME?</v>
      </c>
      <c r="AI156" s="575" t="e">
        <f t="shared" ca="1" si="13"/>
        <v>#NAME?</v>
      </c>
      <c r="AJ156" s="575" t="e">
        <f t="shared" ca="1" si="14"/>
        <v>#NAME?</v>
      </c>
    </row>
    <row r="157" spans="32:36" x14ac:dyDescent="0.2">
      <c r="AF157" s="562" t="e">
        <f ca="1">_xll.qlCalendarAdvance(Calendar,AF156,"1d","mf",,Trigger)</f>
        <v>#NAME?</v>
      </c>
      <c r="AG157" s="578" t="e">
        <f ca="1">_xll.qlDayCounterYearFraction(DayCounter,SettlementDate,AF157,,,Trigger)</f>
        <v>#NAME?</v>
      </c>
      <c r="AH157" s="575" t="e">
        <f t="shared" ca="1" si="12"/>
        <v>#NAME?</v>
      </c>
      <c r="AI157" s="575" t="e">
        <f t="shared" ca="1" si="13"/>
        <v>#NAME?</v>
      </c>
      <c r="AJ157" s="575" t="e">
        <f t="shared" ca="1" si="14"/>
        <v>#NAME?</v>
      </c>
    </row>
    <row r="158" spans="32:36" x14ac:dyDescent="0.2">
      <c r="AF158" s="562" t="e">
        <f ca="1">_xll.qlCalendarAdvance(Calendar,AF157,"1d","mf",,Trigger)</f>
        <v>#NAME?</v>
      </c>
      <c r="AG158" s="578" t="e">
        <f ca="1">_xll.qlDayCounterYearFraction(DayCounter,SettlementDate,AF158,,,Trigger)</f>
        <v>#NAME?</v>
      </c>
      <c r="AH158" s="575" t="e">
        <f t="shared" ca="1" si="12"/>
        <v>#NAME?</v>
      </c>
      <c r="AI158" s="575" t="e">
        <f t="shared" ca="1" si="13"/>
        <v>#NAME?</v>
      </c>
      <c r="AJ158" s="575" t="e">
        <f t="shared" ca="1" si="14"/>
        <v>#NAME?</v>
      </c>
    </row>
    <row r="159" spans="32:36" x14ac:dyDescent="0.2">
      <c r="AF159" s="562" t="e">
        <f ca="1">_xll.qlCalendarAdvance(Calendar,AF158,"1d","mf",,Trigger)</f>
        <v>#NAME?</v>
      </c>
      <c r="AG159" s="578" t="e">
        <f ca="1">_xll.qlDayCounterYearFraction(DayCounter,SettlementDate,AF159,,,Trigger)</f>
        <v>#NAME?</v>
      </c>
      <c r="AH159" s="575" t="e">
        <f t="shared" ca="1" si="12"/>
        <v>#NAME?</v>
      </c>
      <c r="AI159" s="575" t="e">
        <f t="shared" ca="1" si="13"/>
        <v>#NAME?</v>
      </c>
      <c r="AJ159" s="575" t="e">
        <f t="shared" ca="1" si="14"/>
        <v>#NAME?</v>
      </c>
    </row>
    <row r="160" spans="32:36" x14ac:dyDescent="0.2">
      <c r="AF160" s="562" t="e">
        <f ca="1">_xll.qlCalendarAdvance(Calendar,AF159,"1d","mf",,Trigger)</f>
        <v>#NAME?</v>
      </c>
      <c r="AG160" s="578" t="e">
        <f ca="1">_xll.qlDayCounterYearFraction(DayCounter,SettlementDate,AF160,,,Trigger)</f>
        <v>#NAME?</v>
      </c>
      <c r="AH160" s="575" t="e">
        <f t="shared" ca="1" si="12"/>
        <v>#NAME?</v>
      </c>
      <c r="AI160" s="575" t="e">
        <f t="shared" ca="1" si="13"/>
        <v>#NAME?</v>
      </c>
      <c r="AJ160" s="575" t="e">
        <f t="shared" ca="1" si="14"/>
        <v>#NAME?</v>
      </c>
    </row>
    <row r="161" spans="32:36" x14ac:dyDescent="0.2">
      <c r="AF161" s="562" t="e">
        <f ca="1">_xll.qlCalendarAdvance(Calendar,AF160,"1d","mf",,Trigger)</f>
        <v>#NAME?</v>
      </c>
      <c r="AG161" s="578" t="e">
        <f ca="1">_xll.qlDayCounterYearFraction(DayCounter,SettlementDate,AF161,,,Trigger)</f>
        <v>#NAME?</v>
      </c>
      <c r="AH161" s="575" t="e">
        <f t="shared" ca="1" si="12"/>
        <v>#NAME?</v>
      </c>
      <c r="AI161" s="575" t="e">
        <f t="shared" ca="1" si="13"/>
        <v>#NAME?</v>
      </c>
      <c r="AJ161" s="575" t="e">
        <f t="shared" ca="1" si="14"/>
        <v>#NAME?</v>
      </c>
    </row>
    <row r="162" spans="32:36" x14ac:dyDescent="0.2">
      <c r="AF162" s="562" t="e">
        <f ca="1">_xll.qlCalendarAdvance(Calendar,AF161,"1d","mf",,Trigger)</f>
        <v>#NAME?</v>
      </c>
      <c r="AG162" s="578" t="e">
        <f ca="1">_xll.qlDayCounterYearFraction(DayCounter,SettlementDate,AF162,,,Trigger)</f>
        <v>#NAME?</v>
      </c>
      <c r="AH162" s="575" t="e">
        <f t="shared" ca="1" si="12"/>
        <v>#NAME?</v>
      </c>
      <c r="AI162" s="575" t="e">
        <f t="shared" ca="1" si="13"/>
        <v>#NAME?</v>
      </c>
      <c r="AJ162" s="575" t="e">
        <f t="shared" ca="1" si="14"/>
        <v>#NAME?</v>
      </c>
    </row>
    <row r="163" spans="32:36" x14ac:dyDescent="0.2">
      <c r="AF163" s="562" t="e">
        <f ca="1">_xll.qlCalendarAdvance(Calendar,AF162,"1d","mf",,Trigger)</f>
        <v>#NAME?</v>
      </c>
      <c r="AG163" s="578" t="e">
        <f ca="1">_xll.qlDayCounterYearFraction(DayCounter,SettlementDate,AF163,,,Trigger)</f>
        <v>#NAME?</v>
      </c>
      <c r="AH163" s="575" t="e">
        <f t="shared" ca="1" si="12"/>
        <v>#NAME?</v>
      </c>
      <c r="AI163" s="575" t="e">
        <f t="shared" ca="1" si="13"/>
        <v>#NAME?</v>
      </c>
      <c r="AJ163" s="575" t="e">
        <f t="shared" ca="1" si="14"/>
        <v>#NAME?</v>
      </c>
    </row>
    <row r="164" spans="32:36" x14ac:dyDescent="0.2">
      <c r="AF164" s="562" t="e">
        <f ca="1">_xll.qlCalendarAdvance(Calendar,AF163,"1d","mf",,Trigger)</f>
        <v>#NAME?</v>
      </c>
      <c r="AG164" s="578" t="e">
        <f ca="1">_xll.qlDayCounterYearFraction(DayCounter,SettlementDate,AF164,,,Trigger)</f>
        <v>#NAME?</v>
      </c>
      <c r="AH164" s="575" t="e">
        <f t="shared" ca="1" si="12"/>
        <v>#NAME?</v>
      </c>
      <c r="AI164" s="575" t="e">
        <f t="shared" ca="1" si="13"/>
        <v>#NAME?</v>
      </c>
      <c r="AJ164" s="575" t="e">
        <f t="shared" ca="1" si="14"/>
        <v>#NAME?</v>
      </c>
    </row>
    <row r="165" spans="32:36" x14ac:dyDescent="0.2">
      <c r="AF165" s="562" t="e">
        <f ca="1">_xll.qlCalendarAdvance(Calendar,AF164,"1d","mf",,Trigger)</f>
        <v>#NAME?</v>
      </c>
      <c r="AG165" s="578" t="e">
        <f ca="1">_xll.qlDayCounterYearFraction(DayCounter,SettlementDate,AF165,,,Trigger)</f>
        <v>#NAME?</v>
      </c>
      <c r="AH165" s="575" t="e">
        <f t="shared" ca="1" si="12"/>
        <v>#NAME?</v>
      </c>
      <c r="AI165" s="575" t="e">
        <f t="shared" ca="1" si="13"/>
        <v>#NAME?</v>
      </c>
      <c r="AJ165" s="575" t="e">
        <f t="shared" ca="1" si="14"/>
        <v>#NAME?</v>
      </c>
    </row>
    <row r="166" spans="32:36" x14ac:dyDescent="0.2">
      <c r="AF166" s="562" t="e">
        <f ca="1">_xll.qlCalendarAdvance(Calendar,AF165,"1d","mf",,Trigger)</f>
        <v>#NAME?</v>
      </c>
      <c r="AG166" s="578" t="e">
        <f ca="1">_xll.qlDayCounterYearFraction(DayCounter,SettlementDate,AF166,,,Trigger)</f>
        <v>#NAME?</v>
      </c>
      <c r="AH166" s="575" t="e">
        <f t="shared" ca="1" si="12"/>
        <v>#NAME?</v>
      </c>
      <c r="AI166" s="575" t="e">
        <f t="shared" ca="1" si="13"/>
        <v>#NAME?</v>
      </c>
      <c r="AJ166" s="575" t="e">
        <f t="shared" ca="1" si="14"/>
        <v>#NAME?</v>
      </c>
    </row>
    <row r="167" spans="32:36" x14ac:dyDescent="0.2">
      <c r="AF167" s="562" t="e">
        <f ca="1">_xll.qlCalendarAdvance(Calendar,AF166,"1d","mf",,Trigger)</f>
        <v>#NAME?</v>
      </c>
      <c r="AG167" s="578" t="e">
        <f ca="1">_xll.qlDayCounterYearFraction(DayCounter,SettlementDate,AF167,,,Trigger)</f>
        <v>#NAME?</v>
      </c>
      <c r="AH167" s="575" t="e">
        <f t="shared" ca="1" si="12"/>
        <v>#NAME?</v>
      </c>
      <c r="AI167" s="575" t="e">
        <f t="shared" ca="1" si="13"/>
        <v>#NAME?</v>
      </c>
      <c r="AJ167" s="575" t="e">
        <f t="shared" ca="1" si="14"/>
        <v>#NAME?</v>
      </c>
    </row>
    <row r="168" spans="32:36" x14ac:dyDescent="0.2">
      <c r="AF168" s="562" t="e">
        <f ca="1">_xll.qlCalendarAdvance(Calendar,AF167,"1d","mf",,Trigger)</f>
        <v>#NAME?</v>
      </c>
      <c r="AG168" s="578" t="e">
        <f ca="1">_xll.qlDayCounterYearFraction(DayCounter,SettlementDate,AF168,,,Trigger)</f>
        <v>#NAME?</v>
      </c>
      <c r="AH168" s="575" t="e">
        <f t="shared" ca="1" si="12"/>
        <v>#NAME?</v>
      </c>
      <c r="AI168" s="575" t="e">
        <f t="shared" ca="1" si="13"/>
        <v>#NAME?</v>
      </c>
      <c r="AJ168" s="575" t="e">
        <f t="shared" ca="1" si="14"/>
        <v>#NAME?</v>
      </c>
    </row>
    <row r="169" spans="32:36" x14ac:dyDescent="0.2">
      <c r="AF169" s="562" t="e">
        <f ca="1">_xll.qlCalendarAdvance(Calendar,AF168,"1d","mf",,Trigger)</f>
        <v>#NAME?</v>
      </c>
      <c r="AG169" s="578" t="e">
        <f ca="1">_xll.qlDayCounterYearFraction(DayCounter,SettlementDate,AF169,,,Trigger)</f>
        <v>#NAME?</v>
      </c>
      <c r="AH169" s="575" t="e">
        <f t="shared" ca="1" si="12"/>
        <v>#NAME?</v>
      </c>
      <c r="AI169" s="575" t="e">
        <f t="shared" ca="1" si="13"/>
        <v>#NAME?</v>
      </c>
      <c r="AJ169" s="575" t="e">
        <f t="shared" ca="1" si="14"/>
        <v>#NAME?</v>
      </c>
    </row>
    <row r="170" spans="32:36" x14ac:dyDescent="0.2">
      <c r="AF170" s="562" t="e">
        <f ca="1">_xll.qlCalendarAdvance(Calendar,AF169,"1d","mf",,Trigger)</f>
        <v>#NAME?</v>
      </c>
      <c r="AG170" s="578" t="e">
        <f ca="1">_xll.qlDayCounterYearFraction(DayCounter,SettlementDate,AF170,,,Trigger)</f>
        <v>#NAME?</v>
      </c>
      <c r="AH170" s="575" t="e">
        <f t="shared" ca="1" si="12"/>
        <v>#NAME?</v>
      </c>
      <c r="AI170" s="575" t="e">
        <f t="shared" ca="1" si="13"/>
        <v>#NAME?</v>
      </c>
      <c r="AJ170" s="575" t="e">
        <f t="shared" ca="1" si="14"/>
        <v>#NAME?</v>
      </c>
    </row>
    <row r="171" spans="32:36" x14ac:dyDescent="0.2">
      <c r="AF171" s="562" t="e">
        <f ca="1">_xll.qlCalendarAdvance(Calendar,AF170,"1d","mf",,Trigger)</f>
        <v>#NAME?</v>
      </c>
      <c r="AG171" s="578" t="e">
        <f ca="1">_xll.qlDayCounterYearFraction(DayCounter,SettlementDate,AF171,,,Trigger)</f>
        <v>#NAME?</v>
      </c>
      <c r="AH171" s="575" t="e">
        <f t="shared" ca="1" si="12"/>
        <v>#NAME?</v>
      </c>
      <c r="AI171" s="575" t="e">
        <f t="shared" ca="1" si="13"/>
        <v>#NAME?</v>
      </c>
      <c r="AJ171" s="575" t="e">
        <f t="shared" ca="1" si="14"/>
        <v>#NAME?</v>
      </c>
    </row>
    <row r="172" spans="32:36" x14ac:dyDescent="0.2">
      <c r="AF172" s="562" t="e">
        <f ca="1">_xll.qlCalendarAdvance(Calendar,AF171,"1d","mf",,Trigger)</f>
        <v>#NAME?</v>
      </c>
      <c r="AG172" s="578" t="e">
        <f ca="1">_xll.qlDayCounterYearFraction(DayCounter,SettlementDate,AF172,,,Trigger)</f>
        <v>#NAME?</v>
      </c>
      <c r="AH172" s="575" t="e">
        <f t="shared" ca="1" si="12"/>
        <v>#NAME?</v>
      </c>
      <c r="AI172" s="575" t="e">
        <f t="shared" ca="1" si="13"/>
        <v>#NAME?</v>
      </c>
      <c r="AJ172" s="575" t="e">
        <f t="shared" ca="1" si="14"/>
        <v>#NAME?</v>
      </c>
    </row>
    <row r="173" spans="32:36" x14ac:dyDescent="0.2">
      <c r="AF173" s="562" t="e">
        <f ca="1">_xll.qlCalendarAdvance(Calendar,AF172,"1d","mf",,Trigger)</f>
        <v>#NAME?</v>
      </c>
      <c r="AG173" s="578" t="e">
        <f ca="1">_xll.qlDayCounterYearFraction(DayCounter,SettlementDate,AF173,,,Trigger)</f>
        <v>#NAME?</v>
      </c>
      <c r="AH173" s="575" t="e">
        <f t="shared" ca="1" si="12"/>
        <v>#NAME?</v>
      </c>
      <c r="AI173" s="575" t="e">
        <f t="shared" ca="1" si="13"/>
        <v>#NAME?</v>
      </c>
      <c r="AJ173" s="575" t="e">
        <f t="shared" ca="1" si="14"/>
        <v>#NAME?</v>
      </c>
    </row>
    <row r="174" spans="32:36" x14ac:dyDescent="0.2">
      <c r="AF174" s="562" t="e">
        <f ca="1">_xll.qlCalendarAdvance(Calendar,AF173,"1d","mf",,Trigger)</f>
        <v>#NAME?</v>
      </c>
      <c r="AG174" s="578" t="e">
        <f ca="1">_xll.qlDayCounterYearFraction(DayCounter,SettlementDate,AF174,,,Trigger)</f>
        <v>#NAME?</v>
      </c>
      <c r="AH174" s="575" t="e">
        <f t="shared" ca="1" si="12"/>
        <v>#NAME?</v>
      </c>
      <c r="AI174" s="575" t="e">
        <f t="shared" ca="1" si="13"/>
        <v>#NAME?</v>
      </c>
      <c r="AJ174" s="575" t="e">
        <f t="shared" ca="1" si="14"/>
        <v>#NAME?</v>
      </c>
    </row>
    <row r="175" spans="32:36" x14ac:dyDescent="0.2">
      <c r="AF175" s="562" t="e">
        <f ca="1">_xll.qlCalendarAdvance(Calendar,AF174,"1d","mf",,Trigger)</f>
        <v>#NAME?</v>
      </c>
      <c r="AG175" s="578" t="e">
        <f ca="1">_xll.qlDayCounterYearFraction(DayCounter,SettlementDate,AF175,,,Trigger)</f>
        <v>#NAME?</v>
      </c>
      <c r="AH175" s="575" t="e">
        <f t="shared" ca="1" si="12"/>
        <v>#NAME?</v>
      </c>
      <c r="AI175" s="575" t="e">
        <f t="shared" ca="1" si="13"/>
        <v>#NAME?</v>
      </c>
      <c r="AJ175" s="575" t="e">
        <f t="shared" ca="1" si="14"/>
        <v>#NAME?</v>
      </c>
    </row>
    <row r="176" spans="32:36" x14ac:dyDescent="0.2">
      <c r="AF176" s="562" t="e">
        <f ca="1">_xll.qlCalendarAdvance(Calendar,AF175,"1d","mf",,Trigger)</f>
        <v>#NAME?</v>
      </c>
      <c r="AG176" s="578" t="e">
        <f ca="1">_xll.qlDayCounterYearFraction(DayCounter,SettlementDate,AF176,,,Trigger)</f>
        <v>#NAME?</v>
      </c>
      <c r="AH176" s="575" t="e">
        <f t="shared" ca="1" si="12"/>
        <v>#NAME?</v>
      </c>
      <c r="AI176" s="575" t="e">
        <f t="shared" ca="1" si="13"/>
        <v>#NAME?</v>
      </c>
      <c r="AJ176" s="575" t="e">
        <f t="shared" ca="1" si="14"/>
        <v>#NAME?</v>
      </c>
    </row>
    <row r="177" spans="32:36" x14ac:dyDescent="0.2">
      <c r="AF177" s="562" t="e">
        <f ca="1">_xll.qlCalendarAdvance(Calendar,AF176,"1d","mf",,Trigger)</f>
        <v>#NAME?</v>
      </c>
      <c r="AG177" s="578" t="e">
        <f ca="1">_xll.qlDayCounterYearFraction(DayCounter,SettlementDate,AF177,,,Trigger)</f>
        <v>#NAME?</v>
      </c>
      <c r="AH177" s="575" t="e">
        <f t="shared" ca="1" si="12"/>
        <v>#NAME?</v>
      </c>
      <c r="AI177" s="575" t="e">
        <f t="shared" ca="1" si="13"/>
        <v>#NAME?</v>
      </c>
      <c r="AJ177" s="575" t="e">
        <f t="shared" ca="1" si="14"/>
        <v>#NAME?</v>
      </c>
    </row>
    <row r="178" spans="32:36" x14ac:dyDescent="0.2">
      <c r="AF178" s="562" t="e">
        <f ca="1">_xll.qlCalendarAdvance(Calendar,AF177,"1d","mf",,Trigger)</f>
        <v>#NAME?</v>
      </c>
      <c r="AG178" s="578" t="e">
        <f ca="1">_xll.qlDayCounterYearFraction(DayCounter,SettlementDate,AF178,,,Trigger)</f>
        <v>#NAME?</v>
      </c>
      <c r="AH178" s="575" t="e">
        <f t="shared" ca="1" si="12"/>
        <v>#NAME?</v>
      </c>
      <c r="AI178" s="575" t="e">
        <f t="shared" ca="1" si="13"/>
        <v>#NAME?</v>
      </c>
      <c r="AJ178" s="575" t="e">
        <f t="shared" ca="1" si="14"/>
        <v>#NAME?</v>
      </c>
    </row>
    <row r="179" spans="32:36" x14ac:dyDescent="0.2">
      <c r="AF179" s="562" t="e">
        <f ca="1">_xll.qlCalendarAdvance(Calendar,AF178,"1d","mf",,Trigger)</f>
        <v>#NAME?</v>
      </c>
      <c r="AG179" s="578" t="e">
        <f ca="1">_xll.qlDayCounterYearFraction(DayCounter,SettlementDate,AF179,,,Trigger)</f>
        <v>#NAME?</v>
      </c>
      <c r="AH179" s="575" t="e">
        <f t="shared" ca="1" si="12"/>
        <v>#NAME?</v>
      </c>
      <c r="AI179" s="575" t="e">
        <f t="shared" ca="1" si="13"/>
        <v>#NAME?</v>
      </c>
      <c r="AJ179" s="575" t="e">
        <f t="shared" ca="1" si="14"/>
        <v>#NAME?</v>
      </c>
    </row>
    <row r="180" spans="32:36" x14ac:dyDescent="0.2">
      <c r="AF180" s="562" t="e">
        <f ca="1">_xll.qlCalendarAdvance(Calendar,AF179,"1d","mf",,Trigger)</f>
        <v>#NAME?</v>
      </c>
      <c r="AG180" s="578" t="e">
        <f ca="1">_xll.qlDayCounterYearFraction(DayCounter,SettlementDate,AF180,,,Trigger)</f>
        <v>#NAME?</v>
      </c>
      <c r="AH180" s="575" t="e">
        <f t="shared" ca="1" si="12"/>
        <v>#NAME?</v>
      </c>
      <c r="AI180" s="575" t="e">
        <f t="shared" ca="1" si="13"/>
        <v>#NAME?</v>
      </c>
      <c r="AJ180" s="575" t="e">
        <f t="shared" ca="1" si="14"/>
        <v>#NAME?</v>
      </c>
    </row>
    <row r="181" spans="32:36" x14ac:dyDescent="0.2">
      <c r="AF181" s="562" t="e">
        <f ca="1">_xll.qlCalendarAdvance(Calendar,AF180,"1d","mf",,Trigger)</f>
        <v>#NAME?</v>
      </c>
      <c r="AG181" s="578" t="e">
        <f ca="1">_xll.qlDayCounterYearFraction(DayCounter,SettlementDate,AF181,,,Trigger)</f>
        <v>#NAME?</v>
      </c>
      <c r="AH181" s="575" t="e">
        <f t="shared" ca="1" si="12"/>
        <v>#NAME?</v>
      </c>
      <c r="AI181" s="575" t="e">
        <f t="shared" ca="1" si="13"/>
        <v>#NAME?</v>
      </c>
      <c r="AJ181" s="575" t="e">
        <f t="shared" ca="1" si="14"/>
        <v>#NAME?</v>
      </c>
    </row>
    <row r="182" spans="32:36" x14ac:dyDescent="0.2">
      <c r="AF182" s="562" t="e">
        <f ca="1">_xll.qlCalendarAdvance(Calendar,AF181,"1d","mf",,Trigger)</f>
        <v>#NAME?</v>
      </c>
      <c r="AG182" s="578" t="e">
        <f ca="1">_xll.qlDayCounterYearFraction(DayCounter,SettlementDate,AF182,,,Trigger)</f>
        <v>#NAME?</v>
      </c>
      <c r="AH182" s="575" t="e">
        <f t="shared" ca="1" si="12"/>
        <v>#NAME?</v>
      </c>
      <c r="AI182" s="575" t="e">
        <f t="shared" ca="1" si="13"/>
        <v>#NAME?</v>
      </c>
      <c r="AJ182" s="575" t="e">
        <f t="shared" ca="1" si="14"/>
        <v>#NAME?</v>
      </c>
    </row>
    <row r="183" spans="32:36" x14ac:dyDescent="0.2">
      <c r="AF183" s="562" t="e">
        <f ca="1">_xll.qlCalendarAdvance(Calendar,AF182,"1d","mf",,Trigger)</f>
        <v>#NAME?</v>
      </c>
      <c r="AG183" s="578" t="e">
        <f ca="1">_xll.qlDayCounterYearFraction(DayCounter,SettlementDate,AF183,,,Trigger)</f>
        <v>#NAME?</v>
      </c>
      <c r="AH183" s="575" t="e">
        <f t="shared" ca="1" si="12"/>
        <v>#NAME?</v>
      </c>
      <c r="AI183" s="575" t="e">
        <f t="shared" ca="1" si="13"/>
        <v>#NAME?</v>
      </c>
      <c r="AJ183" s="575" t="e">
        <f t="shared" ca="1" si="14"/>
        <v>#NAME?</v>
      </c>
    </row>
    <row r="184" spans="32:36" x14ac:dyDescent="0.2">
      <c r="AF184" s="562" t="e">
        <f ca="1">_xll.qlCalendarAdvance(Calendar,AF183,"1d","mf",,Trigger)</f>
        <v>#NAME?</v>
      </c>
      <c r="AG184" s="578" t="e">
        <f ca="1">_xll.qlDayCounterYearFraction(DayCounter,SettlementDate,AF184,,,Trigger)</f>
        <v>#NAME?</v>
      </c>
      <c r="AH184" s="575" t="e">
        <f t="shared" ca="1" si="12"/>
        <v>#NAME?</v>
      </c>
      <c r="AI184" s="575" t="e">
        <f t="shared" ca="1" si="13"/>
        <v>#NAME?</v>
      </c>
      <c r="AJ184" s="575" t="e">
        <f t="shared" ca="1" si="14"/>
        <v>#NAME?</v>
      </c>
    </row>
    <row r="185" spans="32:36" x14ac:dyDescent="0.2">
      <c r="AF185" s="562" t="e">
        <f ca="1">_xll.qlCalendarAdvance(Calendar,AF184,"1d","mf",,Trigger)</f>
        <v>#NAME?</v>
      </c>
      <c r="AG185" s="578" t="e">
        <f ca="1">_xll.qlDayCounterYearFraction(DayCounter,SettlementDate,AF185,,,Trigger)</f>
        <v>#NAME?</v>
      </c>
      <c r="AH185" s="575" t="e">
        <f t="shared" ca="1" si="12"/>
        <v>#NAME?</v>
      </c>
      <c r="AI185" s="575" t="e">
        <f t="shared" ca="1" si="13"/>
        <v>#NAME?</v>
      </c>
      <c r="AJ185" s="575" t="e">
        <f t="shared" ca="1" si="14"/>
        <v>#NAME?</v>
      </c>
    </row>
    <row r="186" spans="32:36" x14ac:dyDescent="0.2">
      <c r="AF186" s="562" t="e">
        <f ca="1">_xll.qlCalendarAdvance(Calendar,AF185,"1d","mf",,Trigger)</f>
        <v>#NAME?</v>
      </c>
      <c r="AG186" s="578" t="e">
        <f ca="1">_xll.qlDayCounterYearFraction(DayCounter,SettlementDate,AF186,,,Trigger)</f>
        <v>#NAME?</v>
      </c>
      <c r="AH186" s="575" t="e">
        <f t="shared" ca="1" si="12"/>
        <v>#NAME?</v>
      </c>
      <c r="AI186" s="575" t="e">
        <f t="shared" ca="1" si="13"/>
        <v>#NAME?</v>
      </c>
      <c r="AJ186" s="575" t="e">
        <f t="shared" ca="1" si="14"/>
        <v>#NAME?</v>
      </c>
    </row>
    <row r="187" spans="32:36" x14ac:dyDescent="0.2">
      <c r="AF187" s="562" t="e">
        <f ca="1">_xll.qlCalendarAdvance(Calendar,AF186,"1d","mf",,Trigger)</f>
        <v>#NAME?</v>
      </c>
      <c r="AG187" s="578" t="e">
        <f ca="1">_xll.qlDayCounterYearFraction(DayCounter,SettlementDate,AF187,,,Trigger)</f>
        <v>#NAME?</v>
      </c>
      <c r="AH187" s="575" t="e">
        <f t="shared" ca="1" si="12"/>
        <v>#NAME?</v>
      </c>
      <c r="AI187" s="575" t="e">
        <f t="shared" ca="1" si="13"/>
        <v>#NAME?</v>
      </c>
      <c r="AJ187" s="575" t="e">
        <f t="shared" ca="1" si="14"/>
        <v>#NAME?</v>
      </c>
    </row>
    <row r="188" spans="32:36" x14ac:dyDescent="0.2">
      <c r="AF188" s="562" t="e">
        <f ca="1">_xll.qlCalendarAdvance(Calendar,AF187,"1d","mf",,Trigger)</f>
        <v>#NAME?</v>
      </c>
      <c r="AG188" s="578" t="e">
        <f ca="1">_xll.qlDayCounterYearFraction(DayCounter,SettlementDate,AF188,,,Trigger)</f>
        <v>#NAME?</v>
      </c>
      <c r="AH188" s="575" t="e">
        <f t="shared" ca="1" si="12"/>
        <v>#NAME?</v>
      </c>
      <c r="AI188" s="575" t="e">
        <f t="shared" ca="1" si="13"/>
        <v>#NAME?</v>
      </c>
      <c r="AJ188" s="575" t="e">
        <f t="shared" ca="1" si="14"/>
        <v>#NAME?</v>
      </c>
    </row>
    <row r="189" spans="32:36" x14ac:dyDescent="0.2">
      <c r="AF189" s="562" t="e">
        <f ca="1">_xll.qlCalendarAdvance(Calendar,AF188,"1d","mf",,Trigger)</f>
        <v>#NAME?</v>
      </c>
      <c r="AG189" s="578" t="e">
        <f ca="1">_xll.qlDayCounterYearFraction(DayCounter,SettlementDate,AF189,,,Trigger)</f>
        <v>#NAME?</v>
      </c>
      <c r="AH189" s="575" t="e">
        <f t="shared" ca="1" si="12"/>
        <v>#NAME?</v>
      </c>
      <c r="AI189" s="575" t="e">
        <f t="shared" ca="1" si="13"/>
        <v>#NAME?</v>
      </c>
      <c r="AJ189" s="575" t="e">
        <f t="shared" ca="1" si="14"/>
        <v>#NAME?</v>
      </c>
    </row>
    <row r="190" spans="32:36" x14ac:dyDescent="0.2">
      <c r="AF190" s="562" t="e">
        <f ca="1">_xll.qlCalendarAdvance(Calendar,AF189,"1d","mf",,Trigger)</f>
        <v>#NAME?</v>
      </c>
      <c r="AG190" s="578" t="e">
        <f ca="1">_xll.qlDayCounterYearFraction(DayCounter,SettlementDate,AF190,,,Trigger)</f>
        <v>#NAME?</v>
      </c>
      <c r="AH190" s="575" t="e">
        <f t="shared" ca="1" si="12"/>
        <v>#NAME?</v>
      </c>
      <c r="AI190" s="575" t="e">
        <f t="shared" ca="1" si="13"/>
        <v>#NAME?</v>
      </c>
      <c r="AJ190" s="575" t="e">
        <f t="shared" ca="1" si="14"/>
        <v>#NAME?</v>
      </c>
    </row>
    <row r="191" spans="32:36" x14ac:dyDescent="0.2">
      <c r="AF191" s="562" t="e">
        <f ca="1">_xll.qlCalendarAdvance(Calendar,AF190,"1d","mf",,Trigger)</f>
        <v>#NAME?</v>
      </c>
      <c r="AG191" s="578" t="e">
        <f ca="1">_xll.qlDayCounterYearFraction(DayCounter,SettlementDate,AF191,,,Trigger)</f>
        <v>#NAME?</v>
      </c>
      <c r="AH191" s="575" t="e">
        <f t="shared" ca="1" si="12"/>
        <v>#NAME?</v>
      </c>
      <c r="AI191" s="575" t="e">
        <f t="shared" ca="1" si="13"/>
        <v>#NAME?</v>
      </c>
      <c r="AJ191" s="575" t="e">
        <f t="shared" ca="1" si="14"/>
        <v>#NAME?</v>
      </c>
    </row>
    <row r="192" spans="32:36" x14ac:dyDescent="0.2">
      <c r="AF192" s="562" t="e">
        <f ca="1">_xll.qlCalendarAdvance(Calendar,AF191,"1d","mf",,Trigger)</f>
        <v>#NAME?</v>
      </c>
      <c r="AG192" s="578" t="e">
        <f ca="1">_xll.qlDayCounterYearFraction(DayCounter,SettlementDate,AF192,,,Trigger)</f>
        <v>#NAME?</v>
      </c>
      <c r="AH192" s="575" t="e">
        <f t="shared" ca="1" si="12"/>
        <v>#NAME?</v>
      </c>
      <c r="AI192" s="575" t="e">
        <f t="shared" ca="1" si="13"/>
        <v>#NAME?</v>
      </c>
      <c r="AJ192" s="575" t="e">
        <f t="shared" ca="1" si="14"/>
        <v>#NAME?</v>
      </c>
    </row>
    <row r="193" spans="32:36" x14ac:dyDescent="0.2">
      <c r="AF193" s="562" t="e">
        <f ca="1">_xll.qlCalendarAdvance(Calendar,AF192,"1d","mf",,Trigger)</f>
        <v>#NAME?</v>
      </c>
      <c r="AG193" s="578" t="e">
        <f ca="1">_xll.qlDayCounterYearFraction(DayCounter,SettlementDate,AF193,,,Trigger)</f>
        <v>#NAME?</v>
      </c>
      <c r="AH193" s="575" t="e">
        <f t="shared" ca="1" si="12"/>
        <v>#NAME?</v>
      </c>
      <c r="AI193" s="575" t="e">
        <f t="shared" ca="1" si="13"/>
        <v>#NAME?</v>
      </c>
      <c r="AJ193" s="575" t="e">
        <f t="shared" ca="1" si="14"/>
        <v>#NAME?</v>
      </c>
    </row>
    <row r="194" spans="32:36" x14ac:dyDescent="0.2">
      <c r="AF194" s="562" t="e">
        <f ca="1">_xll.qlCalendarAdvance(Calendar,AF193,"1d","mf",,Trigger)</f>
        <v>#NAME?</v>
      </c>
      <c r="AG194" s="578" t="e">
        <f ca="1">_xll.qlDayCounterYearFraction(DayCounter,SettlementDate,AF194,,,Trigger)</f>
        <v>#NAME?</v>
      </c>
      <c r="AH194" s="575" t="e">
        <f t="shared" ca="1" si="12"/>
        <v>#NAME?</v>
      </c>
      <c r="AI194" s="575" t="e">
        <f t="shared" ca="1" si="13"/>
        <v>#NAME?</v>
      </c>
      <c r="AJ194" s="575" t="e">
        <f t="shared" ca="1" si="14"/>
        <v>#NAME?</v>
      </c>
    </row>
    <row r="195" spans="32:36" x14ac:dyDescent="0.2">
      <c r="AF195" s="562" t="e">
        <f ca="1">_xll.qlCalendarAdvance(Calendar,AF194,"1d","mf",,Trigger)</f>
        <v>#NAME?</v>
      </c>
      <c r="AG195" s="578" t="e">
        <f ca="1">_xll.qlDayCounterYearFraction(DayCounter,SettlementDate,AF195,,,Trigger)</f>
        <v>#NAME?</v>
      </c>
      <c r="AH195" s="575" t="e">
        <f t="shared" ref="AH195:AH259" ca="1" si="15">$W$13</f>
        <v>#NAME?</v>
      </c>
      <c r="AI195" s="575" t="e">
        <f t="shared" ref="AI195:AI259" ca="1" si="16">$W$10+$W$9*AG195</f>
        <v>#NAME?</v>
      </c>
      <c r="AJ195" s="575" t="e">
        <f t="shared" ref="AJ195:AJ259" ca="1" si="17">($W$5+$W$4*AG195+$W$3*AG195^2)</f>
        <v>#NAME?</v>
      </c>
    </row>
    <row r="196" spans="32:36" x14ac:dyDescent="0.2">
      <c r="AF196" s="562" t="e">
        <f ca="1">_xll.qlCalendarAdvance(Calendar,AF195,"1d","mf",,Trigger)</f>
        <v>#NAME?</v>
      </c>
      <c r="AG196" s="578" t="e">
        <f ca="1">_xll.qlDayCounterYearFraction(DayCounter,SettlementDate,AF196,,,Trigger)</f>
        <v>#NAME?</v>
      </c>
      <c r="AH196" s="575" t="e">
        <f t="shared" ca="1" si="15"/>
        <v>#NAME?</v>
      </c>
      <c r="AI196" s="575" t="e">
        <f t="shared" ca="1" si="16"/>
        <v>#NAME?</v>
      </c>
      <c r="AJ196" s="575" t="e">
        <f t="shared" ca="1" si="17"/>
        <v>#NAME?</v>
      </c>
    </row>
    <row r="197" spans="32:36" x14ac:dyDescent="0.2">
      <c r="AF197" s="562" t="e">
        <f ca="1">_xll.qlCalendarAdvance(Calendar,AF196,"1d","mf",,Trigger)</f>
        <v>#NAME?</v>
      </c>
      <c r="AG197" s="578" t="e">
        <f ca="1">_xll.qlDayCounterYearFraction(DayCounter,SettlementDate,AF197,,,Trigger)</f>
        <v>#NAME?</v>
      </c>
      <c r="AH197" s="575" t="e">
        <f t="shared" ca="1" si="15"/>
        <v>#NAME?</v>
      </c>
      <c r="AI197" s="575" t="e">
        <f t="shared" ca="1" si="16"/>
        <v>#NAME?</v>
      </c>
      <c r="AJ197" s="575" t="e">
        <f t="shared" ca="1" si="17"/>
        <v>#NAME?</v>
      </c>
    </row>
    <row r="198" spans="32:36" x14ac:dyDescent="0.2">
      <c r="AF198" s="562" t="e">
        <f ca="1">_xll.qlCalendarAdvance(Calendar,AF197,"1d","mf",,Trigger)</f>
        <v>#NAME?</v>
      </c>
      <c r="AG198" s="578" t="e">
        <f ca="1">_xll.qlDayCounterYearFraction(DayCounter,SettlementDate,AF198,,,Trigger)</f>
        <v>#NAME?</v>
      </c>
      <c r="AH198" s="575" t="e">
        <f t="shared" ca="1" si="15"/>
        <v>#NAME?</v>
      </c>
      <c r="AI198" s="575" t="e">
        <f t="shared" ca="1" si="16"/>
        <v>#NAME?</v>
      </c>
      <c r="AJ198" s="575" t="e">
        <f t="shared" ca="1" si="17"/>
        <v>#NAME?</v>
      </c>
    </row>
    <row r="199" spans="32:36" x14ac:dyDescent="0.2">
      <c r="AF199" s="562" t="e">
        <f ca="1">_xll.qlCalendarAdvance(Calendar,AF198,"1d","mf",,Trigger)</f>
        <v>#NAME?</v>
      </c>
      <c r="AG199" s="578" t="e">
        <f ca="1">_xll.qlDayCounterYearFraction(DayCounter,SettlementDate,AF199,,,Trigger)</f>
        <v>#NAME?</v>
      </c>
      <c r="AH199" s="575" t="e">
        <f t="shared" ca="1" si="15"/>
        <v>#NAME?</v>
      </c>
      <c r="AI199" s="575" t="e">
        <f t="shared" ca="1" si="16"/>
        <v>#NAME?</v>
      </c>
      <c r="AJ199" s="575" t="e">
        <f t="shared" ca="1" si="17"/>
        <v>#NAME?</v>
      </c>
    </row>
    <row r="200" spans="32:36" x14ac:dyDescent="0.2">
      <c r="AF200" s="562" t="e">
        <f ca="1">_xll.qlCalendarAdvance(Calendar,AF199,"1d","mf",,Trigger)</f>
        <v>#NAME?</v>
      </c>
      <c r="AG200" s="578" t="e">
        <f ca="1">_xll.qlDayCounterYearFraction(DayCounter,SettlementDate,AF200,,,Trigger)</f>
        <v>#NAME?</v>
      </c>
      <c r="AH200" s="575" t="e">
        <f t="shared" ca="1" si="15"/>
        <v>#NAME?</v>
      </c>
      <c r="AI200" s="575" t="e">
        <f t="shared" ca="1" si="16"/>
        <v>#NAME?</v>
      </c>
      <c r="AJ200" s="575" t="e">
        <f t="shared" ca="1" si="17"/>
        <v>#NAME?</v>
      </c>
    </row>
    <row r="201" spans="32:36" x14ac:dyDescent="0.2">
      <c r="AF201" s="562" t="e">
        <f ca="1">_xll.qlCalendarAdvance(Calendar,AF200,"1d","mf",,Trigger)</f>
        <v>#NAME?</v>
      </c>
      <c r="AG201" s="578" t="e">
        <f ca="1">_xll.qlDayCounterYearFraction(DayCounter,SettlementDate,AF201,,,Trigger)</f>
        <v>#NAME?</v>
      </c>
      <c r="AH201" s="575" t="e">
        <f t="shared" ca="1" si="15"/>
        <v>#NAME?</v>
      </c>
      <c r="AI201" s="575" t="e">
        <f t="shared" ca="1" si="16"/>
        <v>#NAME?</v>
      </c>
      <c r="AJ201" s="575" t="e">
        <f t="shared" ca="1" si="17"/>
        <v>#NAME?</v>
      </c>
    </row>
    <row r="202" spans="32:36" x14ac:dyDescent="0.2">
      <c r="AF202" s="562" t="e">
        <f ca="1">_xll.qlCalendarAdvance(Calendar,AF201,"1d","mf",,Trigger)</f>
        <v>#NAME?</v>
      </c>
      <c r="AG202" s="578" t="e">
        <f ca="1">_xll.qlDayCounterYearFraction(DayCounter,SettlementDate,AF202,,,Trigger)</f>
        <v>#NAME?</v>
      </c>
      <c r="AH202" s="575" t="e">
        <f t="shared" ca="1" si="15"/>
        <v>#NAME?</v>
      </c>
      <c r="AI202" s="575" t="e">
        <f t="shared" ca="1" si="16"/>
        <v>#NAME?</v>
      </c>
      <c r="AJ202" s="575" t="e">
        <f t="shared" ca="1" si="17"/>
        <v>#NAME?</v>
      </c>
    </row>
    <row r="203" spans="32:36" x14ac:dyDescent="0.2">
      <c r="AF203" s="562" t="e">
        <f ca="1">_xll.qlCalendarAdvance(Calendar,AF202,"1d","mf",,Trigger)</f>
        <v>#NAME?</v>
      </c>
      <c r="AG203" s="578" t="e">
        <f ca="1">_xll.qlDayCounterYearFraction(DayCounter,SettlementDate,AF203,,,Trigger)</f>
        <v>#NAME?</v>
      </c>
      <c r="AH203" s="575" t="e">
        <f t="shared" ca="1" si="15"/>
        <v>#NAME?</v>
      </c>
      <c r="AI203" s="575" t="e">
        <f t="shared" ca="1" si="16"/>
        <v>#NAME?</v>
      </c>
      <c r="AJ203" s="575" t="e">
        <f t="shared" ca="1" si="17"/>
        <v>#NAME?</v>
      </c>
    </row>
    <row r="204" spans="32:36" x14ac:dyDescent="0.2">
      <c r="AF204" s="562" t="e">
        <f ca="1">_xll.qlCalendarAdvance(Calendar,AF203,"1d","mf",,Trigger)</f>
        <v>#NAME?</v>
      </c>
      <c r="AG204" s="578" t="e">
        <f ca="1">_xll.qlDayCounterYearFraction(DayCounter,SettlementDate,AF204,,,Trigger)</f>
        <v>#NAME?</v>
      </c>
      <c r="AH204" s="575" t="e">
        <f t="shared" ca="1" si="15"/>
        <v>#NAME?</v>
      </c>
      <c r="AI204" s="575" t="e">
        <f t="shared" ca="1" si="16"/>
        <v>#NAME?</v>
      </c>
      <c r="AJ204" s="575" t="e">
        <f t="shared" ca="1" si="17"/>
        <v>#NAME?</v>
      </c>
    </row>
    <row r="205" spans="32:36" x14ac:dyDescent="0.2">
      <c r="AF205" s="562" t="e">
        <f ca="1">_xll.qlCalendarAdvance(Calendar,AF204,"1d","mf",,Trigger)</f>
        <v>#NAME?</v>
      </c>
      <c r="AG205" s="578" t="e">
        <f ca="1">_xll.qlDayCounterYearFraction(DayCounter,SettlementDate,AF205,,,Trigger)</f>
        <v>#NAME?</v>
      </c>
      <c r="AH205" s="575" t="e">
        <f t="shared" ca="1" si="15"/>
        <v>#NAME?</v>
      </c>
      <c r="AI205" s="575" t="e">
        <f t="shared" ca="1" si="16"/>
        <v>#NAME?</v>
      </c>
      <c r="AJ205" s="575" t="e">
        <f t="shared" ca="1" si="17"/>
        <v>#NAME?</v>
      </c>
    </row>
    <row r="206" spans="32:36" x14ac:dyDescent="0.2">
      <c r="AF206" s="562" t="e">
        <f ca="1">_xll.qlCalendarAdvance(Calendar,AF205,"1d","mf",,Trigger)</f>
        <v>#NAME?</v>
      </c>
      <c r="AG206" s="578" t="e">
        <f ca="1">_xll.qlDayCounterYearFraction(DayCounter,SettlementDate,AF206,,,Trigger)</f>
        <v>#NAME?</v>
      </c>
      <c r="AH206" s="575" t="e">
        <f t="shared" ca="1" si="15"/>
        <v>#NAME?</v>
      </c>
      <c r="AI206" s="575" t="e">
        <f t="shared" ca="1" si="16"/>
        <v>#NAME?</v>
      </c>
      <c r="AJ206" s="575" t="e">
        <f t="shared" ca="1" si="17"/>
        <v>#NAME?</v>
      </c>
    </row>
    <row r="207" spans="32:36" x14ac:dyDescent="0.2">
      <c r="AF207" s="562" t="e">
        <f ca="1">_xll.qlCalendarAdvance(Calendar,AF206,"1d","mf",,Trigger)</f>
        <v>#NAME?</v>
      </c>
      <c r="AG207" s="578" t="e">
        <f ca="1">_xll.qlDayCounterYearFraction(DayCounter,SettlementDate,AF207,,,Trigger)</f>
        <v>#NAME?</v>
      </c>
      <c r="AH207" s="575" t="e">
        <f t="shared" ca="1" si="15"/>
        <v>#NAME?</v>
      </c>
      <c r="AI207" s="575" t="e">
        <f t="shared" ca="1" si="16"/>
        <v>#NAME?</v>
      </c>
      <c r="AJ207" s="575" t="e">
        <f t="shared" ca="1" si="17"/>
        <v>#NAME?</v>
      </c>
    </row>
    <row r="208" spans="32:36" x14ac:dyDescent="0.2">
      <c r="AF208" s="562" t="e">
        <f ca="1">_xll.qlCalendarAdvance(Calendar,AF207,"1d","mf",,Trigger)</f>
        <v>#NAME?</v>
      </c>
      <c r="AG208" s="578" t="e">
        <f ca="1">_xll.qlDayCounterYearFraction(DayCounter,SettlementDate,AF208,,,Trigger)</f>
        <v>#NAME?</v>
      </c>
      <c r="AH208" s="575" t="e">
        <f t="shared" ca="1" si="15"/>
        <v>#NAME?</v>
      </c>
      <c r="AI208" s="575" t="e">
        <f t="shared" ca="1" si="16"/>
        <v>#NAME?</v>
      </c>
      <c r="AJ208" s="575" t="e">
        <f t="shared" ca="1" si="17"/>
        <v>#NAME?</v>
      </c>
    </row>
    <row r="209" spans="32:36" x14ac:dyDescent="0.2">
      <c r="AF209" s="562" t="e">
        <f ca="1">_xll.qlCalendarAdvance(Calendar,AF208,"1d","mf",,Trigger)</f>
        <v>#NAME?</v>
      </c>
      <c r="AG209" s="578" t="e">
        <f ca="1">_xll.qlDayCounterYearFraction(DayCounter,SettlementDate,AF209,,,Trigger)</f>
        <v>#NAME?</v>
      </c>
      <c r="AH209" s="575" t="e">
        <f t="shared" ca="1" si="15"/>
        <v>#NAME?</v>
      </c>
      <c r="AI209" s="575" t="e">
        <f t="shared" ca="1" si="16"/>
        <v>#NAME?</v>
      </c>
      <c r="AJ209" s="575" t="e">
        <f t="shared" ca="1" si="17"/>
        <v>#NAME?</v>
      </c>
    </row>
    <row r="210" spans="32:36" x14ac:dyDescent="0.2">
      <c r="AF210" s="562" t="e">
        <f ca="1">_xll.qlCalendarAdvance(Calendar,AF209,"1d","mf",,Trigger)</f>
        <v>#NAME?</v>
      </c>
      <c r="AG210" s="578" t="e">
        <f ca="1">_xll.qlDayCounterYearFraction(DayCounter,SettlementDate,AF210,,,Trigger)</f>
        <v>#NAME?</v>
      </c>
      <c r="AH210" s="575" t="e">
        <f t="shared" ca="1" si="15"/>
        <v>#NAME?</v>
      </c>
      <c r="AI210" s="575" t="e">
        <f t="shared" ca="1" si="16"/>
        <v>#NAME?</v>
      </c>
      <c r="AJ210" s="575" t="e">
        <f t="shared" ca="1" si="17"/>
        <v>#NAME?</v>
      </c>
    </row>
    <row r="211" spans="32:36" x14ac:dyDescent="0.2">
      <c r="AF211" s="562" t="e">
        <f ca="1">_xll.qlCalendarAdvance(Calendar,AF210,"1d","mf",,Trigger)</f>
        <v>#NAME?</v>
      </c>
      <c r="AG211" s="578" t="e">
        <f ca="1">_xll.qlDayCounterYearFraction(DayCounter,SettlementDate,AF211,,,Trigger)</f>
        <v>#NAME?</v>
      </c>
      <c r="AH211" s="575" t="e">
        <f t="shared" ca="1" si="15"/>
        <v>#NAME?</v>
      </c>
      <c r="AI211" s="575" t="e">
        <f t="shared" ca="1" si="16"/>
        <v>#NAME?</v>
      </c>
      <c r="AJ211" s="575" t="e">
        <f t="shared" ca="1" si="17"/>
        <v>#NAME?</v>
      </c>
    </row>
    <row r="212" spans="32:36" x14ac:dyDescent="0.2">
      <c r="AF212" s="562" t="e">
        <f ca="1">_xll.qlCalendarAdvance(Calendar,AF211,"1d","mf",,Trigger)</f>
        <v>#NAME?</v>
      </c>
      <c r="AG212" s="578" t="e">
        <f ca="1">_xll.qlDayCounterYearFraction(DayCounter,SettlementDate,AF212,,,Trigger)</f>
        <v>#NAME?</v>
      </c>
      <c r="AH212" s="575" t="e">
        <f t="shared" ca="1" si="15"/>
        <v>#NAME?</v>
      </c>
      <c r="AI212" s="575" t="e">
        <f t="shared" ca="1" si="16"/>
        <v>#NAME?</v>
      </c>
      <c r="AJ212" s="575" t="e">
        <f t="shared" ca="1" si="17"/>
        <v>#NAME?</v>
      </c>
    </row>
    <row r="213" spans="32:36" x14ac:dyDescent="0.2">
      <c r="AF213" s="562" t="e">
        <f ca="1">_xll.qlCalendarAdvance(Calendar,AF212,"1d","mf",,Trigger)</f>
        <v>#NAME?</v>
      </c>
      <c r="AG213" s="578" t="e">
        <f ca="1">_xll.qlDayCounterYearFraction(DayCounter,SettlementDate,AF213,,,Trigger)</f>
        <v>#NAME?</v>
      </c>
      <c r="AH213" s="575" t="e">
        <f t="shared" ca="1" si="15"/>
        <v>#NAME?</v>
      </c>
      <c r="AI213" s="575" t="e">
        <f t="shared" ca="1" si="16"/>
        <v>#NAME?</v>
      </c>
      <c r="AJ213" s="575" t="e">
        <f t="shared" ca="1" si="17"/>
        <v>#NAME?</v>
      </c>
    </row>
    <row r="214" spans="32:36" x14ac:dyDescent="0.2">
      <c r="AF214" s="562" t="e">
        <f ca="1">_xll.qlCalendarAdvance(Calendar,AF213,"1d","mf",,Trigger)</f>
        <v>#NAME?</v>
      </c>
      <c r="AG214" s="578" t="e">
        <f ca="1">_xll.qlDayCounterYearFraction(DayCounter,SettlementDate,AF214,,,Trigger)</f>
        <v>#NAME?</v>
      </c>
      <c r="AH214" s="575" t="e">
        <f t="shared" ca="1" si="15"/>
        <v>#NAME?</v>
      </c>
      <c r="AI214" s="575" t="e">
        <f t="shared" ca="1" si="16"/>
        <v>#NAME?</v>
      </c>
      <c r="AJ214" s="575" t="e">
        <f t="shared" ca="1" si="17"/>
        <v>#NAME?</v>
      </c>
    </row>
    <row r="215" spans="32:36" x14ac:dyDescent="0.2">
      <c r="AF215" s="562" t="e">
        <f ca="1">_xll.qlCalendarAdvance(Calendar,AF214,"1d","mf",,Trigger)</f>
        <v>#NAME?</v>
      </c>
      <c r="AG215" s="578" t="e">
        <f ca="1">_xll.qlDayCounterYearFraction(DayCounter,SettlementDate,AF215,,,Trigger)</f>
        <v>#NAME?</v>
      </c>
      <c r="AH215" s="575" t="e">
        <f t="shared" ca="1" si="15"/>
        <v>#NAME?</v>
      </c>
      <c r="AI215" s="575" t="e">
        <f t="shared" ca="1" si="16"/>
        <v>#NAME?</v>
      </c>
      <c r="AJ215" s="575" t="e">
        <f t="shared" ca="1" si="17"/>
        <v>#NAME?</v>
      </c>
    </row>
    <row r="216" spans="32:36" x14ac:dyDescent="0.2">
      <c r="AF216" s="562" t="e">
        <f ca="1">_xll.qlCalendarAdvance(Calendar,AF215,"1d","mf",,Trigger)</f>
        <v>#NAME?</v>
      </c>
      <c r="AG216" s="578" t="e">
        <f ca="1">_xll.qlDayCounterYearFraction(DayCounter,SettlementDate,AF216,,,Trigger)</f>
        <v>#NAME?</v>
      </c>
      <c r="AH216" s="575" t="e">
        <f t="shared" ca="1" si="15"/>
        <v>#NAME?</v>
      </c>
      <c r="AI216" s="575" t="e">
        <f t="shared" ca="1" si="16"/>
        <v>#NAME?</v>
      </c>
      <c r="AJ216" s="575" t="e">
        <f t="shared" ca="1" si="17"/>
        <v>#NAME?</v>
      </c>
    </row>
    <row r="217" spans="32:36" x14ac:dyDescent="0.2">
      <c r="AF217" s="562" t="e">
        <f ca="1">_xll.qlCalendarAdvance(Calendar,AF216,"1d","mf",,Trigger)</f>
        <v>#NAME?</v>
      </c>
      <c r="AG217" s="578" t="e">
        <f ca="1">_xll.qlDayCounterYearFraction(DayCounter,SettlementDate,AF217,,,Trigger)</f>
        <v>#NAME?</v>
      </c>
      <c r="AH217" s="575" t="e">
        <f t="shared" ca="1" si="15"/>
        <v>#NAME?</v>
      </c>
      <c r="AI217" s="575" t="e">
        <f t="shared" ca="1" si="16"/>
        <v>#NAME?</v>
      </c>
      <c r="AJ217" s="575" t="e">
        <f t="shared" ca="1" si="17"/>
        <v>#NAME?</v>
      </c>
    </row>
    <row r="218" spans="32:36" x14ac:dyDescent="0.2">
      <c r="AF218" s="562" t="e">
        <f ca="1">_xll.qlCalendarAdvance(Calendar,AF217,"1d","mf",,Trigger)</f>
        <v>#NAME?</v>
      </c>
      <c r="AG218" s="578" t="e">
        <f ca="1">_xll.qlDayCounterYearFraction(DayCounter,SettlementDate,AF218,,,Trigger)</f>
        <v>#NAME?</v>
      </c>
      <c r="AH218" s="575" t="e">
        <f t="shared" ca="1" si="15"/>
        <v>#NAME?</v>
      </c>
      <c r="AI218" s="575" t="e">
        <f t="shared" ca="1" si="16"/>
        <v>#NAME?</v>
      </c>
      <c r="AJ218" s="575" t="e">
        <f t="shared" ca="1" si="17"/>
        <v>#NAME?</v>
      </c>
    </row>
    <row r="219" spans="32:36" x14ac:dyDescent="0.2">
      <c r="AF219" s="562" t="e">
        <f ca="1">_xll.qlCalendarAdvance(Calendar,AF218,"1d","mf",,Trigger)</f>
        <v>#NAME?</v>
      </c>
      <c r="AG219" s="578" t="e">
        <f ca="1">_xll.qlDayCounterYearFraction(DayCounter,SettlementDate,AF219,,,Trigger)</f>
        <v>#NAME?</v>
      </c>
      <c r="AH219" s="575" t="e">
        <f t="shared" ca="1" si="15"/>
        <v>#NAME?</v>
      </c>
      <c r="AI219" s="575" t="e">
        <f t="shared" ca="1" si="16"/>
        <v>#NAME?</v>
      </c>
      <c r="AJ219" s="575" t="e">
        <f t="shared" ca="1" si="17"/>
        <v>#NAME?</v>
      </c>
    </row>
    <row r="220" spans="32:36" x14ac:dyDescent="0.2">
      <c r="AF220" s="562" t="e">
        <f ca="1">_xll.qlCalendarAdvance(Calendar,AF219,"1d","mf",,Trigger)</f>
        <v>#NAME?</v>
      </c>
      <c r="AG220" s="578" t="e">
        <f ca="1">_xll.qlDayCounterYearFraction(DayCounter,SettlementDate,AF220,,,Trigger)</f>
        <v>#NAME?</v>
      </c>
      <c r="AH220" s="575" t="e">
        <f t="shared" ca="1" si="15"/>
        <v>#NAME?</v>
      </c>
      <c r="AI220" s="575" t="e">
        <f t="shared" ca="1" si="16"/>
        <v>#NAME?</v>
      </c>
      <c r="AJ220" s="575" t="e">
        <f t="shared" ca="1" si="17"/>
        <v>#NAME?</v>
      </c>
    </row>
    <row r="221" spans="32:36" x14ac:dyDescent="0.2">
      <c r="AF221" s="562" t="e">
        <f ca="1">_xll.qlCalendarAdvance(Calendar,AF220,"1d","mf",,Trigger)</f>
        <v>#NAME?</v>
      </c>
      <c r="AG221" s="578" t="e">
        <f ca="1">_xll.qlDayCounterYearFraction(DayCounter,SettlementDate,AF221,,,Trigger)</f>
        <v>#NAME?</v>
      </c>
      <c r="AH221" s="575" t="e">
        <f t="shared" ca="1" si="15"/>
        <v>#NAME?</v>
      </c>
      <c r="AI221" s="575" t="e">
        <f t="shared" ca="1" si="16"/>
        <v>#NAME?</v>
      </c>
      <c r="AJ221" s="575" t="e">
        <f t="shared" ca="1" si="17"/>
        <v>#NAME?</v>
      </c>
    </row>
    <row r="222" spans="32:36" x14ac:dyDescent="0.2">
      <c r="AF222" s="562" t="e">
        <f ca="1">_xll.qlCalendarAdvance(Calendar,AF221,"1d","mf",,Trigger)</f>
        <v>#NAME?</v>
      </c>
      <c r="AG222" s="578" t="e">
        <f ca="1">_xll.qlDayCounterYearFraction(DayCounter,SettlementDate,AF222,,,Trigger)</f>
        <v>#NAME?</v>
      </c>
      <c r="AH222" s="575" t="e">
        <f t="shared" ca="1" si="15"/>
        <v>#NAME?</v>
      </c>
      <c r="AI222" s="575" t="e">
        <f t="shared" ca="1" si="16"/>
        <v>#NAME?</v>
      </c>
      <c r="AJ222" s="575" t="e">
        <f t="shared" ca="1" si="17"/>
        <v>#NAME?</v>
      </c>
    </row>
    <row r="223" spans="32:36" x14ac:dyDescent="0.2">
      <c r="AF223" s="562" t="e">
        <f ca="1">_xll.qlCalendarAdvance(Calendar,AF222,"1d","mf",,Trigger)</f>
        <v>#NAME?</v>
      </c>
      <c r="AG223" s="578" t="e">
        <f ca="1">_xll.qlDayCounterYearFraction(DayCounter,SettlementDate,AF223,,,Trigger)</f>
        <v>#NAME?</v>
      </c>
      <c r="AH223" s="575" t="e">
        <f t="shared" ca="1" si="15"/>
        <v>#NAME?</v>
      </c>
      <c r="AI223" s="575" t="e">
        <f t="shared" ca="1" si="16"/>
        <v>#NAME?</v>
      </c>
      <c r="AJ223" s="575" t="e">
        <f t="shared" ca="1" si="17"/>
        <v>#NAME?</v>
      </c>
    </row>
    <row r="224" spans="32:36" x14ac:dyDescent="0.2">
      <c r="AF224" s="562" t="e">
        <f ca="1">_xll.qlCalendarAdvance(Calendar,AF223,"1d","mf",,Trigger)</f>
        <v>#NAME?</v>
      </c>
      <c r="AG224" s="578" t="e">
        <f ca="1">_xll.qlDayCounterYearFraction(DayCounter,SettlementDate,AF224,,,Trigger)</f>
        <v>#NAME?</v>
      </c>
      <c r="AH224" s="575" t="e">
        <f t="shared" ca="1" si="15"/>
        <v>#NAME?</v>
      </c>
      <c r="AI224" s="575" t="e">
        <f t="shared" ca="1" si="16"/>
        <v>#NAME?</v>
      </c>
      <c r="AJ224" s="575" t="e">
        <f t="shared" ca="1" si="17"/>
        <v>#NAME?</v>
      </c>
    </row>
    <row r="225" spans="32:36" x14ac:dyDescent="0.2">
      <c r="AF225" s="562" t="e">
        <f ca="1">_xll.qlCalendarAdvance(Calendar,AF224,"1d","mf",,Trigger)</f>
        <v>#NAME?</v>
      </c>
      <c r="AG225" s="578" t="e">
        <f ca="1">_xll.qlDayCounterYearFraction(DayCounter,SettlementDate,AF225,,,Trigger)</f>
        <v>#NAME?</v>
      </c>
      <c r="AH225" s="575" t="e">
        <f t="shared" ca="1" si="15"/>
        <v>#NAME?</v>
      </c>
      <c r="AI225" s="575" t="e">
        <f t="shared" ca="1" si="16"/>
        <v>#NAME?</v>
      </c>
      <c r="AJ225" s="575" t="e">
        <f t="shared" ca="1" si="17"/>
        <v>#NAME?</v>
      </c>
    </row>
    <row r="226" spans="32:36" x14ac:dyDescent="0.2">
      <c r="AF226" s="562" t="e">
        <f ca="1">_xll.qlCalendarAdvance(Calendar,AF225,"1d","mf",,Trigger)</f>
        <v>#NAME?</v>
      </c>
      <c r="AG226" s="578" t="e">
        <f ca="1">_xll.qlDayCounterYearFraction(DayCounter,SettlementDate,AF226,,,Trigger)</f>
        <v>#NAME?</v>
      </c>
      <c r="AH226" s="575" t="e">
        <f t="shared" ca="1" si="15"/>
        <v>#NAME?</v>
      </c>
      <c r="AI226" s="575" t="e">
        <f t="shared" ca="1" si="16"/>
        <v>#NAME?</v>
      </c>
      <c r="AJ226" s="575" t="e">
        <f t="shared" ca="1" si="17"/>
        <v>#NAME?</v>
      </c>
    </row>
    <row r="227" spans="32:36" x14ac:dyDescent="0.2">
      <c r="AF227" s="562" t="e">
        <f ca="1">_xll.qlCalendarAdvance(Calendar,AF226,"1d","mf",,Trigger)</f>
        <v>#NAME?</v>
      </c>
      <c r="AG227" s="578" t="e">
        <f ca="1">_xll.qlDayCounterYearFraction(DayCounter,SettlementDate,AF227,,,Trigger)</f>
        <v>#NAME?</v>
      </c>
      <c r="AH227" s="575" t="e">
        <f t="shared" ca="1" si="15"/>
        <v>#NAME?</v>
      </c>
      <c r="AI227" s="575" t="e">
        <f t="shared" ca="1" si="16"/>
        <v>#NAME?</v>
      </c>
      <c r="AJ227" s="575" t="e">
        <f t="shared" ca="1" si="17"/>
        <v>#NAME?</v>
      </c>
    </row>
    <row r="228" spans="32:36" x14ac:dyDescent="0.2">
      <c r="AF228" s="562" t="e">
        <f ca="1">_xll.qlCalendarAdvance(Calendar,AF227,"1d","mf",,Trigger)</f>
        <v>#NAME?</v>
      </c>
      <c r="AG228" s="578" t="e">
        <f ca="1">_xll.qlDayCounterYearFraction(DayCounter,SettlementDate,AF228,,,Trigger)</f>
        <v>#NAME?</v>
      </c>
      <c r="AH228" s="575" t="e">
        <f t="shared" ca="1" si="15"/>
        <v>#NAME?</v>
      </c>
      <c r="AI228" s="575" t="e">
        <f t="shared" ca="1" si="16"/>
        <v>#NAME?</v>
      </c>
      <c r="AJ228" s="575" t="e">
        <f t="shared" ca="1" si="17"/>
        <v>#NAME?</v>
      </c>
    </row>
    <row r="229" spans="32:36" x14ac:dyDescent="0.2">
      <c r="AF229" s="562" t="e">
        <f ca="1">_xll.qlCalendarAdvance(Calendar,AF228,"1d","mf",,Trigger)</f>
        <v>#NAME?</v>
      </c>
      <c r="AG229" s="578" t="e">
        <f ca="1">_xll.qlDayCounterYearFraction(DayCounter,SettlementDate,AF229,,,Trigger)</f>
        <v>#NAME?</v>
      </c>
      <c r="AH229" s="575" t="e">
        <f t="shared" ca="1" si="15"/>
        <v>#NAME?</v>
      </c>
      <c r="AI229" s="575" t="e">
        <f t="shared" ca="1" si="16"/>
        <v>#NAME?</v>
      </c>
      <c r="AJ229" s="575" t="e">
        <f t="shared" ca="1" si="17"/>
        <v>#NAME?</v>
      </c>
    </row>
    <row r="230" spans="32:36" x14ac:dyDescent="0.2">
      <c r="AF230" s="562" t="e">
        <f ca="1">_xll.qlCalendarAdvance(Calendar,AF229,"1d","mf",,Trigger)</f>
        <v>#NAME?</v>
      </c>
      <c r="AG230" s="578" t="e">
        <f ca="1">_xll.qlDayCounterYearFraction(DayCounter,SettlementDate,AF230,,,Trigger)</f>
        <v>#NAME?</v>
      </c>
      <c r="AH230" s="575" t="e">
        <f t="shared" ca="1" si="15"/>
        <v>#NAME?</v>
      </c>
      <c r="AI230" s="575" t="e">
        <f t="shared" ca="1" si="16"/>
        <v>#NAME?</v>
      </c>
      <c r="AJ230" s="575" t="e">
        <f t="shared" ca="1" si="17"/>
        <v>#NAME?</v>
      </c>
    </row>
    <row r="231" spans="32:36" x14ac:dyDescent="0.2">
      <c r="AF231" s="562" t="e">
        <f ca="1">_xll.qlCalendarAdvance(Calendar,AF230,"1d","mf",,Trigger)</f>
        <v>#NAME?</v>
      </c>
      <c r="AG231" s="578" t="e">
        <f ca="1">_xll.qlDayCounterYearFraction(DayCounter,SettlementDate,AF231,,,Trigger)</f>
        <v>#NAME?</v>
      </c>
      <c r="AH231" s="575" t="e">
        <f t="shared" ca="1" si="15"/>
        <v>#NAME?</v>
      </c>
      <c r="AI231" s="575" t="e">
        <f t="shared" ca="1" si="16"/>
        <v>#NAME?</v>
      </c>
      <c r="AJ231" s="575" t="e">
        <f t="shared" ca="1" si="17"/>
        <v>#NAME?</v>
      </c>
    </row>
    <row r="232" spans="32:36" x14ac:dyDescent="0.2">
      <c r="AF232" s="562" t="e">
        <f ca="1">_xll.qlCalendarAdvance(Calendar,AF231,"1d","mf",,Trigger)</f>
        <v>#NAME?</v>
      </c>
      <c r="AG232" s="578" t="e">
        <f ca="1">_xll.qlDayCounterYearFraction(DayCounter,SettlementDate,AF232,,,Trigger)</f>
        <v>#NAME?</v>
      </c>
      <c r="AH232" s="575" t="e">
        <f t="shared" ca="1" si="15"/>
        <v>#NAME?</v>
      </c>
      <c r="AI232" s="575" t="e">
        <f t="shared" ca="1" si="16"/>
        <v>#NAME?</v>
      </c>
      <c r="AJ232" s="575" t="e">
        <f t="shared" ca="1" si="17"/>
        <v>#NAME?</v>
      </c>
    </row>
    <row r="233" spans="32:36" x14ac:dyDescent="0.2">
      <c r="AF233" s="562" t="e">
        <f ca="1">_xll.qlCalendarAdvance(Calendar,AF232,"1d","mf",,Trigger)</f>
        <v>#NAME?</v>
      </c>
      <c r="AG233" s="578" t="e">
        <f ca="1">_xll.qlDayCounterYearFraction(DayCounter,SettlementDate,AF233,,,Trigger)</f>
        <v>#NAME?</v>
      </c>
      <c r="AH233" s="575" t="e">
        <f t="shared" ca="1" si="15"/>
        <v>#NAME?</v>
      </c>
      <c r="AI233" s="575" t="e">
        <f t="shared" ca="1" si="16"/>
        <v>#NAME?</v>
      </c>
      <c r="AJ233" s="575" t="e">
        <f t="shared" ca="1" si="17"/>
        <v>#NAME?</v>
      </c>
    </row>
    <row r="234" spans="32:36" x14ac:dyDescent="0.2">
      <c r="AF234" s="562" t="e">
        <f ca="1">_xll.qlCalendarAdvance(Calendar,AF233,"1d","mf",,Trigger)</f>
        <v>#NAME?</v>
      </c>
      <c r="AG234" s="578" t="e">
        <f ca="1">_xll.qlDayCounterYearFraction(DayCounter,SettlementDate,AF234,,,Trigger)</f>
        <v>#NAME?</v>
      </c>
      <c r="AH234" s="575" t="e">
        <f t="shared" ca="1" si="15"/>
        <v>#NAME?</v>
      </c>
      <c r="AI234" s="575" t="e">
        <f t="shared" ca="1" si="16"/>
        <v>#NAME?</v>
      </c>
      <c r="AJ234" s="575" t="e">
        <f t="shared" ca="1" si="17"/>
        <v>#NAME?</v>
      </c>
    </row>
    <row r="235" spans="32:36" x14ac:dyDescent="0.2">
      <c r="AF235" s="562" t="e">
        <f ca="1">_xll.qlCalendarAdvance(Calendar,AF234,"1d","mf",,Trigger)</f>
        <v>#NAME?</v>
      </c>
      <c r="AG235" s="578" t="e">
        <f ca="1">_xll.qlDayCounterYearFraction(DayCounter,SettlementDate,AF235,,,Trigger)</f>
        <v>#NAME?</v>
      </c>
      <c r="AH235" s="575" t="e">
        <f t="shared" ca="1" si="15"/>
        <v>#NAME?</v>
      </c>
      <c r="AI235" s="575" t="e">
        <f t="shared" ca="1" si="16"/>
        <v>#NAME?</v>
      </c>
      <c r="AJ235" s="575" t="e">
        <f t="shared" ca="1" si="17"/>
        <v>#NAME?</v>
      </c>
    </row>
    <row r="236" spans="32:36" x14ac:dyDescent="0.2">
      <c r="AF236" s="562" t="e">
        <f ca="1">_xll.qlCalendarAdvance(Calendar,AF235,"1d","mf",,Trigger)</f>
        <v>#NAME?</v>
      </c>
      <c r="AG236" s="578" t="e">
        <f ca="1">_xll.qlDayCounterYearFraction(DayCounter,SettlementDate,AF236,,,Trigger)</f>
        <v>#NAME?</v>
      </c>
      <c r="AH236" s="575" t="e">
        <f t="shared" ca="1" si="15"/>
        <v>#NAME?</v>
      </c>
      <c r="AI236" s="575" t="e">
        <f t="shared" ca="1" si="16"/>
        <v>#NAME?</v>
      </c>
      <c r="AJ236" s="575" t="e">
        <f t="shared" ca="1" si="17"/>
        <v>#NAME?</v>
      </c>
    </row>
    <row r="237" spans="32:36" x14ac:dyDescent="0.2">
      <c r="AF237" s="562" t="e">
        <f ca="1">_xll.qlCalendarAdvance(Calendar,AF236,"1d","mf",,Trigger)</f>
        <v>#NAME?</v>
      </c>
      <c r="AG237" s="578" t="e">
        <f ca="1">_xll.qlDayCounterYearFraction(DayCounter,SettlementDate,AF237,,,Trigger)</f>
        <v>#NAME?</v>
      </c>
      <c r="AH237" s="575" t="e">
        <f t="shared" ca="1" si="15"/>
        <v>#NAME?</v>
      </c>
      <c r="AI237" s="575" t="e">
        <f t="shared" ca="1" si="16"/>
        <v>#NAME?</v>
      </c>
      <c r="AJ237" s="575" t="e">
        <f t="shared" ca="1" si="17"/>
        <v>#NAME?</v>
      </c>
    </row>
    <row r="238" spans="32:36" x14ac:dyDescent="0.2">
      <c r="AF238" s="562" t="e">
        <f ca="1">_xll.qlCalendarAdvance(Calendar,AF237,"1d","mf",,Trigger)</f>
        <v>#NAME?</v>
      </c>
      <c r="AG238" s="578" t="e">
        <f ca="1">_xll.qlDayCounterYearFraction(DayCounter,SettlementDate,AF238,,,Trigger)</f>
        <v>#NAME?</v>
      </c>
      <c r="AH238" s="575" t="e">
        <f t="shared" ca="1" si="15"/>
        <v>#NAME?</v>
      </c>
      <c r="AI238" s="575" t="e">
        <f t="shared" ca="1" si="16"/>
        <v>#NAME?</v>
      </c>
      <c r="AJ238" s="575" t="e">
        <f t="shared" ca="1" si="17"/>
        <v>#NAME?</v>
      </c>
    </row>
    <row r="239" spans="32:36" x14ac:dyDescent="0.2">
      <c r="AF239" s="562" t="e">
        <f ca="1">_xll.qlCalendarAdvance(Calendar,AF238,"1d","mf",,Trigger)</f>
        <v>#NAME?</v>
      </c>
      <c r="AG239" s="578" t="e">
        <f ca="1">_xll.qlDayCounterYearFraction(DayCounter,SettlementDate,AF239,,,Trigger)</f>
        <v>#NAME?</v>
      </c>
      <c r="AH239" s="575" t="e">
        <f t="shared" ca="1" si="15"/>
        <v>#NAME?</v>
      </c>
      <c r="AI239" s="575" t="e">
        <f t="shared" ca="1" si="16"/>
        <v>#NAME?</v>
      </c>
      <c r="AJ239" s="575" t="e">
        <f t="shared" ca="1" si="17"/>
        <v>#NAME?</v>
      </c>
    </row>
    <row r="240" spans="32:36" x14ac:dyDescent="0.2">
      <c r="AF240" s="562" t="e">
        <f ca="1">_xll.qlCalendarAdvance(Calendar,AF239,"1d","mf",,Trigger)</f>
        <v>#NAME?</v>
      </c>
      <c r="AG240" s="578" t="e">
        <f ca="1">_xll.qlDayCounterYearFraction(DayCounter,SettlementDate,AF240,,,Trigger)</f>
        <v>#NAME?</v>
      </c>
      <c r="AH240" s="575" t="e">
        <f t="shared" ca="1" si="15"/>
        <v>#NAME?</v>
      </c>
      <c r="AI240" s="575" t="e">
        <f t="shared" ca="1" si="16"/>
        <v>#NAME?</v>
      </c>
      <c r="AJ240" s="575" t="e">
        <f t="shared" ca="1" si="17"/>
        <v>#NAME?</v>
      </c>
    </row>
    <row r="241" spans="32:36" x14ac:dyDescent="0.2">
      <c r="AF241" s="562" t="e">
        <f ca="1">_xll.qlCalendarAdvance(Calendar,AF240,"1d","mf",,Trigger)</f>
        <v>#NAME?</v>
      </c>
      <c r="AG241" s="578" t="e">
        <f ca="1">_xll.qlDayCounterYearFraction(DayCounter,SettlementDate,AF241,,,Trigger)</f>
        <v>#NAME?</v>
      </c>
      <c r="AH241" s="575" t="e">
        <f t="shared" ca="1" si="15"/>
        <v>#NAME?</v>
      </c>
      <c r="AI241" s="575" t="e">
        <f t="shared" ca="1" si="16"/>
        <v>#NAME?</v>
      </c>
      <c r="AJ241" s="575" t="e">
        <f t="shared" ca="1" si="17"/>
        <v>#NAME?</v>
      </c>
    </row>
    <row r="242" spans="32:36" x14ac:dyDescent="0.2">
      <c r="AF242" s="562" t="e">
        <f ca="1">_xll.qlCalendarAdvance(Calendar,AF241,"1d","mf",,Trigger)</f>
        <v>#NAME?</v>
      </c>
      <c r="AG242" s="578" t="e">
        <f ca="1">_xll.qlDayCounterYearFraction(DayCounter,SettlementDate,AF242,,,Trigger)</f>
        <v>#NAME?</v>
      </c>
      <c r="AH242" s="575" t="e">
        <f t="shared" ca="1" si="15"/>
        <v>#NAME?</v>
      </c>
      <c r="AI242" s="575" t="e">
        <f t="shared" ca="1" si="16"/>
        <v>#NAME?</v>
      </c>
      <c r="AJ242" s="575" t="e">
        <f t="shared" ca="1" si="17"/>
        <v>#NAME?</v>
      </c>
    </row>
    <row r="243" spans="32:36" x14ac:dyDescent="0.2">
      <c r="AF243" s="562" t="e">
        <f ca="1">_xll.qlCalendarAdvance(Calendar,AF242,"1d","mf",,Trigger)</f>
        <v>#NAME?</v>
      </c>
      <c r="AG243" s="578" t="e">
        <f ca="1">_xll.qlDayCounterYearFraction(DayCounter,SettlementDate,AF243,,,Trigger)</f>
        <v>#NAME?</v>
      </c>
      <c r="AH243" s="575" t="e">
        <f t="shared" ca="1" si="15"/>
        <v>#NAME?</v>
      </c>
      <c r="AI243" s="575" t="e">
        <f t="shared" ca="1" si="16"/>
        <v>#NAME?</v>
      </c>
      <c r="AJ243" s="575" t="e">
        <f t="shared" ca="1" si="17"/>
        <v>#NAME?</v>
      </c>
    </row>
    <row r="244" spans="32:36" x14ac:dyDescent="0.2">
      <c r="AF244" s="562" t="e">
        <f ca="1">_xll.qlCalendarAdvance(Calendar,AF243,"1d","mf",,Trigger)</f>
        <v>#NAME?</v>
      </c>
      <c r="AG244" s="578" t="e">
        <f ca="1">_xll.qlDayCounterYearFraction(DayCounter,SettlementDate,AF244,,,Trigger)</f>
        <v>#NAME?</v>
      </c>
      <c r="AH244" s="575" t="e">
        <f t="shared" ca="1" si="15"/>
        <v>#NAME?</v>
      </c>
      <c r="AI244" s="575" t="e">
        <f t="shared" ca="1" si="16"/>
        <v>#NAME?</v>
      </c>
      <c r="AJ244" s="575" t="e">
        <f t="shared" ca="1" si="17"/>
        <v>#NAME?</v>
      </c>
    </row>
    <row r="245" spans="32:36" x14ac:dyDescent="0.2">
      <c r="AF245" s="562" t="e">
        <f ca="1">_xll.qlCalendarAdvance(Calendar,AF244,"1d","mf",,Trigger)</f>
        <v>#NAME?</v>
      </c>
      <c r="AG245" s="578" t="e">
        <f ca="1">_xll.qlDayCounterYearFraction(DayCounter,SettlementDate,AF245,,,Trigger)</f>
        <v>#NAME?</v>
      </c>
      <c r="AH245" s="575" t="e">
        <f t="shared" ca="1" si="15"/>
        <v>#NAME?</v>
      </c>
      <c r="AI245" s="575" t="e">
        <f t="shared" ca="1" si="16"/>
        <v>#NAME?</v>
      </c>
      <c r="AJ245" s="575" t="e">
        <f t="shared" ca="1" si="17"/>
        <v>#NAME?</v>
      </c>
    </row>
    <row r="246" spans="32:36" x14ac:dyDescent="0.2">
      <c r="AF246" s="562" t="e">
        <f ca="1">_xll.qlCalendarAdvance(Calendar,AF245,"1d","mf",,Trigger)</f>
        <v>#NAME?</v>
      </c>
      <c r="AG246" s="578" t="e">
        <f ca="1">_xll.qlDayCounterYearFraction(DayCounter,SettlementDate,AF246,,,Trigger)</f>
        <v>#NAME?</v>
      </c>
      <c r="AH246" s="575" t="e">
        <f t="shared" ca="1" si="15"/>
        <v>#NAME?</v>
      </c>
      <c r="AI246" s="575" t="e">
        <f t="shared" ca="1" si="16"/>
        <v>#NAME?</v>
      </c>
      <c r="AJ246" s="575" t="e">
        <f t="shared" ca="1" si="17"/>
        <v>#NAME?</v>
      </c>
    </row>
    <row r="247" spans="32:36" x14ac:dyDescent="0.2">
      <c r="AF247" s="562" t="e">
        <f ca="1">_xll.qlCalendarAdvance(Calendar,AF246,"1d","mf",,Trigger)</f>
        <v>#NAME?</v>
      </c>
      <c r="AG247" s="578" t="e">
        <f ca="1">_xll.qlDayCounterYearFraction(DayCounter,SettlementDate,AF247,,,Trigger)</f>
        <v>#NAME?</v>
      </c>
      <c r="AH247" s="575" t="e">
        <f t="shared" ca="1" si="15"/>
        <v>#NAME?</v>
      </c>
      <c r="AI247" s="575" t="e">
        <f t="shared" ca="1" si="16"/>
        <v>#NAME?</v>
      </c>
      <c r="AJ247" s="575" t="e">
        <f t="shared" ca="1" si="17"/>
        <v>#NAME?</v>
      </c>
    </row>
    <row r="248" spans="32:36" x14ac:dyDescent="0.2">
      <c r="AF248" s="562" t="e">
        <f ca="1">_xll.qlCalendarAdvance(Calendar,AF247,"1d","mf",,Trigger)</f>
        <v>#NAME?</v>
      </c>
      <c r="AG248" s="578" t="e">
        <f ca="1">_xll.qlDayCounterYearFraction(DayCounter,SettlementDate,AF248,,,Trigger)</f>
        <v>#NAME?</v>
      </c>
      <c r="AH248" s="575" t="e">
        <f t="shared" ca="1" si="15"/>
        <v>#NAME?</v>
      </c>
      <c r="AI248" s="575" t="e">
        <f t="shared" ca="1" si="16"/>
        <v>#NAME?</v>
      </c>
      <c r="AJ248" s="575" t="e">
        <f t="shared" ca="1" si="17"/>
        <v>#NAME?</v>
      </c>
    </row>
    <row r="249" spans="32:36" x14ac:dyDescent="0.2">
      <c r="AF249" s="562" t="e">
        <f ca="1">_xll.qlCalendarAdvance(Calendar,AF248,"1d","mf",,Trigger)</f>
        <v>#NAME?</v>
      </c>
      <c r="AG249" s="578" t="e">
        <f ca="1">_xll.qlDayCounterYearFraction(DayCounter,SettlementDate,AF249,,,Trigger)</f>
        <v>#NAME?</v>
      </c>
      <c r="AH249" s="575" t="e">
        <f t="shared" ca="1" si="15"/>
        <v>#NAME?</v>
      </c>
      <c r="AI249" s="575" t="e">
        <f t="shared" ca="1" si="16"/>
        <v>#NAME?</v>
      </c>
      <c r="AJ249" s="575" t="e">
        <f t="shared" ca="1" si="17"/>
        <v>#NAME?</v>
      </c>
    </row>
    <row r="250" spans="32:36" x14ac:dyDescent="0.2">
      <c r="AF250" s="562" t="e">
        <f ca="1">_xll.qlCalendarAdvance(Calendar,AF249,"1d","mf",,Trigger)</f>
        <v>#NAME?</v>
      </c>
      <c r="AG250" s="578" t="e">
        <f ca="1">_xll.qlDayCounterYearFraction(DayCounter,SettlementDate,AF250,,,Trigger)</f>
        <v>#NAME?</v>
      </c>
      <c r="AH250" s="575" t="e">
        <f t="shared" ca="1" si="15"/>
        <v>#NAME?</v>
      </c>
      <c r="AI250" s="575" t="e">
        <f t="shared" ca="1" si="16"/>
        <v>#NAME?</v>
      </c>
      <c r="AJ250" s="575" t="e">
        <f t="shared" ca="1" si="17"/>
        <v>#NAME?</v>
      </c>
    </row>
    <row r="251" spans="32:36" x14ac:dyDescent="0.2">
      <c r="AF251" s="562" t="e">
        <f ca="1">_xll.qlCalendarAdvance(Calendar,AF250,"1d","mf",,Trigger)</f>
        <v>#NAME?</v>
      </c>
      <c r="AG251" s="578" t="e">
        <f ca="1">_xll.qlDayCounterYearFraction(DayCounter,SettlementDate,AF251,,,Trigger)</f>
        <v>#NAME?</v>
      </c>
      <c r="AH251" s="575" t="e">
        <f t="shared" ca="1" si="15"/>
        <v>#NAME?</v>
      </c>
      <c r="AI251" s="575" t="e">
        <f t="shared" ca="1" si="16"/>
        <v>#NAME?</v>
      </c>
      <c r="AJ251" s="575" t="e">
        <f t="shared" ca="1" si="17"/>
        <v>#NAME?</v>
      </c>
    </row>
    <row r="252" spans="32:36" x14ac:dyDescent="0.2">
      <c r="AF252" s="562" t="e">
        <f ca="1">_xll.qlCalendarAdvance(Calendar,AF251,"1d","mf",,Trigger)</f>
        <v>#NAME?</v>
      </c>
      <c r="AG252" s="578" t="e">
        <f ca="1">_xll.qlDayCounterYearFraction(DayCounter,SettlementDate,AF252,,,Trigger)</f>
        <v>#NAME?</v>
      </c>
      <c r="AH252" s="575" t="e">
        <f t="shared" ca="1" si="15"/>
        <v>#NAME?</v>
      </c>
      <c r="AI252" s="575" t="e">
        <f t="shared" ca="1" si="16"/>
        <v>#NAME?</v>
      </c>
      <c r="AJ252" s="575" t="e">
        <f t="shared" ca="1" si="17"/>
        <v>#NAME?</v>
      </c>
    </row>
    <row r="253" spans="32:36" x14ac:dyDescent="0.2">
      <c r="AF253" s="562" t="e">
        <f ca="1">_xll.qlCalendarAdvance(Calendar,AF252,"1d","mf",,Trigger)</f>
        <v>#NAME?</v>
      </c>
      <c r="AG253" s="578" t="e">
        <f ca="1">_xll.qlDayCounterYearFraction(DayCounter,SettlementDate,AF253,,,Trigger)</f>
        <v>#NAME?</v>
      </c>
      <c r="AH253" s="575" t="e">
        <f t="shared" ca="1" si="15"/>
        <v>#NAME?</v>
      </c>
      <c r="AI253" s="575" t="e">
        <f t="shared" ca="1" si="16"/>
        <v>#NAME?</v>
      </c>
      <c r="AJ253" s="575" t="e">
        <f t="shared" ca="1" si="17"/>
        <v>#NAME?</v>
      </c>
    </row>
    <row r="254" spans="32:36" x14ac:dyDescent="0.2">
      <c r="AF254" s="562" t="e">
        <f ca="1">_xll.qlCalendarAdvance(Calendar,AF253,"1d","mf",,Trigger)</f>
        <v>#NAME?</v>
      </c>
      <c r="AG254" s="578" t="e">
        <f ca="1">_xll.qlDayCounterYearFraction(DayCounter,SettlementDate,AF254,,,Trigger)</f>
        <v>#NAME?</v>
      </c>
      <c r="AH254" s="575" t="e">
        <f t="shared" ca="1" si="15"/>
        <v>#NAME?</v>
      </c>
      <c r="AI254" s="575" t="e">
        <f t="shared" ca="1" si="16"/>
        <v>#NAME?</v>
      </c>
      <c r="AJ254" s="575" t="e">
        <f t="shared" ca="1" si="17"/>
        <v>#NAME?</v>
      </c>
    </row>
    <row r="255" spans="32:36" x14ac:dyDescent="0.2">
      <c r="AF255" s="562" t="e">
        <f ca="1">_xll.qlCalendarAdvance(Calendar,AF254,"1d","mf",,Trigger)</f>
        <v>#NAME?</v>
      </c>
      <c r="AG255" s="578" t="e">
        <f ca="1">_xll.qlDayCounterYearFraction(DayCounter,SettlementDate,AF255,,,Trigger)</f>
        <v>#NAME?</v>
      </c>
      <c r="AH255" s="575" t="e">
        <f t="shared" ca="1" si="15"/>
        <v>#NAME?</v>
      </c>
      <c r="AI255" s="575" t="e">
        <f t="shared" ca="1" si="16"/>
        <v>#NAME?</v>
      </c>
      <c r="AJ255" s="575" t="e">
        <f t="shared" ca="1" si="17"/>
        <v>#NAME?</v>
      </c>
    </row>
    <row r="256" spans="32:36" x14ac:dyDescent="0.2">
      <c r="AF256" s="562" t="e">
        <f ca="1">_xll.qlCalendarAdvance(Calendar,AF255,"1d","mf",,Trigger)</f>
        <v>#NAME?</v>
      </c>
      <c r="AG256" s="578" t="e">
        <f ca="1">_xll.qlDayCounterYearFraction(DayCounter,SettlementDate,AF256,,,Trigger)</f>
        <v>#NAME?</v>
      </c>
      <c r="AH256" s="575" t="e">
        <f t="shared" ca="1" si="15"/>
        <v>#NAME?</v>
      </c>
      <c r="AI256" s="575" t="e">
        <f t="shared" ca="1" si="16"/>
        <v>#NAME?</v>
      </c>
      <c r="AJ256" s="575" t="e">
        <f t="shared" ca="1" si="17"/>
        <v>#NAME?</v>
      </c>
    </row>
    <row r="257" spans="32:36" x14ac:dyDescent="0.2">
      <c r="AF257" s="562" t="e">
        <f ca="1">_xll.qlCalendarAdvance(Calendar,AF256,"1d","mf",,Trigger)</f>
        <v>#NAME?</v>
      </c>
      <c r="AG257" s="578" t="e">
        <f ca="1">_xll.qlDayCounterYearFraction(DayCounter,SettlementDate,AF257,,,Trigger)</f>
        <v>#NAME?</v>
      </c>
      <c r="AH257" s="575" t="e">
        <f t="shared" ca="1" si="15"/>
        <v>#NAME?</v>
      </c>
      <c r="AI257" s="575" t="e">
        <f t="shared" ca="1" si="16"/>
        <v>#NAME?</v>
      </c>
      <c r="AJ257" s="575" t="e">
        <f t="shared" ca="1" si="17"/>
        <v>#NAME?</v>
      </c>
    </row>
    <row r="258" spans="32:36" x14ac:dyDescent="0.2">
      <c r="AF258" s="562" t="e">
        <f ca="1">_xll.qlCalendarAdvance(Calendar,AF257,"1d","mf",,Trigger)</f>
        <v>#NAME?</v>
      </c>
      <c r="AG258" s="578" t="e">
        <f ca="1">_xll.qlDayCounterYearFraction(DayCounter,SettlementDate,AF258,,,Trigger)</f>
        <v>#NAME?</v>
      </c>
      <c r="AH258" s="575" t="e">
        <f t="shared" ca="1" si="15"/>
        <v>#NAME?</v>
      </c>
      <c r="AI258" s="575" t="e">
        <f t="shared" ca="1" si="16"/>
        <v>#NAME?</v>
      </c>
      <c r="AJ258" s="575" t="e">
        <f t="shared" ca="1" si="17"/>
        <v>#NAME?</v>
      </c>
    </row>
    <row r="259" spans="32:36" x14ac:dyDescent="0.2">
      <c r="AF259" s="560" t="e">
        <f ca="1">_xll.qlCalendarAdvance(Calendar,AF258,"1d","mf",,Trigger)</f>
        <v>#NAME?</v>
      </c>
      <c r="AG259" s="571" t="e">
        <f ca="1">_xll.qlDayCounterYearFraction(DayCounter,SettlementDate,AF259,,,Trigger)</f>
        <v>#NAME?</v>
      </c>
      <c r="AH259" s="568" t="e">
        <f t="shared" ca="1" si="15"/>
        <v>#NAME?</v>
      </c>
      <c r="AI259" s="568" t="e">
        <f t="shared" ca="1" si="16"/>
        <v>#NAME?</v>
      </c>
      <c r="AJ259" s="568"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"fixing,Delta(0M;6M)extrap"</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C00000"/>
    <pageSetUpPr autoPageBreaks="0"/>
  </sheetPr>
  <dimension ref="A1:Q41"/>
  <sheetViews>
    <sheetView showGridLines="0" workbookViewId="0">
      <selection activeCell="Q2" sqref="Q2:Q3"/>
    </sheetView>
  </sheetViews>
  <sheetFormatPr defaultRowHeight="11.25" x14ac:dyDescent="0.2"/>
  <cols>
    <col min="1" max="1" width="3.7109375" style="604" customWidth="1"/>
    <col min="2" max="2" width="6.7109375" style="604" customWidth="1"/>
    <col min="3" max="3" width="31.42578125" style="604" bestFit="1" customWidth="1"/>
    <col min="4" max="4" width="30.7109375" style="604" customWidth="1"/>
    <col min="5" max="5" width="22" style="604" customWidth="1"/>
    <col min="6" max="6" width="3.7109375" style="604" customWidth="1"/>
    <col min="7" max="7" width="6.7109375" style="604" customWidth="1"/>
    <col min="8" max="8" width="9" style="604" bestFit="1" customWidth="1"/>
    <col min="9" max="9" width="2.7109375" style="604" customWidth="1"/>
    <col min="10" max="10" width="9" style="604" bestFit="1" customWidth="1"/>
    <col min="11" max="11" width="2.7109375" style="604" customWidth="1"/>
    <col min="12" max="12" width="10" style="604" bestFit="1" customWidth="1"/>
    <col min="13" max="13" width="9" style="604" bestFit="1" customWidth="1"/>
    <col min="14" max="14" width="5" style="604" customWidth="1"/>
    <col min="15" max="16384" width="9.140625" style="673"/>
  </cols>
  <sheetData>
    <row r="1" spans="1:17" ht="12" thickBot="1" x14ac:dyDescent="0.25">
      <c r="A1" s="748"/>
      <c r="B1" s="744"/>
      <c r="C1" s="744"/>
      <c r="D1" s="747"/>
      <c r="E1" s="747"/>
      <c r="F1" s="746"/>
      <c r="G1" s="745"/>
      <c r="H1" s="745"/>
      <c r="I1" s="746"/>
      <c r="J1" s="746"/>
      <c r="K1" s="746"/>
      <c r="L1" s="745"/>
      <c r="M1" s="744"/>
      <c r="N1" s="743"/>
    </row>
    <row r="2" spans="1:17" s="734" customFormat="1" ht="15" x14ac:dyDescent="0.25">
      <c r="A2" s="742"/>
      <c r="B2" s="741"/>
      <c r="C2" s="671" t="s">
        <v>91</v>
      </c>
      <c r="D2" s="671" t="s">
        <v>350</v>
      </c>
      <c r="E2" s="671" t="s">
        <v>59</v>
      </c>
      <c r="F2" s="738"/>
      <c r="G2" s="737"/>
      <c r="H2" s="740" t="s">
        <v>349</v>
      </c>
      <c r="I2" s="738"/>
      <c r="J2" s="739" t="s">
        <v>78</v>
      </c>
      <c r="K2" s="738"/>
      <c r="L2" s="737" t="s">
        <v>77</v>
      </c>
      <c r="M2" s="736" t="s">
        <v>76</v>
      </c>
      <c r="N2" s="735" t="e">
        <f ca="1">_xll.ohTrigger(M3:M7)</f>
        <v>#NAME?</v>
      </c>
      <c r="P2" s="1361" t="s">
        <v>529</v>
      </c>
      <c r="Q2" s="1364" t="e">
        <f ca="1">_xll.ohTrigger('General Settings_3'!Trigger)</f>
        <v>#NAME?</v>
      </c>
    </row>
    <row r="3" spans="1:17" ht="15.75" thickBot="1" x14ac:dyDescent="0.3">
      <c r="A3" s="721">
        <v>1</v>
      </c>
      <c r="B3" s="720" t="s">
        <v>278</v>
      </c>
      <c r="C3" s="719" t="e">
        <f ca="1">Currency&amp;$B3&amp;"_SYNTH"&amp;Tenor1M&amp;QuoteSuffix</f>
        <v>#NAME?</v>
      </c>
      <c r="D3" s="719" t="e">
        <f ca="1">_xll.qlSimpleQuote(C3,,RateTickValue,Permanent,EvaluationDate,ObjectOverwrite)</f>
        <v>#NAME?</v>
      </c>
      <c r="E3" s="718" t="e">
        <f ca="1">_xll.ohRangeRetrieveError(D3)</f>
        <v>#NAME?</v>
      </c>
      <c r="F3" s="726"/>
      <c r="G3" s="733" t="s">
        <v>278</v>
      </c>
      <c r="H3" s="695" t="e">
        <f ca="1">'1MSynthDepo'!C23</f>
        <v>#NAME?</v>
      </c>
      <c r="I3" s="728" t="s">
        <v>348</v>
      </c>
      <c r="J3" s="694">
        <v>-1.0602372797308135E-3</v>
      </c>
      <c r="K3" s="726"/>
      <c r="L3" s="693">
        <f t="array" ref="L3:L40">QuoteStatic</f>
        <v>-1.0602372797308135E-3</v>
      </c>
      <c r="M3" s="692" t="e">
        <f ca="1">_xll.qlSimpleQuoteSetValue(D3,ROUND($L3,6),EvaluationDate)</f>
        <v>#NAME?</v>
      </c>
      <c r="N3" s="399"/>
      <c r="P3" s="1362" t="s">
        <v>530</v>
      </c>
      <c r="Q3" s="1365" t="e">
        <f ca="1">_xll.ohTrigger(M3:M40)</f>
        <v>#NAME?</v>
      </c>
    </row>
    <row r="4" spans="1:17" x14ac:dyDescent="0.2">
      <c r="A4" s="717" t="e">
        <f ca="1">_xll.qlPeriodEquivalent(Months1M&amp;"M")</f>
        <v>#NAME?</v>
      </c>
      <c r="B4" s="699" t="s">
        <v>347</v>
      </c>
      <c r="C4" s="698" t="e">
        <f ca="1">Currency&amp;$B4&amp;"_SYNTH"&amp;Tenor1M&amp;QuoteSuffix</f>
        <v>#NAME?</v>
      </c>
      <c r="D4" s="698" t="e">
        <f ca="1">_xll.qlSimpleQuote(C4,,RateTickValue,Permanent,EvaluationDate,ObjectOverwrite)</f>
        <v>#NAME?</v>
      </c>
      <c r="E4" s="697" t="e">
        <f ca="1">_xll.ohRangeRetrieveError(D4)</f>
        <v>#NAME?</v>
      </c>
      <c r="F4" s="726"/>
      <c r="G4" s="733" t="s">
        <v>347</v>
      </c>
      <c r="H4" s="695" t="e">
        <f ca="1">'1MSynthDepo'!C24</f>
        <v>#NAME?</v>
      </c>
      <c r="I4" s="728" t="s">
        <v>348</v>
      </c>
      <c r="J4" s="694">
        <v>-1.1221750832682684E-3</v>
      </c>
      <c r="K4" s="726"/>
      <c r="L4" s="693">
        <v>-1.1221750832682684E-3</v>
      </c>
      <c r="M4" s="692" t="e">
        <f ca="1">_xll.qlSimpleQuoteSetValue(D4,ROUND($L4,6),EvaluationDate)</f>
        <v>#NAME?</v>
      </c>
      <c r="N4" s="399"/>
    </row>
    <row r="5" spans="1:17" x14ac:dyDescent="0.2">
      <c r="A5" s="731"/>
      <c r="B5" s="699" t="s">
        <v>346</v>
      </c>
      <c r="C5" s="698" t="e">
        <f ca="1">Currency&amp;$B5&amp;"_SYNTH"&amp;Tenor1M&amp;QuoteSuffix</f>
        <v>#NAME?</v>
      </c>
      <c r="D5" s="698" t="e">
        <f ca="1">_xll.qlSimpleQuote(C5,,RateTickValue,Permanent,EvaluationDate,ObjectOverwrite)</f>
        <v>#NAME?</v>
      </c>
      <c r="E5" s="697" t="e">
        <f ca="1">_xll.ohRangeRetrieveError(D5)</f>
        <v>#NAME?</v>
      </c>
      <c r="F5" s="726"/>
      <c r="G5" s="733" t="s">
        <v>346</v>
      </c>
      <c r="H5" s="695" t="e">
        <f ca="1">'1MSynthDepo'!C25</f>
        <v>#NAME?</v>
      </c>
      <c r="I5" s="728" t="s">
        <v>348</v>
      </c>
      <c r="J5" s="694">
        <v>-1.1352201462752223E-3</v>
      </c>
      <c r="K5" s="726"/>
      <c r="L5" s="693">
        <v>-1.1352201462752223E-3</v>
      </c>
      <c r="M5" s="692" t="e">
        <f ca="1">_xll.qlSimpleQuoteSetValue(D5,ROUND($L5,6),EvaluationDate)</f>
        <v>#NAME?</v>
      </c>
      <c r="N5" s="399"/>
    </row>
    <row r="6" spans="1:17" x14ac:dyDescent="0.2">
      <c r="A6" s="731"/>
      <c r="B6" s="699" t="s">
        <v>345</v>
      </c>
      <c r="C6" s="698" t="e">
        <f ca="1">Currency&amp;$B6&amp;"_SYNTH"&amp;Tenor1M&amp;QuoteSuffix</f>
        <v>#NAME?</v>
      </c>
      <c r="D6" s="698" t="e">
        <f ca="1">_xll.qlSimpleQuote(C6,,RateTickValue,Permanent,EvaluationDate,ObjectOverwrite)</f>
        <v>#NAME?</v>
      </c>
      <c r="E6" s="697" t="e">
        <f ca="1">_xll.ohRangeRetrieveError(D6)</f>
        <v>#NAME?</v>
      </c>
      <c r="F6" s="726"/>
      <c r="G6" s="732" t="s">
        <v>345</v>
      </c>
      <c r="H6" s="695" t="e">
        <f ca="1">'1MSynthDepo'!C26</f>
        <v>#NAME?</v>
      </c>
      <c r="I6" s="728" t="s">
        <v>348</v>
      </c>
      <c r="J6" s="683">
        <v>-1.146607730109217E-3</v>
      </c>
      <c r="K6" s="726"/>
      <c r="L6" s="681">
        <v>-1.146607730109217E-3</v>
      </c>
      <c r="M6" s="680" t="e">
        <f ca="1">_xll.qlSimpleQuoteSetValue(D6,ROUND($L6,6),EvaluationDate)</f>
        <v>#NAME?</v>
      </c>
      <c r="N6" s="399"/>
    </row>
    <row r="7" spans="1:17" x14ac:dyDescent="0.2">
      <c r="A7" s="731"/>
      <c r="B7" s="689" t="s">
        <v>344</v>
      </c>
      <c r="C7" s="688" t="e">
        <f ca="1">Currency&amp;$B7&amp;"_SYNTH"&amp;Tenor1M&amp;QuoteSuffix</f>
        <v>#NAME?</v>
      </c>
      <c r="D7" s="688" t="e">
        <f ca="1">_xll.qlSimpleQuote(C7,,RateTickValue,Permanent,EvaluationDate,ObjectOverwrite)</f>
        <v>#NAME?</v>
      </c>
      <c r="E7" s="687" t="e">
        <f ca="1">_xll.ohRangeRetrieveError(D7)</f>
        <v>#NAME?</v>
      </c>
      <c r="F7" s="726"/>
      <c r="G7" s="730" t="s">
        <v>344</v>
      </c>
      <c r="H7" s="729" t="e">
        <f ca="1">'1MSynthDepo'!C27</f>
        <v>#NAME?</v>
      </c>
      <c r="I7" s="728" t="s">
        <v>348</v>
      </c>
      <c r="J7" s="727">
        <v>-1.1300000000010854E-3</v>
      </c>
      <c r="K7" s="726"/>
      <c r="L7" s="725">
        <v>-1.1300000000010854E-3</v>
      </c>
      <c r="M7" s="724" t="e">
        <f ca="1">_xll.qlSimpleQuoteSetValue(D7,ROUND($L7,6),EvaluationDate)</f>
        <v>#NAME?</v>
      </c>
      <c r="N7" s="723"/>
    </row>
    <row r="8" spans="1:17" x14ac:dyDescent="0.2">
      <c r="A8" s="703">
        <v>3</v>
      </c>
      <c r="B8" s="720" t="s">
        <v>278</v>
      </c>
      <c r="C8" s="719" t="e">
        <f t="shared" ref="C8:C14" ca="1" si="0">Currency&amp;$B8&amp;"_SYNTH"&amp;Tenor3M&amp;QuoteSuffix</f>
        <v>#NAME?</v>
      </c>
      <c r="D8" s="719" t="e">
        <f ca="1">_xll.qlSimpleQuote(C8,,RateTickValue,Permanent,EvaluationDate,ObjectOverwrite)</f>
        <v>#NAME?</v>
      </c>
      <c r="E8" s="718"/>
      <c r="F8" s="682"/>
      <c r="G8" s="715" t="s">
        <v>278</v>
      </c>
      <c r="H8" s="704" t="e">
        <f ca="1">'3MSynthDepo'!C25</f>
        <v>#NAME?</v>
      </c>
      <c r="I8" s="684"/>
      <c r="J8" s="694">
        <v>-4.3754438754817215E-4</v>
      </c>
      <c r="K8" s="682"/>
      <c r="L8" s="693">
        <v>-4.3754438754817215E-4</v>
      </c>
      <c r="M8" s="692" t="e">
        <f ca="1">_xll.qlSimpleQuoteSetValue(D8,ROUND($L8,6),EvaluationDate)</f>
        <v>#NAME?</v>
      </c>
      <c r="N8" s="722" t="e">
        <f ca="1">_xll.ohTrigger(M8:M14)</f>
        <v>#NAME?</v>
      </c>
    </row>
    <row r="9" spans="1:17" x14ac:dyDescent="0.2">
      <c r="A9" s="717" t="e">
        <f ca="1">_xll.qlPeriodEquivalent(Months3M&amp;"M")</f>
        <v>#NAME?</v>
      </c>
      <c r="B9" s="699" t="s">
        <v>347</v>
      </c>
      <c r="C9" s="698" t="e">
        <f t="shared" ca="1" si="0"/>
        <v>#NAME?</v>
      </c>
      <c r="D9" s="698" t="e">
        <f ca="1">_xll.qlSimpleQuote(C9,,RateTickValue,Permanent,EvaluationDate,ObjectOverwrite)</f>
        <v>#NAME?</v>
      </c>
      <c r="E9" s="697"/>
      <c r="F9" s="682"/>
      <c r="G9" s="708" t="s">
        <v>347</v>
      </c>
      <c r="H9" s="695" t="e">
        <f ca="1">'3MSynthDepo'!C26</f>
        <v>#NAME?</v>
      </c>
      <c r="I9" s="684"/>
      <c r="J9" s="694">
        <v>-4.8724085528536624E-4</v>
      </c>
      <c r="K9" s="682"/>
      <c r="L9" s="693">
        <v>-4.8724085528536624E-4</v>
      </c>
      <c r="M9" s="692" t="e">
        <f ca="1">_xll.qlSimpleQuoteSetValue(D9,ROUND($L9,6),EvaluationDate)</f>
        <v>#NAME?</v>
      </c>
      <c r="N9" s="399"/>
    </row>
    <row r="10" spans="1:17" x14ac:dyDescent="0.2">
      <c r="A10" s="709"/>
      <c r="B10" s="699" t="s">
        <v>346</v>
      </c>
      <c r="C10" s="698" t="e">
        <f t="shared" ca="1" si="0"/>
        <v>#NAME?</v>
      </c>
      <c r="D10" s="698" t="e">
        <f ca="1">_xll.qlSimpleQuote(C10,,RateTickValue,Permanent,EvaluationDate,ObjectOverwrite)</f>
        <v>#NAME?</v>
      </c>
      <c r="E10" s="697"/>
      <c r="F10" s="682"/>
      <c r="G10" s="708" t="s">
        <v>346</v>
      </c>
      <c r="H10" s="695" t="e">
        <f ca="1">'3MSynthDepo'!C27</f>
        <v>#NAME?</v>
      </c>
      <c r="I10" s="684"/>
      <c r="J10" s="694">
        <v>-4.803119652350775E-4</v>
      </c>
      <c r="K10" s="682"/>
      <c r="L10" s="693">
        <v>-4.803119652350775E-4</v>
      </c>
      <c r="M10" s="692" t="e">
        <f ca="1">_xll.qlSimpleQuoteSetValue(D10,ROUND($L10,6),EvaluationDate)</f>
        <v>#NAME?</v>
      </c>
      <c r="N10" s="399"/>
    </row>
    <row r="11" spans="1:17" x14ac:dyDescent="0.2">
      <c r="A11" s="709"/>
      <c r="B11" s="699" t="s">
        <v>345</v>
      </c>
      <c r="C11" s="698" t="e">
        <f t="shared" ca="1" si="0"/>
        <v>#NAME?</v>
      </c>
      <c r="D11" s="698" t="e">
        <f ca="1">_xll.qlSimpleQuote(C11,,RateTickValue,Permanent,EvaluationDate,ObjectOverwrite)</f>
        <v>#NAME?</v>
      </c>
      <c r="E11" s="697"/>
      <c r="F11" s="682"/>
      <c r="G11" s="707" t="s">
        <v>345</v>
      </c>
      <c r="H11" s="685" t="e">
        <f ca="1">'3MSynthDepo'!C28</f>
        <v>#NAME?</v>
      </c>
      <c r="I11" s="684"/>
      <c r="J11" s="683">
        <v>-4.7356952190570818E-4</v>
      </c>
      <c r="K11" s="682"/>
      <c r="L11" s="681">
        <v>-4.7356952190570818E-4</v>
      </c>
      <c r="M11" s="680" t="e">
        <f ca="1">_xll.qlSimpleQuoteSetValue(D11,ROUND($L11,6),EvaluationDate)</f>
        <v>#NAME?</v>
      </c>
      <c r="N11" s="399"/>
    </row>
    <row r="12" spans="1:17" x14ac:dyDescent="0.2">
      <c r="A12" s="709"/>
      <c r="B12" s="699" t="s">
        <v>344</v>
      </c>
      <c r="C12" s="698" t="e">
        <f t="shared" ca="1" si="0"/>
        <v>#NAME?</v>
      </c>
      <c r="D12" s="698" t="e">
        <f ca="1">_xll.qlSimpleQuote(C12,,RateTickValue,Permanent,EvaluationDate,ObjectOverwrite)</f>
        <v>#NAME?</v>
      </c>
      <c r="E12" s="697"/>
      <c r="F12" s="682"/>
      <c r="G12" s="708" t="s">
        <v>344</v>
      </c>
      <c r="H12" s="695" t="e">
        <f ca="1">'3MSynthDepo'!C29</f>
        <v>#NAME?</v>
      </c>
      <c r="I12" s="684"/>
      <c r="J12" s="694">
        <v>-4.3425837757737895E-4</v>
      </c>
      <c r="K12" s="682"/>
      <c r="L12" s="693">
        <v>-4.3425837757737895E-4</v>
      </c>
      <c r="M12" s="692" t="e">
        <f ca="1">_xll.qlSimpleQuoteSetValue(D12,ROUND($L12,6),EvaluationDate)</f>
        <v>#NAME?</v>
      </c>
      <c r="N12" s="399"/>
    </row>
    <row r="13" spans="1:17" x14ac:dyDescent="0.2">
      <c r="A13" s="709"/>
      <c r="B13" s="699" t="s">
        <v>343</v>
      </c>
      <c r="C13" s="698" t="e">
        <f t="shared" ca="1" si="0"/>
        <v>#NAME?</v>
      </c>
      <c r="D13" s="698" t="e">
        <f ca="1">_xll.qlSimpleQuote(C13,,RateTickValue,Permanent,EvaluationDate,ObjectOverwrite)</f>
        <v>#NAME?</v>
      </c>
      <c r="E13" s="697"/>
      <c r="F13" s="682"/>
      <c r="G13" s="708" t="s">
        <v>343</v>
      </c>
      <c r="H13" s="695" t="e">
        <f ca="1">'3MSynthDepo'!C30</f>
        <v>#NAME?</v>
      </c>
      <c r="I13" s="684"/>
      <c r="J13" s="694">
        <v>-4.3874018060640626E-4</v>
      </c>
      <c r="K13" s="682"/>
      <c r="L13" s="693">
        <v>-4.3874018060640626E-4</v>
      </c>
      <c r="M13" s="692" t="e">
        <f ca="1">_xll.qlSimpleQuoteSetValue(D13,ROUND($L13,6),EvaluationDate)</f>
        <v>#NAME?</v>
      </c>
      <c r="N13" s="399"/>
    </row>
    <row r="14" spans="1:17" x14ac:dyDescent="0.2">
      <c r="A14" s="690"/>
      <c r="B14" s="689" t="s">
        <v>342</v>
      </c>
      <c r="C14" s="688" t="e">
        <f t="shared" ca="1" si="0"/>
        <v>#NAME?</v>
      </c>
      <c r="D14" s="688" t="e">
        <f ca="1">_xll.qlSimpleQuote(C14,,RateTickValue,Permanent,EvaluationDate,ObjectOverwrite)</f>
        <v>#NAME?</v>
      </c>
      <c r="E14" s="687"/>
      <c r="F14" s="682"/>
      <c r="G14" s="707" t="s">
        <v>342</v>
      </c>
      <c r="H14" s="685" t="e">
        <f ca="1">'3MSynthDepo'!C31</f>
        <v>#NAME?</v>
      </c>
      <c r="I14" s="684"/>
      <c r="J14" s="683">
        <v>-4.277753607922686E-4</v>
      </c>
      <c r="K14" s="682"/>
      <c r="L14" s="681">
        <v>-4.277753607922686E-4</v>
      </c>
      <c r="M14" s="680" t="e">
        <f ca="1">_xll.qlSimpleQuoteSetValue(D14,ROUND($L14,6),EvaluationDate)</f>
        <v>#NAME?</v>
      </c>
      <c r="N14" s="399"/>
    </row>
    <row r="15" spans="1:17" x14ac:dyDescent="0.2">
      <c r="A15" s="721">
        <v>6</v>
      </c>
      <c r="B15" s="720" t="s">
        <v>278</v>
      </c>
      <c r="C15" s="719" t="e">
        <f t="shared" ref="C15:C24" ca="1" si="1">Currency&amp;$B15&amp;"_SYNTH"&amp;Tenor6M&amp;QuoteSuffix</f>
        <v>#NAME?</v>
      </c>
      <c r="D15" s="719" t="e">
        <f ca="1">_xll.qlSimpleQuote(C15,,RateTickValue,Permanent,EvaluationDate,ObjectOverwrite)</f>
        <v>#NAME?</v>
      </c>
      <c r="E15" s="718" t="e">
        <f ca="1">_xll.ohRangeRetrieveError(D15)</f>
        <v>#NAME?</v>
      </c>
      <c r="F15" s="682"/>
      <c r="G15" s="715" t="s">
        <v>278</v>
      </c>
      <c r="H15" s="704" t="e">
        <f ca="1">'6MSynthDepo'!C28</f>
        <v>#NAME?</v>
      </c>
      <c r="I15" s="684"/>
      <c r="J15" s="694">
        <v>3.1041711273438466E-4</v>
      </c>
      <c r="K15" s="682"/>
      <c r="L15" s="693">
        <v>3.1041711273438466E-4</v>
      </c>
      <c r="M15" s="692" t="e">
        <f ca="1">_xll.qlSimpleQuoteSetValue(D15,ROUND($L15,6),EvaluationDate)</f>
        <v>#NAME?</v>
      </c>
      <c r="N15" s="679" t="e">
        <f ca="1">_xll.ohTrigger(M15:M24)</f>
        <v>#NAME?</v>
      </c>
    </row>
    <row r="16" spans="1:17" x14ac:dyDescent="0.2">
      <c r="A16" s="717" t="e">
        <f ca="1">_xll.qlPeriodEquivalent(Months6M&amp;"M")</f>
        <v>#NAME?</v>
      </c>
      <c r="B16" s="699" t="s">
        <v>347</v>
      </c>
      <c r="C16" s="698" t="e">
        <f t="shared" ca="1" si="1"/>
        <v>#NAME?</v>
      </c>
      <c r="D16" s="698" t="e">
        <f ca="1">_xll.qlSimpleQuote(C16,,RateTickValue,Permanent,EvaluationDate,ObjectOverwrite)</f>
        <v>#NAME?</v>
      </c>
      <c r="E16" s="697" t="e">
        <f ca="1">_xll.ohRangeRetrieveError(D16)</f>
        <v>#NAME?</v>
      </c>
      <c r="F16" s="682"/>
      <c r="G16" s="708" t="s">
        <v>347</v>
      </c>
      <c r="H16" s="695" t="e">
        <f ca="1">'6MSynthDepo'!C29</f>
        <v>#NAME?</v>
      </c>
      <c r="I16" s="684"/>
      <c r="J16" s="694">
        <v>2.5970884868950099E-4</v>
      </c>
      <c r="K16" s="682"/>
      <c r="L16" s="693">
        <v>2.5970884868950099E-4</v>
      </c>
      <c r="M16" s="692" t="e">
        <f ca="1">_xll.qlSimpleQuoteSetValue(D16,ROUND($L16,6),EvaluationDate)</f>
        <v>#NAME?</v>
      </c>
      <c r="N16" s="691"/>
    </row>
    <row r="17" spans="1:14" x14ac:dyDescent="0.2">
      <c r="A17" s="716"/>
      <c r="B17" s="699" t="s">
        <v>346</v>
      </c>
      <c r="C17" s="698" t="e">
        <f t="shared" ca="1" si="1"/>
        <v>#NAME?</v>
      </c>
      <c r="D17" s="698" t="e">
        <f ca="1">_xll.qlSimpleQuote(C17,,RateTickValue,Permanent,EvaluationDate,ObjectOverwrite)</f>
        <v>#NAME?</v>
      </c>
      <c r="E17" s="697" t="e">
        <f ca="1">_xll.ohRangeRetrieveError(D17)</f>
        <v>#NAME?</v>
      </c>
      <c r="F17" s="702"/>
      <c r="G17" s="708" t="s">
        <v>346</v>
      </c>
      <c r="H17" s="695" t="e">
        <f ca="1">'6MSynthDepo'!C30</f>
        <v>#NAME?</v>
      </c>
      <c r="I17" s="684"/>
      <c r="J17" s="694">
        <v>2.6501422268105604E-4</v>
      </c>
      <c r="K17" s="682"/>
      <c r="L17" s="693">
        <v>2.6501422268105604E-4</v>
      </c>
      <c r="M17" s="692" t="e">
        <f ca="1">_xll.qlSimpleQuoteSetValue(D17,ROUND($L17,6),EvaluationDate)</f>
        <v>#NAME?</v>
      </c>
      <c r="N17" s="691"/>
    </row>
    <row r="18" spans="1:14" x14ac:dyDescent="0.2">
      <c r="A18" s="709"/>
      <c r="B18" s="699" t="s">
        <v>345</v>
      </c>
      <c r="C18" s="698" t="e">
        <f t="shared" ca="1" si="1"/>
        <v>#NAME?</v>
      </c>
      <c r="D18" s="698" t="e">
        <f ca="1">_xll.qlSimpleQuote(C18,,RateTickValue,Permanent,EvaluationDate,ObjectOverwrite)</f>
        <v>#NAME?</v>
      </c>
      <c r="E18" s="697" t="e">
        <f ca="1">_xll.ohRangeRetrieveError(D18)</f>
        <v>#NAME?</v>
      </c>
      <c r="F18" s="702"/>
      <c r="G18" s="708" t="s">
        <v>345</v>
      </c>
      <c r="H18" s="695" t="e">
        <f ca="1">'6MSynthDepo'!C31</f>
        <v>#NAME?</v>
      </c>
      <c r="I18" s="684"/>
      <c r="J18" s="694">
        <v>2.7031965171429661E-4</v>
      </c>
      <c r="K18" s="682"/>
      <c r="L18" s="693">
        <v>2.7031965171429661E-4</v>
      </c>
      <c r="M18" s="692" t="e">
        <f ca="1">_xll.qlSimpleQuoteSetValue(D18,ROUND($L18,6),EvaluationDate)</f>
        <v>#NAME?</v>
      </c>
      <c r="N18" s="691"/>
    </row>
    <row r="19" spans="1:14" x14ac:dyDescent="0.2">
      <c r="A19" s="709"/>
      <c r="B19" s="699" t="s">
        <v>344</v>
      </c>
      <c r="C19" s="698" t="e">
        <f t="shared" ca="1" si="1"/>
        <v>#NAME?</v>
      </c>
      <c r="D19" s="698" t="e">
        <f ca="1">_xll.qlSimpleQuote(C19,,RateTickValue,Permanent,EvaluationDate,ObjectOverwrite)</f>
        <v>#NAME?</v>
      </c>
      <c r="E19" s="697" t="e">
        <f ca="1">_xll.ohRangeRetrieveError(D19)</f>
        <v>#NAME?</v>
      </c>
      <c r="F19" s="702"/>
      <c r="G19" s="715" t="s">
        <v>344</v>
      </c>
      <c r="H19" s="704" t="e">
        <f ca="1">'6MSynthDepo'!C32</f>
        <v>#NAME?</v>
      </c>
      <c r="I19" s="714"/>
      <c r="J19" s="713">
        <v>3.079033475847997E-4</v>
      </c>
      <c r="K19" s="712"/>
      <c r="L19" s="711">
        <v>3.079033475847997E-4</v>
      </c>
      <c r="M19" s="710" t="e">
        <f ca="1">_xll.qlSimpleQuoteSetValue(D19,ROUND($L19,6),EvaluationDate)</f>
        <v>#NAME?</v>
      </c>
      <c r="N19" s="691"/>
    </row>
    <row r="20" spans="1:14" x14ac:dyDescent="0.2">
      <c r="A20" s="709"/>
      <c r="B20" s="699" t="s">
        <v>343</v>
      </c>
      <c r="C20" s="698" t="e">
        <f t="shared" ca="1" si="1"/>
        <v>#NAME?</v>
      </c>
      <c r="D20" s="698" t="e">
        <f ca="1">_xll.qlSimpleQuote(C20,,RateTickValue,Permanent,EvaluationDate,ObjectOverwrite)</f>
        <v>#NAME?</v>
      </c>
      <c r="E20" s="697" t="e">
        <f ca="1">_xll.ohRangeRetrieveError(D20)</f>
        <v>#NAME?</v>
      </c>
      <c r="F20" s="702"/>
      <c r="G20" s="708" t="s">
        <v>343</v>
      </c>
      <c r="H20" s="695" t="e">
        <f ca="1">'6MSynthDepo'!C33</f>
        <v>#NAME?</v>
      </c>
      <c r="I20" s="684"/>
      <c r="J20" s="694">
        <v>3.0051497594123434E-4</v>
      </c>
      <c r="K20" s="682"/>
      <c r="L20" s="693">
        <v>3.0051497594123434E-4</v>
      </c>
      <c r="M20" s="692" t="e">
        <f ca="1">_xll.qlSimpleQuoteSetValue(D20,ROUND($L20,6),EvaluationDate)</f>
        <v>#NAME?</v>
      </c>
      <c r="N20" s="691"/>
    </row>
    <row r="21" spans="1:14" x14ac:dyDescent="0.2">
      <c r="A21" s="709"/>
      <c r="B21" s="699" t="s">
        <v>342</v>
      </c>
      <c r="C21" s="698" t="e">
        <f t="shared" ca="1" si="1"/>
        <v>#NAME?</v>
      </c>
      <c r="D21" s="698" t="e">
        <f ca="1">_xll.qlSimpleQuote(C21,,RateTickValue,Permanent,EvaluationDate,ObjectOverwrite)</f>
        <v>#NAME?</v>
      </c>
      <c r="E21" s="697" t="e">
        <f ca="1">_xll.ohRangeRetrieveError(D21)</f>
        <v>#NAME?</v>
      </c>
      <c r="F21" s="702"/>
      <c r="G21" s="708" t="s">
        <v>342</v>
      </c>
      <c r="H21" s="695" t="e">
        <f ca="1">'6MSynthDepo'!C34</f>
        <v>#NAME?</v>
      </c>
      <c r="I21" s="684"/>
      <c r="J21" s="694">
        <v>3.1223786868635103E-4</v>
      </c>
      <c r="K21" s="682"/>
      <c r="L21" s="693">
        <v>3.1223786868635103E-4</v>
      </c>
      <c r="M21" s="692" t="e">
        <f ca="1">_xll.qlSimpleQuoteSetValue(D21,ROUND($L21,6),EvaluationDate)</f>
        <v>#NAME?</v>
      </c>
      <c r="N21" s="691"/>
    </row>
    <row r="22" spans="1:14" x14ac:dyDescent="0.2">
      <c r="A22" s="709"/>
      <c r="B22" s="699" t="s">
        <v>341</v>
      </c>
      <c r="C22" s="698" t="e">
        <f t="shared" ca="1" si="1"/>
        <v>#NAME?</v>
      </c>
      <c r="D22" s="698" t="e">
        <f ca="1">_xll.qlSimpleQuote(C22,,RateTickValue,Permanent,EvaluationDate,ObjectOverwrite)</f>
        <v>#NAME?</v>
      </c>
      <c r="E22" s="697" t="e">
        <f ca="1">_xll.ohRangeRetrieveError(D22)</f>
        <v>#NAME?</v>
      </c>
      <c r="F22" s="702"/>
      <c r="G22" s="708" t="s">
        <v>341</v>
      </c>
      <c r="H22" s="695" t="e">
        <f ca="1">'6MSynthDepo'!C35</f>
        <v>#NAME?</v>
      </c>
      <c r="I22" s="684"/>
      <c r="J22" s="694">
        <v>2.9149882219895368E-4</v>
      </c>
      <c r="K22" s="682"/>
      <c r="L22" s="693">
        <v>2.9149882219895368E-4</v>
      </c>
      <c r="M22" s="692" t="e">
        <f ca="1">_xll.qlSimpleQuoteSetValue(D22,ROUND($L22,6),EvaluationDate)</f>
        <v>#NAME?</v>
      </c>
      <c r="N22" s="691"/>
    </row>
    <row r="23" spans="1:14" x14ac:dyDescent="0.2">
      <c r="A23" s="709"/>
      <c r="B23" s="699" t="s">
        <v>340</v>
      </c>
      <c r="C23" s="698" t="e">
        <f t="shared" ca="1" si="1"/>
        <v>#NAME?</v>
      </c>
      <c r="D23" s="698" t="e">
        <f ca="1">_xll.qlSimpleQuote(C23,,RateTickValue,Permanent,EvaluationDate,ObjectOverwrite)</f>
        <v>#NAME?</v>
      </c>
      <c r="E23" s="697" t="e">
        <f ca="1">_xll.ohRangeRetrieveError(D23)</f>
        <v>#NAME?</v>
      </c>
      <c r="F23" s="702"/>
      <c r="G23" s="708" t="s">
        <v>340</v>
      </c>
      <c r="H23" s="695" t="e">
        <f ca="1">'6MSynthDepo'!C36</f>
        <v>#NAME?</v>
      </c>
      <c r="I23" s="684"/>
      <c r="J23" s="694">
        <v>2.7789315175838931E-4</v>
      </c>
      <c r="K23" s="682"/>
      <c r="L23" s="693">
        <v>2.7789315175838931E-4</v>
      </c>
      <c r="M23" s="692" t="e">
        <f ca="1">_xll.qlSimpleQuoteSetValue(D23,ROUND($L23,6),EvaluationDate)</f>
        <v>#NAME?</v>
      </c>
      <c r="N23" s="691"/>
    </row>
    <row r="24" spans="1:14" x14ac:dyDescent="0.2">
      <c r="A24" s="690"/>
      <c r="B24" s="689" t="s">
        <v>339</v>
      </c>
      <c r="C24" s="688" t="e">
        <f t="shared" ca="1" si="1"/>
        <v>#NAME?</v>
      </c>
      <c r="D24" s="688" t="e">
        <f ca="1">_xll.qlSimpleQuote(C24,,RateTickValue,Permanent,EvaluationDate,ObjectOverwrite)</f>
        <v>#NAME?</v>
      </c>
      <c r="E24" s="687" t="e">
        <f ca="1">_xll.ohRangeRetrieveError(D24)</f>
        <v>#NAME?</v>
      </c>
      <c r="F24" s="702"/>
      <c r="G24" s="707" t="s">
        <v>339</v>
      </c>
      <c r="H24" s="685" t="e">
        <f ca="1">'6MSynthDepo'!C37</f>
        <v>#NAME?</v>
      </c>
      <c r="I24" s="684"/>
      <c r="J24" s="683">
        <v>2.6655633636438571E-4</v>
      </c>
      <c r="K24" s="682"/>
      <c r="L24" s="681">
        <v>2.6655633636438571E-4</v>
      </c>
      <c r="M24" s="680" t="e">
        <f ca="1">_xll.qlSimpleQuoteSetValue(D24,ROUND($L24,6),EvaluationDate)</f>
        <v>#NAME?</v>
      </c>
      <c r="N24" s="691"/>
    </row>
    <row r="25" spans="1:14" x14ac:dyDescent="0.2">
      <c r="A25" s="706">
        <v>12</v>
      </c>
      <c r="B25" s="699" t="s">
        <v>278</v>
      </c>
      <c r="C25" s="698" t="e">
        <f t="shared" ref="C25:C40" ca="1" si="2">Currency&amp;$B25&amp;"_SYNTH"&amp;Tenor12M&amp;QuoteSuffix</f>
        <v>#NAME?</v>
      </c>
      <c r="D25" s="698" t="e">
        <f ca="1">_xll.qlSimpleQuote(C25,,RateTickValue,Permanent,EvaluationDate,ObjectOverwrite)</f>
        <v>#NAME?</v>
      </c>
      <c r="E25" s="697" t="e">
        <f ca="1">_xll.ohRangeRetrieveError(D25)</f>
        <v>#NAME?</v>
      </c>
      <c r="F25" s="682"/>
      <c r="G25" s="705" t="s">
        <v>278</v>
      </c>
      <c r="H25" s="704" t="e">
        <f ca="1">'12MSynthDepo'!C34</f>
        <v>#NAME?</v>
      </c>
      <c r="I25" s="684"/>
      <c r="J25" s="694">
        <v>1.5987457028909802E-3</v>
      </c>
      <c r="K25" s="682"/>
      <c r="L25" s="693">
        <v>1.5987457028909802E-3</v>
      </c>
      <c r="M25" s="692" t="e">
        <f ca="1">_xll.qlSimpleQuoteSetValue(D25,ROUND($L25,6),EvaluationDate)</f>
        <v>#NAME?</v>
      </c>
      <c r="N25" s="679" t="e">
        <f ca="1">_xll.ohTrigger(M25:M40)</f>
        <v>#NAME?</v>
      </c>
    </row>
    <row r="26" spans="1:14" x14ac:dyDescent="0.2">
      <c r="A26" s="703" t="e">
        <f ca="1">_xll.qlPeriodEquivalent(Months12M&amp;"M")</f>
        <v>#NAME?</v>
      </c>
      <c r="B26" s="699" t="s">
        <v>347</v>
      </c>
      <c r="C26" s="698" t="e">
        <f t="shared" ca="1" si="2"/>
        <v>#NAME?</v>
      </c>
      <c r="D26" s="698" t="e">
        <f ca="1">_xll.qlSimpleQuote(C26,,RateTickValue,Permanent,EvaluationDate,ObjectOverwrite)</f>
        <v>#NAME?</v>
      </c>
      <c r="E26" s="697" t="e">
        <f ca="1">_xll.ohRangeRetrieveError(D26)</f>
        <v>#NAME?</v>
      </c>
      <c r="F26" s="682"/>
      <c r="G26" s="696" t="s">
        <v>347</v>
      </c>
      <c r="H26" s="695" t="e">
        <f ca="1">'12MSynthDepo'!C35</f>
        <v>#NAME?</v>
      </c>
      <c r="I26" s="684"/>
      <c r="J26" s="694">
        <v>1.546906043202258E-3</v>
      </c>
      <c r="K26" s="682"/>
      <c r="L26" s="693">
        <v>1.546906043202258E-3</v>
      </c>
      <c r="M26" s="692" t="e">
        <f ca="1">_xll.qlSimpleQuoteSetValue(D26,ROUND($L26,6),EvaluationDate)</f>
        <v>#NAME?</v>
      </c>
      <c r="N26" s="691"/>
    </row>
    <row r="27" spans="1:14" x14ac:dyDescent="0.2">
      <c r="A27" s="700"/>
      <c r="B27" s="699" t="s">
        <v>346</v>
      </c>
      <c r="C27" s="698" t="e">
        <f t="shared" ca="1" si="2"/>
        <v>#NAME?</v>
      </c>
      <c r="D27" s="698" t="e">
        <f ca="1">_xll.qlSimpleQuote(C27,,RateTickValue,Permanent,EvaluationDate,ObjectOverwrite)</f>
        <v>#NAME?</v>
      </c>
      <c r="E27" s="697" t="e">
        <f ca="1">_xll.ohRangeRetrieveError(D27)</f>
        <v>#NAME?</v>
      </c>
      <c r="F27" s="702"/>
      <c r="G27" s="696" t="s">
        <v>346</v>
      </c>
      <c r="H27" s="695" t="e">
        <f ca="1">'12MSynthDepo'!C36</f>
        <v>#NAME?</v>
      </c>
      <c r="I27" s="684"/>
      <c r="J27" s="694">
        <v>1.5502325985134696E-3</v>
      </c>
      <c r="K27" s="682"/>
      <c r="L27" s="693">
        <v>1.5502325985134696E-3</v>
      </c>
      <c r="M27" s="692" t="e">
        <f ca="1">_xll.qlSimpleQuoteSetValue(D27,ROUND($L27,6),EvaluationDate)</f>
        <v>#NAME?</v>
      </c>
      <c r="N27" s="691"/>
    </row>
    <row r="28" spans="1:14" x14ac:dyDescent="0.2">
      <c r="A28" s="700"/>
      <c r="B28" s="699" t="s">
        <v>345</v>
      </c>
      <c r="C28" s="698" t="e">
        <f t="shared" ca="1" si="2"/>
        <v>#NAME?</v>
      </c>
      <c r="D28" s="698" t="e">
        <f ca="1">_xll.qlSimpleQuote(C28,,RateTickValue,Permanent,EvaluationDate,ObjectOverwrite)</f>
        <v>#NAME?</v>
      </c>
      <c r="E28" s="697" t="e">
        <f ca="1">_xll.ohRangeRetrieveError(D28)</f>
        <v>#NAME?</v>
      </c>
      <c r="F28" s="702"/>
      <c r="G28" s="696" t="s">
        <v>345</v>
      </c>
      <c r="H28" s="695" t="e">
        <f ca="1">'12MSynthDepo'!C37</f>
        <v>#NAME?</v>
      </c>
      <c r="I28" s="684"/>
      <c r="J28" s="694">
        <v>1.5535593531319186E-3</v>
      </c>
      <c r="K28" s="682"/>
      <c r="L28" s="693">
        <v>1.5535593531319186E-3</v>
      </c>
      <c r="M28" s="692" t="e">
        <f ca="1">_xll.qlSimpleQuoteSetValue(D28,ROUND($L28,6),EvaluationDate)</f>
        <v>#NAME?</v>
      </c>
      <c r="N28" s="691"/>
    </row>
    <row r="29" spans="1:14" x14ac:dyDescent="0.2">
      <c r="A29" s="700"/>
      <c r="B29" s="699" t="s">
        <v>344</v>
      </c>
      <c r="C29" s="698" t="e">
        <f t="shared" ca="1" si="2"/>
        <v>#NAME?</v>
      </c>
      <c r="D29" s="698" t="e">
        <f ca="1">_xll.qlSimpleQuote(C29,,RateTickValue,Permanent,EvaluationDate,ObjectOverwrite)</f>
        <v>#NAME?</v>
      </c>
      <c r="E29" s="697" t="e">
        <f ca="1">_xll.ohRangeRetrieveError(D29)</f>
        <v>#NAME?</v>
      </c>
      <c r="F29" s="702"/>
      <c r="G29" s="686" t="s">
        <v>344</v>
      </c>
      <c r="H29" s="685" t="e">
        <f ca="1">'12MSynthDepo'!C38</f>
        <v>#NAME?</v>
      </c>
      <c r="I29" s="684"/>
      <c r="J29" s="683">
        <v>1.5883199276869606E-3</v>
      </c>
      <c r="K29" s="682"/>
      <c r="L29" s="681">
        <v>1.5883199276869606E-3</v>
      </c>
      <c r="M29" s="680" t="e">
        <f ca="1">_xll.qlSimpleQuoteSetValue(D29,ROUND($L29,6),EvaluationDate)</f>
        <v>#NAME?</v>
      </c>
      <c r="N29" s="691"/>
    </row>
    <row r="30" spans="1:14" x14ac:dyDescent="0.2">
      <c r="A30" s="700"/>
      <c r="B30" s="699" t="s">
        <v>343</v>
      </c>
      <c r="C30" s="698" t="e">
        <f t="shared" ca="1" si="2"/>
        <v>#NAME?</v>
      </c>
      <c r="D30" s="698" t="e">
        <f ca="1">_xll.qlSimpleQuote(C30,,RateTickValue,Permanent,EvaluationDate,ObjectOverwrite)</f>
        <v>#NAME?</v>
      </c>
      <c r="E30" s="697" t="e">
        <f ca="1">_xll.ohRangeRetrieveError(D30)</f>
        <v>#NAME?</v>
      </c>
      <c r="F30" s="702"/>
      <c r="G30" s="696" t="s">
        <v>343</v>
      </c>
      <c r="H30" s="695" t="e">
        <f ca="1">'12MSynthDepo'!C39</f>
        <v>#NAME?</v>
      </c>
      <c r="I30" s="684"/>
      <c r="J30" s="694">
        <v>1.5724506583920186E-3</v>
      </c>
      <c r="K30" s="682"/>
      <c r="L30" s="693">
        <v>1.5724506583920186E-3</v>
      </c>
      <c r="M30" s="692" t="e">
        <f ca="1">_xll.qlSimpleQuoteSetValue(D30,ROUND($L30,6),EvaluationDate)</f>
        <v>#NAME?</v>
      </c>
      <c r="N30" s="679"/>
    </row>
    <row r="31" spans="1:14" x14ac:dyDescent="0.2">
      <c r="A31" s="700"/>
      <c r="B31" s="699" t="s">
        <v>342</v>
      </c>
      <c r="C31" s="698" t="e">
        <f t="shared" ca="1" si="2"/>
        <v>#NAME?</v>
      </c>
      <c r="D31" s="698" t="e">
        <f ca="1">_xll.qlSimpleQuote(C31,,RateTickValue,Permanent,EvaluationDate,ObjectOverwrite)</f>
        <v>#NAME?</v>
      </c>
      <c r="E31" s="697" t="e">
        <f ca="1">_xll.ohRangeRetrieveError(D31)</f>
        <v>#NAME?</v>
      </c>
      <c r="F31" s="702"/>
      <c r="G31" s="696" t="s">
        <v>342</v>
      </c>
      <c r="H31" s="695" t="e">
        <f ca="1">'12MSynthDepo'!C40</f>
        <v>#NAME?</v>
      </c>
      <c r="I31" s="684"/>
      <c r="J31" s="694">
        <v>1.5748467518699701E-3</v>
      </c>
      <c r="K31" s="682"/>
      <c r="L31" s="693">
        <v>1.5748467518699701E-3</v>
      </c>
      <c r="M31" s="692" t="e">
        <f ca="1">_xll.qlSimpleQuoteSetValue(D31,ROUND($L31,6),EvaluationDate)</f>
        <v>#NAME?</v>
      </c>
      <c r="N31" s="691"/>
    </row>
    <row r="32" spans="1:14" x14ac:dyDescent="0.2">
      <c r="A32" s="700"/>
      <c r="B32" s="699" t="s">
        <v>341</v>
      </c>
      <c r="C32" s="698" t="e">
        <f t="shared" ca="1" si="2"/>
        <v>#NAME?</v>
      </c>
      <c r="D32" s="698" t="e">
        <f ca="1">_xll.qlSimpleQuote(C32,,RateTickValue,Permanent,EvaluationDate,ObjectOverwrite)</f>
        <v>#NAME?</v>
      </c>
      <c r="E32" s="697" t="e">
        <f ca="1">_xll.ohRangeRetrieveError(D32)</f>
        <v>#NAME?</v>
      </c>
      <c r="F32" s="702"/>
      <c r="G32" s="696" t="s">
        <v>341</v>
      </c>
      <c r="H32" s="695" t="e">
        <f ca="1">'12MSynthDepo'!C41</f>
        <v>#NAME?</v>
      </c>
      <c r="I32" s="684"/>
      <c r="J32" s="694">
        <v>1.5458980964803055E-3</v>
      </c>
      <c r="K32" s="682"/>
      <c r="L32" s="693">
        <v>1.5458980964803055E-3</v>
      </c>
      <c r="M32" s="692" t="e">
        <f ca="1">_xll.qlSimpleQuoteSetValue(D32,ROUND($L32,6),EvaluationDate)</f>
        <v>#NAME?</v>
      </c>
      <c r="N32" s="691"/>
    </row>
    <row r="33" spans="1:14" x14ac:dyDescent="0.2">
      <c r="A33" s="700"/>
      <c r="B33" s="699" t="s">
        <v>340</v>
      </c>
      <c r="C33" s="698" t="e">
        <f t="shared" ca="1" si="2"/>
        <v>#NAME?</v>
      </c>
      <c r="D33" s="698" t="e">
        <f ca="1">_xll.qlSimpleQuote(C33,,RateTickValue,Permanent,EvaluationDate,ObjectOverwrite)</f>
        <v>#NAME?</v>
      </c>
      <c r="E33" s="697" t="e">
        <f ca="1">_xll.ohRangeRetrieveError(D33)</f>
        <v>#NAME?</v>
      </c>
      <c r="F33" s="682"/>
      <c r="G33" s="696" t="s">
        <v>340</v>
      </c>
      <c r="H33" s="695" t="e">
        <f ca="1">'12MSynthDepo'!C42</f>
        <v>#NAME?</v>
      </c>
      <c r="I33" s="684"/>
      <c r="J33" s="694">
        <v>1.5240804607757604E-3</v>
      </c>
      <c r="K33" s="682"/>
      <c r="L33" s="693">
        <v>1.5240804607757604E-3</v>
      </c>
      <c r="M33" s="692" t="e">
        <f ca="1">_xll.qlSimpleQuoteSetValue(D33,ROUND($L33,6),EvaluationDate)</f>
        <v>#NAME?</v>
      </c>
      <c r="N33" s="691"/>
    </row>
    <row r="34" spans="1:14" x14ac:dyDescent="0.2">
      <c r="A34" s="700"/>
      <c r="B34" s="699" t="s">
        <v>339</v>
      </c>
      <c r="C34" s="698" t="e">
        <f t="shared" ca="1" si="2"/>
        <v>#NAME?</v>
      </c>
      <c r="D34" s="698" t="e">
        <f ca="1">_xll.qlSimpleQuote(C34,,RateTickValue,Permanent,EvaluationDate,ObjectOverwrite)</f>
        <v>#NAME?</v>
      </c>
      <c r="E34" s="697" t="e">
        <f ca="1">_xll.ohRangeRetrieveError(D34)</f>
        <v>#NAME?</v>
      </c>
      <c r="F34" s="682"/>
      <c r="G34" s="696" t="s">
        <v>339</v>
      </c>
      <c r="H34" s="695" t="e">
        <f ca="1">'12MSynthDepo'!C43</f>
        <v>#NAME?</v>
      </c>
      <c r="I34" s="684"/>
      <c r="J34" s="694">
        <v>1.5033959926413645E-3</v>
      </c>
      <c r="K34" s="682"/>
      <c r="L34" s="693">
        <v>1.5033959926413645E-3</v>
      </c>
      <c r="M34" s="692" t="e">
        <f ca="1">_xll.qlSimpleQuoteSetValue(D34,ROUND($L34,6),EvaluationDate)</f>
        <v>#NAME?</v>
      </c>
      <c r="N34" s="691"/>
    </row>
    <row r="35" spans="1:14" x14ac:dyDescent="0.2">
      <c r="A35" s="700"/>
      <c r="B35" s="699" t="s">
        <v>338</v>
      </c>
      <c r="C35" s="698" t="e">
        <f t="shared" ca="1" si="2"/>
        <v>#NAME?</v>
      </c>
      <c r="D35" s="698" t="e">
        <f ca="1">_xll.qlSimpleQuote(C35,,RateTickValue,Permanent,EvaluationDate,ObjectOverwrite)</f>
        <v>#NAME?</v>
      </c>
      <c r="E35" s="697" t="e">
        <f ca="1">_xll.ohRangeRetrieveError(D35)</f>
        <v>#NAME?</v>
      </c>
      <c r="F35" s="682"/>
      <c r="G35" s="696" t="s">
        <v>338</v>
      </c>
      <c r="H35" s="695" t="e">
        <f ca="1">'12MSynthDepo'!C44</f>
        <v>#NAME?</v>
      </c>
      <c r="I35" s="684"/>
      <c r="J35" s="694">
        <v>1.4873383826103988E-3</v>
      </c>
      <c r="K35" s="682"/>
      <c r="L35" s="693">
        <v>1.4873383826103988E-3</v>
      </c>
      <c r="M35" s="692" t="e">
        <f ca="1">_xll.qlSimpleQuoteSetValue(D35,ROUND($L35,6),EvaluationDate)</f>
        <v>#NAME?</v>
      </c>
      <c r="N35" s="691"/>
    </row>
    <row r="36" spans="1:14" x14ac:dyDescent="0.2">
      <c r="A36" s="700"/>
      <c r="B36" s="699" t="s">
        <v>337</v>
      </c>
      <c r="C36" s="698" t="e">
        <f t="shared" ca="1" si="2"/>
        <v>#NAME?</v>
      </c>
      <c r="D36" s="698" t="e">
        <f ca="1">_xll.qlSimpleQuote(C36,,RateTickValue,Permanent,EvaluationDate,ObjectOverwrite)</f>
        <v>#NAME?</v>
      </c>
      <c r="E36" s="697" t="e">
        <f ca="1">_xll.ohRangeRetrieveError(D36)</f>
        <v>#NAME?</v>
      </c>
      <c r="F36" s="682"/>
      <c r="G36" s="696" t="s">
        <v>337</v>
      </c>
      <c r="H36" s="695" t="e">
        <f ca="1">'12MSynthDepo'!C45</f>
        <v>#NAME?</v>
      </c>
      <c r="I36" s="684"/>
      <c r="J36" s="694">
        <v>1.4702290495403822E-3</v>
      </c>
      <c r="K36" s="682"/>
      <c r="L36" s="693">
        <v>1.4702290495403822E-3</v>
      </c>
      <c r="M36" s="692" t="e">
        <f ca="1">_xll.qlSimpleQuoteSetValue(D36,ROUND($L36,6),EvaluationDate)</f>
        <v>#NAME?</v>
      </c>
      <c r="N36" s="691"/>
    </row>
    <row r="37" spans="1:14" x14ac:dyDescent="0.2">
      <c r="A37" s="701"/>
      <c r="B37" s="699" t="s">
        <v>336</v>
      </c>
      <c r="C37" s="698" t="e">
        <f t="shared" ca="1" si="2"/>
        <v>#NAME?</v>
      </c>
      <c r="D37" s="698" t="e">
        <f ca="1">_xll.qlSimpleQuote(C37,,RateTickValue,Permanent,EvaluationDate,ObjectOverwrite)</f>
        <v>#NAME?</v>
      </c>
      <c r="E37" s="697" t="e">
        <f ca="1">_xll.ohRangeRetrieveError(D37)</f>
        <v>#NAME?</v>
      </c>
      <c r="F37" s="682"/>
      <c r="G37" s="696" t="s">
        <v>336</v>
      </c>
      <c r="H37" s="695" t="e">
        <f ca="1">'12MSynthDepo'!C46</f>
        <v>#NAME?</v>
      </c>
      <c r="I37" s="684"/>
      <c r="J37" s="694">
        <v>1.4530432086004212E-3</v>
      </c>
      <c r="K37" s="682"/>
      <c r="L37" s="693">
        <v>1.4530432086004212E-3</v>
      </c>
      <c r="M37" s="692" t="e">
        <f ca="1">_xll.qlSimpleQuoteSetValue(D37,ROUND($L37,6),EvaluationDate)</f>
        <v>#NAME?</v>
      </c>
      <c r="N37" s="691"/>
    </row>
    <row r="38" spans="1:14" x14ac:dyDescent="0.2">
      <c r="A38" s="701"/>
      <c r="B38" s="699" t="s">
        <v>335</v>
      </c>
      <c r="C38" s="698" t="e">
        <f t="shared" ca="1" si="2"/>
        <v>#NAME?</v>
      </c>
      <c r="D38" s="698" t="e">
        <f ca="1">_xll.qlSimpleQuote(C38,,RateTickValue,Permanent,EvaluationDate,ObjectOverwrite)</f>
        <v>#NAME?</v>
      </c>
      <c r="E38" s="697" t="e">
        <f ca="1">_xll.ohRangeRetrieveError(D38)</f>
        <v>#NAME?</v>
      </c>
      <c r="F38" s="682"/>
      <c r="G38" s="696" t="s">
        <v>335</v>
      </c>
      <c r="H38" s="695" t="e">
        <f ca="1">'12MSynthDepo'!C47</f>
        <v>#NAME?</v>
      </c>
      <c r="I38" s="684"/>
      <c r="J38" s="694">
        <v>1.4396222769610535E-3</v>
      </c>
      <c r="K38" s="682"/>
      <c r="L38" s="693">
        <v>1.4396222769610535E-3</v>
      </c>
      <c r="M38" s="692" t="e">
        <f ca="1">_xll.qlSimpleQuoteSetValue(D38,ROUND($L38,6),EvaluationDate)</f>
        <v>#NAME?</v>
      </c>
      <c r="N38" s="691"/>
    </row>
    <row r="39" spans="1:14" x14ac:dyDescent="0.2">
      <c r="A39" s="700"/>
      <c r="B39" s="699" t="s">
        <v>334</v>
      </c>
      <c r="C39" s="698" t="e">
        <f t="shared" ca="1" si="2"/>
        <v>#NAME?</v>
      </c>
      <c r="D39" s="698" t="e">
        <f ca="1">_xll.qlSimpleQuote(C39,,RateTickValue,Permanent,EvaluationDate,ObjectOverwrite)</f>
        <v>#NAME?</v>
      </c>
      <c r="E39" s="697" t="e">
        <f ca="1">_xll.ohRangeRetrieveError(D39)</f>
        <v>#NAME?</v>
      </c>
      <c r="F39" s="682"/>
      <c r="G39" s="696" t="s">
        <v>334</v>
      </c>
      <c r="H39" s="695" t="e">
        <f ca="1">'12MSynthDepo'!C48</f>
        <v>#NAME?</v>
      </c>
      <c r="I39" s="684"/>
      <c r="J39" s="694">
        <v>1.428813325911287E-3</v>
      </c>
      <c r="K39" s="682"/>
      <c r="L39" s="693">
        <v>1.428813325911287E-3</v>
      </c>
      <c r="M39" s="692" t="e">
        <f ca="1">_xll.qlSimpleQuoteSetValue(D39,ROUND($L39,6),EvaluationDate)</f>
        <v>#NAME?</v>
      </c>
      <c r="N39" s="691"/>
    </row>
    <row r="40" spans="1:14" x14ac:dyDescent="0.2">
      <c r="A40" s="690"/>
      <c r="B40" s="689" t="s">
        <v>333</v>
      </c>
      <c r="C40" s="688" t="e">
        <f t="shared" ca="1" si="2"/>
        <v>#NAME?</v>
      </c>
      <c r="D40" s="688" t="e">
        <f ca="1">_xll.qlSimpleQuote(C40,,RateTickValue,Permanent,EvaluationDate,ObjectOverwrite)</f>
        <v>#NAME?</v>
      </c>
      <c r="E40" s="687" t="e">
        <f ca="1">_xll.ohRangeRetrieveError(D40)</f>
        <v>#NAME?</v>
      </c>
      <c r="F40" s="682"/>
      <c r="G40" s="686" t="s">
        <v>333</v>
      </c>
      <c r="H40" s="685" t="e">
        <f ca="1">'12MSynthDepo'!C49</f>
        <v>#NAME?</v>
      </c>
      <c r="I40" s="684"/>
      <c r="J40" s="683">
        <v>1.4199999999999153E-3</v>
      </c>
      <c r="K40" s="682"/>
      <c r="L40" s="681">
        <v>1.4199999999999153E-3</v>
      </c>
      <c r="M40" s="680" t="e">
        <f ca="1">_xll.qlSimpleQuoteSetValue(D40,ROUND($L40,6),EvaluationDate)</f>
        <v>#NAME?</v>
      </c>
      <c r="N40" s="679"/>
    </row>
    <row r="41" spans="1:14" x14ac:dyDescent="0.2">
      <c r="A41" s="678"/>
      <c r="B41" s="677"/>
      <c r="C41" s="676"/>
      <c r="D41" s="676"/>
      <c r="E41" s="676"/>
      <c r="F41" s="675"/>
      <c r="G41" s="675"/>
      <c r="H41" s="675"/>
      <c r="I41" s="675"/>
      <c r="J41" s="675"/>
      <c r="K41" s="675"/>
      <c r="L41" s="675"/>
      <c r="M41" s="675"/>
      <c r="N41" s="674"/>
    </row>
  </sheetData>
  <pageMargins left="0.75" right="0.75" top="1" bottom="1" header="0.5" footer="0.5"/>
  <pageSetup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dimension ref="A1:Z37"/>
  <sheetViews>
    <sheetView showGridLines="0" topLeftCell="N1" workbookViewId="0">
      <selection activeCell="Z3" sqref="Z3:Z4"/>
    </sheetView>
  </sheetViews>
  <sheetFormatPr defaultRowHeight="11.25" outlineLevelCol="1" x14ac:dyDescent="0.2"/>
  <cols>
    <col min="1" max="1" width="2.7109375" style="604" hidden="1" customWidth="1" outlineLevel="1"/>
    <col min="2" max="3" width="6" style="604" hidden="1" customWidth="1" outlineLevel="1"/>
    <col min="4" max="4" width="3" style="604" hidden="1" customWidth="1" outlineLevel="1"/>
    <col min="5" max="5" width="2" style="606" hidden="1" customWidth="1" outlineLevel="1"/>
    <col min="6" max="6" width="4" style="606" hidden="1" customWidth="1" outlineLevel="1"/>
    <col min="7" max="7" width="7" style="604" hidden="1" customWidth="1" outlineLevel="1"/>
    <col min="8" max="8" width="19.28515625" style="604" hidden="1" customWidth="1" outlineLevel="1"/>
    <col min="9" max="9" width="11" style="604" hidden="1" customWidth="1" outlineLevel="1"/>
    <col min="10" max="10" width="8" style="604" hidden="1" customWidth="1" outlineLevel="1"/>
    <col min="11" max="11" width="26.7109375" style="604" hidden="1" customWidth="1" outlineLevel="1"/>
    <col min="12" max="12" width="15.28515625" style="605" hidden="1" customWidth="1" outlineLevel="1"/>
    <col min="13" max="13" width="22.5703125" style="604" hidden="1" customWidth="1" outlineLevel="1"/>
    <col min="14" max="14" width="3" style="604" customWidth="1" collapsed="1"/>
    <col min="15" max="15" width="3" style="604" customWidth="1"/>
    <col min="16" max="16" width="26.7109375" style="604" bestFit="1" customWidth="1"/>
    <col min="17" max="21" width="17.28515625" style="604" bestFit="1" customWidth="1"/>
    <col min="22" max="22" width="17.28515625" style="604" hidden="1" customWidth="1" outlineLevel="1"/>
    <col min="23" max="23" width="12.140625" style="604" hidden="1" customWidth="1" outlineLevel="1"/>
    <col min="24" max="24" width="9" style="604" bestFit="1" customWidth="1" collapsed="1"/>
    <col min="25" max="25" width="8" style="604" customWidth="1"/>
    <col min="26" max="26" width="8" style="604" bestFit="1" customWidth="1"/>
    <col min="27" max="27" width="6" style="604" bestFit="1" customWidth="1"/>
    <col min="28" max="16384" width="9.140625" style="604"/>
  </cols>
  <sheetData>
    <row r="1" spans="1:26" ht="11.25" customHeight="1" x14ac:dyDescent="0.2">
      <c r="E1" s="604"/>
      <c r="F1" s="604"/>
      <c r="K1" s="604" t="s">
        <v>175</v>
      </c>
      <c r="L1" s="604" t="e">
        <f ca="1">_xll.qlEuribor(,K1,,,Trigger)</f>
        <v>#NAME?</v>
      </c>
      <c r="M1" s="604" t="e">
        <f ca="1">_xll.ohRangeRetrieveError(L1)</f>
        <v>#NAME?</v>
      </c>
    </row>
    <row r="2" spans="1:26" ht="24" customHeight="1" thickBot="1" x14ac:dyDescent="0.25">
      <c r="A2" s="654"/>
      <c r="B2" s="669" t="s">
        <v>332</v>
      </c>
      <c r="C2" s="669" t="s">
        <v>331</v>
      </c>
      <c r="D2" s="669"/>
      <c r="E2" s="672"/>
      <c r="F2" s="672"/>
      <c r="G2" s="669" t="s">
        <v>330</v>
      </c>
      <c r="H2" s="669" t="s">
        <v>329</v>
      </c>
      <c r="I2" s="669" t="s">
        <v>328</v>
      </c>
      <c r="J2" s="669" t="s">
        <v>62</v>
      </c>
      <c r="K2" s="669" t="s">
        <v>283</v>
      </c>
      <c r="L2" s="669" t="s">
        <v>282</v>
      </c>
      <c r="M2" s="671" t="s">
        <v>327</v>
      </c>
      <c r="N2" s="670"/>
      <c r="O2" s="670"/>
      <c r="P2" s="632" t="s">
        <v>326</v>
      </c>
      <c r="Q2" s="632" t="s">
        <v>325</v>
      </c>
      <c r="R2" s="632" t="s">
        <v>62</v>
      </c>
      <c r="S2" s="632" t="s">
        <v>281</v>
      </c>
      <c r="T2" s="669" t="s">
        <v>272</v>
      </c>
      <c r="U2" s="669" t="s">
        <v>271</v>
      </c>
    </row>
    <row r="3" spans="1:26" ht="11.25" customHeight="1" x14ac:dyDescent="0.25">
      <c r="A3" s="655"/>
      <c r="B3" s="651">
        <v>2</v>
      </c>
      <c r="C3" s="651" t="s">
        <v>324</v>
      </c>
      <c r="D3" s="668"/>
      <c r="E3" s="667"/>
      <c r="F3" s="667"/>
      <c r="G3" s="666"/>
      <c r="H3" s="666"/>
      <c r="I3" s="666"/>
      <c r="J3" s="665"/>
      <c r="K3" s="630" t="str">
        <f>PROPER((Currency))&amp;IborType&amp;K1&amp;"LastFixing"&amp;QuoteSuffix</f>
        <v>Euribor1MLastFixing_Quote</v>
      </c>
      <c r="L3" s="664" t="e">
        <f ca="1">_xll.qlDepositRateHelper(,K3,L1,,Trigger)</f>
        <v>#NAME?</v>
      </c>
      <c r="M3" s="656" t="e">
        <f ca="1">_xll.ohRangeRetrieveError(L3)</f>
        <v>#NAME?</v>
      </c>
      <c r="N3" s="633"/>
      <c r="O3" s="633"/>
      <c r="P3" s="644" t="e">
        <f ca="1">_xll.qlRateHelperQuoteName(L3,Trigger)</f>
        <v>#NAME?</v>
      </c>
      <c r="Q3" s="627" t="e">
        <f ca="1">_xll.qlQuoteValue(K3,AllTriggers)</f>
        <v>#NAME?</v>
      </c>
      <c r="R3" s="626" t="str">
        <f>IF(ISBLANK(J3),"--",_xll.qlSwapRateHelperSpread(L3,AllTriggers))</f>
        <v>--</v>
      </c>
      <c r="S3" s="644" t="b">
        <v>1</v>
      </c>
      <c r="T3" s="625" t="e">
        <f ca="1">_xll.qlRateHelperEarliestDate(L3,Trigger)</f>
        <v>#NAME?</v>
      </c>
      <c r="U3" s="625" t="e">
        <f ca="1">_xll.qlRateHelperPillarDate(L3,Trigger)</f>
        <v>#NAME?</v>
      </c>
      <c r="Y3" s="1361" t="s">
        <v>529</v>
      </c>
      <c r="Z3" s="1364" t="e">
        <f ca="1">_xll.ohTrigger('General Settings_3'!Trigger)</f>
        <v>#NAME?</v>
      </c>
    </row>
    <row r="4" spans="1:26" ht="11.25" customHeight="1" thickBot="1" x14ac:dyDescent="0.3">
      <c r="A4" s="655"/>
      <c r="B4" s="661">
        <v>2</v>
      </c>
      <c r="C4" s="661" t="s">
        <v>324</v>
      </c>
      <c r="D4" s="663" t="s">
        <v>174</v>
      </c>
      <c r="E4" s="662">
        <v>2</v>
      </c>
      <c r="F4" s="662" t="s">
        <v>112</v>
      </c>
      <c r="G4" s="661" t="s">
        <v>323</v>
      </c>
      <c r="H4" s="660" t="s">
        <v>322</v>
      </c>
      <c r="I4" s="660" t="s">
        <v>295</v>
      </c>
      <c r="J4" s="659">
        <v>0</v>
      </c>
      <c r="K4" s="658" t="str">
        <f t="shared" ref="K4:K9" si="0">Currency&amp;$E4&amp;$F4&amp;"_Quote"</f>
        <v>EUR2X1S_Quote</v>
      </c>
      <c r="L4" s="657" t="e">
        <f ca="1">_xll.qlSwapRateHelper2(,$K4,$B4,D4,Calendar,$G4,$H4,$I4,$L$1,$J4,C4,Discounting,,,Permanent,Trigger,ObjectOverwrite)</f>
        <v>#NAME?</v>
      </c>
      <c r="M4" s="656" t="e">
        <f ca="1">_xll.ohRangeRetrieveError(L4)</f>
        <v>#NAME?</v>
      </c>
      <c r="N4" s="633"/>
      <c r="O4" s="633"/>
      <c r="P4" s="644" t="e">
        <f ca="1">_xll.qlRateHelperQuoteName(L4,Trigger)</f>
        <v>#NAME?</v>
      </c>
      <c r="Q4" s="627" t="e">
        <f ca="1">_xll.qlQuoteValue(K4,AllTriggers)</f>
        <v>#NAME?</v>
      </c>
      <c r="R4" s="645" t="e">
        <f ca="1">IF(ISBLANK(J4),"--",_xll.qlSwapRateHelperSpread(L4,AllTriggers))</f>
        <v>#NAME?</v>
      </c>
      <c r="S4" s="644" t="b">
        <v>1</v>
      </c>
      <c r="T4" s="625" t="e">
        <f ca="1">_xll.qlRateHelperEarliestDate(L4,Trigger)</f>
        <v>#NAME?</v>
      </c>
      <c r="U4" s="625" t="e">
        <f ca="1">_xll.qlRateHelperPillarDate(L4,Trigger)</f>
        <v>#NAME?</v>
      </c>
      <c r="Y4" s="1362" t="s">
        <v>530</v>
      </c>
      <c r="Z4" s="1365" t="e">
        <f ca="1">_xll.ohTrigger(U3:U9)</f>
        <v>#NAME?</v>
      </c>
    </row>
    <row r="5" spans="1:26" ht="11.25" customHeight="1" x14ac:dyDescent="0.2">
      <c r="A5" s="655"/>
      <c r="B5" s="651">
        <v>2</v>
      </c>
      <c r="C5" s="651" t="s">
        <v>324</v>
      </c>
      <c r="D5" s="653" t="s">
        <v>127</v>
      </c>
      <c r="E5" s="652">
        <v>3</v>
      </c>
      <c r="F5" s="652" t="s">
        <v>112</v>
      </c>
      <c r="G5" s="651" t="s">
        <v>323</v>
      </c>
      <c r="H5" s="650" t="s">
        <v>322</v>
      </c>
      <c r="I5" s="650" t="s">
        <v>295</v>
      </c>
      <c r="J5" s="649">
        <v>0</v>
      </c>
      <c r="K5" s="648" t="str">
        <f t="shared" si="0"/>
        <v>EUR3X1S_Quote</v>
      </c>
      <c r="L5" s="647" t="e">
        <f ca="1">_xll.qlSwapRateHelper2(,$K5,$B5,D5,Calendar,$G5,$H5,$I5,$L$1,$J5,C5,Discounting,,,Permanent,Trigger,ObjectOverwrite)</f>
        <v>#NAME?</v>
      </c>
      <c r="M5" s="646" t="e">
        <f ca="1">_xll.ohRangeRetrieveError(L5)</f>
        <v>#NAME?</v>
      </c>
      <c r="N5" s="633"/>
      <c r="O5" s="633"/>
      <c r="P5" s="644" t="e">
        <f ca="1">_xll.qlRateHelperQuoteName(L5,Trigger)</f>
        <v>#NAME?</v>
      </c>
      <c r="Q5" s="627" t="e">
        <f ca="1">_xll.qlQuoteValue(K5,AllTriggers)</f>
        <v>#NAME?</v>
      </c>
      <c r="R5" s="645" t="e">
        <f ca="1">IF(ISBLANK(J5),"--",_xll.qlSwapRateHelperSpread(L5,AllTriggers))</f>
        <v>#NAME?</v>
      </c>
      <c r="S5" s="644" t="b">
        <v>1</v>
      </c>
      <c r="T5" s="625" t="e">
        <f ca="1">_xll.qlRateHelperEarliestDate(L5,Trigger)</f>
        <v>#NAME?</v>
      </c>
      <c r="U5" s="625" t="e">
        <f ca="1">_xll.qlRateHelperPillarDate(L5,Trigger)</f>
        <v>#NAME?</v>
      </c>
    </row>
    <row r="6" spans="1:26" ht="11.25" customHeight="1" x14ac:dyDescent="0.2">
      <c r="A6" s="654"/>
      <c r="B6" s="651">
        <v>2</v>
      </c>
      <c r="C6" s="651" t="s">
        <v>324</v>
      </c>
      <c r="D6" s="653" t="s">
        <v>173</v>
      </c>
      <c r="E6" s="652">
        <v>4</v>
      </c>
      <c r="F6" s="652" t="s">
        <v>112</v>
      </c>
      <c r="G6" s="651" t="s">
        <v>323</v>
      </c>
      <c r="H6" s="650" t="s">
        <v>322</v>
      </c>
      <c r="I6" s="650" t="s">
        <v>295</v>
      </c>
      <c r="J6" s="649">
        <v>0</v>
      </c>
      <c r="K6" s="648" t="str">
        <f t="shared" si="0"/>
        <v>EUR4X1S_Quote</v>
      </c>
      <c r="L6" s="647" t="e">
        <f ca="1">_xll.qlSwapRateHelper2(,$K6,$B6,D6,Calendar,$G6,$H6,$I6,$L$1,$J6,C6,Discounting,,,Permanent,Trigger,ObjectOverwrite)</f>
        <v>#NAME?</v>
      </c>
      <c r="M6" s="646" t="e">
        <f ca="1">_xll.ohRangeRetrieveError(L6)</f>
        <v>#NAME?</v>
      </c>
      <c r="N6" s="633"/>
      <c r="O6" s="633"/>
      <c r="P6" s="644" t="e">
        <f ca="1">_xll.qlRateHelperQuoteName(L6,Trigger)</f>
        <v>#NAME?</v>
      </c>
      <c r="Q6" s="627" t="e">
        <f ca="1">_xll.qlQuoteValue(K6,AllTriggers)</f>
        <v>#NAME?</v>
      </c>
      <c r="R6" s="645" t="e">
        <f ca="1">IF(ISBLANK(J6),"--",_xll.qlSwapRateHelperSpread(L6,AllTriggers))</f>
        <v>#NAME?</v>
      </c>
      <c r="S6" s="644" t="b">
        <v>1</v>
      </c>
      <c r="T6" s="625" t="e">
        <f ca="1">_xll.qlRateHelperEarliestDate(L6,Trigger)</f>
        <v>#NAME?</v>
      </c>
      <c r="U6" s="625" t="e">
        <f ca="1">_xll.qlRateHelperPillarDate(L6,Trigger)</f>
        <v>#NAME?</v>
      </c>
    </row>
    <row r="7" spans="1:26" ht="11.25" customHeight="1" x14ac:dyDescent="0.2">
      <c r="A7" s="654"/>
      <c r="B7" s="651">
        <v>2</v>
      </c>
      <c r="C7" s="651" t="s">
        <v>324</v>
      </c>
      <c r="D7" s="653" t="s">
        <v>172</v>
      </c>
      <c r="E7" s="652">
        <v>5</v>
      </c>
      <c r="F7" s="652" t="s">
        <v>112</v>
      </c>
      <c r="G7" s="651" t="s">
        <v>323</v>
      </c>
      <c r="H7" s="650" t="s">
        <v>322</v>
      </c>
      <c r="I7" s="650" t="s">
        <v>295</v>
      </c>
      <c r="J7" s="649">
        <v>0</v>
      </c>
      <c r="K7" s="648" t="str">
        <f t="shared" si="0"/>
        <v>EUR5X1S_Quote</v>
      </c>
      <c r="L7" s="647" t="e">
        <f ca="1">_xll.qlSwapRateHelper2(,$K7,$B7,D7,Calendar,$G7,$H7,$I7,$L$1,$J7,C7,Discounting,,,Permanent,Trigger,ObjectOverwrite)</f>
        <v>#NAME?</v>
      </c>
      <c r="M7" s="646" t="e">
        <f ca="1">_xll.ohRangeRetrieveError(L7)</f>
        <v>#NAME?</v>
      </c>
      <c r="N7" s="633"/>
      <c r="O7" s="633"/>
      <c r="P7" s="644" t="e">
        <f ca="1">_xll.qlRateHelperQuoteName(L7,Trigger)</f>
        <v>#NAME?</v>
      </c>
      <c r="Q7" s="627" t="e">
        <f ca="1">_xll.qlQuoteValue(K7,AllTriggers)</f>
        <v>#NAME?</v>
      </c>
      <c r="R7" s="645" t="e">
        <f ca="1">IF(ISBLANK(J7),"--",_xll.qlSwapRateHelperSpread(L7,AllTriggers))</f>
        <v>#NAME?</v>
      </c>
      <c r="S7" s="644" t="b">
        <v>1</v>
      </c>
      <c r="T7" s="625" t="e">
        <f ca="1">_xll.qlRateHelperEarliestDate(L7,Trigger)</f>
        <v>#NAME?</v>
      </c>
      <c r="U7" s="625" t="e">
        <f ca="1">_xll.qlRateHelperPillarDate(L7,Trigger)</f>
        <v>#NAME?</v>
      </c>
    </row>
    <row r="8" spans="1:26" ht="11.25" customHeight="1" x14ac:dyDescent="0.2">
      <c r="A8" s="654"/>
      <c r="B8" s="651">
        <v>2</v>
      </c>
      <c r="C8" s="651" t="s">
        <v>324</v>
      </c>
      <c r="D8" s="653" t="s">
        <v>92</v>
      </c>
      <c r="E8" s="652">
        <v>6</v>
      </c>
      <c r="F8" s="652" t="s">
        <v>112</v>
      </c>
      <c r="G8" s="651" t="s">
        <v>323</v>
      </c>
      <c r="H8" s="650" t="s">
        <v>322</v>
      </c>
      <c r="I8" s="650" t="s">
        <v>295</v>
      </c>
      <c r="J8" s="649">
        <v>0</v>
      </c>
      <c r="K8" s="648" t="str">
        <f t="shared" si="0"/>
        <v>EUR6X1S_Quote</v>
      </c>
      <c r="L8" s="647" t="e">
        <f ca="1">_xll.qlSwapRateHelper2(,$K8,$B8,D8,Calendar,$G8,$H8,$I8,$L$1,$J8,C8,Discounting,,,Permanent,Trigger,ObjectOverwrite)</f>
        <v>#NAME?</v>
      </c>
      <c r="M8" s="646" t="e">
        <f ca="1">_xll.ohRangeRetrieveError(L8)</f>
        <v>#NAME?</v>
      </c>
      <c r="N8" s="633"/>
      <c r="O8" s="633"/>
      <c r="P8" s="644" t="e">
        <f ca="1">_xll.qlRateHelperQuoteName(L8,Trigger)</f>
        <v>#NAME?</v>
      </c>
      <c r="Q8" s="627" t="e">
        <f ca="1">_xll.qlQuoteValue(K8,AllTriggers)</f>
        <v>#NAME?</v>
      </c>
      <c r="R8" s="645" t="e">
        <f ca="1">IF(ISBLANK(J8),"--",_xll.qlSwapRateHelperSpread(L8,AllTriggers))</f>
        <v>#NAME?</v>
      </c>
      <c r="S8" s="644" t="b">
        <v>0</v>
      </c>
      <c r="T8" s="625" t="e">
        <f ca="1">_xll.qlRateHelperEarliestDate(L8,Trigger)</f>
        <v>#NAME?</v>
      </c>
      <c r="U8" s="625" t="e">
        <f ca="1">_xll.qlRateHelperPillarDate(L8,Trigger)</f>
        <v>#NAME?</v>
      </c>
    </row>
    <row r="9" spans="1:26" ht="11.25" customHeight="1" x14ac:dyDescent="0.2">
      <c r="B9" s="641">
        <v>2</v>
      </c>
      <c r="C9" s="641" t="s">
        <v>324</v>
      </c>
      <c r="D9" s="643" t="s">
        <v>171</v>
      </c>
      <c r="E9" s="642">
        <v>7</v>
      </c>
      <c r="F9" s="642" t="s">
        <v>112</v>
      </c>
      <c r="G9" s="641" t="s">
        <v>323</v>
      </c>
      <c r="H9" s="640" t="s">
        <v>322</v>
      </c>
      <c r="I9" s="640" t="s">
        <v>295</v>
      </c>
      <c r="J9" s="639">
        <v>0</v>
      </c>
      <c r="K9" s="638" t="str">
        <f t="shared" si="0"/>
        <v>EUR7X1S_Quote</v>
      </c>
      <c r="L9" s="637" t="e">
        <f ca="1">_xll.qlSwapRateHelper2(,$K9,$B9,D9,Calendar,$G9,$H9,$I9,$L$1,$J9,C9,Discounting,,,Permanent,Trigger,ObjectOverwrite)</f>
        <v>#NAME?</v>
      </c>
      <c r="M9" s="636" t="e">
        <f ca="1">_xll.ohRangeRetrieveError(L9)</f>
        <v>#NAME?</v>
      </c>
      <c r="P9" s="634" t="e">
        <f ca="1">_xll.qlRateHelperQuoteName(L9,Trigger)</f>
        <v>#NAME?</v>
      </c>
      <c r="Q9" s="621" t="e">
        <f ca="1">_xll.qlQuoteValue(K9,AllTriggers)</f>
        <v>#NAME?</v>
      </c>
      <c r="R9" s="635" t="e">
        <f ca="1">IF(ISBLANK(J9),"--",_xll.qlSwapRateHelperSpread(L9,AllTriggers))</f>
        <v>#NAME?</v>
      </c>
      <c r="S9" s="634" t="b">
        <v>0</v>
      </c>
      <c r="T9" s="619" t="e">
        <f ca="1">_xll.qlRateHelperEarliestDate(L9,Trigger)</f>
        <v>#NAME?</v>
      </c>
      <c r="U9" s="619" t="e">
        <f ca="1">_xll.qlRateHelperPillarDate(L9,Trigger)</f>
        <v>#NAME?</v>
      </c>
    </row>
    <row r="10" spans="1:26" x14ac:dyDescent="0.2">
      <c r="E10" s="604"/>
      <c r="F10" s="604"/>
      <c r="L10" s="604"/>
      <c r="M10" s="633"/>
    </row>
    <row r="11" spans="1:26" x14ac:dyDescent="0.2">
      <c r="J11" s="607"/>
      <c r="K11" s="607"/>
      <c r="P11" s="616" t="str">
        <f>K1&amp;" "&amp;PROPER(Currency)&amp;IborType&amp;" Curve"</f>
        <v>1M Euribor Curve</v>
      </c>
      <c r="Q11" s="615"/>
      <c r="R11" s="615"/>
      <c r="S11" s="615"/>
      <c r="T11" s="615"/>
      <c r="U11" s="614" t="s">
        <v>321</v>
      </c>
    </row>
    <row r="12" spans="1:26" ht="11.25" customHeight="1" x14ac:dyDescent="0.2">
      <c r="M12" s="632" t="s">
        <v>320</v>
      </c>
      <c r="P12" s="632" t="s">
        <v>274</v>
      </c>
      <c r="Q12" s="632" t="s">
        <v>273</v>
      </c>
      <c r="R12" s="632" t="s">
        <v>62</v>
      </c>
      <c r="S12" s="632" t="s">
        <v>272</v>
      </c>
      <c r="T12" s="632" t="s">
        <v>271</v>
      </c>
      <c r="U12" s="631" t="e">
        <f t="array" aca="1" ref="U12:U21" ca="1">_xll.qlPiecewiseYieldCurveData('General Settings_3'!D31,InterestRatesTrigger)</f>
        <v>#NAME?</v>
      </c>
    </row>
    <row r="13" spans="1:26" x14ac:dyDescent="0.2">
      <c r="J13" s="607"/>
      <c r="K13" s="607"/>
      <c r="M13" s="630" t="e">
        <f t="array" aca="1" ref="M13:M21" ca="1">_xll.ohFilter(L3:L9,S3:S9)</f>
        <v>#NAME?</v>
      </c>
      <c r="P13" s="628" t="e">
        <f t="array" aca="1" ref="P13:P21" ca="1">_xll.ohFilter(P3:P8,S3:S8)</f>
        <v>#NAME?</v>
      </c>
      <c r="Q13" s="627" t="e">
        <f t="array" aca="1" ref="Q13:Q21" ca="1">_xll.ohFilter(Q3:Q8,S3:S8)</f>
        <v>#NAME?</v>
      </c>
      <c r="R13" s="626" t="e">
        <f t="array" aca="1" ref="R13:R21" ca="1">_xll.ohFilter(R3:R8,S3:S8)</f>
        <v>#NAME?</v>
      </c>
      <c r="S13" s="625" t="e">
        <f t="array" aca="1" ref="S13:S21" ca="1">_xll.ohFilter(T3:T8,S3:S8)</f>
        <v>#NAME?</v>
      </c>
      <c r="T13" s="625" t="e">
        <f t="array" aca="1" ref="T13:T21" ca="1">_xll.ohFilter(U3:U8,S3:S8)</f>
        <v>#NAME?</v>
      </c>
      <c r="U13" s="624" t="e">
        <f ca="1"/>
        <v>#NAME?</v>
      </c>
    </row>
    <row r="14" spans="1:26" x14ac:dyDescent="0.2">
      <c r="M14" s="629" t="e">
        <f ca="1"/>
        <v>#NAME?</v>
      </c>
      <c r="P14" s="628" t="e">
        <f ca="1"/>
        <v>#NAME?</v>
      </c>
      <c r="Q14" s="627" t="e">
        <f ca="1"/>
        <v>#NAME?</v>
      </c>
      <c r="R14" s="626" t="e">
        <f ca="1"/>
        <v>#NAME?</v>
      </c>
      <c r="S14" s="625" t="e">
        <f ca="1"/>
        <v>#NAME?</v>
      </c>
      <c r="T14" s="625" t="e">
        <f ca="1"/>
        <v>#NAME?</v>
      </c>
      <c r="U14" s="624" t="e">
        <f ca="1"/>
        <v>#NAME?</v>
      </c>
    </row>
    <row r="15" spans="1:26" x14ac:dyDescent="0.2">
      <c r="J15" s="607"/>
      <c r="K15" s="607"/>
      <c r="M15" s="629" t="e">
        <f ca="1"/>
        <v>#NAME?</v>
      </c>
      <c r="P15" s="628" t="e">
        <f ca="1"/>
        <v>#NAME?</v>
      </c>
      <c r="Q15" s="627" t="e">
        <f ca="1"/>
        <v>#NAME?</v>
      </c>
      <c r="R15" s="626" t="e">
        <f ca="1"/>
        <v>#NAME?</v>
      </c>
      <c r="S15" s="625" t="e">
        <f ca="1"/>
        <v>#NAME?</v>
      </c>
      <c r="T15" s="625" t="e">
        <f ca="1"/>
        <v>#NAME?</v>
      </c>
      <c r="U15" s="624" t="e">
        <f ca="1"/>
        <v>#NAME?</v>
      </c>
    </row>
    <row r="16" spans="1:26" x14ac:dyDescent="0.2">
      <c r="M16" s="629" t="e">
        <f ca="1"/>
        <v>#NAME?</v>
      </c>
      <c r="P16" s="628" t="e">
        <f ca="1"/>
        <v>#NAME?</v>
      </c>
      <c r="Q16" s="627" t="e">
        <f ca="1"/>
        <v>#NAME?</v>
      </c>
      <c r="R16" s="626" t="e">
        <f ca="1"/>
        <v>#NAME?</v>
      </c>
      <c r="S16" s="625" t="e">
        <f ca="1"/>
        <v>#NAME?</v>
      </c>
      <c r="T16" s="625" t="e">
        <f ca="1"/>
        <v>#NAME?</v>
      </c>
      <c r="U16" s="624" t="e">
        <f ca="1"/>
        <v>#NAME?</v>
      </c>
    </row>
    <row r="17" spans="10:25" x14ac:dyDescent="0.2">
      <c r="J17" s="607"/>
      <c r="K17" s="607"/>
      <c r="M17" s="629" t="e">
        <f ca="1"/>
        <v>#NAME?</v>
      </c>
      <c r="P17" s="628" t="e">
        <f ca="1"/>
        <v>#NAME?</v>
      </c>
      <c r="Q17" s="627" t="e">
        <f ca="1"/>
        <v>#NAME?</v>
      </c>
      <c r="R17" s="626" t="e">
        <f ca="1"/>
        <v>#NAME?</v>
      </c>
      <c r="S17" s="625" t="e">
        <f ca="1"/>
        <v>#NAME?</v>
      </c>
      <c r="T17" s="625" t="e">
        <f ca="1"/>
        <v>#NAME?</v>
      </c>
      <c r="U17" s="624" t="e">
        <f ca="1"/>
        <v>#NAME?</v>
      </c>
    </row>
    <row r="18" spans="10:25" x14ac:dyDescent="0.2">
      <c r="M18" s="629" t="e">
        <f ca="1"/>
        <v>#NAME?</v>
      </c>
      <c r="P18" s="628" t="e">
        <f ca="1"/>
        <v>#NAME?</v>
      </c>
      <c r="Q18" s="627" t="e">
        <f ca="1"/>
        <v>#NAME?</v>
      </c>
      <c r="R18" s="626" t="e">
        <f ca="1"/>
        <v>#NAME?</v>
      </c>
      <c r="S18" s="625" t="e">
        <f ca="1"/>
        <v>#NAME?</v>
      </c>
      <c r="T18" s="625" t="e">
        <f ca="1"/>
        <v>#NAME?</v>
      </c>
      <c r="U18" s="624" t="e">
        <f ca="1"/>
        <v>#NAME?</v>
      </c>
    </row>
    <row r="19" spans="10:25" x14ac:dyDescent="0.2">
      <c r="J19" s="607"/>
      <c r="K19" s="607"/>
      <c r="M19" s="629" t="e">
        <f ca="1"/>
        <v>#NAME?</v>
      </c>
      <c r="P19" s="628" t="e">
        <f ca="1"/>
        <v>#NAME?</v>
      </c>
      <c r="Q19" s="627" t="e">
        <f ca="1"/>
        <v>#NAME?</v>
      </c>
      <c r="R19" s="626" t="e">
        <f ca="1"/>
        <v>#NAME?</v>
      </c>
      <c r="S19" s="625" t="e">
        <f ca="1"/>
        <v>#NAME?</v>
      </c>
      <c r="T19" s="625" t="e">
        <f ca="1"/>
        <v>#NAME?</v>
      </c>
      <c r="U19" s="624" t="e">
        <f ca="1"/>
        <v>#NAME?</v>
      </c>
    </row>
    <row r="20" spans="10:25" x14ac:dyDescent="0.2">
      <c r="M20" s="629" t="e">
        <f ca="1"/>
        <v>#NAME?</v>
      </c>
      <c r="P20" s="628" t="e">
        <f ca="1"/>
        <v>#NAME?</v>
      </c>
      <c r="Q20" s="627" t="e">
        <f ca="1"/>
        <v>#NAME?</v>
      </c>
      <c r="R20" s="626" t="e">
        <f ca="1"/>
        <v>#NAME?</v>
      </c>
      <c r="S20" s="625" t="e">
        <f ca="1"/>
        <v>#NAME?</v>
      </c>
      <c r="T20" s="625" t="e">
        <f ca="1"/>
        <v>#NAME?</v>
      </c>
      <c r="U20" s="624" t="e">
        <f ca="1"/>
        <v>#NAME?</v>
      </c>
    </row>
    <row r="21" spans="10:25" x14ac:dyDescent="0.2">
      <c r="J21" s="607"/>
      <c r="K21" s="607"/>
      <c r="M21" s="623" t="e">
        <f ca="1"/>
        <v>#NAME?</v>
      </c>
      <c r="P21" s="622" t="e">
        <f ca="1"/>
        <v>#NAME?</v>
      </c>
      <c r="Q21" s="621" t="e">
        <f ca="1"/>
        <v>#NAME?</v>
      </c>
      <c r="R21" s="620" t="e">
        <f ca="1"/>
        <v>#NAME?</v>
      </c>
      <c r="S21" s="619" t="e">
        <f ca="1"/>
        <v>#NAME?</v>
      </c>
      <c r="T21" s="619" t="e">
        <f ca="1"/>
        <v>#NAME?</v>
      </c>
      <c r="U21" s="618" t="e">
        <f ca="1"/>
        <v>#NAME?</v>
      </c>
    </row>
    <row r="22" spans="10:25" x14ac:dyDescent="0.2">
      <c r="M22" s="617"/>
    </row>
    <row r="23" spans="10:25" x14ac:dyDescent="0.2">
      <c r="J23" s="607"/>
      <c r="K23" s="607"/>
    </row>
    <row r="24" spans="10:25" x14ac:dyDescent="0.2">
      <c r="P24" s="616" t="str">
        <f>"Delta "&amp;K1</f>
        <v>Delta 1M</v>
      </c>
      <c r="Q24" s="615"/>
      <c r="R24" s="615"/>
      <c r="S24" s="615"/>
      <c r="T24" s="615"/>
      <c r="U24" s="614"/>
    </row>
    <row r="25" spans="10:25" x14ac:dyDescent="0.2">
      <c r="J25" s="607"/>
      <c r="K25" s="607"/>
      <c r="P25" s="594" t="str">
        <f>K1&amp;" Instruments"</f>
        <v>1M Instruments</v>
      </c>
      <c r="Q25" s="594" t="s">
        <v>310</v>
      </c>
      <c r="R25" s="594" t="s">
        <v>317</v>
      </c>
      <c r="S25" s="594" t="s">
        <v>275</v>
      </c>
      <c r="T25" s="594" t="str">
        <f>"F "&amp;K1</f>
        <v>F 1M</v>
      </c>
      <c r="U25" s="594" t="s">
        <v>314</v>
      </c>
      <c r="V25" s="594" t="s">
        <v>316</v>
      </c>
      <c r="W25" s="594" t="s">
        <v>315</v>
      </c>
      <c r="X25" s="594" t="s">
        <v>311</v>
      </c>
      <c r="Y25" s="594" t="s">
        <v>313</v>
      </c>
    </row>
    <row r="26" spans="10:25" x14ac:dyDescent="0.2">
      <c r="N26" s="604">
        <v>0</v>
      </c>
      <c r="O26" s="604">
        <f>N26+SUBSTITUTE($K$1,"M","")</f>
        <v>1</v>
      </c>
      <c r="P26" s="613" t="str">
        <f>N26&amp;"x"&amp;O26</f>
        <v>0x1</v>
      </c>
      <c r="Q26" s="612" t="e">
        <f ca="1">SettlementDate</f>
        <v>#NAME?</v>
      </c>
      <c r="R26" s="612" t="e">
        <f ca="1">_xll.qlInterestRateIndexMaturity(iborindex1M,Q26,Trigger)</f>
        <v>#NAME?</v>
      </c>
      <c r="S26" s="578" t="e">
        <f ca="1">_xll.qlDayCounterYearFraction(DayCounter,Q26,R26,,,Trigger)</f>
        <v>#NAME?</v>
      </c>
      <c r="T26" s="575" t="e">
        <f ca="1">_xll.qlIndexFixing(iborindex1M,_xll.qlInterestRateIndexFixingDate(iborindex1M,Q26,Trigger),TRUE,AllTriggers)</f>
        <v>#NAME?</v>
      </c>
      <c r="U26" s="575" t="e">
        <f ca="1">(V26/W26-1)/S26</f>
        <v>#NAME?</v>
      </c>
      <c r="V26" s="577" t="e">
        <f ca="1">_xll.qlYieldTSDiscount(Discounting,Q26,,AllTriggers)</f>
        <v>#NAME?</v>
      </c>
      <c r="W26" s="577" t="e">
        <f ca="1">_xll.qlYieldTSDiscount(Discounting,R26,,AllTriggers)</f>
        <v>#NAME?</v>
      </c>
      <c r="X26" s="611" t="e">
        <f ca="1">LN((1+T26*S26)/(1+U26*S26))</f>
        <v>#NAME?</v>
      </c>
      <c r="Y26" s="575" t="e">
        <f ca="1">T26-U26</f>
        <v>#NAME?</v>
      </c>
    </row>
    <row r="27" spans="10:25" x14ac:dyDescent="0.2">
      <c r="J27" s="607"/>
      <c r="K27" s="607"/>
      <c r="N27" s="604">
        <v>1</v>
      </c>
      <c r="O27" s="604">
        <f>N27+SUBSTITUTE($K$1,"M","")</f>
        <v>2</v>
      </c>
      <c r="P27" s="613" t="str">
        <f>N27&amp;"x"&amp;O27</f>
        <v>1x2</v>
      </c>
      <c r="Q27" s="612" t="e">
        <f ca="1">R26</f>
        <v>#NAME?</v>
      </c>
      <c r="R27" s="612" t="e">
        <f ca="1">_xll.qlInterestRateIndexMaturity(iborindex1M,Q27,Trigger)</f>
        <v>#NAME?</v>
      </c>
      <c r="S27" s="578" t="e">
        <f ca="1">_xll.qlDayCounterYearFraction(DayCounter,Q27,R27,,,Trigger)</f>
        <v>#NAME?</v>
      </c>
      <c r="T27" s="575" t="e">
        <f ca="1">_xll.qlIndexFixing(iborindex1M,_xll.qlInterestRateIndexFixingDate(iborindex1M,Q27,Trigger),TRUE,AllTriggers)</f>
        <v>#NAME?</v>
      </c>
      <c r="U27" s="575" t="e">
        <f ca="1">(V27/W27-1)/S27</f>
        <v>#NAME?</v>
      </c>
      <c r="V27" s="577" t="e">
        <f ca="1">_xll.qlYieldTSDiscount(Discounting,Q27,,AllTriggers)</f>
        <v>#NAME?</v>
      </c>
      <c r="W27" s="577" t="e">
        <f ca="1">_xll.qlYieldTSDiscount(Discounting,R27,,AllTriggers)</f>
        <v>#NAME?</v>
      </c>
      <c r="X27" s="611" t="e">
        <f ca="1">LN((1+T27*S27)/(1+U27*S27))</f>
        <v>#NAME?</v>
      </c>
      <c r="Y27" s="575" t="e">
        <f ca="1">T27-U27</f>
        <v>#NAME?</v>
      </c>
    </row>
    <row r="28" spans="10:25" x14ac:dyDescent="0.2">
      <c r="N28" s="604">
        <v>2</v>
      </c>
      <c r="O28" s="604">
        <f>N28+SUBSTITUTE($K$1,"M","")</f>
        <v>3</v>
      </c>
      <c r="P28" s="613" t="str">
        <f>N28&amp;"x"&amp;O28</f>
        <v>2x3</v>
      </c>
      <c r="Q28" s="612" t="e">
        <f ca="1">R27</f>
        <v>#NAME?</v>
      </c>
      <c r="R28" s="612" t="e">
        <f ca="1">_xll.qlInterestRateIndexMaturity(iborindex1M,Q28,Trigger)</f>
        <v>#NAME?</v>
      </c>
      <c r="S28" s="578" t="e">
        <f ca="1">_xll.qlDayCounterYearFraction(DayCounter,Q28,R28,,,Trigger)</f>
        <v>#NAME?</v>
      </c>
      <c r="T28" s="575" t="e">
        <f ca="1">_xll.qlIndexFixing(iborindex1M,_xll.qlInterestRateIndexFixingDate(iborindex1M,Q28,Trigger),TRUE,AllTriggers)</f>
        <v>#NAME?</v>
      </c>
      <c r="U28" s="575" t="e">
        <f ca="1">(V28/W28-1)/S28</f>
        <v>#NAME?</v>
      </c>
      <c r="V28" s="577" t="e">
        <f ca="1">_xll.qlYieldTSDiscount(Discounting,Q28,,AllTriggers)</f>
        <v>#NAME?</v>
      </c>
      <c r="W28" s="577" t="e">
        <f ca="1">_xll.qlYieldTSDiscount(Discounting,R28,,AllTriggers)</f>
        <v>#NAME?</v>
      </c>
      <c r="X28" s="611" t="e">
        <f ca="1">LN((1+T28*S28)/(1+U28*S28))</f>
        <v>#NAME?</v>
      </c>
      <c r="Y28" s="575" t="e">
        <f ca="1">T28-U28</f>
        <v>#NAME?</v>
      </c>
    </row>
    <row r="29" spans="10:25" x14ac:dyDescent="0.2">
      <c r="J29" s="607"/>
      <c r="K29" s="607"/>
      <c r="N29" s="604">
        <v>3</v>
      </c>
      <c r="O29" s="604">
        <f>N29+SUBSTITUTE($K$1,"M","")</f>
        <v>4</v>
      </c>
      <c r="P29" s="610" t="str">
        <f>N29&amp;"x"&amp;O29</f>
        <v>3x4</v>
      </c>
      <c r="Q29" s="609" t="e">
        <f ca="1">R28</f>
        <v>#NAME?</v>
      </c>
      <c r="R29" s="609" t="e">
        <f ca="1">_xll.qlInterestRateIndexMaturity(iborindex1M,Q29,Trigger)</f>
        <v>#NAME?</v>
      </c>
      <c r="S29" s="571" t="e">
        <f ca="1">_xll.qlDayCounterYearFraction(DayCounter,Q29,R29,,,Trigger)</f>
        <v>#NAME?</v>
      </c>
      <c r="T29" s="568" t="e">
        <f ca="1">_xll.qlIndexFixing(iborindex1M,_xll.qlInterestRateIndexFixingDate(iborindex1M,Q29,Trigger),TRUE,AllTriggers)</f>
        <v>#NAME?</v>
      </c>
      <c r="U29" s="568" t="e">
        <f ca="1">(V29/W29-1)/S29</f>
        <v>#NAME?</v>
      </c>
      <c r="V29" s="570" t="e">
        <f ca="1">_xll.qlYieldTSDiscount(Discounting,Q29,,AllTriggers)</f>
        <v>#NAME?</v>
      </c>
      <c r="W29" s="570" t="e">
        <f ca="1">_xll.qlYieldTSDiscount(Discounting,R29,,AllTriggers)</f>
        <v>#NAME?</v>
      </c>
      <c r="X29" s="608" t="e">
        <f ca="1">LN((1+T29*S29)/(1+U29*S29))</f>
        <v>#NAME?</v>
      </c>
      <c r="Y29" s="568" t="e">
        <f ca="1">T29-U29</f>
        <v>#NAME?</v>
      </c>
    </row>
    <row r="31" spans="10:25" x14ac:dyDescent="0.2">
      <c r="J31" s="607"/>
      <c r="K31" s="607"/>
    </row>
    <row r="33" spans="10:11" x14ac:dyDescent="0.2">
      <c r="J33" s="607"/>
      <c r="K33" s="607"/>
    </row>
    <row r="35" spans="10:11" x14ac:dyDescent="0.2">
      <c r="J35" s="607"/>
      <c r="K35" s="607"/>
    </row>
    <row r="37" spans="10:11" x14ac:dyDescent="0.2">
      <c r="J37" s="607"/>
      <c r="K37" s="607"/>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dimension ref="A1:Y3541"/>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customWidth="1"/>
    <col min="3" max="3" width="2.7109375" style="556" customWidth="1"/>
    <col min="4" max="4" width="26.42578125" style="556" customWidth="1"/>
    <col min="5" max="6" width="17.28515625" style="556" bestFit="1" customWidth="1"/>
    <col min="7" max="7" width="7" style="556" bestFit="1" customWidth="1"/>
    <col min="8" max="8" width="10" style="556" bestFit="1"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customWidth="1"/>
    <col min="15" max="15" width="6" style="556" bestFit="1" customWidth="1"/>
    <col min="16" max="16" width="8" style="556" customWidth="1"/>
    <col min="17" max="17" width="9.7109375" style="556" customWidth="1"/>
    <col min="18" max="18" width="17.28515625" style="556" bestFit="1" customWidth="1"/>
    <col min="19" max="19" width="8" style="556" bestFit="1" customWidth="1"/>
    <col min="20" max="20" width="15.28515625" style="556" bestFit="1" customWidth="1"/>
    <col min="21" max="22" width="13.140625" style="556" bestFit="1" customWidth="1"/>
    <col min="23" max="23" width="9.140625" style="556"/>
    <col min="24" max="24" width="12.140625" style="556" bestFit="1" customWidth="1"/>
    <col min="25" max="25" width="13.140625" style="556" bestFit="1" customWidth="1"/>
    <col min="26" max="16384" width="9.140625" style="556"/>
  </cols>
  <sheetData>
    <row r="1" spans="1:25" hidden="1" outlineLevel="1" x14ac:dyDescent="0.2">
      <c r="E1" s="596" t="s">
        <v>319</v>
      </c>
      <c r="F1" s="595" t="s">
        <v>127</v>
      </c>
      <c r="N1" s="603" t="e">
        <f ca="1">_xll.qlInterpolation(,interpolator3M,_xll.ohFilter(E3:E24,M3:M24),_xll.ohFilter(L3:L24,M3:M24))</f>
        <v>#NAME?</v>
      </c>
    </row>
    <row r="2" spans="1:25" ht="26.25" customHeight="1" collapsed="1" thickBot="1" x14ac:dyDescent="0.25">
      <c r="D2" s="594" t="str">
        <f>F1&amp;" Instruments"</f>
        <v>3M Instruments</v>
      </c>
      <c r="E2" s="594" t="s">
        <v>310</v>
      </c>
      <c r="F2" s="594" t="s">
        <v>317</v>
      </c>
      <c r="G2" s="594" t="s">
        <v>275</v>
      </c>
      <c r="H2" s="594" t="str">
        <f>F1&amp;" Market quote"</f>
        <v>3M Market quote</v>
      </c>
      <c r="I2" s="594" t="s">
        <v>316</v>
      </c>
      <c r="J2" s="594" t="s">
        <v>315</v>
      </c>
      <c r="K2" s="594" t="s">
        <v>314</v>
      </c>
      <c r="L2" s="594" t="s">
        <v>313</v>
      </c>
      <c r="M2" s="594" t="s">
        <v>274</v>
      </c>
      <c r="N2" s="594" t="s">
        <v>309</v>
      </c>
      <c r="O2" s="594" t="s">
        <v>312</v>
      </c>
      <c r="P2" s="594" t="s">
        <v>311</v>
      </c>
      <c r="R2" s="594" t="s">
        <v>310</v>
      </c>
      <c r="S2" s="594" t="s">
        <v>309</v>
      </c>
    </row>
    <row r="3" spans="1:25" ht="11.25" customHeight="1" x14ac:dyDescent="0.25">
      <c r="D3" s="592" t="str">
        <f>PROPER(Currency&amp;IborType)&amp;F1&amp;"LastFixing"&amp;QuoteSuffix</f>
        <v>Euribor3MLastFixing_Quote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4" ca="1" si="0">(I3/J3-1)/G3</f>
        <v>#NAME?</v>
      </c>
      <c r="L3" s="588" t="e">
        <f t="shared" ref="L3:L24" ca="1" si="1">H3-K3</f>
        <v>#NAME?</v>
      </c>
      <c r="M3" s="587" t="b">
        <v>0</v>
      </c>
      <c r="N3" s="586" t="e">
        <f ca="1">_xll.qlInterpolationInterpolate(B3Minterpolation,E3,TRUE,Trigger)</f>
        <v>#NAME?</v>
      </c>
      <c r="O3" s="585" t="e">
        <f t="shared" ref="O3:O24" ca="1" si="2">(L3-N3)*10000</f>
        <v>#NAME?</v>
      </c>
      <c r="P3" s="602" t="e">
        <f t="shared" ref="P3:P24" ca="1" si="3">LN((1+H3*G3)/(1+K3*G3))</f>
        <v>#NAME?</v>
      </c>
      <c r="R3" s="583" t="e">
        <f ca="1">E3</f>
        <v>#NAME?</v>
      </c>
      <c r="S3" s="580" t="e">
        <f ca="1">_xll.qlInterpolationInterpolate(B3Minterpolation,R3,TRUE)</f>
        <v>#NAME?</v>
      </c>
      <c r="U3" s="1361" t="s">
        <v>529</v>
      </c>
      <c r="V3" s="1364" t="e">
        <f ca="1">_xll.ohTrigger('General Settings_3'!Trigger)</f>
        <v>#NAME?</v>
      </c>
      <c r="X3" s="563"/>
      <c r="Y3" s="563"/>
    </row>
    <row r="4" spans="1:25" ht="11.25" customHeight="1" thickBot="1" x14ac:dyDescent="0.3">
      <c r="A4" s="556">
        <v>1</v>
      </c>
      <c r="B4" s="556" t="s">
        <v>180</v>
      </c>
      <c r="C4" s="556">
        <f t="shared" ref="C4:C15" si="4">A4+SUBSTITUTE($F$1,"M","")</f>
        <v>4</v>
      </c>
      <c r="D4" s="579" t="str">
        <f t="shared" ref="D4:D15" si="5">Currency&amp;A4&amp;B4&amp;C4&amp;"F"&amp;QuoteSuffix</f>
        <v>EUR1x4F_Quote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77" t="e">
        <f ca="1">_xll.qlYieldTSDiscount(Discounting,E4,,AllTriggers)</f>
        <v>#NAME?</v>
      </c>
      <c r="J4" s="577" t="e">
        <f ca="1">_xll.qlYieldTSDiscount(Discounting,F4,,AllTriggers)</f>
        <v>#NAME?</v>
      </c>
      <c r="K4" s="575" t="e">
        <f t="shared" ca="1" si="0"/>
        <v>#NAME?</v>
      </c>
      <c r="L4" s="575" t="e">
        <f t="shared" ca="1" si="1"/>
        <v>#NAME?</v>
      </c>
      <c r="M4" s="576" t="b">
        <v>1</v>
      </c>
      <c r="N4" s="575" t="e">
        <f ca="1">_xll.qlInterpolationInterpolate(B3Minterpolation,E4,TRUE,Trigger)</f>
        <v>#NAME?</v>
      </c>
      <c r="O4" s="574" t="e">
        <f t="shared" ca="1" si="2"/>
        <v>#NAME?</v>
      </c>
      <c r="P4" s="561" t="e">
        <f t="shared" ca="1" si="3"/>
        <v>#NAME?</v>
      </c>
      <c r="R4" s="562" t="e">
        <f ca="1">_xll.qlCalendarAdvance(Calendar,R3,"1D","f")</f>
        <v>#NAME?</v>
      </c>
      <c r="S4" s="575" t="e">
        <f ca="1">_xll.qlInterpolationInterpolate(B3Minterpolation,R4,TRUE)</f>
        <v>#NAME?</v>
      </c>
      <c r="U4" s="1362" t="s">
        <v>530</v>
      </c>
      <c r="V4" s="1365" t="e">
        <f ca="1">_xll.ohTrigger(S3:S261)</f>
        <v>#NAME?</v>
      </c>
      <c r="X4" s="563"/>
      <c r="Y4" s="563"/>
    </row>
    <row r="5" spans="1:25" ht="11.25" customHeight="1" x14ac:dyDescent="0.2">
      <c r="A5" s="556">
        <v>2</v>
      </c>
      <c r="B5" s="556" t="s">
        <v>180</v>
      </c>
      <c r="C5" s="556">
        <f t="shared" si="4"/>
        <v>5</v>
      </c>
      <c r="D5" s="579" t="str">
        <f t="shared" si="5"/>
        <v>EUR2x5F_Quote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_xll.qlInterpolationInterpolate(B3Minterpolation,E5,TRUE,Trigger)</f>
        <v>#NAME?</v>
      </c>
      <c r="O5" s="574" t="e">
        <f t="shared" ca="1" si="2"/>
        <v>#NAME?</v>
      </c>
      <c r="P5" s="561" t="e">
        <f t="shared" ca="1" si="3"/>
        <v>#NAME?</v>
      </c>
      <c r="R5" s="562" t="e">
        <f ca="1">_xll.qlCalendarAdvance(Calendar,R4,"1D","f")</f>
        <v>#NAME?</v>
      </c>
      <c r="S5" s="575" t="e">
        <f ca="1">_xll.qlInterpolationInterpolate(B3Minterpolation,R5,TRUE)</f>
        <v>#NAME?</v>
      </c>
      <c r="X5" s="563"/>
      <c r="Y5" s="563"/>
    </row>
    <row r="6" spans="1:25" ht="11.25" customHeight="1" x14ac:dyDescent="0.2">
      <c r="A6" s="556">
        <v>3</v>
      </c>
      <c r="B6" s="556" t="s">
        <v>180</v>
      </c>
      <c r="C6" s="556">
        <f t="shared" si="4"/>
        <v>6</v>
      </c>
      <c r="D6" s="579" t="str">
        <f t="shared" si="5"/>
        <v>EUR3x6F_Quote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_xll.qlInterpolationInterpolate(B3Minterpolation,E6,TRUE,Trigger)</f>
        <v>#NAME?</v>
      </c>
      <c r="O6" s="574" t="e">
        <f t="shared" ca="1" si="2"/>
        <v>#NAME?</v>
      </c>
      <c r="P6" s="561" t="e">
        <f t="shared" ca="1" si="3"/>
        <v>#NAME?</v>
      </c>
      <c r="R6" s="562" t="e">
        <f ca="1">_xll.qlCalendarAdvance(Calendar,R5,"1D","f")</f>
        <v>#NAME?</v>
      </c>
      <c r="S6" s="575" t="e">
        <f ca="1">_xll.qlInterpolationInterpolate(B3Minterpolation,R6,TRUE)</f>
        <v>#NAME?</v>
      </c>
      <c r="X6" s="563"/>
      <c r="Y6" s="563"/>
    </row>
    <row r="7" spans="1:25" ht="11.25" customHeight="1" x14ac:dyDescent="0.2">
      <c r="A7" s="556">
        <v>4</v>
      </c>
      <c r="B7" s="556" t="s">
        <v>180</v>
      </c>
      <c r="C7" s="556">
        <f t="shared" si="4"/>
        <v>7</v>
      </c>
      <c r="D7" s="579" t="str">
        <f t="shared" si="5"/>
        <v>EUR4x7F_Quote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_xll.qlInterpolationInterpolate(B3Minterpolation,E7,TRUE,Trigger)</f>
        <v>#NAME?</v>
      </c>
      <c r="O7" s="574" t="e">
        <f t="shared" ca="1" si="2"/>
        <v>#NAME?</v>
      </c>
      <c r="P7" s="561" t="e">
        <f t="shared" ca="1" si="3"/>
        <v>#NAME?</v>
      </c>
      <c r="R7" s="562" t="e">
        <f ca="1">_xll.qlCalendarAdvance(Calendar,R6,"1D","f")</f>
        <v>#NAME?</v>
      </c>
      <c r="S7" s="575" t="e">
        <f ca="1">_xll.qlInterpolationInterpolate(B3Minterpolation,R7,TRUE)</f>
        <v>#NAME?</v>
      </c>
      <c r="X7" s="563"/>
      <c r="Y7" s="563"/>
    </row>
    <row r="8" spans="1:25" ht="11.25" customHeight="1" x14ac:dyDescent="0.2">
      <c r="A8" s="556">
        <v>5</v>
      </c>
      <c r="B8" s="556" t="s">
        <v>180</v>
      </c>
      <c r="C8" s="556">
        <f t="shared" si="4"/>
        <v>8</v>
      </c>
      <c r="D8" s="579" t="str">
        <f t="shared" si="5"/>
        <v>EUR5x8F_Quote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_xll.qlInterpolationInterpolate(B3Minterpolation,E8,TRUE,Trigger)</f>
        <v>#NAME?</v>
      </c>
      <c r="O8" s="574" t="e">
        <f t="shared" ca="1" si="2"/>
        <v>#NAME?</v>
      </c>
      <c r="P8" s="561" t="e">
        <f t="shared" ca="1" si="3"/>
        <v>#NAME?</v>
      </c>
      <c r="R8" s="562" t="e">
        <f ca="1">_xll.qlCalendarAdvance(Calendar,R7,"1D","f")</f>
        <v>#NAME?</v>
      </c>
      <c r="S8" s="575" t="e">
        <f ca="1">_xll.qlInterpolationInterpolate(B3Minterpolation,R8,TRUE)</f>
        <v>#NAME?</v>
      </c>
      <c r="X8" s="563"/>
      <c r="Y8" s="563"/>
    </row>
    <row r="9" spans="1:25" ht="11.25" customHeight="1" x14ac:dyDescent="0.2">
      <c r="A9" s="556">
        <v>6</v>
      </c>
      <c r="B9" s="556" t="s">
        <v>180</v>
      </c>
      <c r="C9" s="556">
        <f t="shared" si="4"/>
        <v>9</v>
      </c>
      <c r="D9" s="579" t="str">
        <f t="shared" si="5"/>
        <v>EUR6x9F_Quote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_xll.qlInterpolationInterpolate(B3Minterpolation,E9,TRUE,Trigger)</f>
        <v>#NAME?</v>
      </c>
      <c r="O9" s="574" t="e">
        <f t="shared" ca="1" si="2"/>
        <v>#NAME?</v>
      </c>
      <c r="P9" s="561" t="e">
        <f t="shared" ca="1" si="3"/>
        <v>#NAME?</v>
      </c>
      <c r="R9" s="562" t="e">
        <f ca="1">_xll.qlCalendarAdvance(Calendar,R8,"1D","f")</f>
        <v>#NAME?</v>
      </c>
      <c r="S9" s="575" t="e">
        <f ca="1">_xll.qlInterpolationInterpolate(B3Minterpolation,R9,TRUE)</f>
        <v>#NAME?</v>
      </c>
      <c r="X9" s="563"/>
      <c r="Y9" s="563"/>
    </row>
    <row r="10" spans="1:25" ht="11.25" customHeight="1" x14ac:dyDescent="0.2">
      <c r="A10" s="556">
        <v>7</v>
      </c>
      <c r="B10" s="556" t="s">
        <v>180</v>
      </c>
      <c r="C10" s="556">
        <f t="shared" si="4"/>
        <v>10</v>
      </c>
      <c r="D10" s="579" t="str">
        <f t="shared" si="5"/>
        <v>EUR7x10F_Quote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_xll.qlInterpolationInterpolate(B3Minterpolation,E10,TRUE,Trigger)</f>
        <v>#NAME?</v>
      </c>
      <c r="O10" s="574" t="e">
        <f t="shared" ca="1" si="2"/>
        <v>#NAME?</v>
      </c>
      <c r="P10" s="561" t="e">
        <f t="shared" ca="1" si="3"/>
        <v>#NAME?</v>
      </c>
      <c r="R10" s="562" t="e">
        <f ca="1">_xll.qlCalendarAdvance(Calendar,R9,"1D","f")</f>
        <v>#NAME?</v>
      </c>
      <c r="S10" s="575" t="e">
        <f ca="1">_xll.qlInterpolationInterpolate(B3Minterpolation,R10,TRUE)</f>
        <v>#NAME?</v>
      </c>
      <c r="X10" s="563"/>
      <c r="Y10" s="563"/>
    </row>
    <row r="11" spans="1:25" ht="11.25" customHeight="1" x14ac:dyDescent="0.2">
      <c r="A11" s="556">
        <v>8</v>
      </c>
      <c r="B11" s="556" t="s">
        <v>180</v>
      </c>
      <c r="C11" s="556">
        <f t="shared" si="4"/>
        <v>11</v>
      </c>
      <c r="D11" s="579" t="str">
        <f t="shared" si="5"/>
        <v>EUR8x11F_Quote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_xll.qlInterpolationInterpolate(B3Minterpolation,E11,TRUE,Trigger)</f>
        <v>#NAME?</v>
      </c>
      <c r="O11" s="574" t="e">
        <f t="shared" ca="1" si="2"/>
        <v>#NAME?</v>
      </c>
      <c r="P11" s="561" t="e">
        <f t="shared" ca="1" si="3"/>
        <v>#NAME?</v>
      </c>
      <c r="R11" s="562" t="e">
        <f ca="1">_xll.qlCalendarAdvance(Calendar,R10,"1D","f")</f>
        <v>#NAME?</v>
      </c>
      <c r="S11" s="575" t="e">
        <f ca="1">_xll.qlInterpolationInterpolate(B3Minterpolation,R11,TRUE)</f>
        <v>#NAME?</v>
      </c>
      <c r="X11" s="563"/>
      <c r="Y11" s="563"/>
    </row>
    <row r="12" spans="1:25" ht="11.25" customHeight="1" x14ac:dyDescent="0.2">
      <c r="A12" s="556">
        <v>9</v>
      </c>
      <c r="B12" s="556" t="s">
        <v>180</v>
      </c>
      <c r="C12" s="556">
        <f t="shared" si="4"/>
        <v>12</v>
      </c>
      <c r="D12" s="579" t="str">
        <f t="shared" si="5"/>
        <v>EUR9x12F_Quote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_xll.qlInterpolationInterpolate(B3Minterpolation,E12,TRUE,Trigger)</f>
        <v>#NAME?</v>
      </c>
      <c r="O12" s="574" t="e">
        <f t="shared" ca="1" si="2"/>
        <v>#NAME?</v>
      </c>
      <c r="P12" s="561" t="e">
        <f t="shared" ca="1" si="3"/>
        <v>#NAME?</v>
      </c>
      <c r="R12" s="562" t="e">
        <f ca="1">_xll.qlCalendarAdvance(Calendar,R11,"1D","f")</f>
        <v>#NAME?</v>
      </c>
      <c r="S12" s="575" t="e">
        <f ca="1">_xll.qlInterpolationInterpolate(B3Minterpolation,R12,TRUE)</f>
        <v>#NAME?</v>
      </c>
      <c r="X12" s="563"/>
      <c r="Y12" s="563"/>
    </row>
    <row r="13" spans="1:25" ht="11.25" customHeight="1" x14ac:dyDescent="0.2">
      <c r="A13" s="556">
        <v>10</v>
      </c>
      <c r="B13" s="556" t="s">
        <v>180</v>
      </c>
      <c r="C13" s="556">
        <f t="shared" si="4"/>
        <v>13</v>
      </c>
      <c r="D13" s="579" t="str">
        <f t="shared" si="5"/>
        <v>EUR10x13F_Quote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1</v>
      </c>
      <c r="N13" s="575" t="e">
        <f ca="1">_xll.qlInterpolationInterpolate(B3Minterpolation,E13,TRUE,Trigger)</f>
        <v>#NAME?</v>
      </c>
      <c r="O13" s="574" t="e">
        <f t="shared" ca="1" si="2"/>
        <v>#NAME?</v>
      </c>
      <c r="P13" s="561" t="e">
        <f t="shared" ca="1" si="3"/>
        <v>#NAME?</v>
      </c>
      <c r="R13" s="562" t="e">
        <f ca="1">_xll.qlCalendarAdvance(Calendar,R12,"1D","f")</f>
        <v>#NAME?</v>
      </c>
      <c r="S13" s="575" t="e">
        <f ca="1">_xll.qlInterpolationInterpolate(B3Minterpolation,R13,TRUE)</f>
        <v>#NAME?</v>
      </c>
      <c r="X13" s="563"/>
      <c r="Y13" s="563"/>
    </row>
    <row r="14" spans="1:25" ht="11.25" customHeight="1" x14ac:dyDescent="0.2">
      <c r="A14" s="556">
        <v>11</v>
      </c>
      <c r="B14" s="556" t="s">
        <v>180</v>
      </c>
      <c r="C14" s="556">
        <f t="shared" si="4"/>
        <v>14</v>
      </c>
      <c r="D14" s="579" t="str">
        <f t="shared" si="5"/>
        <v>EUR11x14F_Quote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1</v>
      </c>
      <c r="N14" s="575" t="e">
        <f ca="1">_xll.qlInterpolationInterpolate(B3Minterpolation,E14,TRUE,Trigger)</f>
        <v>#NAME?</v>
      </c>
      <c r="O14" s="574" t="e">
        <f t="shared" ca="1" si="2"/>
        <v>#NAME?</v>
      </c>
      <c r="P14" s="561" t="e">
        <f t="shared" ca="1" si="3"/>
        <v>#NAME?</v>
      </c>
      <c r="R14" s="562" t="e">
        <f ca="1">_xll.qlCalendarAdvance(Calendar,R13,"1D","f")</f>
        <v>#NAME?</v>
      </c>
      <c r="S14" s="575" t="e">
        <f ca="1">_xll.qlInterpolationInterpolate(B3Minterpolation,R14,TRUE)</f>
        <v>#NAME?</v>
      </c>
      <c r="X14" s="563"/>
      <c r="Y14" s="563"/>
    </row>
    <row r="15" spans="1:25" ht="11.25" customHeight="1" x14ac:dyDescent="0.2">
      <c r="A15" s="556">
        <v>12</v>
      </c>
      <c r="B15" s="556" t="s">
        <v>180</v>
      </c>
      <c r="C15" s="556">
        <f t="shared" si="4"/>
        <v>15</v>
      </c>
      <c r="D15" s="579" t="str">
        <f t="shared" si="5"/>
        <v>EUR12x15F_Quote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_xll.qlInterpolationInterpolate(B3Minterpolation,E15,TRUE,Trigger)</f>
        <v>#NAME?</v>
      </c>
      <c r="O15" s="574" t="e">
        <f t="shared" ca="1" si="2"/>
        <v>#NAME?</v>
      </c>
      <c r="P15" s="561" t="e">
        <f t="shared" ca="1" si="3"/>
        <v>#NAME?</v>
      </c>
      <c r="R15" s="562" t="e">
        <f ca="1">_xll.qlCalendarAdvance(Calendar,R14,"1D","f")</f>
        <v>#NAME?</v>
      </c>
      <c r="S15" s="575" t="e">
        <f ca="1">_xll.qlInterpolationInterpolate(B3Minterpolation,R15,TRUE)</f>
        <v>#NAME?</v>
      </c>
      <c r="X15" s="563"/>
      <c r="Y15" s="563"/>
    </row>
    <row r="16" spans="1:25" ht="11.25" customHeight="1" x14ac:dyDescent="0.2">
      <c r="C16" s="556" t="e">
        <f ca="1">_xll.qlIMMNextCode(SettlementDate,FALSE)</f>
        <v>#NAME?</v>
      </c>
      <c r="D16" s="601" t="e">
        <f t="shared" ref="D16:D24" ca="1" si="6">Currency&amp;"FUT"&amp;"3M"&amp;C16&amp;QuoteSuffix</f>
        <v>#NAME?</v>
      </c>
      <c r="E16" s="583" t="e">
        <f ca="1">_xll.qlIMMdate(C16,$E$3,Trigger)</f>
        <v>#NAME?</v>
      </c>
      <c r="F16" s="583" t="e">
        <f ca="1">_xll.qlCalendarAdvance(Calendar,E16,$F$1,"mf",,Trigger)</f>
        <v>#NAME?</v>
      </c>
      <c r="G16" s="600" t="e">
        <f ca="1">_xll.qlDayCounterYearFraction(DayCounter,E16,F16,,,Trigger)</f>
        <v>#NAME?</v>
      </c>
      <c r="H16" s="580" t="e">
        <f ca="1">1-_xll.qlQuoteValue(D16,AllTriggers)/100-_xll.qlQuoteValue(Currency&amp;"FUT"&amp;"3M"&amp;C16&amp;"ConvAdj_Quote")</f>
        <v>#NAME?</v>
      </c>
      <c r="I16" s="581" t="e">
        <f ca="1">_xll.qlYieldTSDiscount(Discounting,E16,,AllTriggers)</f>
        <v>#NAME?</v>
      </c>
      <c r="J16" s="581" t="e">
        <f ca="1">_xll.qlYieldTSDiscount(Discounting,F16,,AllTriggers)</f>
        <v>#NAME?</v>
      </c>
      <c r="K16" s="580" t="e">
        <f t="shared" ca="1" si="0"/>
        <v>#NAME?</v>
      </c>
      <c r="L16" s="580" t="e">
        <f t="shared" ca="1" si="1"/>
        <v>#NAME?</v>
      </c>
      <c r="M16" s="599" t="b">
        <v>0</v>
      </c>
      <c r="N16" s="580" t="e">
        <f ca="1">_xll.qlInterpolationInterpolate(B3Minterpolation,E16,TRUE,Trigger)</f>
        <v>#NAME?</v>
      </c>
      <c r="O16" s="598" t="e">
        <f t="shared" ca="1" si="2"/>
        <v>#NAME?</v>
      </c>
      <c r="P16" s="582" t="e">
        <f t="shared" ca="1" si="3"/>
        <v>#NAME?</v>
      </c>
      <c r="R16" s="562" t="e">
        <f ca="1">_xll.qlCalendarAdvance(Calendar,R15,"1D","f")</f>
        <v>#NAME?</v>
      </c>
      <c r="S16" s="575" t="e">
        <f ca="1">_xll.qlInterpolationInterpolate(B3Minterpolation,R16,TRUE)</f>
        <v>#NAME?</v>
      </c>
      <c r="X16" s="563"/>
      <c r="Y16" s="563"/>
    </row>
    <row r="17" spans="3:25" ht="11.25" customHeight="1" x14ac:dyDescent="0.2">
      <c r="C17" s="556" t="e">
        <f ca="1">_xll.qlIMMNextCode($E$16,TRUE)</f>
        <v>#NAME?</v>
      </c>
      <c r="D17" s="579" t="e">
        <f t="shared" ca="1" si="6"/>
        <v>#NAME?</v>
      </c>
      <c r="E17" s="562" t="e">
        <f ca="1">_xll.qlIMMdate(C17,$E$3,Trigger)</f>
        <v>#NAME?</v>
      </c>
      <c r="F17" s="562" t="e">
        <f ca="1">_xll.qlCalendarAdvance(Calendar,E17,$F$1,"mf",,Trigger)</f>
        <v>#NAME?</v>
      </c>
      <c r="G17" s="578" t="e">
        <f ca="1">_xll.qlDayCounterYearFraction(DayCounter,E17,F17,,,Trigger)</f>
        <v>#NAME?</v>
      </c>
      <c r="H17" s="575" t="e">
        <f ca="1">1-_xll.qlQuoteValue(D17,AllTriggers)/100-_xll.qlQuoteValue(Currency&amp;"FUT"&amp;"3M"&amp;C17&amp;"ConvAdj_Quote")</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_xll.qlInterpolationInterpolate(B3Minterpolation,E17,TRUE,Trigger)</f>
        <v>#NAME?</v>
      </c>
      <c r="O17" s="574" t="e">
        <f t="shared" ca="1" si="2"/>
        <v>#NAME?</v>
      </c>
      <c r="P17" s="561" t="e">
        <f t="shared" ca="1" si="3"/>
        <v>#NAME?</v>
      </c>
      <c r="R17" s="562" t="e">
        <f ca="1">_xll.qlCalendarAdvance(Calendar,R16,"1D","f")</f>
        <v>#NAME?</v>
      </c>
      <c r="S17" s="575" t="e">
        <f ca="1">_xll.qlInterpolationInterpolate(B3Minterpolation,R17,TRUE)</f>
        <v>#NAME?</v>
      </c>
      <c r="X17" s="563"/>
      <c r="Y17" s="563"/>
    </row>
    <row r="18" spans="3:25" ht="11.25" customHeight="1" x14ac:dyDescent="0.2">
      <c r="C18" s="556" t="e">
        <f ca="1">_xll.qlIMMNextCode($E17,TRUE)</f>
        <v>#NAME?</v>
      </c>
      <c r="D18" s="579" t="e">
        <f t="shared" ca="1" si="6"/>
        <v>#NAME?</v>
      </c>
      <c r="E18" s="562" t="e">
        <f ca="1">_xll.qlIMMdate(C18,$E$3,Trigger)</f>
        <v>#NAME?</v>
      </c>
      <c r="F18" s="562" t="e">
        <f ca="1">_xll.qlCalendarAdvance(Calendar,E18,$F$1,"mf",,Trigger)</f>
        <v>#NAME?</v>
      </c>
      <c r="G18" s="578" t="e">
        <f ca="1">_xll.qlDayCounterYearFraction(DayCounter,E18,F18,,,Trigger)</f>
        <v>#NAME?</v>
      </c>
      <c r="H18" s="575" t="e">
        <f ca="1">1-_xll.qlQuoteValue(D18,AllTriggers)/100-_xll.qlQuoteValue(Currency&amp;"FUT"&amp;"3M"&amp;C18&amp;"ConvAdj_Quote")</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_xll.qlInterpolationInterpolate(B3Minterpolation,E18,TRUE,Trigger)</f>
        <v>#NAME?</v>
      </c>
      <c r="O18" s="574" t="e">
        <f t="shared" ca="1" si="2"/>
        <v>#NAME?</v>
      </c>
      <c r="P18" s="561" t="e">
        <f t="shared" ca="1" si="3"/>
        <v>#NAME?</v>
      </c>
      <c r="R18" s="562" t="e">
        <f ca="1">_xll.qlCalendarAdvance(Calendar,R17,"1D","f")</f>
        <v>#NAME?</v>
      </c>
      <c r="S18" s="575" t="e">
        <f ca="1">_xll.qlInterpolationInterpolate(B3Minterpolation,R18,TRUE)</f>
        <v>#NAME?</v>
      </c>
      <c r="X18" s="563"/>
      <c r="Y18" s="563"/>
    </row>
    <row r="19" spans="3:25" ht="11.25" customHeight="1" x14ac:dyDescent="0.2">
      <c r="C19" s="556" t="e">
        <f ca="1">_xll.qlIMMNextCode($E18,TRUE)</f>
        <v>#NAME?</v>
      </c>
      <c r="D19" s="579" t="e">
        <f t="shared" ca="1" si="6"/>
        <v>#NAME?</v>
      </c>
      <c r="E19" s="562" t="e">
        <f ca="1">_xll.qlIMMdate(C19,$E$3,Trigger)</f>
        <v>#NAME?</v>
      </c>
      <c r="F19" s="562" t="e">
        <f ca="1">_xll.qlCalendarAdvance(Calendar,E19,$F$1,"mf",,Trigger)</f>
        <v>#NAME?</v>
      </c>
      <c r="G19" s="578" t="e">
        <f ca="1">_xll.qlDayCounterYearFraction(DayCounter,E19,F19,,,Trigger)</f>
        <v>#NAME?</v>
      </c>
      <c r="H19" s="575" t="e">
        <f ca="1">1-_xll.qlQuoteValue(D19,AllTriggers)/100-_xll.qlQuoteValue(Currency&amp;"FUT"&amp;"3M"&amp;C19&amp;"ConvAdj_Quote")</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_xll.qlInterpolationInterpolate(B3Minterpolation,E19,TRUE,Trigger)</f>
        <v>#NAME?</v>
      </c>
      <c r="O19" s="574" t="e">
        <f t="shared" ca="1" si="2"/>
        <v>#NAME?</v>
      </c>
      <c r="P19" s="561" t="e">
        <f t="shared" ca="1" si="3"/>
        <v>#NAME?</v>
      </c>
      <c r="R19" s="562" t="e">
        <f ca="1">_xll.qlCalendarAdvance(Calendar,R18,"1D","f")</f>
        <v>#NAME?</v>
      </c>
      <c r="S19" s="575" t="e">
        <f ca="1">_xll.qlInterpolationInterpolate(B3Minterpolation,R19,TRUE)</f>
        <v>#NAME?</v>
      </c>
      <c r="X19" s="563"/>
      <c r="Y19" s="563"/>
    </row>
    <row r="20" spans="3:25" ht="11.25" customHeight="1" x14ac:dyDescent="0.2">
      <c r="C20" s="556" t="e">
        <f ca="1">_xll.qlIMMNextCode($E19,TRUE)</f>
        <v>#NAME?</v>
      </c>
      <c r="D20" s="579" t="e">
        <f t="shared" ca="1" si="6"/>
        <v>#NAME?</v>
      </c>
      <c r="E20" s="562" t="e">
        <f ca="1">_xll.qlIMMdate(C20,$E$3,Trigger)</f>
        <v>#NAME?</v>
      </c>
      <c r="F20" s="562" t="e">
        <f ca="1">_xll.qlCalendarAdvance(Calendar,E20,$F$1,"mf",,Trigger)</f>
        <v>#NAME?</v>
      </c>
      <c r="G20" s="578" t="e">
        <f ca="1">_xll.qlDayCounterYearFraction(DayCounter,E20,F20,,,Trigger)</f>
        <v>#NAME?</v>
      </c>
      <c r="H20" s="575" t="e">
        <f ca="1">1-_xll.qlQuoteValue(D20,AllTriggers)/100-_xll.qlQuoteValue(Currency&amp;"FUT"&amp;"3M"&amp;C20&amp;"ConvAdj_Quote")</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_xll.qlInterpolationInterpolate(B3Minterpolation,E20,TRUE,Trigger)</f>
        <v>#NAME?</v>
      </c>
      <c r="O20" s="574" t="e">
        <f t="shared" ca="1" si="2"/>
        <v>#NAME?</v>
      </c>
      <c r="P20" s="561" t="e">
        <f t="shared" ca="1" si="3"/>
        <v>#NAME?</v>
      </c>
      <c r="R20" s="562" t="e">
        <f ca="1">_xll.qlCalendarAdvance(Calendar,R19,"1D","f")</f>
        <v>#NAME?</v>
      </c>
      <c r="S20" s="575" t="e">
        <f ca="1">_xll.qlInterpolationInterpolate(B3Minterpolation,R20,TRUE)</f>
        <v>#NAME?</v>
      </c>
      <c r="X20" s="563"/>
      <c r="Y20" s="563"/>
    </row>
    <row r="21" spans="3:25" ht="11.25" customHeight="1" x14ac:dyDescent="0.2">
      <c r="C21" s="556" t="e">
        <f ca="1">_xll.qlIMMNextCode($E20,TRUE)</f>
        <v>#NAME?</v>
      </c>
      <c r="D21" s="579" t="e">
        <f t="shared" ca="1" si="6"/>
        <v>#NAME?</v>
      </c>
      <c r="E21" s="562" t="e">
        <f ca="1">_xll.qlIMMdate(C21,$E$3,Trigger)</f>
        <v>#NAME?</v>
      </c>
      <c r="F21" s="562" t="e">
        <f ca="1">_xll.qlCalendarAdvance(Calendar,E21,$F$1,"mf",,Trigger)</f>
        <v>#NAME?</v>
      </c>
      <c r="G21" s="578" t="e">
        <f ca="1">_xll.qlDayCounterYearFraction(DayCounter,E21,F21,,,Trigger)</f>
        <v>#NAME?</v>
      </c>
      <c r="H21" s="575" t="e">
        <f ca="1">1-_xll.qlQuoteValue(D21,AllTriggers)/100-_xll.qlQuoteValue(Currency&amp;"FUT"&amp;"3M"&amp;C21&amp;"ConvAdj_Quote")</f>
        <v>#NAME?</v>
      </c>
      <c r="I21" s="577" t="e">
        <f ca="1">_xll.qlYieldTSDiscount(Discounting,E21,,AllTriggers)</f>
        <v>#NAME?</v>
      </c>
      <c r="J21" s="577" t="e">
        <f ca="1">_xll.qlYieldTSDiscount(Discounting,F21,,AllTriggers)</f>
        <v>#NAME?</v>
      </c>
      <c r="K21" s="575" t="e">
        <f t="shared" ca="1" si="0"/>
        <v>#NAME?</v>
      </c>
      <c r="L21" s="575" t="e">
        <f t="shared" ca="1" si="1"/>
        <v>#NAME?</v>
      </c>
      <c r="M21" s="576" t="b">
        <v>1</v>
      </c>
      <c r="N21" s="575" t="e">
        <f ca="1">_xll.qlInterpolationInterpolate(B3Minterpolation,E21,TRUE,Trigger)</f>
        <v>#NAME?</v>
      </c>
      <c r="O21" s="574" t="e">
        <f t="shared" ca="1" si="2"/>
        <v>#NAME?</v>
      </c>
      <c r="P21" s="561" t="e">
        <f t="shared" ca="1" si="3"/>
        <v>#NAME?</v>
      </c>
      <c r="R21" s="562" t="e">
        <f ca="1">_xll.qlCalendarAdvance(Calendar,R20,"1D","f")</f>
        <v>#NAME?</v>
      </c>
      <c r="S21" s="575" t="e">
        <f ca="1">_xll.qlInterpolationInterpolate(B3Minterpolation,R21,TRUE)</f>
        <v>#NAME?</v>
      </c>
      <c r="X21" s="563"/>
      <c r="Y21" s="563"/>
    </row>
    <row r="22" spans="3:25" ht="11.25" customHeight="1" x14ac:dyDescent="0.2">
      <c r="C22" s="556" t="e">
        <f ca="1">_xll.qlIMMNextCode($E21,TRUE)</f>
        <v>#NAME?</v>
      </c>
      <c r="D22" s="579" t="e">
        <f t="shared" ca="1" si="6"/>
        <v>#NAME?</v>
      </c>
      <c r="E22" s="562" t="e">
        <f ca="1">_xll.qlIMMdate(C22,$E$3,Trigger)</f>
        <v>#NAME?</v>
      </c>
      <c r="F22" s="562" t="e">
        <f ca="1">_xll.qlCalendarAdvance(Calendar,E22,$F$1,"mf",,Trigger)</f>
        <v>#NAME?</v>
      </c>
      <c r="G22" s="578" t="e">
        <f ca="1">_xll.qlDayCounterYearFraction(DayCounter,E22,F22,,,Trigger)</f>
        <v>#NAME?</v>
      </c>
      <c r="H22" s="575" t="e">
        <f ca="1">1-_xll.qlQuoteValue(D22,AllTriggers)/100-_xll.qlQuoteValue(Currency&amp;"FUT"&amp;"3M"&amp;C22&amp;"ConvAdj_Quote")</f>
        <v>#NAME?</v>
      </c>
      <c r="I22" s="577" t="e">
        <f ca="1">_xll.qlYieldTSDiscount(Discounting,E22,,AllTriggers)</f>
        <v>#NAME?</v>
      </c>
      <c r="J22" s="577" t="e">
        <f ca="1">_xll.qlYieldTSDiscount(Discounting,F22,,AllTriggers)</f>
        <v>#NAME?</v>
      </c>
      <c r="K22" s="575" t="e">
        <f t="shared" ca="1" si="0"/>
        <v>#NAME?</v>
      </c>
      <c r="L22" s="575" t="e">
        <f t="shared" ca="1" si="1"/>
        <v>#NAME?</v>
      </c>
      <c r="M22" s="576" t="b">
        <v>1</v>
      </c>
      <c r="N22" s="575" t="e">
        <f ca="1">_xll.qlInterpolationInterpolate(B3Minterpolation,E22,TRUE,Trigger)</f>
        <v>#NAME?</v>
      </c>
      <c r="O22" s="574" t="e">
        <f t="shared" ca="1" si="2"/>
        <v>#NAME?</v>
      </c>
      <c r="P22" s="561" t="e">
        <f t="shared" ca="1" si="3"/>
        <v>#NAME?</v>
      </c>
      <c r="R22" s="562" t="e">
        <f ca="1">_xll.qlCalendarAdvance(Calendar,R21,"1D","f")</f>
        <v>#NAME?</v>
      </c>
      <c r="S22" s="575" t="e">
        <f ca="1">_xll.qlInterpolationInterpolate(B3Minterpolation,R22,TRUE)</f>
        <v>#NAME?</v>
      </c>
      <c r="X22" s="563"/>
      <c r="Y22" s="563"/>
    </row>
    <row r="23" spans="3:25" ht="11.25" customHeight="1" x14ac:dyDescent="0.2">
      <c r="C23" s="556" t="e">
        <f ca="1">_xll.qlIMMNextCode($E22,TRUE)</f>
        <v>#NAME?</v>
      </c>
      <c r="D23" s="579" t="e">
        <f t="shared" ca="1" si="6"/>
        <v>#NAME?</v>
      </c>
      <c r="E23" s="562" t="e">
        <f ca="1">_xll.qlIMMdate(C23,$E$3,Trigger)</f>
        <v>#NAME?</v>
      </c>
      <c r="F23" s="562" t="e">
        <f ca="1">_xll.qlCalendarAdvance(Calendar,E23,$F$1,"mf",,Trigger)</f>
        <v>#NAME?</v>
      </c>
      <c r="G23" s="578" t="e">
        <f ca="1">_xll.qlDayCounterYearFraction(DayCounter,E23,F23,,,Trigger)</f>
        <v>#NAME?</v>
      </c>
      <c r="H23" s="575" t="e">
        <f ca="1">1-_xll.qlQuoteValue(D23,AllTriggers)/100-_xll.qlQuoteValue(Currency&amp;"FUT"&amp;"3M"&amp;C23&amp;"ConvAdj_Quote")</f>
        <v>#NAME?</v>
      </c>
      <c r="I23" s="577" t="e">
        <f ca="1">_xll.qlYieldTSDiscount(Discounting,E23,,AllTriggers)</f>
        <v>#NAME?</v>
      </c>
      <c r="J23" s="577" t="e">
        <f ca="1">_xll.qlYieldTSDiscount(Discounting,F23,,AllTriggers)</f>
        <v>#NAME?</v>
      </c>
      <c r="K23" s="575" t="e">
        <f t="shared" ca="1" si="0"/>
        <v>#NAME?</v>
      </c>
      <c r="L23" s="575" t="e">
        <f t="shared" ca="1" si="1"/>
        <v>#NAME?</v>
      </c>
      <c r="M23" s="576" t="b">
        <v>1</v>
      </c>
      <c r="N23" s="575" t="e">
        <f ca="1">_xll.qlInterpolationInterpolate(B3Minterpolation,E23,TRUE,Trigger)</f>
        <v>#NAME?</v>
      </c>
      <c r="O23" s="574" t="e">
        <f t="shared" ca="1" si="2"/>
        <v>#NAME?</v>
      </c>
      <c r="P23" s="561" t="e">
        <f t="shared" ca="1" si="3"/>
        <v>#NAME?</v>
      </c>
      <c r="R23" s="562" t="e">
        <f ca="1">_xll.qlCalendarAdvance(Calendar,R22,"1D","f")</f>
        <v>#NAME?</v>
      </c>
      <c r="S23" s="575" t="e">
        <f ca="1">_xll.qlInterpolationInterpolate(B3Minterpolation,R23,TRUE)</f>
        <v>#NAME?</v>
      </c>
      <c r="X23" s="563"/>
      <c r="Y23" s="563"/>
    </row>
    <row r="24" spans="3:25" ht="11.25" customHeight="1" x14ac:dyDescent="0.2">
      <c r="C24" s="556" t="e">
        <f ca="1">_xll.qlIMMNextCode($E23,TRUE)</f>
        <v>#NAME?</v>
      </c>
      <c r="D24" s="572" t="e">
        <f t="shared" ca="1" si="6"/>
        <v>#NAME?</v>
      </c>
      <c r="E24" s="560" t="e">
        <f ca="1">_xll.qlIMMdate(C24,$E$3,Trigger)</f>
        <v>#NAME?</v>
      </c>
      <c r="F24" s="560" t="e">
        <f ca="1">_xll.qlCalendarAdvance(Calendar,E24,$F$1,"mf",,Trigger)</f>
        <v>#NAME?</v>
      </c>
      <c r="G24" s="571" t="e">
        <f ca="1">_xll.qlDayCounterYearFraction(DayCounter,E24,F24,,,Trigger)</f>
        <v>#NAME?</v>
      </c>
      <c r="H24" s="568" t="e">
        <f ca="1">1-_xll.qlQuoteValue(D24,AllTriggers)/100-_xll.qlQuoteValue(Currency&amp;"FUT"&amp;"3M"&amp;C24&amp;"ConvAdj_Quote")</f>
        <v>#NAME?</v>
      </c>
      <c r="I24" s="570" t="e">
        <f ca="1">_xll.qlYieldTSDiscount(Discounting,E24,,AllTriggers)</f>
        <v>#NAME?</v>
      </c>
      <c r="J24" s="570" t="e">
        <f ca="1">_xll.qlYieldTSDiscount(Discounting,F24,,AllTriggers)</f>
        <v>#NAME?</v>
      </c>
      <c r="K24" s="568" t="e">
        <f t="shared" ca="1" si="0"/>
        <v>#NAME?</v>
      </c>
      <c r="L24" s="568" t="e">
        <f t="shared" ca="1" si="1"/>
        <v>#NAME?</v>
      </c>
      <c r="M24" s="569" t="b">
        <v>1</v>
      </c>
      <c r="N24" s="568" t="e">
        <f ca="1">_xll.qlInterpolationInterpolate(B3Minterpolation,E24,TRUE,Trigger)</f>
        <v>#NAME?</v>
      </c>
      <c r="O24" s="567" t="e">
        <f t="shared" ca="1" si="2"/>
        <v>#NAME?</v>
      </c>
      <c r="P24" s="559" t="e">
        <f t="shared" ca="1" si="3"/>
        <v>#NAME?</v>
      </c>
      <c r="R24" s="562" t="e">
        <f ca="1">_xll.qlCalendarAdvance(Calendar,R23,"1D","f")</f>
        <v>#NAME?</v>
      </c>
      <c r="S24" s="575" t="e">
        <f ca="1">_xll.qlInterpolationInterpolate(B3Minterpolation,R24,TRUE)</f>
        <v>#NAME?</v>
      </c>
      <c r="X24" s="563"/>
      <c r="Y24" s="563"/>
    </row>
    <row r="25" spans="3:25" ht="11.25" customHeight="1" x14ac:dyDescent="0.2">
      <c r="E25" s="564"/>
      <c r="F25" s="564"/>
      <c r="G25" s="563"/>
      <c r="K25" s="563"/>
      <c r="L25" s="563"/>
      <c r="R25" s="562" t="e">
        <f ca="1">_xll.qlCalendarAdvance(Calendar,R24,"1D","f")</f>
        <v>#NAME?</v>
      </c>
      <c r="S25" s="575" t="e">
        <f ca="1">_xll.qlInterpolationInterpolate(B3Minterpolation,R25,TRUE)</f>
        <v>#NAME?</v>
      </c>
      <c r="X25" s="563"/>
      <c r="Y25" s="563"/>
    </row>
    <row r="26" spans="3:25" ht="11.25" customHeight="1" x14ac:dyDescent="0.2">
      <c r="E26" s="564"/>
      <c r="F26" s="564"/>
      <c r="G26" s="563"/>
      <c r="K26" s="563"/>
      <c r="L26" s="563"/>
      <c r="R26" s="562" t="e">
        <f ca="1">_xll.qlCalendarAdvance(Calendar,R25,"1D","f")</f>
        <v>#NAME?</v>
      </c>
      <c r="S26" s="575" t="e">
        <f ca="1">_xll.qlInterpolationInterpolate(B3Minterpolation,R26,TRUE)</f>
        <v>#NAME?</v>
      </c>
      <c r="X26" s="563"/>
      <c r="Y26" s="563"/>
    </row>
    <row r="27" spans="3:25" ht="11.25" customHeight="1" x14ac:dyDescent="0.2">
      <c r="E27" s="564"/>
      <c r="F27" s="564"/>
      <c r="G27" s="563"/>
      <c r="K27" s="563"/>
      <c r="L27" s="563"/>
      <c r="R27" s="562" t="e">
        <f ca="1">_xll.qlCalendarAdvance(Calendar,R26,"1D","f")</f>
        <v>#NAME?</v>
      </c>
      <c r="S27" s="575" t="e">
        <f ca="1">_xll.qlInterpolationInterpolate(B3Minterpolation,R27,TRUE)</f>
        <v>#NAME?</v>
      </c>
      <c r="X27" s="563"/>
      <c r="Y27" s="563"/>
    </row>
    <row r="28" spans="3:25" ht="11.25" customHeight="1" x14ac:dyDescent="0.2">
      <c r="E28" s="564"/>
      <c r="F28" s="564"/>
      <c r="G28" s="563"/>
      <c r="K28" s="563"/>
      <c r="L28" s="563"/>
      <c r="R28" s="562" t="e">
        <f ca="1">_xll.qlCalendarAdvance(Calendar,R27,"1D","f")</f>
        <v>#NAME?</v>
      </c>
      <c r="S28" s="575" t="e">
        <f ca="1">_xll.qlInterpolationInterpolate(B3Minterpolation,R28,TRUE)</f>
        <v>#NAME?</v>
      </c>
      <c r="X28" s="563"/>
      <c r="Y28" s="563"/>
    </row>
    <row r="29" spans="3:25" ht="11.25" customHeight="1" x14ac:dyDescent="0.2">
      <c r="E29" s="564"/>
      <c r="F29" s="564"/>
      <c r="G29" s="563"/>
      <c r="K29" s="563"/>
      <c r="L29" s="563"/>
      <c r="R29" s="562" t="e">
        <f ca="1">_xll.qlCalendarAdvance(Calendar,R28,"1D","f")</f>
        <v>#NAME?</v>
      </c>
      <c r="S29" s="575" t="e">
        <f ca="1">_xll.qlInterpolationInterpolate(B3Minterpolation,R29,TRUE)</f>
        <v>#NAME?</v>
      </c>
      <c r="X29" s="563"/>
      <c r="Y29" s="563"/>
    </row>
    <row r="30" spans="3:25" ht="11.25" customHeight="1" x14ac:dyDescent="0.2">
      <c r="E30" s="564"/>
      <c r="F30" s="564"/>
      <c r="G30" s="563"/>
      <c r="K30" s="563"/>
      <c r="L30" s="563"/>
      <c r="R30" s="562" t="e">
        <f ca="1">_xll.qlCalendarAdvance(Calendar,R29,"1D","f")</f>
        <v>#NAME?</v>
      </c>
      <c r="S30" s="575" t="e">
        <f ca="1">_xll.qlInterpolationInterpolate(B3Minterpolation,R30,TRUE)</f>
        <v>#NAME?</v>
      </c>
      <c r="X30" s="563"/>
      <c r="Y30" s="563"/>
    </row>
    <row r="31" spans="3:25" ht="11.25" customHeight="1" x14ac:dyDescent="0.2">
      <c r="E31" s="564"/>
      <c r="F31" s="564"/>
      <c r="G31" s="563"/>
      <c r="K31" s="563"/>
      <c r="L31" s="563"/>
      <c r="R31" s="562" t="e">
        <f ca="1">_xll.qlCalendarAdvance(Calendar,R30,"1D","f")</f>
        <v>#NAME?</v>
      </c>
      <c r="S31" s="575" t="e">
        <f ca="1">_xll.qlInterpolationInterpolate(B3Minterpolation,R31,TRUE)</f>
        <v>#NAME?</v>
      </c>
      <c r="U31" s="597"/>
      <c r="V31" s="597"/>
      <c r="X31" s="563"/>
      <c r="Y31" s="563"/>
    </row>
    <row r="32" spans="3:25" ht="11.25" customHeight="1" x14ac:dyDescent="0.2">
      <c r="E32" s="564"/>
      <c r="F32" s="564"/>
      <c r="G32" s="563"/>
      <c r="K32" s="563"/>
      <c r="L32" s="563"/>
      <c r="R32" s="562" t="e">
        <f ca="1">_xll.qlCalendarAdvance(Calendar,R31,"1D","f")</f>
        <v>#NAME?</v>
      </c>
      <c r="S32" s="575" t="e">
        <f ca="1">_xll.qlInterpolationInterpolate(B3Minterpolation,R32,TRUE)</f>
        <v>#NAME?</v>
      </c>
      <c r="X32" s="563"/>
      <c r="Y32" s="563"/>
    </row>
    <row r="33" spans="5:25" ht="11.25" customHeight="1" x14ac:dyDescent="0.2">
      <c r="E33" s="564"/>
      <c r="F33" s="564"/>
      <c r="G33" s="563"/>
      <c r="K33" s="563"/>
      <c r="L33" s="563"/>
      <c r="R33" s="562" t="e">
        <f ca="1">_xll.qlCalendarAdvance(Calendar,R32,"1D","f")</f>
        <v>#NAME?</v>
      </c>
      <c r="S33" s="575" t="e">
        <f ca="1">_xll.qlInterpolationInterpolate(B3Minterpolation,R33,TRUE)</f>
        <v>#NAME?</v>
      </c>
      <c r="X33" s="563"/>
      <c r="Y33" s="563"/>
    </row>
    <row r="34" spans="5:25" ht="11.25" customHeight="1" x14ac:dyDescent="0.2">
      <c r="E34" s="564"/>
      <c r="F34" s="564"/>
      <c r="G34" s="563"/>
      <c r="K34" s="563"/>
      <c r="L34" s="563"/>
      <c r="R34" s="562" t="e">
        <f ca="1">_xll.qlCalendarAdvance(Calendar,R33,"1D","f")</f>
        <v>#NAME?</v>
      </c>
      <c r="S34" s="575" t="e">
        <f ca="1">_xll.qlInterpolationInterpolate(B3Minterpolation,R34,TRUE)</f>
        <v>#NAME?</v>
      </c>
      <c r="X34" s="563"/>
      <c r="Y34" s="563"/>
    </row>
    <row r="35" spans="5:25" ht="11.25" customHeight="1" x14ac:dyDescent="0.2">
      <c r="E35" s="564"/>
      <c r="F35" s="564"/>
      <c r="G35" s="563"/>
      <c r="K35" s="563"/>
      <c r="L35" s="563"/>
      <c r="R35" s="562" t="e">
        <f ca="1">_xll.qlCalendarAdvance(Calendar,R34,"1D","f")</f>
        <v>#NAME?</v>
      </c>
      <c r="S35" s="575" t="e">
        <f ca="1">_xll.qlInterpolationInterpolate(B3Minterpolation,R35,TRUE)</f>
        <v>#NAME?</v>
      </c>
      <c r="X35" s="563"/>
      <c r="Y35" s="563"/>
    </row>
    <row r="36" spans="5:25" ht="11.25" customHeight="1" x14ac:dyDescent="0.2">
      <c r="E36" s="564"/>
      <c r="F36" s="564"/>
      <c r="G36" s="563"/>
      <c r="K36" s="563"/>
      <c r="L36" s="563"/>
      <c r="R36" s="562" t="e">
        <f ca="1">_xll.qlCalendarAdvance(Calendar,R35,"1D","f")</f>
        <v>#NAME?</v>
      </c>
      <c r="S36" s="575" t="e">
        <f ca="1">_xll.qlInterpolationInterpolate(B3Minterpolation,R36,TRUE)</f>
        <v>#NAME?</v>
      </c>
      <c r="X36" s="563"/>
      <c r="Y36" s="563"/>
    </row>
    <row r="37" spans="5:25" ht="11.25" customHeight="1" x14ac:dyDescent="0.2">
      <c r="E37" s="564"/>
      <c r="F37" s="564"/>
      <c r="G37" s="563"/>
      <c r="K37" s="563"/>
      <c r="L37" s="563"/>
      <c r="R37" s="562" t="e">
        <f ca="1">_xll.qlCalendarAdvance(Calendar,R36,"1D","f")</f>
        <v>#NAME?</v>
      </c>
      <c r="S37" s="575" t="e">
        <f ca="1">_xll.qlInterpolationInterpolate(B3Minterpolation,R37,TRUE)</f>
        <v>#NAME?</v>
      </c>
      <c r="X37" s="563"/>
      <c r="Y37" s="563"/>
    </row>
    <row r="38" spans="5:25" ht="11.25" customHeight="1" x14ac:dyDescent="0.2">
      <c r="E38" s="564"/>
      <c r="F38" s="564"/>
      <c r="G38" s="563"/>
      <c r="K38" s="563"/>
      <c r="L38" s="563"/>
      <c r="R38" s="562" t="e">
        <f ca="1">_xll.qlCalendarAdvance(Calendar,R37,"1D","f")</f>
        <v>#NAME?</v>
      </c>
      <c r="S38" s="575" t="e">
        <f ca="1">_xll.qlInterpolationInterpolate(B3Minterpolation,R38,TRUE)</f>
        <v>#NAME?</v>
      </c>
      <c r="X38" s="563"/>
      <c r="Y38" s="563"/>
    </row>
    <row r="39" spans="5:25" ht="11.25" customHeight="1" x14ac:dyDescent="0.2">
      <c r="E39" s="564"/>
      <c r="F39" s="564"/>
      <c r="G39" s="563"/>
      <c r="K39" s="563"/>
      <c r="L39" s="563"/>
      <c r="R39" s="562" t="e">
        <f ca="1">_xll.qlCalendarAdvance(Calendar,R38,"1D","f")</f>
        <v>#NAME?</v>
      </c>
      <c r="S39" s="575" t="e">
        <f ca="1">_xll.qlInterpolationInterpolate(B3Minterpolation,R39,TRUE)</f>
        <v>#NAME?</v>
      </c>
      <c r="X39" s="563"/>
      <c r="Y39" s="563"/>
    </row>
    <row r="40" spans="5:25" ht="11.25" customHeight="1" x14ac:dyDescent="0.2">
      <c r="E40" s="564"/>
      <c r="F40" s="564"/>
      <c r="G40" s="563"/>
      <c r="K40" s="563"/>
      <c r="L40" s="563"/>
      <c r="R40" s="562" t="e">
        <f ca="1">_xll.qlCalendarAdvance(Calendar,R39,"1D","f")</f>
        <v>#NAME?</v>
      </c>
      <c r="S40" s="575" t="e">
        <f ca="1">_xll.qlInterpolationInterpolate(B3Minterpolation,R40,TRUE)</f>
        <v>#NAME?</v>
      </c>
      <c r="X40" s="563"/>
      <c r="Y40" s="563"/>
    </row>
    <row r="41" spans="5:25" ht="11.25" customHeight="1" x14ac:dyDescent="0.2">
      <c r="E41" s="564"/>
      <c r="F41" s="564"/>
      <c r="G41" s="563"/>
      <c r="K41" s="563"/>
      <c r="L41" s="563"/>
      <c r="R41" s="562" t="e">
        <f ca="1">_xll.qlCalendarAdvance(Calendar,R40,"1D","f")</f>
        <v>#NAME?</v>
      </c>
      <c r="S41" s="575" t="e">
        <f ca="1">_xll.qlInterpolationInterpolate(B3Minterpolation,R41,TRUE)</f>
        <v>#NAME?</v>
      </c>
      <c r="X41" s="563"/>
      <c r="Y41" s="563"/>
    </row>
    <row r="42" spans="5:25" ht="11.25" customHeight="1" x14ac:dyDescent="0.2">
      <c r="E42" s="564"/>
      <c r="F42" s="564"/>
      <c r="G42" s="563"/>
      <c r="K42" s="563"/>
      <c r="L42" s="563"/>
      <c r="R42" s="562" t="e">
        <f ca="1">_xll.qlCalendarAdvance(Calendar,R41,"1D","f")</f>
        <v>#NAME?</v>
      </c>
      <c r="S42" s="575" t="e">
        <f ca="1">_xll.qlInterpolationInterpolate(B3Minterpolation,R42,TRUE)</f>
        <v>#NAME?</v>
      </c>
      <c r="X42" s="563"/>
      <c r="Y42" s="563"/>
    </row>
    <row r="43" spans="5:25" ht="11.25" customHeight="1" x14ac:dyDescent="0.2">
      <c r="E43" s="564"/>
      <c r="F43" s="564"/>
      <c r="G43" s="563"/>
      <c r="K43" s="563"/>
      <c r="L43" s="563"/>
      <c r="R43" s="562" t="e">
        <f ca="1">_xll.qlCalendarAdvance(Calendar,R42,"1D","f")</f>
        <v>#NAME?</v>
      </c>
      <c r="S43" s="575" t="e">
        <f ca="1">_xll.qlInterpolationInterpolate(B3Minterpolation,R43,TRUE)</f>
        <v>#NAME?</v>
      </c>
      <c r="X43" s="563"/>
      <c r="Y43" s="563"/>
    </row>
    <row r="44" spans="5:25" ht="11.25" customHeight="1" x14ac:dyDescent="0.2">
      <c r="E44" s="564"/>
      <c r="F44" s="564"/>
      <c r="G44" s="563"/>
      <c r="K44" s="563"/>
      <c r="L44" s="563"/>
      <c r="R44" s="562" t="e">
        <f ca="1">_xll.qlCalendarAdvance(Calendar,R43,"1D","f")</f>
        <v>#NAME?</v>
      </c>
      <c r="S44" s="575" t="e">
        <f ca="1">_xll.qlInterpolationInterpolate(B3Minterpolation,R44,TRUE)</f>
        <v>#NAME?</v>
      </c>
      <c r="X44" s="563"/>
      <c r="Y44" s="563"/>
    </row>
    <row r="45" spans="5:25" ht="11.25" customHeight="1" x14ac:dyDescent="0.2">
      <c r="E45" s="564"/>
      <c r="F45" s="564"/>
      <c r="G45" s="563"/>
      <c r="K45" s="563"/>
      <c r="L45" s="563"/>
      <c r="R45" s="562" t="e">
        <f ca="1">_xll.qlCalendarAdvance(Calendar,R44,"1D","f")</f>
        <v>#NAME?</v>
      </c>
      <c r="S45" s="575" t="e">
        <f ca="1">_xll.qlInterpolationInterpolate(B3Minterpolation,R45,TRUE)</f>
        <v>#NAME?</v>
      </c>
      <c r="X45" s="563"/>
      <c r="Y45" s="563"/>
    </row>
    <row r="46" spans="5:25" ht="11.25" customHeight="1" x14ac:dyDescent="0.2">
      <c r="E46" s="564"/>
      <c r="F46" s="564"/>
      <c r="G46" s="563"/>
      <c r="K46" s="563"/>
      <c r="L46" s="563"/>
      <c r="R46" s="562" t="e">
        <f ca="1">_xll.qlCalendarAdvance(Calendar,R45,"1D","f")</f>
        <v>#NAME?</v>
      </c>
      <c r="S46" s="575" t="e">
        <f ca="1">_xll.qlInterpolationInterpolate(B3Minterpolation,R46,TRUE)</f>
        <v>#NAME?</v>
      </c>
      <c r="X46" s="563"/>
      <c r="Y46" s="563"/>
    </row>
    <row r="47" spans="5:25" ht="11.25" customHeight="1" x14ac:dyDescent="0.2">
      <c r="E47" s="564"/>
      <c r="F47" s="564"/>
      <c r="G47" s="563"/>
      <c r="K47" s="563"/>
      <c r="L47" s="563"/>
      <c r="R47" s="562" t="e">
        <f ca="1">_xll.qlCalendarAdvance(Calendar,R46,"1D","f")</f>
        <v>#NAME?</v>
      </c>
      <c r="S47" s="575" t="e">
        <f ca="1">_xll.qlInterpolationInterpolate(B3Minterpolation,R47,TRUE)</f>
        <v>#NAME?</v>
      </c>
      <c r="X47" s="563"/>
      <c r="Y47" s="563"/>
    </row>
    <row r="48" spans="5:25" ht="11.25" customHeight="1" x14ac:dyDescent="0.2">
      <c r="E48" s="564"/>
      <c r="F48" s="564"/>
      <c r="G48" s="563"/>
      <c r="K48" s="563"/>
      <c r="L48" s="563"/>
      <c r="R48" s="562" t="e">
        <f ca="1">_xll.qlCalendarAdvance(Calendar,R47,"1D","f")</f>
        <v>#NAME?</v>
      </c>
      <c r="S48" s="575" t="e">
        <f ca="1">_xll.qlInterpolationInterpolate(B3Minterpolation,R48,TRUE)</f>
        <v>#NAME?</v>
      </c>
      <c r="X48" s="563"/>
      <c r="Y48" s="563"/>
    </row>
    <row r="49" spans="5:25" ht="11.25" customHeight="1" x14ac:dyDescent="0.2">
      <c r="E49" s="564"/>
      <c r="F49" s="564"/>
      <c r="G49" s="563"/>
      <c r="K49" s="563"/>
      <c r="L49" s="563"/>
      <c r="R49" s="562" t="e">
        <f ca="1">_xll.qlCalendarAdvance(Calendar,R48,"1D","f")</f>
        <v>#NAME?</v>
      </c>
      <c r="S49" s="575" t="e">
        <f ca="1">_xll.qlInterpolationInterpolate(B3Minterpolation,R49,TRUE)</f>
        <v>#NAME?</v>
      </c>
      <c r="X49" s="563"/>
      <c r="Y49" s="563"/>
    </row>
    <row r="50" spans="5:25" ht="11.25" customHeight="1" x14ac:dyDescent="0.2">
      <c r="E50" s="564"/>
      <c r="F50" s="564"/>
      <c r="G50" s="563"/>
      <c r="K50" s="563"/>
      <c r="L50" s="563"/>
      <c r="R50" s="562" t="e">
        <f ca="1">_xll.qlCalendarAdvance(Calendar,R49,"1D","f")</f>
        <v>#NAME?</v>
      </c>
      <c r="S50" s="575" t="e">
        <f ca="1">_xll.qlInterpolationInterpolate(B3Minterpolation,R50,TRUE)</f>
        <v>#NAME?</v>
      </c>
      <c r="X50" s="563"/>
      <c r="Y50" s="563"/>
    </row>
    <row r="51" spans="5:25" ht="11.25" customHeight="1" x14ac:dyDescent="0.2">
      <c r="E51" s="564"/>
      <c r="F51" s="564"/>
      <c r="G51" s="563"/>
      <c r="K51" s="563"/>
      <c r="L51" s="563"/>
      <c r="R51" s="562" t="e">
        <f ca="1">_xll.qlCalendarAdvance(Calendar,R50,"1D","f")</f>
        <v>#NAME?</v>
      </c>
      <c r="S51" s="575" t="e">
        <f ca="1">_xll.qlInterpolationInterpolate(B3Minterpolation,R51,TRUE)</f>
        <v>#NAME?</v>
      </c>
      <c r="X51" s="563"/>
      <c r="Y51" s="563"/>
    </row>
    <row r="52" spans="5:25" ht="11.25" customHeight="1" x14ac:dyDescent="0.2">
      <c r="E52" s="564"/>
      <c r="F52" s="564"/>
      <c r="G52" s="563"/>
      <c r="K52" s="563"/>
      <c r="L52" s="563"/>
      <c r="R52" s="562" t="e">
        <f ca="1">_xll.qlCalendarAdvance(Calendar,R51,"1D","f")</f>
        <v>#NAME?</v>
      </c>
      <c r="S52" s="575" t="e">
        <f ca="1">_xll.qlInterpolationInterpolate(B3Minterpolation,R52,TRUE)</f>
        <v>#NAME?</v>
      </c>
      <c r="X52" s="563"/>
      <c r="Y52" s="563"/>
    </row>
    <row r="53" spans="5:25" ht="11.25" customHeight="1" x14ac:dyDescent="0.2">
      <c r="E53" s="564"/>
      <c r="F53" s="564"/>
      <c r="G53" s="563"/>
      <c r="K53" s="563"/>
      <c r="L53" s="563"/>
      <c r="R53" s="562" t="e">
        <f ca="1">_xll.qlCalendarAdvance(Calendar,R52,"1D","f")</f>
        <v>#NAME?</v>
      </c>
      <c r="S53" s="575" t="e">
        <f ca="1">_xll.qlInterpolationInterpolate(B3Minterpolation,R53,TRUE)</f>
        <v>#NAME?</v>
      </c>
      <c r="X53" s="563"/>
      <c r="Y53" s="563"/>
    </row>
    <row r="54" spans="5:25" ht="11.25" customHeight="1" x14ac:dyDescent="0.2">
      <c r="E54" s="564"/>
      <c r="F54" s="564"/>
      <c r="G54" s="563"/>
      <c r="K54" s="563"/>
      <c r="L54" s="563"/>
      <c r="R54" s="562" t="e">
        <f ca="1">_xll.qlCalendarAdvance(Calendar,R53,"1D","f")</f>
        <v>#NAME?</v>
      </c>
      <c r="S54" s="575" t="e">
        <f ca="1">_xll.qlInterpolationInterpolate(B3Minterpolation,R54,TRUE)</f>
        <v>#NAME?</v>
      </c>
      <c r="X54" s="563"/>
      <c r="Y54" s="563"/>
    </row>
    <row r="55" spans="5:25" ht="11.25" customHeight="1" x14ac:dyDescent="0.2">
      <c r="E55" s="564"/>
      <c r="F55" s="564"/>
      <c r="G55" s="563"/>
      <c r="K55" s="563"/>
      <c r="L55" s="563"/>
      <c r="R55" s="562" t="e">
        <f ca="1">_xll.qlCalendarAdvance(Calendar,R54,"1D","f")</f>
        <v>#NAME?</v>
      </c>
      <c r="S55" s="575" t="e">
        <f ca="1">_xll.qlInterpolationInterpolate(B3Minterpolation,R55,TRUE)</f>
        <v>#NAME?</v>
      </c>
      <c r="X55" s="563"/>
      <c r="Y55" s="563"/>
    </row>
    <row r="56" spans="5:25" ht="11.25" customHeight="1" x14ac:dyDescent="0.2">
      <c r="E56" s="564"/>
      <c r="F56" s="564"/>
      <c r="G56" s="563"/>
      <c r="K56" s="563"/>
      <c r="L56" s="563"/>
      <c r="R56" s="562" t="e">
        <f ca="1">_xll.qlCalendarAdvance(Calendar,R55,"1D","f")</f>
        <v>#NAME?</v>
      </c>
      <c r="S56" s="575" t="e">
        <f ca="1">_xll.qlInterpolationInterpolate(B3Minterpolation,R56,TRUE)</f>
        <v>#NAME?</v>
      </c>
      <c r="X56" s="563"/>
      <c r="Y56" s="563"/>
    </row>
    <row r="57" spans="5:25" ht="11.25" customHeight="1" x14ac:dyDescent="0.2">
      <c r="E57" s="564"/>
      <c r="F57" s="564"/>
      <c r="G57" s="563"/>
      <c r="K57" s="563"/>
      <c r="L57" s="563"/>
      <c r="R57" s="562" t="e">
        <f ca="1">_xll.qlCalendarAdvance(Calendar,R56,"1D","f")</f>
        <v>#NAME?</v>
      </c>
      <c r="S57" s="575" t="e">
        <f ca="1">_xll.qlInterpolationInterpolate(B3Minterpolation,R57,TRUE)</f>
        <v>#NAME?</v>
      </c>
      <c r="X57" s="563"/>
      <c r="Y57" s="563"/>
    </row>
    <row r="58" spans="5:25" ht="11.25" customHeight="1" x14ac:dyDescent="0.2">
      <c r="E58" s="564"/>
      <c r="F58" s="564"/>
      <c r="G58" s="563"/>
      <c r="K58" s="563"/>
      <c r="L58" s="563"/>
      <c r="R58" s="562" t="e">
        <f ca="1">_xll.qlCalendarAdvance(Calendar,R57,"1D","f")</f>
        <v>#NAME?</v>
      </c>
      <c r="S58" s="575" t="e">
        <f ca="1">_xll.qlInterpolationInterpolate(B3Minterpolation,R58,TRUE)</f>
        <v>#NAME?</v>
      </c>
      <c r="X58" s="563"/>
      <c r="Y58" s="563"/>
    </row>
    <row r="59" spans="5:25" ht="11.25" customHeight="1" x14ac:dyDescent="0.2">
      <c r="E59" s="564"/>
      <c r="F59" s="564"/>
      <c r="G59" s="563"/>
      <c r="K59" s="563"/>
      <c r="L59" s="563"/>
      <c r="R59" s="562" t="e">
        <f ca="1">_xll.qlCalendarAdvance(Calendar,R58,"1D","f")</f>
        <v>#NAME?</v>
      </c>
      <c r="S59" s="575" t="e">
        <f ca="1">_xll.qlInterpolationInterpolate(B3Minterpolation,R59,TRUE)</f>
        <v>#NAME?</v>
      </c>
      <c r="X59" s="563"/>
      <c r="Y59" s="563"/>
    </row>
    <row r="60" spans="5:25" ht="11.25" customHeight="1" x14ac:dyDescent="0.2">
      <c r="E60" s="564"/>
      <c r="F60" s="564"/>
      <c r="G60" s="563"/>
      <c r="K60" s="563"/>
      <c r="L60" s="563"/>
      <c r="R60" s="562" t="e">
        <f ca="1">_xll.qlCalendarAdvance(Calendar,R59,"1D","f")</f>
        <v>#NAME?</v>
      </c>
      <c r="S60" s="575" t="e">
        <f ca="1">_xll.qlInterpolationInterpolate(B3Minterpolation,R60,TRUE)</f>
        <v>#NAME?</v>
      </c>
      <c r="X60" s="563"/>
      <c r="Y60" s="563"/>
    </row>
    <row r="61" spans="5:25" ht="11.25" customHeight="1" x14ac:dyDescent="0.2">
      <c r="E61" s="564"/>
      <c r="F61" s="564"/>
      <c r="G61" s="563"/>
      <c r="K61" s="563"/>
      <c r="L61" s="563"/>
      <c r="R61" s="562" t="e">
        <f ca="1">_xll.qlCalendarAdvance(Calendar,R60,"1D","f")</f>
        <v>#NAME?</v>
      </c>
      <c r="S61" s="575" t="e">
        <f ca="1">_xll.qlInterpolationInterpolate(B3Minterpolation,R61,TRUE)</f>
        <v>#NAME?</v>
      </c>
      <c r="X61" s="563"/>
      <c r="Y61" s="563"/>
    </row>
    <row r="62" spans="5:25" ht="11.25" customHeight="1" x14ac:dyDescent="0.2">
      <c r="E62" s="564"/>
      <c r="F62" s="564"/>
      <c r="G62" s="563"/>
      <c r="K62" s="563"/>
      <c r="L62" s="563"/>
      <c r="R62" s="562" t="e">
        <f ca="1">_xll.qlCalendarAdvance(Calendar,R61,"1D","f")</f>
        <v>#NAME?</v>
      </c>
      <c r="S62" s="575" t="e">
        <f ca="1">_xll.qlInterpolationInterpolate(B3Minterpolation,R62,TRUE)</f>
        <v>#NAME?</v>
      </c>
      <c r="X62" s="563"/>
      <c r="Y62" s="563"/>
    </row>
    <row r="63" spans="5:25" ht="11.25" customHeight="1" x14ac:dyDescent="0.2">
      <c r="E63" s="564"/>
      <c r="F63" s="564"/>
      <c r="G63" s="563"/>
      <c r="K63" s="563"/>
      <c r="L63" s="563"/>
      <c r="R63" s="562" t="e">
        <f ca="1">_xll.qlCalendarAdvance(Calendar,R62,"1D","f")</f>
        <v>#NAME?</v>
      </c>
      <c r="S63" s="575" t="e">
        <f ca="1">_xll.qlInterpolationInterpolate(B3Minterpolation,R63,TRUE)</f>
        <v>#NAME?</v>
      </c>
      <c r="X63" s="563"/>
      <c r="Y63" s="563"/>
    </row>
    <row r="64" spans="5:25" ht="11.25" customHeight="1" x14ac:dyDescent="0.2">
      <c r="E64" s="564"/>
      <c r="F64" s="564"/>
      <c r="G64" s="563"/>
      <c r="K64" s="563"/>
      <c r="L64" s="563"/>
      <c r="R64" s="562" t="e">
        <f ca="1">_xll.qlCalendarAdvance(Calendar,R63,"1D","f")</f>
        <v>#NAME?</v>
      </c>
      <c r="S64" s="575" t="e">
        <f ca="1">_xll.qlInterpolationInterpolate(B3Minterpolation,R64,TRUE)</f>
        <v>#NAME?</v>
      </c>
      <c r="X64" s="563"/>
      <c r="Y64" s="563"/>
    </row>
    <row r="65" spans="5:25" ht="11.25" customHeight="1" x14ac:dyDescent="0.2">
      <c r="E65" s="564"/>
      <c r="F65" s="564"/>
      <c r="G65" s="563"/>
      <c r="K65" s="563"/>
      <c r="L65" s="563"/>
      <c r="R65" s="562" t="e">
        <f ca="1">_xll.qlCalendarAdvance(Calendar,R64,"1D","f")</f>
        <v>#NAME?</v>
      </c>
      <c r="S65" s="575" t="e">
        <f ca="1">_xll.qlInterpolationInterpolate(B3Minterpolation,R65,TRUE)</f>
        <v>#NAME?</v>
      </c>
      <c r="X65" s="563"/>
      <c r="Y65" s="563"/>
    </row>
    <row r="66" spans="5:25" ht="11.25" customHeight="1" x14ac:dyDescent="0.2">
      <c r="E66" s="564"/>
      <c r="F66" s="564"/>
      <c r="G66" s="563"/>
      <c r="K66" s="563"/>
      <c r="L66" s="563"/>
      <c r="R66" s="562" t="e">
        <f ca="1">_xll.qlCalendarAdvance(Calendar,R65,"1D","f")</f>
        <v>#NAME?</v>
      </c>
      <c r="S66" s="575" t="e">
        <f ca="1">_xll.qlInterpolationInterpolate(B3Minterpolation,R66,TRUE)</f>
        <v>#NAME?</v>
      </c>
      <c r="X66" s="563"/>
      <c r="Y66" s="563"/>
    </row>
    <row r="67" spans="5:25" ht="11.25" customHeight="1" x14ac:dyDescent="0.2">
      <c r="E67" s="564"/>
      <c r="F67" s="564"/>
      <c r="G67" s="563"/>
      <c r="K67" s="563"/>
      <c r="L67" s="563"/>
      <c r="R67" s="562" t="e">
        <f ca="1">_xll.qlCalendarAdvance(Calendar,R66,"1D","f")</f>
        <v>#NAME?</v>
      </c>
      <c r="S67" s="575" t="e">
        <f ca="1">_xll.qlInterpolationInterpolate(B3Minterpolation,R67,TRUE)</f>
        <v>#NAME?</v>
      </c>
      <c r="X67" s="563"/>
      <c r="Y67" s="563"/>
    </row>
    <row r="68" spans="5:25" ht="11.25" customHeight="1" x14ac:dyDescent="0.2">
      <c r="E68" s="564"/>
      <c r="F68" s="564"/>
      <c r="G68" s="563"/>
      <c r="K68" s="563"/>
      <c r="L68" s="563"/>
      <c r="R68" s="562" t="e">
        <f ca="1">_xll.qlCalendarAdvance(Calendar,R67,"1D","f")</f>
        <v>#NAME?</v>
      </c>
      <c r="S68" s="575" t="e">
        <f ca="1">_xll.qlInterpolationInterpolate(B3Minterpolation,R68,TRUE)</f>
        <v>#NAME?</v>
      </c>
      <c r="X68" s="563"/>
      <c r="Y68" s="563"/>
    </row>
    <row r="69" spans="5:25" ht="11.25" customHeight="1" x14ac:dyDescent="0.2">
      <c r="E69" s="564"/>
      <c r="F69" s="564"/>
      <c r="G69" s="563"/>
      <c r="K69" s="563"/>
      <c r="L69" s="563"/>
      <c r="R69" s="562" t="e">
        <f ca="1">_xll.qlCalendarAdvance(Calendar,R68,"1D","f")</f>
        <v>#NAME?</v>
      </c>
      <c r="S69" s="575" t="e">
        <f ca="1">_xll.qlInterpolationInterpolate(B3Minterpolation,R69,TRUE)</f>
        <v>#NAME?</v>
      </c>
      <c r="X69" s="563"/>
      <c r="Y69" s="563"/>
    </row>
    <row r="70" spans="5:25" ht="11.25" customHeight="1" x14ac:dyDescent="0.2">
      <c r="E70" s="564"/>
      <c r="F70" s="564"/>
      <c r="G70" s="563"/>
      <c r="K70" s="563"/>
      <c r="L70" s="563"/>
      <c r="R70" s="562" t="e">
        <f ca="1">_xll.qlCalendarAdvance(Calendar,R69,"1D","f")</f>
        <v>#NAME?</v>
      </c>
      <c r="S70" s="575" t="e">
        <f ca="1">_xll.qlInterpolationInterpolate(B3Minterpolation,R70,TRUE)</f>
        <v>#NAME?</v>
      </c>
      <c r="X70" s="563"/>
      <c r="Y70" s="563"/>
    </row>
    <row r="71" spans="5:25" ht="11.25" customHeight="1" x14ac:dyDescent="0.2">
      <c r="E71" s="564"/>
      <c r="F71" s="564"/>
      <c r="G71" s="563"/>
      <c r="K71" s="563"/>
      <c r="L71" s="563"/>
      <c r="R71" s="562" t="e">
        <f ca="1">_xll.qlCalendarAdvance(Calendar,R70,"1D","f")</f>
        <v>#NAME?</v>
      </c>
      <c r="S71" s="575" t="e">
        <f ca="1">_xll.qlInterpolationInterpolate(B3Minterpolation,R71,TRUE)</f>
        <v>#NAME?</v>
      </c>
      <c r="X71" s="563"/>
      <c r="Y71" s="563"/>
    </row>
    <row r="72" spans="5:25" ht="11.25" customHeight="1" x14ac:dyDescent="0.2">
      <c r="E72" s="564"/>
      <c r="F72" s="564"/>
      <c r="G72" s="563"/>
      <c r="K72" s="563"/>
      <c r="L72" s="563"/>
      <c r="R72" s="562" t="e">
        <f ca="1">_xll.qlCalendarAdvance(Calendar,R71,"1D","f")</f>
        <v>#NAME?</v>
      </c>
      <c r="S72" s="575" t="e">
        <f ca="1">_xll.qlInterpolationInterpolate(B3Minterpolation,R72,TRUE)</f>
        <v>#NAME?</v>
      </c>
      <c r="X72" s="563"/>
      <c r="Y72" s="563"/>
    </row>
    <row r="73" spans="5:25" ht="11.25" customHeight="1" x14ac:dyDescent="0.2">
      <c r="E73" s="564"/>
      <c r="F73" s="564"/>
      <c r="G73" s="563"/>
      <c r="K73" s="563"/>
      <c r="L73" s="563"/>
      <c r="R73" s="562" t="e">
        <f ca="1">_xll.qlCalendarAdvance(Calendar,R72,"1D","f")</f>
        <v>#NAME?</v>
      </c>
      <c r="S73" s="575" t="e">
        <f ca="1">_xll.qlInterpolationInterpolate(B3Minterpolation,R73,TRUE)</f>
        <v>#NAME?</v>
      </c>
      <c r="X73" s="563"/>
      <c r="Y73" s="563"/>
    </row>
    <row r="74" spans="5:25" ht="11.25" customHeight="1" x14ac:dyDescent="0.2">
      <c r="E74" s="564"/>
      <c r="F74" s="564"/>
      <c r="G74" s="563"/>
      <c r="K74" s="563"/>
      <c r="L74" s="563"/>
      <c r="R74" s="562" t="e">
        <f ca="1">_xll.qlCalendarAdvance(Calendar,R73,"1D","f")</f>
        <v>#NAME?</v>
      </c>
      <c r="S74" s="575" t="e">
        <f ca="1">_xll.qlInterpolationInterpolate(B3Minterpolation,R74,TRUE)</f>
        <v>#NAME?</v>
      </c>
      <c r="X74" s="563"/>
      <c r="Y74" s="563"/>
    </row>
    <row r="75" spans="5:25" ht="11.25" customHeight="1" x14ac:dyDescent="0.2">
      <c r="E75" s="564"/>
      <c r="F75" s="564"/>
      <c r="G75" s="563"/>
      <c r="K75" s="563"/>
      <c r="L75" s="563"/>
      <c r="R75" s="562" t="e">
        <f ca="1">_xll.qlCalendarAdvance(Calendar,R74,"1D","f")</f>
        <v>#NAME?</v>
      </c>
      <c r="S75" s="575" t="e">
        <f ca="1">_xll.qlInterpolationInterpolate(B3Minterpolation,R75,TRUE)</f>
        <v>#NAME?</v>
      </c>
      <c r="X75" s="563"/>
      <c r="Y75" s="563"/>
    </row>
    <row r="76" spans="5:25" ht="11.25" customHeight="1" x14ac:dyDescent="0.2">
      <c r="E76" s="564"/>
      <c r="F76" s="564"/>
      <c r="G76" s="563"/>
      <c r="K76" s="563"/>
      <c r="L76" s="563"/>
      <c r="R76" s="562" t="e">
        <f ca="1">_xll.qlCalendarAdvance(Calendar,R75,"1D","f")</f>
        <v>#NAME?</v>
      </c>
      <c r="S76" s="575" t="e">
        <f ca="1">_xll.qlInterpolationInterpolate(B3Minterpolation,R76,TRUE)</f>
        <v>#NAME?</v>
      </c>
      <c r="X76" s="563"/>
      <c r="Y76" s="563"/>
    </row>
    <row r="77" spans="5:25" ht="11.25" customHeight="1" x14ac:dyDescent="0.2">
      <c r="E77" s="564"/>
      <c r="F77" s="564"/>
      <c r="G77" s="563"/>
      <c r="K77" s="563"/>
      <c r="L77" s="563"/>
      <c r="R77" s="562" t="e">
        <f ca="1">_xll.qlCalendarAdvance(Calendar,R76,"1D","f")</f>
        <v>#NAME?</v>
      </c>
      <c r="S77" s="575" t="e">
        <f ca="1">_xll.qlInterpolationInterpolate(B3Minterpolation,R77,TRUE)</f>
        <v>#NAME?</v>
      </c>
      <c r="X77" s="563"/>
      <c r="Y77" s="563"/>
    </row>
    <row r="78" spans="5:25" ht="11.25" customHeight="1" x14ac:dyDescent="0.2">
      <c r="E78" s="564"/>
      <c r="F78" s="564"/>
      <c r="G78" s="563"/>
      <c r="K78" s="563"/>
      <c r="L78" s="563"/>
      <c r="R78" s="562" t="e">
        <f ca="1">_xll.qlCalendarAdvance(Calendar,R77,"1D","f")</f>
        <v>#NAME?</v>
      </c>
      <c r="S78" s="575" t="e">
        <f ca="1">_xll.qlInterpolationInterpolate(B3Minterpolation,R78,TRUE)</f>
        <v>#NAME?</v>
      </c>
      <c r="X78" s="563"/>
      <c r="Y78" s="563"/>
    </row>
    <row r="79" spans="5:25" ht="11.25" customHeight="1" x14ac:dyDescent="0.2">
      <c r="E79" s="564"/>
      <c r="F79" s="564"/>
      <c r="G79" s="563"/>
      <c r="K79" s="563"/>
      <c r="L79" s="563"/>
      <c r="R79" s="562" t="e">
        <f ca="1">_xll.qlCalendarAdvance(Calendar,R78,"1D","f")</f>
        <v>#NAME?</v>
      </c>
      <c r="S79" s="575" t="e">
        <f ca="1">_xll.qlInterpolationInterpolate(B3Minterpolation,R79,TRUE)</f>
        <v>#NAME?</v>
      </c>
      <c r="X79" s="563"/>
      <c r="Y79" s="563"/>
    </row>
    <row r="80" spans="5:25" ht="11.25" customHeight="1" x14ac:dyDescent="0.2">
      <c r="E80" s="564"/>
      <c r="F80" s="564"/>
      <c r="G80" s="563"/>
      <c r="K80" s="563"/>
      <c r="L80" s="563"/>
      <c r="R80" s="562" t="e">
        <f ca="1">_xll.qlCalendarAdvance(Calendar,R79,"1D","f")</f>
        <v>#NAME?</v>
      </c>
      <c r="S80" s="575" t="e">
        <f ca="1">_xll.qlInterpolationInterpolate(B3Minterpolation,R80,TRUE)</f>
        <v>#NAME?</v>
      </c>
      <c r="X80" s="563"/>
      <c r="Y80" s="563"/>
    </row>
    <row r="81" spans="5:25" ht="11.25" customHeight="1" x14ac:dyDescent="0.2">
      <c r="E81" s="564"/>
      <c r="F81" s="564"/>
      <c r="G81" s="563"/>
      <c r="K81" s="563"/>
      <c r="L81" s="563"/>
      <c r="R81" s="562" t="e">
        <f ca="1">_xll.qlCalendarAdvance(Calendar,R80,"1D","f")</f>
        <v>#NAME?</v>
      </c>
      <c r="S81" s="575" t="e">
        <f ca="1">_xll.qlInterpolationInterpolate(B3Minterpolation,R81,TRUE)</f>
        <v>#NAME?</v>
      </c>
      <c r="X81" s="563"/>
      <c r="Y81" s="563"/>
    </row>
    <row r="82" spans="5:25" ht="11.25" customHeight="1" x14ac:dyDescent="0.2">
      <c r="E82" s="564"/>
      <c r="F82" s="564"/>
      <c r="G82" s="563"/>
      <c r="K82" s="563"/>
      <c r="L82" s="563"/>
      <c r="R82" s="562" t="e">
        <f ca="1">_xll.qlCalendarAdvance(Calendar,R81,"1D","f")</f>
        <v>#NAME?</v>
      </c>
      <c r="S82" s="575" t="e">
        <f ca="1">_xll.qlInterpolationInterpolate(B3Minterpolation,R82,TRUE)</f>
        <v>#NAME?</v>
      </c>
      <c r="X82" s="563"/>
      <c r="Y82" s="563"/>
    </row>
    <row r="83" spans="5:25" ht="11.25" customHeight="1" x14ac:dyDescent="0.2">
      <c r="E83" s="564"/>
      <c r="F83" s="564"/>
      <c r="G83" s="563"/>
      <c r="K83" s="563"/>
      <c r="L83" s="563"/>
      <c r="R83" s="562" t="e">
        <f ca="1">_xll.qlCalendarAdvance(Calendar,R82,"1D","f")</f>
        <v>#NAME?</v>
      </c>
      <c r="S83" s="575" t="e">
        <f ca="1">_xll.qlInterpolationInterpolate(B3Minterpolation,R83,TRUE)</f>
        <v>#NAME?</v>
      </c>
      <c r="X83" s="563"/>
      <c r="Y83" s="563"/>
    </row>
    <row r="84" spans="5:25" ht="11.25" customHeight="1" x14ac:dyDescent="0.2">
      <c r="E84" s="564"/>
      <c r="F84" s="564"/>
      <c r="G84" s="563"/>
      <c r="K84" s="563"/>
      <c r="L84" s="563"/>
      <c r="R84" s="562" t="e">
        <f ca="1">_xll.qlCalendarAdvance(Calendar,R83,"1D","f")</f>
        <v>#NAME?</v>
      </c>
      <c r="S84" s="575" t="e">
        <f ca="1">_xll.qlInterpolationInterpolate(B3Minterpolation,R84,TRUE)</f>
        <v>#NAME?</v>
      </c>
      <c r="X84" s="563"/>
      <c r="Y84" s="563"/>
    </row>
    <row r="85" spans="5:25" ht="11.25" customHeight="1" x14ac:dyDescent="0.2">
      <c r="E85" s="564"/>
      <c r="F85" s="564"/>
      <c r="G85" s="563"/>
      <c r="K85" s="563"/>
      <c r="L85" s="563"/>
      <c r="R85" s="562" t="e">
        <f ca="1">_xll.qlCalendarAdvance(Calendar,R84,"1D","f")</f>
        <v>#NAME?</v>
      </c>
      <c r="S85" s="575" t="e">
        <f ca="1">_xll.qlInterpolationInterpolate(B3Minterpolation,R85,TRUE)</f>
        <v>#NAME?</v>
      </c>
      <c r="X85" s="563"/>
      <c r="Y85" s="563"/>
    </row>
    <row r="86" spans="5:25" ht="11.25" customHeight="1" x14ac:dyDescent="0.2">
      <c r="E86" s="564"/>
      <c r="F86" s="564"/>
      <c r="G86" s="563"/>
      <c r="K86" s="563"/>
      <c r="L86" s="563"/>
      <c r="R86" s="562" t="e">
        <f ca="1">_xll.qlCalendarAdvance(Calendar,R85,"1D","f")</f>
        <v>#NAME?</v>
      </c>
      <c r="S86" s="575" t="e">
        <f ca="1">_xll.qlInterpolationInterpolate(B3Minterpolation,R86,TRUE)</f>
        <v>#NAME?</v>
      </c>
      <c r="X86" s="563"/>
      <c r="Y86" s="563"/>
    </row>
    <row r="87" spans="5:25" ht="11.25" customHeight="1" x14ac:dyDescent="0.2">
      <c r="E87" s="564"/>
      <c r="F87" s="564"/>
      <c r="G87" s="563"/>
      <c r="K87" s="563"/>
      <c r="L87" s="563"/>
      <c r="R87" s="562" t="e">
        <f ca="1">_xll.qlCalendarAdvance(Calendar,R86,"1D","f")</f>
        <v>#NAME?</v>
      </c>
      <c r="S87" s="575" t="e">
        <f ca="1">_xll.qlInterpolationInterpolate(B3Minterpolation,R87,TRUE)</f>
        <v>#NAME?</v>
      </c>
      <c r="X87" s="563"/>
      <c r="Y87" s="563"/>
    </row>
    <row r="88" spans="5:25" ht="11.25" customHeight="1" x14ac:dyDescent="0.2">
      <c r="E88" s="564"/>
      <c r="F88" s="564"/>
      <c r="G88" s="563"/>
      <c r="K88" s="563"/>
      <c r="L88" s="563"/>
      <c r="R88" s="562" t="e">
        <f ca="1">_xll.qlCalendarAdvance(Calendar,R87,"1D","f")</f>
        <v>#NAME?</v>
      </c>
      <c r="S88" s="575" t="e">
        <f ca="1">_xll.qlInterpolationInterpolate(B3Minterpolation,R88,TRUE)</f>
        <v>#NAME?</v>
      </c>
      <c r="X88" s="563"/>
      <c r="Y88" s="563"/>
    </row>
    <row r="89" spans="5:25" ht="11.25" customHeight="1" x14ac:dyDescent="0.2">
      <c r="E89" s="564"/>
      <c r="F89" s="564"/>
      <c r="G89" s="563"/>
      <c r="K89" s="563"/>
      <c r="L89" s="563"/>
      <c r="R89" s="562" t="e">
        <f ca="1">_xll.qlCalendarAdvance(Calendar,R88,"1D","f")</f>
        <v>#NAME?</v>
      </c>
      <c r="S89" s="575" t="e">
        <f ca="1">_xll.qlInterpolationInterpolate(B3Minterpolation,R89,TRUE)</f>
        <v>#NAME?</v>
      </c>
      <c r="X89" s="563"/>
      <c r="Y89" s="563"/>
    </row>
    <row r="90" spans="5:25" ht="11.25" customHeight="1" x14ac:dyDescent="0.2">
      <c r="E90" s="564"/>
      <c r="F90" s="564"/>
      <c r="G90" s="563"/>
      <c r="K90" s="563"/>
      <c r="L90" s="563"/>
      <c r="R90" s="562" t="e">
        <f ca="1">_xll.qlCalendarAdvance(Calendar,R89,"1D","f")</f>
        <v>#NAME?</v>
      </c>
      <c r="S90" s="575" t="e">
        <f ca="1">_xll.qlInterpolationInterpolate(B3Minterpolation,R90,TRUE)</f>
        <v>#NAME?</v>
      </c>
      <c r="X90" s="563"/>
      <c r="Y90" s="563"/>
    </row>
    <row r="91" spans="5:25" ht="11.25" customHeight="1" x14ac:dyDescent="0.2">
      <c r="E91" s="564"/>
      <c r="F91" s="564"/>
      <c r="G91" s="563"/>
      <c r="K91" s="563"/>
      <c r="L91" s="563"/>
      <c r="R91" s="562" t="e">
        <f ca="1">_xll.qlCalendarAdvance(Calendar,R90,"1D","f")</f>
        <v>#NAME?</v>
      </c>
      <c r="S91" s="575" t="e">
        <f ca="1">_xll.qlInterpolationInterpolate(B3Minterpolation,R91,TRUE)</f>
        <v>#NAME?</v>
      </c>
      <c r="X91" s="563"/>
      <c r="Y91" s="563"/>
    </row>
    <row r="92" spans="5:25" ht="11.25" customHeight="1" x14ac:dyDescent="0.2">
      <c r="E92" s="564"/>
      <c r="F92" s="564"/>
      <c r="G92" s="563"/>
      <c r="K92" s="563"/>
      <c r="L92" s="563"/>
      <c r="R92" s="562" t="e">
        <f ca="1">_xll.qlCalendarAdvance(Calendar,R91,"1D","f")</f>
        <v>#NAME?</v>
      </c>
      <c r="S92" s="575" t="e">
        <f ca="1">_xll.qlInterpolationInterpolate(B3Minterpolation,R92,TRUE)</f>
        <v>#NAME?</v>
      </c>
      <c r="X92" s="563"/>
      <c r="Y92" s="563"/>
    </row>
    <row r="93" spans="5:25" ht="11.25" customHeight="1" x14ac:dyDescent="0.2">
      <c r="E93" s="564"/>
      <c r="F93" s="564"/>
      <c r="G93" s="563"/>
      <c r="K93" s="563"/>
      <c r="L93" s="563"/>
      <c r="R93" s="562" t="e">
        <f ca="1">_xll.qlCalendarAdvance(Calendar,R92,"1D","f")</f>
        <v>#NAME?</v>
      </c>
      <c r="S93" s="575" t="e">
        <f ca="1">_xll.qlInterpolationInterpolate(B3Minterpolation,R93,TRUE)</f>
        <v>#NAME?</v>
      </c>
      <c r="X93" s="563"/>
      <c r="Y93" s="563"/>
    </row>
    <row r="94" spans="5:25" ht="11.25" customHeight="1" x14ac:dyDescent="0.2">
      <c r="E94" s="564"/>
      <c r="F94" s="564"/>
      <c r="G94" s="563"/>
      <c r="K94" s="563"/>
      <c r="L94" s="563"/>
      <c r="R94" s="562" t="e">
        <f ca="1">_xll.qlCalendarAdvance(Calendar,R93,"1D","f")</f>
        <v>#NAME?</v>
      </c>
      <c r="S94" s="575" t="e">
        <f ca="1">_xll.qlInterpolationInterpolate(B3Minterpolation,R94,TRUE)</f>
        <v>#NAME?</v>
      </c>
      <c r="X94" s="563"/>
      <c r="Y94" s="563"/>
    </row>
    <row r="95" spans="5:25" ht="11.25" customHeight="1" x14ac:dyDescent="0.2">
      <c r="E95" s="564"/>
      <c r="F95" s="564"/>
      <c r="G95" s="563"/>
      <c r="K95" s="563"/>
      <c r="L95" s="563"/>
      <c r="R95" s="562" t="e">
        <f ca="1">_xll.qlCalendarAdvance(Calendar,R94,"1D","f")</f>
        <v>#NAME?</v>
      </c>
      <c r="S95" s="575" t="e">
        <f ca="1">_xll.qlInterpolationInterpolate(B3Minterpolation,R95,TRUE)</f>
        <v>#NAME?</v>
      </c>
      <c r="X95" s="563"/>
      <c r="Y95" s="563"/>
    </row>
    <row r="96" spans="5:25" ht="11.25" customHeight="1" x14ac:dyDescent="0.2">
      <c r="E96" s="564"/>
      <c r="F96" s="564"/>
      <c r="G96" s="563"/>
      <c r="K96" s="563"/>
      <c r="L96" s="563"/>
      <c r="R96" s="562" t="e">
        <f ca="1">_xll.qlCalendarAdvance(Calendar,R95,"1D","f")</f>
        <v>#NAME?</v>
      </c>
      <c r="S96" s="575" t="e">
        <f ca="1">_xll.qlInterpolationInterpolate(B3Minterpolation,R96,TRUE)</f>
        <v>#NAME?</v>
      </c>
      <c r="X96" s="563"/>
      <c r="Y96" s="563"/>
    </row>
    <row r="97" spans="5:25" ht="11.25" customHeight="1" x14ac:dyDescent="0.2">
      <c r="E97" s="564"/>
      <c r="F97" s="564"/>
      <c r="G97" s="563"/>
      <c r="K97" s="563"/>
      <c r="L97" s="563"/>
      <c r="R97" s="562" t="e">
        <f ca="1">_xll.qlCalendarAdvance(Calendar,R96,"1D","f")</f>
        <v>#NAME?</v>
      </c>
      <c r="S97" s="575" t="e">
        <f ca="1">_xll.qlInterpolationInterpolate(B3Minterpolation,R97,TRUE)</f>
        <v>#NAME?</v>
      </c>
      <c r="X97" s="563"/>
      <c r="Y97" s="563"/>
    </row>
    <row r="98" spans="5:25" ht="11.25" customHeight="1" x14ac:dyDescent="0.2">
      <c r="E98" s="564"/>
      <c r="F98" s="564"/>
      <c r="G98" s="563"/>
      <c r="K98" s="563"/>
      <c r="L98" s="563"/>
      <c r="R98" s="562" t="e">
        <f ca="1">_xll.qlCalendarAdvance(Calendar,R97,"1D","f")</f>
        <v>#NAME?</v>
      </c>
      <c r="S98" s="575" t="e">
        <f ca="1">_xll.qlInterpolationInterpolate(B3Minterpolation,R98,TRUE)</f>
        <v>#NAME?</v>
      </c>
      <c r="X98" s="563"/>
      <c r="Y98" s="563"/>
    </row>
    <row r="99" spans="5:25" ht="11.25" customHeight="1" x14ac:dyDescent="0.2">
      <c r="E99" s="564"/>
      <c r="F99" s="564"/>
      <c r="G99" s="563"/>
      <c r="K99" s="563"/>
      <c r="L99" s="563"/>
      <c r="R99" s="562" t="e">
        <f ca="1">_xll.qlCalendarAdvance(Calendar,R98,"1D","f")</f>
        <v>#NAME?</v>
      </c>
      <c r="S99" s="575" t="e">
        <f ca="1">_xll.qlInterpolationInterpolate(B3Minterpolation,R99,TRUE)</f>
        <v>#NAME?</v>
      </c>
      <c r="X99" s="563"/>
      <c r="Y99" s="563"/>
    </row>
    <row r="100" spans="5:25" ht="11.25" customHeight="1" x14ac:dyDescent="0.2">
      <c r="E100" s="564"/>
      <c r="F100" s="564"/>
      <c r="G100" s="563"/>
      <c r="K100" s="563"/>
      <c r="L100" s="563"/>
      <c r="R100" s="562" t="e">
        <f ca="1">_xll.qlCalendarAdvance(Calendar,R99,"1D","f")</f>
        <v>#NAME?</v>
      </c>
      <c r="S100" s="575" t="e">
        <f ca="1">_xll.qlInterpolationInterpolate(B3Minterpolation,R100,TRUE)</f>
        <v>#NAME?</v>
      </c>
      <c r="X100" s="563"/>
      <c r="Y100" s="563"/>
    </row>
    <row r="101" spans="5:25" ht="11.25" customHeight="1" x14ac:dyDescent="0.2">
      <c r="E101" s="564"/>
      <c r="F101" s="564"/>
      <c r="G101" s="563"/>
      <c r="K101" s="563"/>
      <c r="L101" s="563"/>
      <c r="R101" s="562" t="e">
        <f ca="1">_xll.qlCalendarAdvance(Calendar,R100,"1D","f")</f>
        <v>#NAME?</v>
      </c>
      <c r="S101" s="575" t="e">
        <f ca="1">_xll.qlInterpolationInterpolate(B3Minterpolation,R101,TRUE)</f>
        <v>#NAME?</v>
      </c>
      <c r="X101" s="563"/>
      <c r="Y101" s="563"/>
    </row>
    <row r="102" spans="5:25" ht="11.25" customHeight="1" x14ac:dyDescent="0.2">
      <c r="E102" s="564"/>
      <c r="F102" s="564"/>
      <c r="G102" s="563"/>
      <c r="K102" s="563"/>
      <c r="L102" s="563"/>
      <c r="R102" s="562" t="e">
        <f ca="1">_xll.qlCalendarAdvance(Calendar,R101,"1D","f")</f>
        <v>#NAME?</v>
      </c>
      <c r="S102" s="575" t="e">
        <f ca="1">_xll.qlInterpolationInterpolate(B3Minterpolation,R102,TRUE)</f>
        <v>#NAME?</v>
      </c>
      <c r="X102" s="563"/>
      <c r="Y102" s="563"/>
    </row>
    <row r="103" spans="5:25" ht="11.25" customHeight="1" x14ac:dyDescent="0.2">
      <c r="E103" s="564"/>
      <c r="F103" s="564"/>
      <c r="G103" s="563"/>
      <c r="K103" s="563"/>
      <c r="L103" s="563"/>
      <c r="R103" s="562" t="e">
        <f ca="1">_xll.qlCalendarAdvance(Calendar,R102,"1D","f")</f>
        <v>#NAME?</v>
      </c>
      <c r="S103" s="575" t="e">
        <f ca="1">_xll.qlInterpolationInterpolate(B3Minterpolation,R103,TRUE)</f>
        <v>#NAME?</v>
      </c>
      <c r="X103" s="563"/>
      <c r="Y103" s="563"/>
    </row>
    <row r="104" spans="5:25" ht="11.25" customHeight="1" x14ac:dyDescent="0.2">
      <c r="E104" s="564"/>
      <c r="F104" s="564"/>
      <c r="G104" s="563"/>
      <c r="K104" s="563"/>
      <c r="L104" s="563"/>
      <c r="R104" s="562" t="e">
        <f ca="1">_xll.qlCalendarAdvance(Calendar,R103,"1D","f")</f>
        <v>#NAME?</v>
      </c>
      <c r="S104" s="575" t="e">
        <f ca="1">_xll.qlInterpolationInterpolate(B3Minterpolation,R104,TRUE)</f>
        <v>#NAME?</v>
      </c>
      <c r="X104" s="563"/>
      <c r="Y104" s="563"/>
    </row>
    <row r="105" spans="5:25" ht="11.25" customHeight="1" x14ac:dyDescent="0.2">
      <c r="E105" s="564"/>
      <c r="F105" s="564"/>
      <c r="G105" s="563"/>
      <c r="K105" s="563"/>
      <c r="L105" s="563"/>
      <c r="R105" s="562" t="e">
        <f ca="1">_xll.qlCalendarAdvance(Calendar,R104,"1D","f")</f>
        <v>#NAME?</v>
      </c>
      <c r="S105" s="575" t="e">
        <f ca="1">_xll.qlInterpolationInterpolate(B3Minterpolation,R105,TRUE)</f>
        <v>#NAME?</v>
      </c>
      <c r="X105" s="563"/>
      <c r="Y105" s="563"/>
    </row>
    <row r="106" spans="5:25" ht="11.25" customHeight="1" x14ac:dyDescent="0.2">
      <c r="E106" s="564"/>
      <c r="F106" s="564"/>
      <c r="G106" s="563"/>
      <c r="K106" s="563"/>
      <c r="L106" s="563"/>
      <c r="R106" s="562" t="e">
        <f ca="1">_xll.qlCalendarAdvance(Calendar,R105,"1D","f")</f>
        <v>#NAME?</v>
      </c>
      <c r="S106" s="575" t="e">
        <f ca="1">_xll.qlInterpolationInterpolate(B3Minterpolation,R106,TRUE)</f>
        <v>#NAME?</v>
      </c>
      <c r="X106" s="563"/>
      <c r="Y106" s="563"/>
    </row>
    <row r="107" spans="5:25" ht="11.25" customHeight="1" x14ac:dyDescent="0.2">
      <c r="E107" s="564"/>
      <c r="F107" s="564"/>
      <c r="G107" s="563"/>
      <c r="K107" s="563"/>
      <c r="L107" s="563"/>
      <c r="R107" s="562" t="e">
        <f ca="1">_xll.qlCalendarAdvance(Calendar,R106,"1D","f")</f>
        <v>#NAME?</v>
      </c>
      <c r="S107" s="575" t="e">
        <f ca="1">_xll.qlInterpolationInterpolate(B3Minterpolation,R107,TRUE)</f>
        <v>#NAME?</v>
      </c>
      <c r="X107" s="563"/>
      <c r="Y107" s="563"/>
    </row>
    <row r="108" spans="5:25" ht="11.25" customHeight="1" x14ac:dyDescent="0.2">
      <c r="E108" s="564"/>
      <c r="F108" s="564"/>
      <c r="G108" s="563"/>
      <c r="K108" s="563"/>
      <c r="L108" s="563"/>
      <c r="R108" s="562" t="e">
        <f ca="1">_xll.qlCalendarAdvance(Calendar,R107,"1D","f")</f>
        <v>#NAME?</v>
      </c>
      <c r="S108" s="575" t="e">
        <f ca="1">_xll.qlInterpolationInterpolate(B3Minterpolation,R108,TRUE)</f>
        <v>#NAME?</v>
      </c>
      <c r="X108" s="563"/>
      <c r="Y108" s="563"/>
    </row>
    <row r="109" spans="5:25" ht="11.25" customHeight="1" x14ac:dyDescent="0.2">
      <c r="E109" s="564"/>
      <c r="F109" s="564"/>
      <c r="G109" s="563"/>
      <c r="K109" s="563"/>
      <c r="L109" s="563"/>
      <c r="R109" s="562" t="e">
        <f ca="1">_xll.qlCalendarAdvance(Calendar,R108,"1D","f")</f>
        <v>#NAME?</v>
      </c>
      <c r="S109" s="575" t="e">
        <f ca="1">_xll.qlInterpolationInterpolate(B3Minterpolation,R109,TRUE)</f>
        <v>#NAME?</v>
      </c>
      <c r="X109" s="563"/>
      <c r="Y109" s="563"/>
    </row>
    <row r="110" spans="5:25" ht="11.25" customHeight="1" x14ac:dyDescent="0.2">
      <c r="E110" s="564"/>
      <c r="F110" s="564"/>
      <c r="G110" s="563"/>
      <c r="K110" s="563"/>
      <c r="L110" s="563"/>
      <c r="R110" s="562" t="e">
        <f ca="1">_xll.qlCalendarAdvance(Calendar,R109,"1D","f")</f>
        <v>#NAME?</v>
      </c>
      <c r="S110" s="575" t="e">
        <f ca="1">_xll.qlInterpolationInterpolate(B3Minterpolation,R110,TRUE)</f>
        <v>#NAME?</v>
      </c>
      <c r="X110" s="563"/>
      <c r="Y110" s="563"/>
    </row>
    <row r="111" spans="5:25" ht="11.25" customHeight="1" x14ac:dyDescent="0.2">
      <c r="E111" s="564"/>
      <c r="F111" s="564"/>
      <c r="G111" s="563"/>
      <c r="K111" s="563"/>
      <c r="L111" s="563"/>
      <c r="R111" s="562" t="e">
        <f ca="1">_xll.qlCalendarAdvance(Calendar,R110,"1D","f")</f>
        <v>#NAME?</v>
      </c>
      <c r="S111" s="575" t="e">
        <f ca="1">_xll.qlInterpolationInterpolate(B3Minterpolation,R111,TRUE)</f>
        <v>#NAME?</v>
      </c>
      <c r="X111" s="563"/>
      <c r="Y111" s="563"/>
    </row>
    <row r="112" spans="5:25" ht="11.25" customHeight="1" x14ac:dyDescent="0.2">
      <c r="E112" s="564"/>
      <c r="F112" s="564"/>
      <c r="G112" s="563"/>
      <c r="K112" s="563"/>
      <c r="L112" s="563"/>
      <c r="R112" s="562" t="e">
        <f ca="1">_xll.qlCalendarAdvance(Calendar,R111,"1D","f")</f>
        <v>#NAME?</v>
      </c>
      <c r="S112" s="575" t="e">
        <f ca="1">_xll.qlInterpolationInterpolate(B3Minterpolation,R112,TRUE)</f>
        <v>#NAME?</v>
      </c>
      <c r="X112" s="563"/>
      <c r="Y112" s="563"/>
    </row>
    <row r="113" spans="5:25" ht="11.25" customHeight="1" x14ac:dyDescent="0.2">
      <c r="E113" s="564"/>
      <c r="F113" s="564"/>
      <c r="G113" s="563"/>
      <c r="K113" s="563"/>
      <c r="L113" s="563"/>
      <c r="R113" s="562" t="e">
        <f ca="1">_xll.qlCalendarAdvance(Calendar,R112,"1D","f")</f>
        <v>#NAME?</v>
      </c>
      <c r="S113" s="575" t="e">
        <f ca="1">_xll.qlInterpolationInterpolate(B3Minterpolation,R113,TRUE)</f>
        <v>#NAME?</v>
      </c>
      <c r="X113" s="563"/>
      <c r="Y113" s="563"/>
    </row>
    <row r="114" spans="5:25" ht="11.25" customHeight="1" x14ac:dyDescent="0.2">
      <c r="E114" s="564"/>
      <c r="F114" s="564"/>
      <c r="G114" s="563"/>
      <c r="K114" s="563"/>
      <c r="L114" s="563"/>
      <c r="R114" s="562" t="e">
        <f ca="1">_xll.qlCalendarAdvance(Calendar,R113,"1D","f")</f>
        <v>#NAME?</v>
      </c>
      <c r="S114" s="575" t="e">
        <f ca="1">_xll.qlInterpolationInterpolate(B3Minterpolation,R114,TRUE)</f>
        <v>#NAME?</v>
      </c>
      <c r="X114" s="563"/>
      <c r="Y114" s="563"/>
    </row>
    <row r="115" spans="5:25" ht="11.25" customHeight="1" x14ac:dyDescent="0.2">
      <c r="E115" s="564"/>
      <c r="F115" s="564"/>
      <c r="G115" s="563"/>
      <c r="K115" s="563"/>
      <c r="L115" s="563"/>
      <c r="R115" s="562" t="e">
        <f ca="1">_xll.qlCalendarAdvance(Calendar,R114,"1D","f")</f>
        <v>#NAME?</v>
      </c>
      <c r="S115" s="575" t="e">
        <f ca="1">_xll.qlInterpolationInterpolate(B3Minterpolation,R115,TRUE)</f>
        <v>#NAME?</v>
      </c>
      <c r="X115" s="563"/>
      <c r="Y115" s="563"/>
    </row>
    <row r="116" spans="5:25" ht="11.25" customHeight="1" x14ac:dyDescent="0.2">
      <c r="E116" s="564"/>
      <c r="F116" s="564"/>
      <c r="G116" s="563"/>
      <c r="K116" s="563"/>
      <c r="L116" s="563"/>
      <c r="R116" s="562" t="e">
        <f ca="1">_xll.qlCalendarAdvance(Calendar,R115,"1D","f")</f>
        <v>#NAME?</v>
      </c>
      <c r="S116" s="575" t="e">
        <f ca="1">_xll.qlInterpolationInterpolate(B3Minterpolation,R116,TRUE)</f>
        <v>#NAME?</v>
      </c>
      <c r="X116" s="563"/>
      <c r="Y116" s="563"/>
    </row>
    <row r="117" spans="5:25" ht="11.25" customHeight="1" x14ac:dyDescent="0.2">
      <c r="E117" s="564"/>
      <c r="F117" s="564"/>
      <c r="G117" s="563"/>
      <c r="K117" s="563"/>
      <c r="L117" s="563"/>
      <c r="R117" s="562" t="e">
        <f ca="1">_xll.qlCalendarAdvance(Calendar,R116,"1D","f")</f>
        <v>#NAME?</v>
      </c>
      <c r="S117" s="575" t="e">
        <f ca="1">_xll.qlInterpolationInterpolate(B3Minterpolation,R117,TRUE)</f>
        <v>#NAME?</v>
      </c>
      <c r="X117" s="563"/>
      <c r="Y117" s="563"/>
    </row>
    <row r="118" spans="5:25" ht="11.25" customHeight="1" x14ac:dyDescent="0.2">
      <c r="E118" s="564"/>
      <c r="F118" s="564"/>
      <c r="G118" s="563"/>
      <c r="K118" s="563"/>
      <c r="L118" s="563"/>
      <c r="R118" s="562" t="e">
        <f ca="1">_xll.qlCalendarAdvance(Calendar,R117,"1D","f")</f>
        <v>#NAME?</v>
      </c>
      <c r="S118" s="575" t="e">
        <f ca="1">_xll.qlInterpolationInterpolate(B3Minterpolation,R118,TRUE)</f>
        <v>#NAME?</v>
      </c>
      <c r="X118" s="563"/>
      <c r="Y118" s="563"/>
    </row>
    <row r="119" spans="5:25" ht="11.25" customHeight="1" x14ac:dyDescent="0.2">
      <c r="E119" s="564"/>
      <c r="F119" s="564"/>
      <c r="G119" s="563"/>
      <c r="K119" s="563"/>
      <c r="L119" s="563"/>
      <c r="R119" s="562" t="e">
        <f ca="1">_xll.qlCalendarAdvance(Calendar,R118,"1D","f")</f>
        <v>#NAME?</v>
      </c>
      <c r="S119" s="575" t="e">
        <f ca="1">_xll.qlInterpolationInterpolate(B3Minterpolation,R119,TRUE)</f>
        <v>#NAME?</v>
      </c>
      <c r="X119" s="563"/>
      <c r="Y119" s="563"/>
    </row>
    <row r="120" spans="5:25" ht="11.25" customHeight="1" x14ac:dyDescent="0.2">
      <c r="E120" s="564"/>
      <c r="F120" s="564"/>
      <c r="G120" s="563"/>
      <c r="K120" s="563"/>
      <c r="L120" s="563"/>
      <c r="R120" s="562" t="e">
        <f ca="1">_xll.qlCalendarAdvance(Calendar,R119,"1D","f")</f>
        <v>#NAME?</v>
      </c>
      <c r="S120" s="575" t="e">
        <f ca="1">_xll.qlInterpolationInterpolate(B3Minterpolation,R120,TRUE)</f>
        <v>#NAME?</v>
      </c>
      <c r="X120" s="563"/>
      <c r="Y120" s="563"/>
    </row>
    <row r="121" spans="5:25" ht="11.25" customHeight="1" x14ac:dyDescent="0.2">
      <c r="E121" s="564"/>
      <c r="F121" s="564"/>
      <c r="G121" s="563"/>
      <c r="K121" s="563"/>
      <c r="L121" s="563"/>
      <c r="R121" s="562" t="e">
        <f ca="1">_xll.qlCalendarAdvance(Calendar,R120,"1D","f")</f>
        <v>#NAME?</v>
      </c>
      <c r="S121" s="575" t="e">
        <f ca="1">_xll.qlInterpolationInterpolate(B3Minterpolation,R121,TRUE)</f>
        <v>#NAME?</v>
      </c>
      <c r="X121" s="563"/>
      <c r="Y121" s="563"/>
    </row>
    <row r="122" spans="5:25" ht="11.25" customHeight="1" x14ac:dyDescent="0.2">
      <c r="E122" s="564"/>
      <c r="F122" s="564"/>
      <c r="G122" s="563"/>
      <c r="K122" s="563"/>
      <c r="L122" s="563"/>
      <c r="R122" s="562" t="e">
        <f ca="1">_xll.qlCalendarAdvance(Calendar,R121,"1D","f")</f>
        <v>#NAME?</v>
      </c>
      <c r="S122" s="575" t="e">
        <f ca="1">_xll.qlInterpolationInterpolate(B3Minterpolation,R122,TRUE)</f>
        <v>#NAME?</v>
      </c>
      <c r="X122" s="563"/>
      <c r="Y122" s="563"/>
    </row>
    <row r="123" spans="5:25" ht="11.25" customHeight="1" x14ac:dyDescent="0.2">
      <c r="E123" s="564"/>
      <c r="F123" s="564"/>
      <c r="G123" s="563"/>
      <c r="K123" s="563"/>
      <c r="L123" s="563"/>
      <c r="R123" s="562" t="e">
        <f ca="1">_xll.qlCalendarAdvance(Calendar,R122,"1D","f")</f>
        <v>#NAME?</v>
      </c>
      <c r="S123" s="575" t="e">
        <f ca="1">_xll.qlInterpolationInterpolate(B3Minterpolation,R123,TRUE)</f>
        <v>#NAME?</v>
      </c>
      <c r="X123" s="563"/>
      <c r="Y123" s="563"/>
    </row>
    <row r="124" spans="5:25" ht="11.25" customHeight="1" x14ac:dyDescent="0.2">
      <c r="E124" s="564"/>
      <c r="F124" s="564"/>
      <c r="G124" s="563"/>
      <c r="K124" s="563"/>
      <c r="L124" s="563"/>
      <c r="R124" s="562" t="e">
        <f ca="1">_xll.qlCalendarAdvance(Calendar,R123,"1D","f")</f>
        <v>#NAME?</v>
      </c>
      <c r="S124" s="575" t="e">
        <f ca="1">_xll.qlInterpolationInterpolate(B3Minterpolation,R124,TRUE)</f>
        <v>#NAME?</v>
      </c>
      <c r="X124" s="563"/>
      <c r="Y124" s="563"/>
    </row>
    <row r="125" spans="5:25" ht="11.25" customHeight="1" x14ac:dyDescent="0.2">
      <c r="E125" s="564"/>
      <c r="F125" s="564"/>
      <c r="G125" s="563"/>
      <c r="K125" s="563"/>
      <c r="L125" s="563"/>
      <c r="R125" s="562" t="e">
        <f ca="1">_xll.qlCalendarAdvance(Calendar,R124,"1D","f")</f>
        <v>#NAME?</v>
      </c>
      <c r="S125" s="575" t="e">
        <f ca="1">_xll.qlInterpolationInterpolate(B3Minterpolation,R125,TRUE)</f>
        <v>#NAME?</v>
      </c>
      <c r="X125" s="563"/>
      <c r="Y125" s="563"/>
    </row>
    <row r="126" spans="5:25" ht="11.25" customHeight="1" x14ac:dyDescent="0.2">
      <c r="E126" s="564"/>
      <c r="F126" s="564"/>
      <c r="G126" s="563"/>
      <c r="K126" s="563"/>
      <c r="L126" s="563"/>
      <c r="R126" s="562" t="e">
        <f ca="1">_xll.qlCalendarAdvance(Calendar,R125,"1D","f")</f>
        <v>#NAME?</v>
      </c>
      <c r="S126" s="575" t="e">
        <f ca="1">_xll.qlInterpolationInterpolate(B3Minterpolation,R126,TRUE)</f>
        <v>#NAME?</v>
      </c>
      <c r="X126" s="563"/>
      <c r="Y126" s="563"/>
    </row>
    <row r="127" spans="5:25" ht="11.25" customHeight="1" x14ac:dyDescent="0.2">
      <c r="E127" s="564"/>
      <c r="F127" s="564"/>
      <c r="G127" s="563"/>
      <c r="K127" s="563"/>
      <c r="L127" s="563"/>
      <c r="R127" s="562" t="e">
        <f ca="1">_xll.qlCalendarAdvance(Calendar,R126,"1D","f")</f>
        <v>#NAME?</v>
      </c>
      <c r="S127" s="575" t="e">
        <f ca="1">_xll.qlInterpolationInterpolate(B3Minterpolation,R127,TRUE)</f>
        <v>#NAME?</v>
      </c>
      <c r="X127" s="563"/>
      <c r="Y127" s="563"/>
    </row>
    <row r="128" spans="5:25" ht="11.25" customHeight="1" x14ac:dyDescent="0.2">
      <c r="E128" s="564"/>
      <c r="F128" s="564"/>
      <c r="G128" s="563"/>
      <c r="K128" s="563"/>
      <c r="L128" s="563"/>
      <c r="R128" s="562" t="e">
        <f ca="1">_xll.qlCalendarAdvance(Calendar,R127,"1D","f")</f>
        <v>#NAME?</v>
      </c>
      <c r="S128" s="575" t="e">
        <f ca="1">_xll.qlInterpolationInterpolate(B3Minterpolation,R128,TRUE)</f>
        <v>#NAME?</v>
      </c>
      <c r="X128" s="563"/>
      <c r="Y128" s="563"/>
    </row>
    <row r="129" spans="5:25" ht="11.25" customHeight="1" x14ac:dyDescent="0.2">
      <c r="E129" s="564"/>
      <c r="F129" s="564"/>
      <c r="G129" s="563"/>
      <c r="K129" s="563"/>
      <c r="L129" s="563"/>
      <c r="R129" s="562" t="e">
        <f ca="1">_xll.qlCalendarAdvance(Calendar,R128,"1D","f")</f>
        <v>#NAME?</v>
      </c>
      <c r="S129" s="575" t="e">
        <f ca="1">_xll.qlInterpolationInterpolate(B3Minterpolation,R129,TRUE)</f>
        <v>#NAME?</v>
      </c>
      <c r="X129" s="563"/>
      <c r="Y129" s="563"/>
    </row>
    <row r="130" spans="5:25" ht="11.25" customHeight="1" x14ac:dyDescent="0.2">
      <c r="E130" s="564"/>
      <c r="F130" s="564"/>
      <c r="G130" s="563"/>
      <c r="K130" s="563"/>
      <c r="L130" s="563"/>
      <c r="R130" s="562" t="e">
        <f ca="1">_xll.qlCalendarAdvance(Calendar,R129,"1D","f")</f>
        <v>#NAME?</v>
      </c>
      <c r="S130" s="575" t="e">
        <f ca="1">_xll.qlInterpolationInterpolate(B3Minterpolation,R130,TRUE)</f>
        <v>#NAME?</v>
      </c>
      <c r="X130" s="563"/>
      <c r="Y130" s="563"/>
    </row>
    <row r="131" spans="5:25" ht="11.25" customHeight="1" x14ac:dyDescent="0.2">
      <c r="E131" s="564"/>
      <c r="F131" s="564"/>
      <c r="G131" s="563"/>
      <c r="K131" s="563"/>
      <c r="L131" s="563"/>
      <c r="R131" s="562" t="e">
        <f ca="1">_xll.qlCalendarAdvance(Calendar,R130,"1D","f")</f>
        <v>#NAME?</v>
      </c>
      <c r="S131" s="575" t="e">
        <f ca="1">_xll.qlInterpolationInterpolate(B3Minterpolation,R131,TRUE)</f>
        <v>#NAME?</v>
      </c>
      <c r="X131" s="563"/>
      <c r="Y131" s="563"/>
    </row>
    <row r="132" spans="5:25" ht="11.25" customHeight="1" x14ac:dyDescent="0.2">
      <c r="E132" s="564"/>
      <c r="F132" s="564"/>
      <c r="G132" s="563"/>
      <c r="K132" s="563"/>
      <c r="L132" s="563"/>
      <c r="R132" s="562" t="e">
        <f ca="1">_xll.qlCalendarAdvance(Calendar,R131,"1D","f")</f>
        <v>#NAME?</v>
      </c>
      <c r="S132" s="575" t="e">
        <f ca="1">_xll.qlInterpolationInterpolate(B3Minterpolation,R132,TRUE)</f>
        <v>#NAME?</v>
      </c>
      <c r="X132" s="563"/>
      <c r="Y132" s="563"/>
    </row>
    <row r="133" spans="5:25" ht="11.25" customHeight="1" x14ac:dyDescent="0.2">
      <c r="E133" s="564"/>
      <c r="F133" s="564"/>
      <c r="G133" s="563"/>
      <c r="K133" s="563"/>
      <c r="L133" s="563"/>
      <c r="R133" s="562" t="e">
        <f ca="1">_xll.qlCalendarAdvance(Calendar,R132,"1D","f")</f>
        <v>#NAME?</v>
      </c>
      <c r="S133" s="575" t="e">
        <f ca="1">_xll.qlInterpolationInterpolate(B3Minterpolation,R133,TRUE)</f>
        <v>#NAME?</v>
      </c>
      <c r="X133" s="563"/>
      <c r="Y133" s="563"/>
    </row>
    <row r="134" spans="5:25" ht="11.25" customHeight="1" x14ac:dyDescent="0.2">
      <c r="E134" s="564"/>
      <c r="F134" s="564"/>
      <c r="G134" s="563"/>
      <c r="K134" s="563"/>
      <c r="L134" s="563"/>
      <c r="R134" s="562" t="e">
        <f ca="1">_xll.qlCalendarAdvance(Calendar,R133,"1D","f")</f>
        <v>#NAME?</v>
      </c>
      <c r="S134" s="575" t="e">
        <f ca="1">_xll.qlInterpolationInterpolate(B3Minterpolation,R134,TRUE)</f>
        <v>#NAME?</v>
      </c>
      <c r="X134" s="563"/>
      <c r="Y134" s="563"/>
    </row>
    <row r="135" spans="5:25" ht="11.25" customHeight="1" x14ac:dyDescent="0.2">
      <c r="E135" s="564"/>
      <c r="F135" s="564"/>
      <c r="G135" s="563"/>
      <c r="K135" s="563"/>
      <c r="L135" s="563"/>
      <c r="R135" s="562" t="e">
        <f ca="1">_xll.qlCalendarAdvance(Calendar,R134,"1D","f")</f>
        <v>#NAME?</v>
      </c>
      <c r="S135" s="575" t="e">
        <f ca="1">_xll.qlInterpolationInterpolate(B3Minterpolation,R135,TRUE)</f>
        <v>#NAME?</v>
      </c>
      <c r="X135" s="563"/>
      <c r="Y135" s="563"/>
    </row>
    <row r="136" spans="5:25" ht="11.25" customHeight="1" x14ac:dyDescent="0.2">
      <c r="E136" s="564"/>
      <c r="F136" s="564"/>
      <c r="G136" s="563"/>
      <c r="K136" s="563"/>
      <c r="L136" s="563"/>
      <c r="R136" s="562" t="e">
        <f ca="1">_xll.qlCalendarAdvance(Calendar,R135,"1D","f")</f>
        <v>#NAME?</v>
      </c>
      <c r="S136" s="575" t="e">
        <f ca="1">_xll.qlInterpolationInterpolate(B3Minterpolation,R136,TRUE)</f>
        <v>#NAME?</v>
      </c>
      <c r="X136" s="563"/>
      <c r="Y136" s="563"/>
    </row>
    <row r="137" spans="5:25" ht="11.25" customHeight="1" x14ac:dyDescent="0.2">
      <c r="E137" s="564"/>
      <c r="F137" s="564"/>
      <c r="G137" s="563"/>
      <c r="K137" s="563"/>
      <c r="L137" s="563"/>
      <c r="R137" s="562" t="e">
        <f ca="1">_xll.qlCalendarAdvance(Calendar,R136,"1D","f")</f>
        <v>#NAME?</v>
      </c>
      <c r="S137" s="575" t="e">
        <f ca="1">_xll.qlInterpolationInterpolate(B3Minterpolation,R137,TRUE)</f>
        <v>#NAME?</v>
      </c>
      <c r="X137" s="563"/>
      <c r="Y137" s="563"/>
    </row>
    <row r="138" spans="5:25" ht="11.25" customHeight="1" x14ac:dyDescent="0.2">
      <c r="E138" s="564"/>
      <c r="F138" s="564"/>
      <c r="G138" s="563"/>
      <c r="K138" s="563"/>
      <c r="L138" s="563"/>
      <c r="R138" s="562" t="e">
        <f ca="1">_xll.qlCalendarAdvance(Calendar,R137,"1D","f")</f>
        <v>#NAME?</v>
      </c>
      <c r="S138" s="575" t="e">
        <f ca="1">_xll.qlInterpolationInterpolate(B3Minterpolation,R138,TRUE)</f>
        <v>#NAME?</v>
      </c>
      <c r="X138" s="563"/>
      <c r="Y138" s="563"/>
    </row>
    <row r="139" spans="5:25" ht="11.25" customHeight="1" x14ac:dyDescent="0.2">
      <c r="E139" s="564"/>
      <c r="F139" s="564"/>
      <c r="G139" s="563"/>
      <c r="K139" s="563"/>
      <c r="L139" s="563"/>
      <c r="R139" s="562" t="e">
        <f ca="1">_xll.qlCalendarAdvance(Calendar,R138,"1D","f")</f>
        <v>#NAME?</v>
      </c>
      <c r="S139" s="575" t="e">
        <f ca="1">_xll.qlInterpolationInterpolate(B3Minterpolation,R139,TRUE)</f>
        <v>#NAME?</v>
      </c>
      <c r="X139" s="563"/>
      <c r="Y139" s="563"/>
    </row>
    <row r="140" spans="5:25" ht="11.25" customHeight="1" x14ac:dyDescent="0.2">
      <c r="E140" s="564"/>
      <c r="F140" s="564"/>
      <c r="G140" s="563"/>
      <c r="K140" s="563"/>
      <c r="L140" s="563"/>
      <c r="R140" s="562" t="e">
        <f ca="1">_xll.qlCalendarAdvance(Calendar,R139,"1D","f")</f>
        <v>#NAME?</v>
      </c>
      <c r="S140" s="575" t="e">
        <f ca="1">_xll.qlInterpolationInterpolate(B3Minterpolation,R140,TRUE)</f>
        <v>#NAME?</v>
      </c>
      <c r="X140" s="563"/>
      <c r="Y140" s="563"/>
    </row>
    <row r="141" spans="5:25" ht="11.25" customHeight="1" x14ac:dyDescent="0.2">
      <c r="E141" s="564"/>
      <c r="F141" s="564"/>
      <c r="G141" s="563"/>
      <c r="K141" s="563"/>
      <c r="L141" s="563"/>
      <c r="R141" s="562" t="e">
        <f ca="1">_xll.qlCalendarAdvance(Calendar,R140,"1D","f")</f>
        <v>#NAME?</v>
      </c>
      <c r="S141" s="575" t="e">
        <f ca="1">_xll.qlInterpolationInterpolate(B3Minterpolation,R141,TRUE)</f>
        <v>#NAME?</v>
      </c>
      <c r="X141" s="563"/>
      <c r="Y141" s="563"/>
    </row>
    <row r="142" spans="5:25" ht="11.25" customHeight="1" x14ac:dyDescent="0.2">
      <c r="E142" s="564"/>
      <c r="F142" s="564"/>
      <c r="G142" s="563"/>
      <c r="K142" s="563"/>
      <c r="L142" s="563"/>
      <c r="R142" s="562" t="e">
        <f ca="1">_xll.qlCalendarAdvance(Calendar,R141,"1D","f")</f>
        <v>#NAME?</v>
      </c>
      <c r="S142" s="575" t="e">
        <f ca="1">_xll.qlInterpolationInterpolate(B3Minterpolation,R142,TRUE)</f>
        <v>#NAME?</v>
      </c>
      <c r="X142" s="563"/>
      <c r="Y142" s="563"/>
    </row>
    <row r="143" spans="5:25" ht="11.25" customHeight="1" x14ac:dyDescent="0.2">
      <c r="E143" s="564"/>
      <c r="F143" s="564"/>
      <c r="G143" s="563"/>
      <c r="K143" s="563"/>
      <c r="L143" s="563"/>
      <c r="R143" s="562" t="e">
        <f ca="1">_xll.qlCalendarAdvance(Calendar,R142,"1D","f")</f>
        <v>#NAME?</v>
      </c>
      <c r="S143" s="575" t="e">
        <f ca="1">_xll.qlInterpolationInterpolate(B3Minterpolation,R143,TRUE)</f>
        <v>#NAME?</v>
      </c>
      <c r="X143" s="563"/>
      <c r="Y143" s="563"/>
    </row>
    <row r="144" spans="5:25" ht="11.25" customHeight="1" x14ac:dyDescent="0.2">
      <c r="E144" s="564"/>
      <c r="F144" s="564"/>
      <c r="G144" s="563"/>
      <c r="K144" s="563"/>
      <c r="L144" s="563"/>
      <c r="R144" s="562" t="e">
        <f ca="1">_xll.qlCalendarAdvance(Calendar,R143,"1D","f")</f>
        <v>#NAME?</v>
      </c>
      <c r="S144" s="575" t="e">
        <f ca="1">_xll.qlInterpolationInterpolate(B3Minterpolation,R144,TRUE)</f>
        <v>#NAME?</v>
      </c>
      <c r="X144" s="563"/>
      <c r="Y144" s="563"/>
    </row>
    <row r="145" spans="5:25" ht="11.25" customHeight="1" x14ac:dyDescent="0.2">
      <c r="E145" s="564"/>
      <c r="F145" s="564"/>
      <c r="G145" s="563"/>
      <c r="K145" s="563"/>
      <c r="L145" s="563"/>
      <c r="R145" s="562" t="e">
        <f ca="1">_xll.qlCalendarAdvance(Calendar,R144,"1D","f")</f>
        <v>#NAME?</v>
      </c>
      <c r="S145" s="575" t="e">
        <f ca="1">_xll.qlInterpolationInterpolate(B3Minterpolation,R145,TRUE)</f>
        <v>#NAME?</v>
      </c>
      <c r="X145" s="563"/>
      <c r="Y145" s="563"/>
    </row>
    <row r="146" spans="5:25" ht="11.25" customHeight="1" x14ac:dyDescent="0.2">
      <c r="E146" s="564"/>
      <c r="F146" s="564"/>
      <c r="G146" s="563"/>
      <c r="K146" s="563"/>
      <c r="L146" s="563"/>
      <c r="R146" s="562" t="e">
        <f ca="1">_xll.qlCalendarAdvance(Calendar,R145,"1D","f")</f>
        <v>#NAME?</v>
      </c>
      <c r="S146" s="575" t="e">
        <f ca="1">_xll.qlInterpolationInterpolate(B3Minterpolation,R146,TRUE)</f>
        <v>#NAME?</v>
      </c>
      <c r="X146" s="563"/>
      <c r="Y146" s="563"/>
    </row>
    <row r="147" spans="5:25" ht="11.25" customHeight="1" x14ac:dyDescent="0.2">
      <c r="E147" s="564"/>
      <c r="F147" s="564"/>
      <c r="G147" s="563"/>
      <c r="K147" s="563"/>
      <c r="L147" s="563"/>
      <c r="R147" s="562" t="e">
        <f ca="1">_xll.qlCalendarAdvance(Calendar,R146,"1D","f")</f>
        <v>#NAME?</v>
      </c>
      <c r="S147" s="575" t="e">
        <f ca="1">_xll.qlInterpolationInterpolate(B3Minterpolation,R147,TRUE)</f>
        <v>#NAME?</v>
      </c>
      <c r="X147" s="563"/>
      <c r="Y147" s="563"/>
    </row>
    <row r="148" spans="5:25" ht="11.25" customHeight="1" x14ac:dyDescent="0.2">
      <c r="E148" s="564"/>
      <c r="F148" s="564"/>
      <c r="G148" s="563"/>
      <c r="K148" s="563"/>
      <c r="L148" s="563"/>
      <c r="R148" s="562" t="e">
        <f ca="1">_xll.qlCalendarAdvance(Calendar,R147,"1D","f")</f>
        <v>#NAME?</v>
      </c>
      <c r="S148" s="575" t="e">
        <f ca="1">_xll.qlInterpolationInterpolate(B3Minterpolation,R148,TRUE)</f>
        <v>#NAME?</v>
      </c>
      <c r="X148" s="563"/>
      <c r="Y148" s="563"/>
    </row>
    <row r="149" spans="5:25" ht="11.25" customHeight="1" x14ac:dyDescent="0.2">
      <c r="E149" s="564"/>
      <c r="F149" s="564"/>
      <c r="G149" s="563"/>
      <c r="K149" s="563"/>
      <c r="L149" s="563"/>
      <c r="R149" s="562" t="e">
        <f ca="1">_xll.qlCalendarAdvance(Calendar,R148,"1D","f")</f>
        <v>#NAME?</v>
      </c>
      <c r="S149" s="575" t="e">
        <f ca="1">_xll.qlInterpolationInterpolate(B3Minterpolation,R149,TRUE)</f>
        <v>#NAME?</v>
      </c>
      <c r="X149" s="563"/>
      <c r="Y149" s="563"/>
    </row>
    <row r="150" spans="5:25" ht="11.25" customHeight="1" x14ac:dyDescent="0.2">
      <c r="E150" s="564"/>
      <c r="F150" s="564"/>
      <c r="G150" s="563"/>
      <c r="K150" s="563"/>
      <c r="L150" s="563"/>
      <c r="R150" s="562" t="e">
        <f ca="1">_xll.qlCalendarAdvance(Calendar,R149,"1D","f")</f>
        <v>#NAME?</v>
      </c>
      <c r="S150" s="575" t="e">
        <f ca="1">_xll.qlInterpolationInterpolate(B3Minterpolation,R150,TRUE)</f>
        <v>#NAME?</v>
      </c>
      <c r="X150" s="563"/>
      <c r="Y150" s="563"/>
    </row>
    <row r="151" spans="5:25" ht="11.25" customHeight="1" x14ac:dyDescent="0.2">
      <c r="E151" s="564"/>
      <c r="F151" s="564"/>
      <c r="G151" s="563"/>
      <c r="K151" s="563"/>
      <c r="L151" s="563"/>
      <c r="R151" s="562" t="e">
        <f ca="1">_xll.qlCalendarAdvance(Calendar,R150,"1D","f")</f>
        <v>#NAME?</v>
      </c>
      <c r="S151" s="575" t="e">
        <f ca="1">_xll.qlInterpolationInterpolate(B3Minterpolation,R151,TRUE)</f>
        <v>#NAME?</v>
      </c>
      <c r="X151" s="563"/>
      <c r="Y151" s="563"/>
    </row>
    <row r="152" spans="5:25" ht="11.25" customHeight="1" x14ac:dyDescent="0.2">
      <c r="E152" s="564"/>
      <c r="F152" s="564"/>
      <c r="G152" s="563"/>
      <c r="K152" s="563"/>
      <c r="L152" s="563"/>
      <c r="R152" s="562" t="e">
        <f ca="1">_xll.qlCalendarAdvance(Calendar,R151,"1D","f")</f>
        <v>#NAME?</v>
      </c>
      <c r="S152" s="575" t="e">
        <f ca="1">_xll.qlInterpolationInterpolate(B3Minterpolation,R152,TRUE)</f>
        <v>#NAME?</v>
      </c>
      <c r="X152" s="563"/>
      <c r="Y152" s="563"/>
    </row>
    <row r="153" spans="5:25" ht="11.25" customHeight="1" x14ac:dyDescent="0.2">
      <c r="E153" s="564"/>
      <c r="F153" s="564"/>
      <c r="G153" s="563"/>
      <c r="K153" s="563"/>
      <c r="L153" s="563"/>
      <c r="R153" s="562" t="e">
        <f ca="1">_xll.qlCalendarAdvance(Calendar,R152,"1D","f")</f>
        <v>#NAME?</v>
      </c>
      <c r="S153" s="575" t="e">
        <f ca="1">_xll.qlInterpolationInterpolate(B3Minterpolation,R153,TRUE)</f>
        <v>#NAME?</v>
      </c>
      <c r="X153" s="563"/>
      <c r="Y153" s="563"/>
    </row>
    <row r="154" spans="5:25" ht="11.25" customHeight="1" x14ac:dyDescent="0.2">
      <c r="E154" s="564"/>
      <c r="F154" s="564"/>
      <c r="G154" s="563"/>
      <c r="K154" s="563"/>
      <c r="L154" s="563"/>
      <c r="R154" s="562" t="e">
        <f ca="1">_xll.qlCalendarAdvance(Calendar,R153,"1D","f")</f>
        <v>#NAME?</v>
      </c>
      <c r="S154" s="575" t="e">
        <f ca="1">_xll.qlInterpolationInterpolate(B3Minterpolation,R154,TRUE)</f>
        <v>#NAME?</v>
      </c>
      <c r="X154" s="563"/>
      <c r="Y154" s="563"/>
    </row>
    <row r="155" spans="5:25" ht="11.25" customHeight="1" x14ac:dyDescent="0.2">
      <c r="E155" s="564"/>
      <c r="F155" s="564"/>
      <c r="G155" s="563"/>
      <c r="K155" s="563"/>
      <c r="L155" s="563"/>
      <c r="R155" s="562" t="e">
        <f ca="1">_xll.qlCalendarAdvance(Calendar,R154,"1D","f")</f>
        <v>#NAME?</v>
      </c>
      <c r="S155" s="575" t="e">
        <f ca="1">_xll.qlInterpolationInterpolate(B3Minterpolation,R155,TRUE)</f>
        <v>#NAME?</v>
      </c>
      <c r="X155" s="563"/>
      <c r="Y155" s="563"/>
    </row>
    <row r="156" spans="5:25" ht="11.25" customHeight="1" x14ac:dyDescent="0.2">
      <c r="E156" s="564"/>
      <c r="F156" s="564"/>
      <c r="G156" s="563"/>
      <c r="K156" s="563"/>
      <c r="L156" s="563"/>
      <c r="R156" s="562" t="e">
        <f ca="1">_xll.qlCalendarAdvance(Calendar,R155,"1D","f")</f>
        <v>#NAME?</v>
      </c>
      <c r="S156" s="575" t="e">
        <f ca="1">_xll.qlInterpolationInterpolate(B3Minterpolation,R156,TRUE)</f>
        <v>#NAME?</v>
      </c>
      <c r="X156" s="563"/>
      <c r="Y156" s="563"/>
    </row>
    <row r="157" spans="5:25" ht="11.25" customHeight="1" x14ac:dyDescent="0.2">
      <c r="E157" s="564"/>
      <c r="F157" s="564"/>
      <c r="G157" s="563"/>
      <c r="K157" s="563"/>
      <c r="L157" s="563"/>
      <c r="R157" s="562" t="e">
        <f ca="1">_xll.qlCalendarAdvance(Calendar,R156,"1D","f")</f>
        <v>#NAME?</v>
      </c>
      <c r="S157" s="575" t="e">
        <f ca="1">_xll.qlInterpolationInterpolate(B3Minterpolation,R157,TRUE)</f>
        <v>#NAME?</v>
      </c>
      <c r="X157" s="563"/>
      <c r="Y157" s="563"/>
    </row>
    <row r="158" spans="5:25" ht="11.25" customHeight="1" x14ac:dyDescent="0.2">
      <c r="E158" s="564"/>
      <c r="F158" s="564"/>
      <c r="G158" s="563"/>
      <c r="K158" s="563"/>
      <c r="L158" s="563"/>
      <c r="R158" s="562" t="e">
        <f ca="1">_xll.qlCalendarAdvance(Calendar,R157,"1D","f")</f>
        <v>#NAME?</v>
      </c>
      <c r="S158" s="575" t="e">
        <f ca="1">_xll.qlInterpolationInterpolate(B3Minterpolation,R158,TRUE)</f>
        <v>#NAME?</v>
      </c>
      <c r="X158" s="563"/>
      <c r="Y158" s="563"/>
    </row>
    <row r="159" spans="5:25" ht="11.25" customHeight="1" x14ac:dyDescent="0.2">
      <c r="E159" s="564"/>
      <c r="F159" s="564"/>
      <c r="G159" s="563"/>
      <c r="K159" s="563"/>
      <c r="L159" s="563"/>
      <c r="R159" s="562" t="e">
        <f ca="1">_xll.qlCalendarAdvance(Calendar,R158,"1D","f")</f>
        <v>#NAME?</v>
      </c>
      <c r="S159" s="575" t="e">
        <f ca="1">_xll.qlInterpolationInterpolate(B3Minterpolation,R159,TRUE)</f>
        <v>#NAME?</v>
      </c>
      <c r="X159" s="563"/>
      <c r="Y159" s="563"/>
    </row>
    <row r="160" spans="5:25" ht="11.25" customHeight="1" x14ac:dyDescent="0.2">
      <c r="E160" s="564"/>
      <c r="F160" s="564"/>
      <c r="G160" s="563"/>
      <c r="K160" s="563"/>
      <c r="L160" s="563"/>
      <c r="R160" s="562" t="e">
        <f ca="1">_xll.qlCalendarAdvance(Calendar,R159,"1D","f")</f>
        <v>#NAME?</v>
      </c>
      <c r="S160" s="575" t="e">
        <f ca="1">_xll.qlInterpolationInterpolate(B3Minterpolation,R160,TRUE)</f>
        <v>#NAME?</v>
      </c>
      <c r="X160" s="563"/>
      <c r="Y160" s="563"/>
    </row>
    <row r="161" spans="5:25" ht="11.25" customHeight="1" x14ac:dyDescent="0.2">
      <c r="E161" s="564"/>
      <c r="F161" s="564"/>
      <c r="G161" s="563"/>
      <c r="K161" s="563"/>
      <c r="L161" s="563"/>
      <c r="R161" s="562" t="e">
        <f ca="1">_xll.qlCalendarAdvance(Calendar,R160,"1D","f")</f>
        <v>#NAME?</v>
      </c>
      <c r="S161" s="575" t="e">
        <f ca="1">_xll.qlInterpolationInterpolate(B3Minterpolation,R161,TRUE)</f>
        <v>#NAME?</v>
      </c>
      <c r="X161" s="563"/>
      <c r="Y161" s="563"/>
    </row>
    <row r="162" spans="5:25" ht="11.25" customHeight="1" x14ac:dyDescent="0.2">
      <c r="E162" s="564"/>
      <c r="F162" s="564"/>
      <c r="G162" s="563"/>
      <c r="K162" s="563"/>
      <c r="L162" s="563"/>
      <c r="R162" s="562" t="e">
        <f ca="1">_xll.qlCalendarAdvance(Calendar,R161,"1D","f")</f>
        <v>#NAME?</v>
      </c>
      <c r="S162" s="575" t="e">
        <f ca="1">_xll.qlInterpolationInterpolate(B3Minterpolation,R162,TRUE)</f>
        <v>#NAME?</v>
      </c>
      <c r="X162" s="563"/>
      <c r="Y162" s="563"/>
    </row>
    <row r="163" spans="5:25" ht="11.25" customHeight="1" x14ac:dyDescent="0.2">
      <c r="E163" s="564"/>
      <c r="F163" s="564"/>
      <c r="G163" s="563"/>
      <c r="K163" s="563"/>
      <c r="L163" s="563"/>
      <c r="R163" s="562" t="e">
        <f ca="1">_xll.qlCalendarAdvance(Calendar,R162,"1D","f")</f>
        <v>#NAME?</v>
      </c>
      <c r="S163" s="575" t="e">
        <f ca="1">_xll.qlInterpolationInterpolate(B3Minterpolation,R163,TRUE)</f>
        <v>#NAME?</v>
      </c>
      <c r="X163" s="563"/>
      <c r="Y163" s="563"/>
    </row>
    <row r="164" spans="5:25" ht="11.25" customHeight="1" x14ac:dyDescent="0.2">
      <c r="E164" s="564"/>
      <c r="F164" s="564"/>
      <c r="G164" s="563"/>
      <c r="K164" s="563"/>
      <c r="L164" s="563"/>
      <c r="R164" s="562" t="e">
        <f ca="1">_xll.qlCalendarAdvance(Calendar,R163,"1D","f")</f>
        <v>#NAME?</v>
      </c>
      <c r="S164" s="575" t="e">
        <f ca="1">_xll.qlInterpolationInterpolate(B3Minterpolation,R164,TRUE)</f>
        <v>#NAME?</v>
      </c>
      <c r="X164" s="563"/>
      <c r="Y164" s="563"/>
    </row>
    <row r="165" spans="5:25" ht="11.25" customHeight="1" x14ac:dyDescent="0.2">
      <c r="E165" s="564"/>
      <c r="F165" s="564"/>
      <c r="G165" s="563"/>
      <c r="K165" s="563"/>
      <c r="L165" s="563"/>
      <c r="R165" s="562" t="e">
        <f ca="1">_xll.qlCalendarAdvance(Calendar,R164,"1D","f")</f>
        <v>#NAME?</v>
      </c>
      <c r="S165" s="575" t="e">
        <f ca="1">_xll.qlInterpolationInterpolate(B3Minterpolation,R165,TRUE)</f>
        <v>#NAME?</v>
      </c>
      <c r="X165" s="563"/>
      <c r="Y165" s="563"/>
    </row>
    <row r="166" spans="5:25" ht="11.25" customHeight="1" x14ac:dyDescent="0.2">
      <c r="E166" s="564"/>
      <c r="F166" s="564"/>
      <c r="G166" s="563"/>
      <c r="K166" s="563"/>
      <c r="L166" s="563"/>
      <c r="R166" s="562" t="e">
        <f ca="1">_xll.qlCalendarAdvance(Calendar,R165,"1D","f")</f>
        <v>#NAME?</v>
      </c>
      <c r="S166" s="575" t="e">
        <f ca="1">_xll.qlInterpolationInterpolate(B3Minterpolation,R166,TRUE)</f>
        <v>#NAME?</v>
      </c>
      <c r="X166" s="563"/>
      <c r="Y166" s="563"/>
    </row>
    <row r="167" spans="5:25" ht="11.25" customHeight="1" x14ac:dyDescent="0.2">
      <c r="E167" s="564"/>
      <c r="F167" s="564"/>
      <c r="G167" s="563"/>
      <c r="K167" s="563"/>
      <c r="L167" s="563"/>
      <c r="R167" s="562" t="e">
        <f ca="1">_xll.qlCalendarAdvance(Calendar,R166,"1D","f")</f>
        <v>#NAME?</v>
      </c>
      <c r="S167" s="575" t="e">
        <f ca="1">_xll.qlInterpolationInterpolate(B3Minterpolation,R167,TRUE)</f>
        <v>#NAME?</v>
      </c>
      <c r="X167" s="563"/>
      <c r="Y167" s="563"/>
    </row>
    <row r="168" spans="5:25" ht="11.25" customHeight="1" x14ac:dyDescent="0.2">
      <c r="E168" s="564"/>
      <c r="F168" s="564"/>
      <c r="G168" s="563"/>
      <c r="K168" s="563"/>
      <c r="L168" s="563"/>
      <c r="R168" s="562" t="e">
        <f ca="1">_xll.qlCalendarAdvance(Calendar,R167,"1D","f")</f>
        <v>#NAME?</v>
      </c>
      <c r="S168" s="575" t="e">
        <f ca="1">_xll.qlInterpolationInterpolate(B3Minterpolation,R168,TRUE)</f>
        <v>#NAME?</v>
      </c>
      <c r="X168" s="563"/>
      <c r="Y168" s="563"/>
    </row>
    <row r="169" spans="5:25" ht="11.25" customHeight="1" x14ac:dyDescent="0.2">
      <c r="E169" s="564"/>
      <c r="F169" s="564"/>
      <c r="G169" s="563"/>
      <c r="K169" s="563"/>
      <c r="L169" s="563"/>
      <c r="R169" s="562" t="e">
        <f ca="1">_xll.qlCalendarAdvance(Calendar,R168,"1D","f")</f>
        <v>#NAME?</v>
      </c>
      <c r="S169" s="575" t="e">
        <f ca="1">_xll.qlInterpolationInterpolate(B3Minterpolation,R169,TRUE)</f>
        <v>#NAME?</v>
      </c>
      <c r="X169" s="563"/>
      <c r="Y169" s="563"/>
    </row>
    <row r="170" spans="5:25" ht="11.25" customHeight="1" x14ac:dyDescent="0.2">
      <c r="E170" s="564"/>
      <c r="F170" s="564"/>
      <c r="G170" s="563"/>
      <c r="K170" s="563"/>
      <c r="L170" s="563"/>
      <c r="R170" s="562" t="e">
        <f ca="1">_xll.qlCalendarAdvance(Calendar,R169,"1D","f")</f>
        <v>#NAME?</v>
      </c>
      <c r="S170" s="575" t="e">
        <f ca="1">_xll.qlInterpolationInterpolate(B3Minterpolation,R170,TRUE)</f>
        <v>#NAME?</v>
      </c>
      <c r="X170" s="563"/>
      <c r="Y170" s="563"/>
    </row>
    <row r="171" spans="5:25" ht="11.25" customHeight="1" x14ac:dyDescent="0.2">
      <c r="E171" s="564"/>
      <c r="F171" s="564"/>
      <c r="G171" s="563"/>
      <c r="K171" s="563"/>
      <c r="L171" s="563"/>
      <c r="R171" s="562" t="e">
        <f ca="1">_xll.qlCalendarAdvance(Calendar,R170,"1D","f")</f>
        <v>#NAME?</v>
      </c>
      <c r="S171" s="575" t="e">
        <f ca="1">_xll.qlInterpolationInterpolate(B3Minterpolation,R171,TRUE)</f>
        <v>#NAME?</v>
      </c>
      <c r="X171" s="563"/>
      <c r="Y171" s="563"/>
    </row>
    <row r="172" spans="5:25" ht="11.25" customHeight="1" x14ac:dyDescent="0.2">
      <c r="E172" s="564"/>
      <c r="F172" s="564"/>
      <c r="G172" s="563"/>
      <c r="K172" s="563"/>
      <c r="L172" s="563"/>
      <c r="R172" s="562" t="e">
        <f ca="1">_xll.qlCalendarAdvance(Calendar,R171,"1D","f")</f>
        <v>#NAME?</v>
      </c>
      <c r="S172" s="575" t="e">
        <f ca="1">_xll.qlInterpolationInterpolate(B3Minterpolation,R172,TRUE)</f>
        <v>#NAME?</v>
      </c>
      <c r="X172" s="563"/>
      <c r="Y172" s="563"/>
    </row>
    <row r="173" spans="5:25" ht="11.25" customHeight="1" x14ac:dyDescent="0.2">
      <c r="E173" s="564"/>
      <c r="F173" s="564"/>
      <c r="G173" s="563"/>
      <c r="K173" s="563"/>
      <c r="L173" s="563"/>
      <c r="R173" s="562" t="e">
        <f ca="1">_xll.qlCalendarAdvance(Calendar,R172,"1D","f")</f>
        <v>#NAME?</v>
      </c>
      <c r="S173" s="575" t="e">
        <f ca="1">_xll.qlInterpolationInterpolate(B3Minterpolation,R173,TRUE)</f>
        <v>#NAME?</v>
      </c>
      <c r="X173" s="563"/>
      <c r="Y173" s="563"/>
    </row>
    <row r="174" spans="5:25" ht="11.25" customHeight="1" x14ac:dyDescent="0.2">
      <c r="E174" s="564"/>
      <c r="F174" s="564"/>
      <c r="G174" s="563"/>
      <c r="K174" s="563"/>
      <c r="L174" s="563"/>
      <c r="R174" s="562" t="e">
        <f ca="1">_xll.qlCalendarAdvance(Calendar,R173,"1D","f")</f>
        <v>#NAME?</v>
      </c>
      <c r="S174" s="575" t="e">
        <f ca="1">_xll.qlInterpolationInterpolate(B3Minterpolation,R174,TRUE)</f>
        <v>#NAME?</v>
      </c>
      <c r="X174" s="563"/>
      <c r="Y174" s="563"/>
    </row>
    <row r="175" spans="5:25" ht="11.25" customHeight="1" x14ac:dyDescent="0.2">
      <c r="E175" s="564"/>
      <c r="F175" s="564"/>
      <c r="G175" s="563"/>
      <c r="K175" s="563"/>
      <c r="L175" s="563"/>
      <c r="R175" s="562" t="e">
        <f ca="1">_xll.qlCalendarAdvance(Calendar,R174,"1D","f")</f>
        <v>#NAME?</v>
      </c>
      <c r="S175" s="575" t="e">
        <f ca="1">_xll.qlInterpolationInterpolate(B3Minterpolation,R175,TRUE)</f>
        <v>#NAME?</v>
      </c>
      <c r="X175" s="563"/>
      <c r="Y175" s="563"/>
    </row>
    <row r="176" spans="5:25" ht="11.25" customHeight="1" x14ac:dyDescent="0.2">
      <c r="E176" s="564"/>
      <c r="F176" s="564"/>
      <c r="G176" s="563"/>
      <c r="K176" s="563"/>
      <c r="L176" s="563"/>
      <c r="R176" s="562" t="e">
        <f ca="1">_xll.qlCalendarAdvance(Calendar,R175,"1D","f")</f>
        <v>#NAME?</v>
      </c>
      <c r="S176" s="575" t="e">
        <f ca="1">_xll.qlInterpolationInterpolate(B3Minterpolation,R176,TRUE)</f>
        <v>#NAME?</v>
      </c>
      <c r="X176" s="563"/>
      <c r="Y176" s="563"/>
    </row>
    <row r="177" spans="5:25" ht="11.25" customHeight="1" x14ac:dyDescent="0.2">
      <c r="E177" s="564"/>
      <c r="F177" s="564"/>
      <c r="G177" s="563"/>
      <c r="K177" s="563"/>
      <c r="L177" s="563"/>
      <c r="R177" s="562" t="e">
        <f ca="1">_xll.qlCalendarAdvance(Calendar,R176,"1D","f")</f>
        <v>#NAME?</v>
      </c>
      <c r="S177" s="575" t="e">
        <f ca="1">_xll.qlInterpolationInterpolate(B3Minterpolation,R177,TRUE)</f>
        <v>#NAME?</v>
      </c>
      <c r="X177" s="563"/>
      <c r="Y177" s="563"/>
    </row>
    <row r="178" spans="5:25" ht="11.25" customHeight="1" x14ac:dyDescent="0.2">
      <c r="E178" s="564"/>
      <c r="F178" s="564"/>
      <c r="G178" s="563"/>
      <c r="K178" s="563"/>
      <c r="L178" s="563"/>
      <c r="R178" s="562" t="e">
        <f ca="1">_xll.qlCalendarAdvance(Calendar,R177,"1D","f")</f>
        <v>#NAME?</v>
      </c>
      <c r="S178" s="575" t="e">
        <f ca="1">_xll.qlInterpolationInterpolate(B3Minterpolation,R178,TRUE)</f>
        <v>#NAME?</v>
      </c>
      <c r="X178" s="563"/>
      <c r="Y178" s="563"/>
    </row>
    <row r="179" spans="5:25" ht="11.25" customHeight="1" x14ac:dyDescent="0.2">
      <c r="E179" s="564"/>
      <c r="F179" s="564"/>
      <c r="G179" s="563"/>
      <c r="K179" s="563"/>
      <c r="L179" s="563"/>
      <c r="R179" s="562" t="e">
        <f ca="1">_xll.qlCalendarAdvance(Calendar,R178,"1D","f")</f>
        <v>#NAME?</v>
      </c>
      <c r="S179" s="575" t="e">
        <f ca="1">_xll.qlInterpolationInterpolate(B3Minterpolation,R179,TRUE)</f>
        <v>#NAME?</v>
      </c>
      <c r="X179" s="563"/>
      <c r="Y179" s="563"/>
    </row>
    <row r="180" spans="5:25" ht="11.25" customHeight="1" x14ac:dyDescent="0.2">
      <c r="E180" s="564"/>
      <c r="F180" s="564"/>
      <c r="G180" s="563"/>
      <c r="K180" s="563"/>
      <c r="L180" s="563"/>
      <c r="R180" s="562" t="e">
        <f ca="1">_xll.qlCalendarAdvance(Calendar,R179,"1D","f")</f>
        <v>#NAME?</v>
      </c>
      <c r="S180" s="575" t="e">
        <f ca="1">_xll.qlInterpolationInterpolate(B3Minterpolation,R180,TRUE)</f>
        <v>#NAME?</v>
      </c>
      <c r="X180" s="563"/>
      <c r="Y180" s="563"/>
    </row>
    <row r="181" spans="5:25" ht="11.25" customHeight="1" x14ac:dyDescent="0.2">
      <c r="E181" s="564"/>
      <c r="F181" s="564"/>
      <c r="G181" s="563"/>
      <c r="K181" s="563"/>
      <c r="L181" s="563"/>
      <c r="R181" s="562" t="e">
        <f ca="1">_xll.qlCalendarAdvance(Calendar,R180,"1D","f")</f>
        <v>#NAME?</v>
      </c>
      <c r="S181" s="575" t="e">
        <f ca="1">_xll.qlInterpolationInterpolate(B3Minterpolation,R181,TRUE)</f>
        <v>#NAME?</v>
      </c>
      <c r="X181" s="563"/>
      <c r="Y181" s="563"/>
    </row>
    <row r="182" spans="5:25" ht="11.25" customHeight="1" x14ac:dyDescent="0.2">
      <c r="E182" s="564"/>
      <c r="F182" s="564"/>
      <c r="G182" s="563"/>
      <c r="K182" s="563"/>
      <c r="L182" s="563"/>
      <c r="R182" s="562" t="e">
        <f ca="1">_xll.qlCalendarAdvance(Calendar,R181,"1D","f")</f>
        <v>#NAME?</v>
      </c>
      <c r="S182" s="575" t="e">
        <f ca="1">_xll.qlInterpolationInterpolate(B3Minterpolation,R182,TRUE)</f>
        <v>#NAME?</v>
      </c>
      <c r="X182" s="563"/>
      <c r="Y182" s="563"/>
    </row>
    <row r="183" spans="5:25" ht="11.25" customHeight="1" x14ac:dyDescent="0.2">
      <c r="E183" s="564"/>
      <c r="F183" s="564"/>
      <c r="G183" s="563"/>
      <c r="K183" s="563"/>
      <c r="L183" s="563"/>
      <c r="R183" s="562" t="e">
        <f ca="1">_xll.qlCalendarAdvance(Calendar,R182,"1D","f")</f>
        <v>#NAME?</v>
      </c>
      <c r="S183" s="575" t="e">
        <f ca="1">_xll.qlInterpolationInterpolate(B3Minterpolation,R183,TRUE)</f>
        <v>#NAME?</v>
      </c>
      <c r="X183" s="563"/>
      <c r="Y183" s="563"/>
    </row>
    <row r="184" spans="5:25" ht="11.25" customHeight="1" x14ac:dyDescent="0.2">
      <c r="E184" s="564"/>
      <c r="F184" s="564"/>
      <c r="G184" s="563"/>
      <c r="K184" s="563"/>
      <c r="L184" s="563"/>
      <c r="R184" s="562" t="e">
        <f ca="1">_xll.qlCalendarAdvance(Calendar,R183,"1D","f")</f>
        <v>#NAME?</v>
      </c>
      <c r="S184" s="575" t="e">
        <f ca="1">_xll.qlInterpolationInterpolate(B3Minterpolation,R184,TRUE)</f>
        <v>#NAME?</v>
      </c>
      <c r="X184" s="563"/>
      <c r="Y184" s="563"/>
    </row>
    <row r="185" spans="5:25" ht="11.25" customHeight="1" x14ac:dyDescent="0.2">
      <c r="E185" s="564"/>
      <c r="F185" s="564"/>
      <c r="G185" s="563"/>
      <c r="K185" s="563"/>
      <c r="L185" s="563"/>
      <c r="R185" s="562" t="e">
        <f ca="1">_xll.qlCalendarAdvance(Calendar,R184,"1D","f")</f>
        <v>#NAME?</v>
      </c>
      <c r="S185" s="575" t="e">
        <f ca="1">_xll.qlInterpolationInterpolate(B3Minterpolation,R185,TRUE)</f>
        <v>#NAME?</v>
      </c>
      <c r="X185" s="563"/>
      <c r="Y185" s="563"/>
    </row>
    <row r="186" spans="5:25" ht="11.25" customHeight="1" x14ac:dyDescent="0.2">
      <c r="E186" s="564"/>
      <c r="F186" s="564"/>
      <c r="G186" s="563"/>
      <c r="K186" s="563"/>
      <c r="L186" s="563"/>
      <c r="R186" s="562" t="e">
        <f ca="1">_xll.qlCalendarAdvance(Calendar,R185,"1D","f")</f>
        <v>#NAME?</v>
      </c>
      <c r="S186" s="575" t="e">
        <f ca="1">_xll.qlInterpolationInterpolate(B3Minterpolation,R186,TRUE)</f>
        <v>#NAME?</v>
      </c>
      <c r="X186" s="563"/>
      <c r="Y186" s="563"/>
    </row>
    <row r="187" spans="5:25" ht="11.25" customHeight="1" x14ac:dyDescent="0.2">
      <c r="E187" s="564"/>
      <c r="F187" s="564"/>
      <c r="G187" s="563"/>
      <c r="K187" s="563"/>
      <c r="L187" s="563"/>
      <c r="R187" s="562" t="e">
        <f ca="1">_xll.qlCalendarAdvance(Calendar,R186,"1D","f")</f>
        <v>#NAME?</v>
      </c>
      <c r="S187" s="575" t="e">
        <f ca="1">_xll.qlInterpolationInterpolate(B3Minterpolation,R187,TRUE)</f>
        <v>#NAME?</v>
      </c>
      <c r="X187" s="563"/>
      <c r="Y187" s="563"/>
    </row>
    <row r="188" spans="5:25" ht="11.25" customHeight="1" x14ac:dyDescent="0.2">
      <c r="E188" s="564"/>
      <c r="F188" s="564"/>
      <c r="G188" s="563"/>
      <c r="K188" s="563"/>
      <c r="L188" s="563"/>
      <c r="R188" s="562" t="e">
        <f ca="1">_xll.qlCalendarAdvance(Calendar,R187,"1D","f")</f>
        <v>#NAME?</v>
      </c>
      <c r="S188" s="575" t="e">
        <f ca="1">_xll.qlInterpolationInterpolate(B3Minterpolation,R188,TRUE)</f>
        <v>#NAME?</v>
      </c>
      <c r="X188" s="563"/>
      <c r="Y188" s="563"/>
    </row>
    <row r="189" spans="5:25" ht="11.25" customHeight="1" x14ac:dyDescent="0.2">
      <c r="E189" s="564"/>
      <c r="F189" s="564"/>
      <c r="G189" s="563"/>
      <c r="K189" s="563"/>
      <c r="L189" s="563"/>
      <c r="R189" s="562" t="e">
        <f ca="1">_xll.qlCalendarAdvance(Calendar,R188,"1D","f")</f>
        <v>#NAME?</v>
      </c>
      <c r="S189" s="575" t="e">
        <f ca="1">_xll.qlInterpolationInterpolate(B3Minterpolation,R189,TRUE)</f>
        <v>#NAME?</v>
      </c>
      <c r="X189" s="563"/>
      <c r="Y189" s="563"/>
    </row>
    <row r="190" spans="5:25" ht="11.25" customHeight="1" x14ac:dyDescent="0.2">
      <c r="E190" s="564"/>
      <c r="F190" s="564"/>
      <c r="G190" s="563"/>
      <c r="K190" s="563"/>
      <c r="L190" s="563"/>
      <c r="R190" s="562" t="e">
        <f ca="1">_xll.qlCalendarAdvance(Calendar,R189,"1D","f")</f>
        <v>#NAME?</v>
      </c>
      <c r="S190" s="575" t="e">
        <f ca="1">_xll.qlInterpolationInterpolate(B3Minterpolation,R190,TRUE)</f>
        <v>#NAME?</v>
      </c>
      <c r="X190" s="563"/>
      <c r="Y190" s="563"/>
    </row>
    <row r="191" spans="5:25" ht="11.25" customHeight="1" x14ac:dyDescent="0.2">
      <c r="E191" s="564"/>
      <c r="F191" s="564"/>
      <c r="G191" s="563"/>
      <c r="K191" s="563"/>
      <c r="L191" s="563"/>
      <c r="R191" s="562" t="e">
        <f ca="1">_xll.qlCalendarAdvance(Calendar,R190,"1D","f")</f>
        <v>#NAME?</v>
      </c>
      <c r="S191" s="575" t="e">
        <f ca="1">_xll.qlInterpolationInterpolate(B3Minterpolation,R191,TRUE)</f>
        <v>#NAME?</v>
      </c>
      <c r="X191" s="563"/>
      <c r="Y191" s="563"/>
    </row>
    <row r="192" spans="5:25" ht="11.25" customHeight="1" x14ac:dyDescent="0.2">
      <c r="E192" s="564"/>
      <c r="F192" s="564"/>
      <c r="G192" s="563"/>
      <c r="K192" s="563"/>
      <c r="L192" s="563"/>
      <c r="R192" s="562" t="e">
        <f ca="1">_xll.qlCalendarAdvance(Calendar,R191,"1D","f")</f>
        <v>#NAME?</v>
      </c>
      <c r="S192" s="575" t="e">
        <f ca="1">_xll.qlInterpolationInterpolate(B3Minterpolation,R192,TRUE)</f>
        <v>#NAME?</v>
      </c>
      <c r="X192" s="563"/>
      <c r="Y192" s="563"/>
    </row>
    <row r="193" spans="5:25" ht="11.25" customHeight="1" x14ac:dyDescent="0.2">
      <c r="E193" s="564"/>
      <c r="F193" s="564"/>
      <c r="G193" s="563"/>
      <c r="K193" s="563"/>
      <c r="L193" s="563"/>
      <c r="R193" s="562" t="e">
        <f ca="1">_xll.qlCalendarAdvance(Calendar,R192,"1D","f")</f>
        <v>#NAME?</v>
      </c>
      <c r="S193" s="575" t="e">
        <f ca="1">_xll.qlInterpolationInterpolate(B3Minterpolation,R193,TRUE)</f>
        <v>#NAME?</v>
      </c>
      <c r="X193" s="563"/>
      <c r="Y193" s="563"/>
    </row>
    <row r="194" spans="5:25" ht="11.25" customHeight="1" x14ac:dyDescent="0.2">
      <c r="E194" s="564"/>
      <c r="F194" s="564"/>
      <c r="G194" s="563"/>
      <c r="K194" s="563"/>
      <c r="L194" s="563"/>
      <c r="R194" s="562" t="e">
        <f ca="1">_xll.qlCalendarAdvance(Calendar,R193,"1D","f")</f>
        <v>#NAME?</v>
      </c>
      <c r="S194" s="575" t="e">
        <f ca="1">_xll.qlInterpolationInterpolate(B3Minterpolation,R194,TRUE)</f>
        <v>#NAME?</v>
      </c>
      <c r="X194" s="563"/>
      <c r="Y194" s="563"/>
    </row>
    <row r="195" spans="5:25" ht="11.25" customHeight="1" x14ac:dyDescent="0.2">
      <c r="E195" s="564"/>
      <c r="F195" s="564"/>
      <c r="G195" s="563"/>
      <c r="K195" s="563"/>
      <c r="L195" s="563"/>
      <c r="R195" s="562" t="e">
        <f ca="1">_xll.qlCalendarAdvance(Calendar,R194,"1D","f")</f>
        <v>#NAME?</v>
      </c>
      <c r="S195" s="575" t="e">
        <f ca="1">_xll.qlInterpolationInterpolate(B3Minterpolation,R195,TRUE)</f>
        <v>#NAME?</v>
      </c>
      <c r="X195" s="563"/>
      <c r="Y195" s="563"/>
    </row>
    <row r="196" spans="5:25" ht="11.25" customHeight="1" x14ac:dyDescent="0.2">
      <c r="E196" s="564"/>
      <c r="F196" s="564"/>
      <c r="G196" s="563"/>
      <c r="K196" s="563"/>
      <c r="L196" s="563"/>
      <c r="R196" s="562" t="e">
        <f ca="1">_xll.qlCalendarAdvance(Calendar,R195,"1D","f")</f>
        <v>#NAME?</v>
      </c>
      <c r="S196" s="575" t="e">
        <f ca="1">_xll.qlInterpolationInterpolate(B3Minterpolation,R196,TRUE)</f>
        <v>#NAME?</v>
      </c>
      <c r="X196" s="563"/>
      <c r="Y196" s="563"/>
    </row>
    <row r="197" spans="5:25" ht="11.25" customHeight="1" x14ac:dyDescent="0.2">
      <c r="E197" s="564"/>
      <c r="F197" s="564"/>
      <c r="G197" s="563"/>
      <c r="K197" s="563"/>
      <c r="L197" s="563"/>
      <c r="R197" s="562" t="e">
        <f ca="1">_xll.qlCalendarAdvance(Calendar,R196,"1D","f")</f>
        <v>#NAME?</v>
      </c>
      <c r="S197" s="575" t="e">
        <f ca="1">_xll.qlInterpolationInterpolate(B3Minterpolation,R197,TRUE)</f>
        <v>#NAME?</v>
      </c>
      <c r="X197" s="563"/>
      <c r="Y197" s="563"/>
    </row>
    <row r="198" spans="5:25" ht="11.25" customHeight="1" x14ac:dyDescent="0.2">
      <c r="E198" s="564"/>
      <c r="F198" s="564"/>
      <c r="G198" s="563"/>
      <c r="K198" s="563"/>
      <c r="L198" s="563"/>
      <c r="R198" s="562" t="e">
        <f ca="1">_xll.qlCalendarAdvance(Calendar,R197,"1D","f")</f>
        <v>#NAME?</v>
      </c>
      <c r="S198" s="575" t="e">
        <f ca="1">_xll.qlInterpolationInterpolate(B3Minterpolation,R198,TRUE)</f>
        <v>#NAME?</v>
      </c>
      <c r="X198" s="563"/>
      <c r="Y198" s="563"/>
    </row>
    <row r="199" spans="5:25" ht="11.25" customHeight="1" x14ac:dyDescent="0.2">
      <c r="E199" s="564"/>
      <c r="F199" s="564"/>
      <c r="G199" s="563"/>
      <c r="K199" s="563"/>
      <c r="L199" s="563"/>
      <c r="R199" s="562" t="e">
        <f ca="1">_xll.qlCalendarAdvance(Calendar,R198,"1D","f")</f>
        <v>#NAME?</v>
      </c>
      <c r="S199" s="575" t="e">
        <f ca="1">_xll.qlInterpolationInterpolate(B3Minterpolation,R199,TRUE)</f>
        <v>#NAME?</v>
      </c>
      <c r="X199" s="563"/>
      <c r="Y199" s="563"/>
    </row>
    <row r="200" spans="5:25" ht="11.25" customHeight="1" x14ac:dyDescent="0.2">
      <c r="E200" s="564"/>
      <c r="F200" s="564"/>
      <c r="G200" s="563"/>
      <c r="K200" s="563"/>
      <c r="L200" s="563"/>
      <c r="R200" s="562" t="e">
        <f ca="1">_xll.qlCalendarAdvance(Calendar,R199,"1D","f")</f>
        <v>#NAME?</v>
      </c>
      <c r="S200" s="575" t="e">
        <f ca="1">_xll.qlInterpolationInterpolate(B3Minterpolation,R200,TRUE)</f>
        <v>#NAME?</v>
      </c>
      <c r="X200" s="563"/>
      <c r="Y200" s="563"/>
    </row>
    <row r="201" spans="5:25" ht="11.25" customHeight="1" x14ac:dyDescent="0.2">
      <c r="E201" s="564"/>
      <c r="F201" s="564"/>
      <c r="G201" s="563"/>
      <c r="K201" s="563"/>
      <c r="L201" s="563"/>
      <c r="R201" s="562" t="e">
        <f ca="1">_xll.qlCalendarAdvance(Calendar,R200,"1D","f")</f>
        <v>#NAME?</v>
      </c>
      <c r="S201" s="575" t="e">
        <f ca="1">_xll.qlInterpolationInterpolate(B3Minterpolation,R201,TRUE)</f>
        <v>#NAME?</v>
      </c>
      <c r="X201" s="563"/>
      <c r="Y201" s="563"/>
    </row>
    <row r="202" spans="5:25" ht="11.25" customHeight="1" x14ac:dyDescent="0.2">
      <c r="E202" s="564"/>
      <c r="F202" s="564"/>
      <c r="G202" s="563"/>
      <c r="K202" s="563"/>
      <c r="L202" s="563"/>
      <c r="R202" s="562" t="e">
        <f ca="1">_xll.qlCalendarAdvance(Calendar,R201,"1D","f")</f>
        <v>#NAME?</v>
      </c>
      <c r="S202" s="575" t="e">
        <f ca="1">_xll.qlInterpolationInterpolate(B3Minterpolation,R202,TRUE)</f>
        <v>#NAME?</v>
      </c>
      <c r="X202" s="563"/>
      <c r="Y202" s="563"/>
    </row>
    <row r="203" spans="5:25" ht="11.25" customHeight="1" x14ac:dyDescent="0.2">
      <c r="E203" s="564"/>
      <c r="F203" s="564"/>
      <c r="G203" s="563"/>
      <c r="K203" s="563"/>
      <c r="L203" s="563"/>
      <c r="R203" s="562" t="e">
        <f ca="1">_xll.qlCalendarAdvance(Calendar,R202,"1D","f")</f>
        <v>#NAME?</v>
      </c>
      <c r="S203" s="575" t="e">
        <f ca="1">_xll.qlInterpolationInterpolate(B3Minterpolation,R203,TRUE)</f>
        <v>#NAME?</v>
      </c>
      <c r="X203" s="563"/>
      <c r="Y203" s="563"/>
    </row>
    <row r="204" spans="5:25" ht="11.25" customHeight="1" x14ac:dyDescent="0.2">
      <c r="E204" s="564"/>
      <c r="F204" s="564"/>
      <c r="G204" s="563"/>
      <c r="K204" s="563"/>
      <c r="L204" s="563"/>
      <c r="R204" s="562" t="e">
        <f ca="1">_xll.qlCalendarAdvance(Calendar,R203,"1D","f")</f>
        <v>#NAME?</v>
      </c>
      <c r="S204" s="575" t="e">
        <f ca="1">_xll.qlInterpolationInterpolate(B3Minterpolation,R204,TRUE)</f>
        <v>#NAME?</v>
      </c>
      <c r="X204" s="563"/>
      <c r="Y204" s="563"/>
    </row>
    <row r="205" spans="5:25" ht="11.25" customHeight="1" x14ac:dyDescent="0.2">
      <c r="E205" s="564"/>
      <c r="F205" s="564"/>
      <c r="G205" s="563"/>
      <c r="K205" s="563"/>
      <c r="L205" s="563"/>
      <c r="R205" s="562" t="e">
        <f ca="1">_xll.qlCalendarAdvance(Calendar,R204,"1D","f")</f>
        <v>#NAME?</v>
      </c>
      <c r="S205" s="575" t="e">
        <f ca="1">_xll.qlInterpolationInterpolate(B3Minterpolation,R205,TRUE)</f>
        <v>#NAME?</v>
      </c>
      <c r="X205" s="563"/>
      <c r="Y205" s="563"/>
    </row>
    <row r="206" spans="5:25" ht="11.25" customHeight="1" x14ac:dyDescent="0.2">
      <c r="E206" s="564"/>
      <c r="F206" s="564"/>
      <c r="G206" s="563"/>
      <c r="K206" s="563"/>
      <c r="L206" s="563"/>
      <c r="R206" s="562" t="e">
        <f ca="1">_xll.qlCalendarAdvance(Calendar,R205,"1D","f")</f>
        <v>#NAME?</v>
      </c>
      <c r="S206" s="575" t="e">
        <f ca="1">_xll.qlInterpolationInterpolate(B3Minterpolation,R206,TRUE)</f>
        <v>#NAME?</v>
      </c>
      <c r="X206" s="563"/>
      <c r="Y206" s="563"/>
    </row>
    <row r="207" spans="5:25" ht="11.25" customHeight="1" x14ac:dyDescent="0.2">
      <c r="E207" s="564"/>
      <c r="F207" s="564"/>
      <c r="G207" s="563"/>
      <c r="K207" s="563"/>
      <c r="L207" s="563"/>
      <c r="R207" s="562" t="e">
        <f ca="1">_xll.qlCalendarAdvance(Calendar,R206,"1D","f")</f>
        <v>#NAME?</v>
      </c>
      <c r="S207" s="575" t="e">
        <f ca="1">_xll.qlInterpolationInterpolate(B3Minterpolation,R207,TRUE)</f>
        <v>#NAME?</v>
      </c>
      <c r="X207" s="563"/>
      <c r="Y207" s="563"/>
    </row>
    <row r="208" spans="5:25" ht="11.25" customHeight="1" x14ac:dyDescent="0.2">
      <c r="E208" s="564"/>
      <c r="F208" s="564"/>
      <c r="G208" s="563"/>
      <c r="K208" s="563"/>
      <c r="L208" s="563"/>
      <c r="R208" s="562" t="e">
        <f ca="1">_xll.qlCalendarAdvance(Calendar,R207,"1D","f")</f>
        <v>#NAME?</v>
      </c>
      <c r="S208" s="575" t="e">
        <f ca="1">_xll.qlInterpolationInterpolate(B3Minterpolation,R208,TRUE)</f>
        <v>#NAME?</v>
      </c>
      <c r="X208" s="563"/>
      <c r="Y208" s="563"/>
    </row>
    <row r="209" spans="5:25" ht="11.25" customHeight="1" x14ac:dyDescent="0.2">
      <c r="E209" s="564"/>
      <c r="F209" s="564"/>
      <c r="G209" s="563"/>
      <c r="K209" s="563"/>
      <c r="L209" s="563"/>
      <c r="R209" s="562" t="e">
        <f ca="1">_xll.qlCalendarAdvance(Calendar,R208,"1D","f")</f>
        <v>#NAME?</v>
      </c>
      <c r="S209" s="575" t="e">
        <f ca="1">_xll.qlInterpolationInterpolate(B3Minterpolation,R209,TRUE)</f>
        <v>#NAME?</v>
      </c>
      <c r="X209" s="563"/>
      <c r="Y209" s="563"/>
    </row>
    <row r="210" spans="5:25" ht="11.25" customHeight="1" x14ac:dyDescent="0.2">
      <c r="E210" s="564"/>
      <c r="F210" s="564"/>
      <c r="G210" s="563"/>
      <c r="K210" s="563"/>
      <c r="L210" s="563"/>
      <c r="R210" s="562" t="e">
        <f ca="1">_xll.qlCalendarAdvance(Calendar,R209,"1D","f")</f>
        <v>#NAME?</v>
      </c>
      <c r="S210" s="575" t="e">
        <f ca="1">_xll.qlInterpolationInterpolate(B3Minterpolation,R210,TRUE)</f>
        <v>#NAME?</v>
      </c>
      <c r="X210" s="563"/>
      <c r="Y210" s="563"/>
    </row>
    <row r="211" spans="5:25" ht="11.25" customHeight="1" x14ac:dyDescent="0.2">
      <c r="E211" s="564"/>
      <c r="F211" s="564"/>
      <c r="G211" s="563"/>
      <c r="K211" s="563"/>
      <c r="L211" s="563"/>
      <c r="R211" s="562" t="e">
        <f ca="1">_xll.qlCalendarAdvance(Calendar,R210,"1D","f")</f>
        <v>#NAME?</v>
      </c>
      <c r="S211" s="575" t="e">
        <f ca="1">_xll.qlInterpolationInterpolate(B3Minterpolation,R211,TRUE)</f>
        <v>#NAME?</v>
      </c>
      <c r="X211" s="563"/>
      <c r="Y211" s="563"/>
    </row>
    <row r="212" spans="5:25" ht="11.25" customHeight="1" x14ac:dyDescent="0.2">
      <c r="E212" s="564"/>
      <c r="F212" s="564"/>
      <c r="G212" s="563"/>
      <c r="K212" s="563"/>
      <c r="L212" s="563"/>
      <c r="R212" s="562" t="e">
        <f ca="1">_xll.qlCalendarAdvance(Calendar,R211,"1D","f")</f>
        <v>#NAME?</v>
      </c>
      <c r="S212" s="575" t="e">
        <f ca="1">_xll.qlInterpolationInterpolate(B3Minterpolation,R212,TRUE)</f>
        <v>#NAME?</v>
      </c>
      <c r="X212" s="563"/>
      <c r="Y212" s="563"/>
    </row>
    <row r="213" spans="5:25" ht="11.25" customHeight="1" x14ac:dyDescent="0.2">
      <c r="E213" s="564"/>
      <c r="F213" s="564"/>
      <c r="G213" s="563"/>
      <c r="K213" s="563"/>
      <c r="L213" s="563"/>
      <c r="R213" s="562" t="e">
        <f ca="1">_xll.qlCalendarAdvance(Calendar,R212,"1D","f")</f>
        <v>#NAME?</v>
      </c>
      <c r="S213" s="575" t="e">
        <f ca="1">_xll.qlInterpolationInterpolate(B3Minterpolation,R213,TRUE)</f>
        <v>#NAME?</v>
      </c>
      <c r="X213" s="563"/>
      <c r="Y213" s="563"/>
    </row>
    <row r="214" spans="5:25" ht="11.25" customHeight="1" x14ac:dyDescent="0.2">
      <c r="E214" s="564"/>
      <c r="F214" s="564"/>
      <c r="G214" s="563"/>
      <c r="K214" s="563"/>
      <c r="L214" s="563"/>
      <c r="R214" s="562" t="e">
        <f ca="1">_xll.qlCalendarAdvance(Calendar,R213,"1D","f")</f>
        <v>#NAME?</v>
      </c>
      <c r="S214" s="575" t="e">
        <f ca="1">_xll.qlInterpolationInterpolate(B3Minterpolation,R214,TRUE)</f>
        <v>#NAME?</v>
      </c>
      <c r="X214" s="563"/>
      <c r="Y214" s="563"/>
    </row>
    <row r="215" spans="5:25" ht="11.25" customHeight="1" x14ac:dyDescent="0.2">
      <c r="E215" s="564"/>
      <c r="F215" s="564"/>
      <c r="G215" s="563"/>
      <c r="K215" s="563"/>
      <c r="L215" s="563"/>
      <c r="R215" s="562" t="e">
        <f ca="1">_xll.qlCalendarAdvance(Calendar,R214,"1D","f")</f>
        <v>#NAME?</v>
      </c>
      <c r="S215" s="575" t="e">
        <f ca="1">_xll.qlInterpolationInterpolate(B3Minterpolation,R215,TRUE)</f>
        <v>#NAME?</v>
      </c>
      <c r="X215" s="563"/>
      <c r="Y215" s="563"/>
    </row>
    <row r="216" spans="5:25" ht="11.25" customHeight="1" x14ac:dyDescent="0.2">
      <c r="E216" s="564"/>
      <c r="F216" s="564"/>
      <c r="G216" s="563"/>
      <c r="K216" s="563"/>
      <c r="L216" s="563"/>
      <c r="R216" s="562" t="e">
        <f ca="1">_xll.qlCalendarAdvance(Calendar,R215,"1D","f")</f>
        <v>#NAME?</v>
      </c>
      <c r="S216" s="575" t="e">
        <f ca="1">_xll.qlInterpolationInterpolate(B3Minterpolation,R216,TRUE)</f>
        <v>#NAME?</v>
      </c>
      <c r="X216" s="563"/>
      <c r="Y216" s="563"/>
    </row>
    <row r="217" spans="5:25" ht="11.25" customHeight="1" x14ac:dyDescent="0.2">
      <c r="E217" s="564"/>
      <c r="F217" s="564"/>
      <c r="G217" s="563"/>
      <c r="K217" s="563"/>
      <c r="L217" s="563"/>
      <c r="R217" s="562" t="e">
        <f ca="1">_xll.qlCalendarAdvance(Calendar,R216,"1D","f")</f>
        <v>#NAME?</v>
      </c>
      <c r="S217" s="575" t="e">
        <f ca="1">_xll.qlInterpolationInterpolate(B3Minterpolation,R217,TRUE)</f>
        <v>#NAME?</v>
      </c>
      <c r="X217" s="563"/>
      <c r="Y217" s="563"/>
    </row>
    <row r="218" spans="5:25" ht="11.25" customHeight="1" x14ac:dyDescent="0.2">
      <c r="E218" s="564"/>
      <c r="F218" s="564"/>
      <c r="G218" s="563"/>
      <c r="K218" s="563"/>
      <c r="L218" s="563"/>
      <c r="R218" s="562" t="e">
        <f ca="1">_xll.qlCalendarAdvance(Calendar,R217,"1D","f")</f>
        <v>#NAME?</v>
      </c>
      <c r="S218" s="575" t="e">
        <f ca="1">_xll.qlInterpolationInterpolate(B3Minterpolation,R218,TRUE)</f>
        <v>#NAME?</v>
      </c>
      <c r="X218" s="563"/>
      <c r="Y218" s="563"/>
    </row>
    <row r="219" spans="5:25" ht="11.25" customHeight="1" x14ac:dyDescent="0.2">
      <c r="E219" s="564"/>
      <c r="F219" s="564"/>
      <c r="G219" s="563"/>
      <c r="K219" s="563"/>
      <c r="L219" s="563"/>
      <c r="R219" s="562" t="e">
        <f ca="1">_xll.qlCalendarAdvance(Calendar,R218,"1D","f")</f>
        <v>#NAME?</v>
      </c>
      <c r="S219" s="575" t="e">
        <f ca="1">_xll.qlInterpolationInterpolate(B3Minterpolation,R219,TRUE)</f>
        <v>#NAME?</v>
      </c>
      <c r="X219" s="563"/>
      <c r="Y219" s="563"/>
    </row>
    <row r="220" spans="5:25" ht="11.25" customHeight="1" x14ac:dyDescent="0.2">
      <c r="E220" s="564"/>
      <c r="F220" s="564"/>
      <c r="G220" s="563"/>
      <c r="K220" s="563"/>
      <c r="L220" s="563"/>
      <c r="R220" s="562" t="e">
        <f ca="1">_xll.qlCalendarAdvance(Calendar,R219,"1D","f")</f>
        <v>#NAME?</v>
      </c>
      <c r="S220" s="575" t="e">
        <f ca="1">_xll.qlInterpolationInterpolate(B3Minterpolation,R220,TRUE)</f>
        <v>#NAME?</v>
      </c>
      <c r="X220" s="563"/>
      <c r="Y220" s="563"/>
    </row>
    <row r="221" spans="5:25" ht="11.25" customHeight="1" x14ac:dyDescent="0.2">
      <c r="E221" s="564"/>
      <c r="F221" s="564"/>
      <c r="G221" s="563"/>
      <c r="K221" s="563"/>
      <c r="L221" s="563"/>
      <c r="R221" s="562" t="e">
        <f ca="1">_xll.qlCalendarAdvance(Calendar,R220,"1D","f")</f>
        <v>#NAME?</v>
      </c>
      <c r="S221" s="575" t="e">
        <f ca="1">_xll.qlInterpolationInterpolate(B3Minterpolation,R221,TRUE)</f>
        <v>#NAME?</v>
      </c>
      <c r="X221" s="563"/>
      <c r="Y221" s="563"/>
    </row>
    <row r="222" spans="5:25" ht="11.25" customHeight="1" x14ac:dyDescent="0.2">
      <c r="E222" s="564"/>
      <c r="F222" s="564"/>
      <c r="G222" s="563"/>
      <c r="K222" s="563"/>
      <c r="L222" s="563"/>
      <c r="R222" s="562" t="e">
        <f ca="1">_xll.qlCalendarAdvance(Calendar,R221,"1D","f")</f>
        <v>#NAME?</v>
      </c>
      <c r="S222" s="575" t="e">
        <f ca="1">_xll.qlInterpolationInterpolate(B3Minterpolation,R222,TRUE)</f>
        <v>#NAME?</v>
      </c>
      <c r="X222" s="563"/>
      <c r="Y222" s="563"/>
    </row>
    <row r="223" spans="5:25" ht="11.25" customHeight="1" x14ac:dyDescent="0.2">
      <c r="E223" s="564"/>
      <c r="F223" s="564"/>
      <c r="G223" s="563"/>
      <c r="K223" s="563"/>
      <c r="L223" s="563"/>
      <c r="R223" s="562" t="e">
        <f ca="1">_xll.qlCalendarAdvance(Calendar,R222,"1D","f")</f>
        <v>#NAME?</v>
      </c>
      <c r="S223" s="575" t="e">
        <f ca="1">_xll.qlInterpolationInterpolate(B3Minterpolation,R223,TRUE)</f>
        <v>#NAME?</v>
      </c>
      <c r="X223" s="563"/>
      <c r="Y223" s="563"/>
    </row>
    <row r="224" spans="5:25" ht="11.25" customHeight="1" x14ac:dyDescent="0.2">
      <c r="E224" s="564"/>
      <c r="F224" s="564"/>
      <c r="G224" s="563"/>
      <c r="K224" s="563"/>
      <c r="L224" s="563"/>
      <c r="R224" s="562" t="e">
        <f ca="1">_xll.qlCalendarAdvance(Calendar,R223,"1D","f")</f>
        <v>#NAME?</v>
      </c>
      <c r="S224" s="575" t="e">
        <f ca="1">_xll.qlInterpolationInterpolate(B3Minterpolation,R224,TRUE)</f>
        <v>#NAME?</v>
      </c>
      <c r="X224" s="563"/>
      <c r="Y224" s="563"/>
    </row>
    <row r="225" spans="5:25" ht="11.25" customHeight="1" x14ac:dyDescent="0.2">
      <c r="E225" s="564"/>
      <c r="F225" s="564"/>
      <c r="G225" s="563"/>
      <c r="K225" s="563"/>
      <c r="L225" s="563"/>
      <c r="R225" s="562" t="e">
        <f ca="1">_xll.qlCalendarAdvance(Calendar,R224,"1D","f")</f>
        <v>#NAME?</v>
      </c>
      <c r="S225" s="575" t="e">
        <f ca="1">_xll.qlInterpolationInterpolate(B3Minterpolation,R225,TRUE)</f>
        <v>#NAME?</v>
      </c>
      <c r="X225" s="563"/>
      <c r="Y225" s="563"/>
    </row>
    <row r="226" spans="5:25" ht="11.25" customHeight="1" x14ac:dyDescent="0.2">
      <c r="E226" s="564"/>
      <c r="F226" s="564"/>
      <c r="G226" s="563"/>
      <c r="K226" s="563"/>
      <c r="L226" s="563"/>
      <c r="R226" s="562" t="e">
        <f ca="1">_xll.qlCalendarAdvance(Calendar,R225,"1D","f")</f>
        <v>#NAME?</v>
      </c>
      <c r="S226" s="575" t="e">
        <f ca="1">_xll.qlInterpolationInterpolate(B3Minterpolation,R226,TRUE)</f>
        <v>#NAME?</v>
      </c>
      <c r="X226" s="563"/>
      <c r="Y226" s="563"/>
    </row>
    <row r="227" spans="5:25" ht="11.25" customHeight="1" x14ac:dyDescent="0.2">
      <c r="E227" s="564"/>
      <c r="F227" s="564"/>
      <c r="G227" s="563"/>
      <c r="K227" s="563"/>
      <c r="L227" s="563"/>
      <c r="R227" s="562" t="e">
        <f ca="1">_xll.qlCalendarAdvance(Calendar,R226,"1D","f")</f>
        <v>#NAME?</v>
      </c>
      <c r="S227" s="575" t="e">
        <f ca="1">_xll.qlInterpolationInterpolate(B3Minterpolation,R227,TRUE)</f>
        <v>#NAME?</v>
      </c>
      <c r="X227" s="563"/>
      <c r="Y227" s="563"/>
    </row>
    <row r="228" spans="5:25" ht="11.25" customHeight="1" x14ac:dyDescent="0.2">
      <c r="E228" s="564"/>
      <c r="F228" s="564"/>
      <c r="G228" s="563"/>
      <c r="K228" s="563"/>
      <c r="L228" s="563"/>
      <c r="R228" s="562" t="e">
        <f ca="1">_xll.qlCalendarAdvance(Calendar,R227,"1D","f")</f>
        <v>#NAME?</v>
      </c>
      <c r="S228" s="575" t="e">
        <f ca="1">_xll.qlInterpolationInterpolate(B3Minterpolation,R228,TRUE)</f>
        <v>#NAME?</v>
      </c>
      <c r="X228" s="563"/>
      <c r="Y228" s="563"/>
    </row>
    <row r="229" spans="5:25" ht="11.25" customHeight="1" x14ac:dyDescent="0.2">
      <c r="E229" s="564"/>
      <c r="F229" s="564"/>
      <c r="G229" s="563"/>
      <c r="K229" s="563"/>
      <c r="L229" s="563"/>
      <c r="R229" s="562" t="e">
        <f ca="1">_xll.qlCalendarAdvance(Calendar,R228,"1D","f")</f>
        <v>#NAME?</v>
      </c>
      <c r="S229" s="575" t="e">
        <f ca="1">_xll.qlInterpolationInterpolate(B3Minterpolation,R229,TRUE)</f>
        <v>#NAME?</v>
      </c>
      <c r="X229" s="563"/>
      <c r="Y229" s="563"/>
    </row>
    <row r="230" spans="5:25" ht="11.25" customHeight="1" x14ac:dyDescent="0.2">
      <c r="E230" s="564"/>
      <c r="F230" s="564"/>
      <c r="G230" s="563"/>
      <c r="K230" s="563"/>
      <c r="L230" s="563"/>
      <c r="R230" s="562" t="e">
        <f ca="1">_xll.qlCalendarAdvance(Calendar,R229,"1D","f")</f>
        <v>#NAME?</v>
      </c>
      <c r="S230" s="575" t="e">
        <f ca="1">_xll.qlInterpolationInterpolate(B3Minterpolation,R230,TRUE)</f>
        <v>#NAME?</v>
      </c>
      <c r="X230" s="563"/>
      <c r="Y230" s="563"/>
    </row>
    <row r="231" spans="5:25" ht="11.25" customHeight="1" x14ac:dyDescent="0.2">
      <c r="E231" s="564"/>
      <c r="F231" s="564"/>
      <c r="G231" s="563"/>
      <c r="K231" s="563"/>
      <c r="L231" s="563"/>
      <c r="R231" s="562" t="e">
        <f ca="1">_xll.qlCalendarAdvance(Calendar,R230,"1D","f")</f>
        <v>#NAME?</v>
      </c>
      <c r="S231" s="575" t="e">
        <f ca="1">_xll.qlInterpolationInterpolate(B3Minterpolation,R231,TRUE)</f>
        <v>#NAME?</v>
      </c>
      <c r="X231" s="563"/>
      <c r="Y231" s="563"/>
    </row>
    <row r="232" spans="5:25" ht="11.25" customHeight="1" x14ac:dyDescent="0.2">
      <c r="E232" s="564"/>
      <c r="F232" s="564"/>
      <c r="G232" s="563"/>
      <c r="K232" s="563"/>
      <c r="L232" s="563"/>
      <c r="R232" s="562" t="e">
        <f ca="1">_xll.qlCalendarAdvance(Calendar,R231,"1D","f")</f>
        <v>#NAME?</v>
      </c>
      <c r="S232" s="575" t="e">
        <f ca="1">_xll.qlInterpolationInterpolate(B3Minterpolation,R232,TRUE)</f>
        <v>#NAME?</v>
      </c>
      <c r="X232" s="563"/>
      <c r="Y232" s="563"/>
    </row>
    <row r="233" spans="5:25" ht="11.25" customHeight="1" x14ac:dyDescent="0.2">
      <c r="E233" s="564"/>
      <c r="F233" s="564"/>
      <c r="G233" s="563"/>
      <c r="K233" s="563"/>
      <c r="L233" s="563"/>
      <c r="R233" s="562" t="e">
        <f ca="1">_xll.qlCalendarAdvance(Calendar,R232,"1D","f")</f>
        <v>#NAME?</v>
      </c>
      <c r="S233" s="575" t="e">
        <f ca="1">_xll.qlInterpolationInterpolate(B3Minterpolation,R233,TRUE)</f>
        <v>#NAME?</v>
      </c>
      <c r="X233" s="563"/>
      <c r="Y233" s="563"/>
    </row>
    <row r="234" spans="5:25" ht="11.25" customHeight="1" x14ac:dyDescent="0.2">
      <c r="E234" s="564"/>
      <c r="F234" s="564"/>
      <c r="G234" s="563"/>
      <c r="K234" s="563"/>
      <c r="L234" s="563"/>
      <c r="R234" s="562" t="e">
        <f ca="1">_xll.qlCalendarAdvance(Calendar,R233,"1D","f")</f>
        <v>#NAME?</v>
      </c>
      <c r="S234" s="575" t="e">
        <f ca="1">_xll.qlInterpolationInterpolate(B3Minterpolation,R234,TRUE)</f>
        <v>#NAME?</v>
      </c>
      <c r="X234" s="563"/>
      <c r="Y234" s="563"/>
    </row>
    <row r="235" spans="5:25" ht="11.25" customHeight="1" x14ac:dyDescent="0.2">
      <c r="E235" s="564"/>
      <c r="F235" s="564"/>
      <c r="G235" s="563"/>
      <c r="K235" s="563"/>
      <c r="L235" s="563"/>
      <c r="R235" s="562" t="e">
        <f ca="1">_xll.qlCalendarAdvance(Calendar,R234,"1D","f")</f>
        <v>#NAME?</v>
      </c>
      <c r="S235" s="575" t="e">
        <f ca="1">_xll.qlInterpolationInterpolate(B3Minterpolation,R235,TRUE)</f>
        <v>#NAME?</v>
      </c>
      <c r="X235" s="563"/>
      <c r="Y235" s="563"/>
    </row>
    <row r="236" spans="5:25" ht="11.25" customHeight="1" x14ac:dyDescent="0.2">
      <c r="E236" s="564"/>
      <c r="F236" s="564"/>
      <c r="G236" s="563"/>
      <c r="K236" s="563"/>
      <c r="L236" s="563"/>
      <c r="R236" s="562" t="e">
        <f ca="1">_xll.qlCalendarAdvance(Calendar,R235,"1D","f")</f>
        <v>#NAME?</v>
      </c>
      <c r="S236" s="575" t="e">
        <f ca="1">_xll.qlInterpolationInterpolate(B3Minterpolation,R236,TRUE)</f>
        <v>#NAME?</v>
      </c>
      <c r="X236" s="563"/>
      <c r="Y236" s="563"/>
    </row>
    <row r="237" spans="5:25" ht="11.25" customHeight="1" x14ac:dyDescent="0.2">
      <c r="E237" s="564"/>
      <c r="F237" s="564"/>
      <c r="G237" s="563"/>
      <c r="K237" s="563"/>
      <c r="L237" s="563"/>
      <c r="R237" s="562" t="e">
        <f ca="1">_xll.qlCalendarAdvance(Calendar,R236,"1D","f")</f>
        <v>#NAME?</v>
      </c>
      <c r="S237" s="575" t="e">
        <f ca="1">_xll.qlInterpolationInterpolate(B3Minterpolation,R237,TRUE)</f>
        <v>#NAME?</v>
      </c>
      <c r="X237" s="563"/>
      <c r="Y237" s="563"/>
    </row>
    <row r="238" spans="5:25" ht="11.25" customHeight="1" x14ac:dyDescent="0.2">
      <c r="E238" s="564"/>
      <c r="F238" s="564"/>
      <c r="G238" s="563"/>
      <c r="K238" s="563"/>
      <c r="L238" s="563"/>
      <c r="R238" s="562" t="e">
        <f ca="1">_xll.qlCalendarAdvance(Calendar,R237,"1D","f")</f>
        <v>#NAME?</v>
      </c>
      <c r="S238" s="575" t="e">
        <f ca="1">_xll.qlInterpolationInterpolate(B3Minterpolation,R238,TRUE)</f>
        <v>#NAME?</v>
      </c>
      <c r="X238" s="563"/>
      <c r="Y238" s="563"/>
    </row>
    <row r="239" spans="5:25" ht="11.25" customHeight="1" x14ac:dyDescent="0.2">
      <c r="E239" s="564"/>
      <c r="F239" s="564"/>
      <c r="G239" s="563"/>
      <c r="K239" s="563"/>
      <c r="L239" s="563"/>
      <c r="R239" s="562" t="e">
        <f ca="1">_xll.qlCalendarAdvance(Calendar,R238,"1D","f")</f>
        <v>#NAME?</v>
      </c>
      <c r="S239" s="575" t="e">
        <f ca="1">_xll.qlInterpolationInterpolate(B3Minterpolation,R239,TRUE)</f>
        <v>#NAME?</v>
      </c>
      <c r="X239" s="563"/>
      <c r="Y239" s="563"/>
    </row>
    <row r="240" spans="5:25" ht="11.25" customHeight="1" x14ac:dyDescent="0.2">
      <c r="E240" s="564"/>
      <c r="F240" s="564"/>
      <c r="G240" s="563"/>
      <c r="K240" s="563"/>
      <c r="L240" s="563"/>
      <c r="R240" s="562" t="e">
        <f ca="1">_xll.qlCalendarAdvance(Calendar,R239,"1D","f")</f>
        <v>#NAME?</v>
      </c>
      <c r="S240" s="575" t="e">
        <f ca="1">_xll.qlInterpolationInterpolate(B3Minterpolation,R240,TRUE)</f>
        <v>#NAME?</v>
      </c>
      <c r="X240" s="563"/>
      <c r="Y240" s="563"/>
    </row>
    <row r="241" spans="5:25" ht="11.25" customHeight="1" x14ac:dyDescent="0.2">
      <c r="E241" s="564"/>
      <c r="F241" s="564"/>
      <c r="G241" s="563"/>
      <c r="K241" s="563"/>
      <c r="L241" s="563"/>
      <c r="R241" s="562" t="e">
        <f ca="1">_xll.qlCalendarAdvance(Calendar,R240,"1D","f")</f>
        <v>#NAME?</v>
      </c>
      <c r="S241" s="575" t="e">
        <f ca="1">_xll.qlInterpolationInterpolate(B3Minterpolation,R241,TRUE)</f>
        <v>#NAME?</v>
      </c>
      <c r="X241" s="563"/>
      <c r="Y241" s="563"/>
    </row>
    <row r="242" spans="5:25" ht="11.25" customHeight="1" x14ac:dyDescent="0.2">
      <c r="E242" s="564"/>
      <c r="F242" s="564"/>
      <c r="G242" s="563"/>
      <c r="K242" s="563"/>
      <c r="L242" s="563"/>
      <c r="R242" s="562" t="e">
        <f ca="1">_xll.qlCalendarAdvance(Calendar,R241,"1D","f")</f>
        <v>#NAME?</v>
      </c>
      <c r="S242" s="575" t="e">
        <f ca="1">_xll.qlInterpolationInterpolate(B3Minterpolation,R242,TRUE)</f>
        <v>#NAME?</v>
      </c>
      <c r="X242" s="563"/>
      <c r="Y242" s="563"/>
    </row>
    <row r="243" spans="5:25" ht="11.25" customHeight="1" x14ac:dyDescent="0.2">
      <c r="E243" s="564"/>
      <c r="F243" s="564"/>
      <c r="G243" s="563"/>
      <c r="K243" s="563"/>
      <c r="L243" s="563"/>
      <c r="R243" s="562" t="e">
        <f ca="1">_xll.qlCalendarAdvance(Calendar,R242,"1D","f")</f>
        <v>#NAME?</v>
      </c>
      <c r="S243" s="575" t="e">
        <f ca="1">_xll.qlInterpolationInterpolate(B3Minterpolation,R243,TRUE)</f>
        <v>#NAME?</v>
      </c>
      <c r="X243" s="563"/>
      <c r="Y243" s="563"/>
    </row>
    <row r="244" spans="5:25" ht="11.25" customHeight="1" x14ac:dyDescent="0.2">
      <c r="E244" s="564"/>
      <c r="F244" s="564"/>
      <c r="G244" s="563"/>
      <c r="K244" s="563"/>
      <c r="L244" s="563"/>
      <c r="R244" s="562" t="e">
        <f ca="1">_xll.qlCalendarAdvance(Calendar,R243,"1D","f")</f>
        <v>#NAME?</v>
      </c>
      <c r="S244" s="575" t="e">
        <f ca="1">_xll.qlInterpolationInterpolate(B3Minterpolation,R244,TRUE)</f>
        <v>#NAME?</v>
      </c>
      <c r="X244" s="563"/>
      <c r="Y244" s="563"/>
    </row>
    <row r="245" spans="5:25" ht="11.25" customHeight="1" x14ac:dyDescent="0.2">
      <c r="E245" s="564"/>
      <c r="F245" s="564"/>
      <c r="G245" s="563"/>
      <c r="K245" s="563"/>
      <c r="L245" s="563"/>
      <c r="R245" s="562" t="e">
        <f ca="1">_xll.qlCalendarAdvance(Calendar,R244,"1D","f")</f>
        <v>#NAME?</v>
      </c>
      <c r="S245" s="575" t="e">
        <f ca="1">_xll.qlInterpolationInterpolate(B3Minterpolation,R245,TRUE)</f>
        <v>#NAME?</v>
      </c>
      <c r="X245" s="563"/>
      <c r="Y245" s="563"/>
    </row>
    <row r="246" spans="5:25" ht="11.25" customHeight="1" x14ac:dyDescent="0.2">
      <c r="E246" s="564"/>
      <c r="F246" s="564"/>
      <c r="G246" s="563"/>
      <c r="K246" s="563"/>
      <c r="L246" s="563"/>
      <c r="R246" s="562" t="e">
        <f ca="1">_xll.qlCalendarAdvance(Calendar,R245,"1D","f")</f>
        <v>#NAME?</v>
      </c>
      <c r="S246" s="575" t="e">
        <f ca="1">_xll.qlInterpolationInterpolate(B3Minterpolation,R246,TRUE)</f>
        <v>#NAME?</v>
      </c>
      <c r="X246" s="563"/>
      <c r="Y246" s="563"/>
    </row>
    <row r="247" spans="5:25" ht="11.25" customHeight="1" x14ac:dyDescent="0.2">
      <c r="E247" s="564"/>
      <c r="F247" s="564"/>
      <c r="G247" s="563"/>
      <c r="K247" s="563"/>
      <c r="L247" s="563"/>
      <c r="R247" s="562" t="e">
        <f ca="1">_xll.qlCalendarAdvance(Calendar,R246,"1D","f")</f>
        <v>#NAME?</v>
      </c>
      <c r="S247" s="575" t="e">
        <f ca="1">_xll.qlInterpolationInterpolate(B3Minterpolation,R247,TRUE)</f>
        <v>#NAME?</v>
      </c>
      <c r="X247" s="563"/>
      <c r="Y247" s="563"/>
    </row>
    <row r="248" spans="5:25" ht="11.25" customHeight="1" x14ac:dyDescent="0.2">
      <c r="E248" s="564"/>
      <c r="F248" s="564"/>
      <c r="G248" s="563"/>
      <c r="K248" s="563"/>
      <c r="L248" s="563"/>
      <c r="R248" s="562" t="e">
        <f ca="1">_xll.qlCalendarAdvance(Calendar,R247,"1D","f")</f>
        <v>#NAME?</v>
      </c>
      <c r="S248" s="575" t="e">
        <f ca="1">_xll.qlInterpolationInterpolate(B3Minterpolation,R248,TRUE)</f>
        <v>#NAME?</v>
      </c>
      <c r="X248" s="563"/>
      <c r="Y248" s="563"/>
    </row>
    <row r="249" spans="5:25" ht="11.25" customHeight="1" x14ac:dyDescent="0.2">
      <c r="E249" s="564"/>
      <c r="F249" s="564"/>
      <c r="G249" s="563"/>
      <c r="K249" s="563"/>
      <c r="L249" s="563"/>
      <c r="R249" s="562" t="e">
        <f ca="1">_xll.qlCalendarAdvance(Calendar,R248,"1D","f")</f>
        <v>#NAME?</v>
      </c>
      <c r="S249" s="575" t="e">
        <f ca="1">_xll.qlInterpolationInterpolate(B3Minterpolation,R249,TRUE)</f>
        <v>#NAME?</v>
      </c>
      <c r="X249" s="563"/>
      <c r="Y249" s="563"/>
    </row>
    <row r="250" spans="5:25" ht="11.25" customHeight="1" x14ac:dyDescent="0.2">
      <c r="E250" s="564"/>
      <c r="F250" s="564"/>
      <c r="G250" s="563"/>
      <c r="K250" s="563"/>
      <c r="L250" s="563"/>
      <c r="R250" s="562" t="e">
        <f ca="1">_xll.qlCalendarAdvance(Calendar,R249,"1D","f")</f>
        <v>#NAME?</v>
      </c>
      <c r="S250" s="575" t="e">
        <f ca="1">_xll.qlInterpolationInterpolate(B3Minterpolation,R250,TRUE)</f>
        <v>#NAME?</v>
      </c>
      <c r="X250" s="563"/>
      <c r="Y250" s="563"/>
    </row>
    <row r="251" spans="5:25" ht="11.25" customHeight="1" x14ac:dyDescent="0.2">
      <c r="E251" s="564"/>
      <c r="F251" s="564"/>
      <c r="G251" s="563"/>
      <c r="K251" s="563"/>
      <c r="L251" s="563"/>
      <c r="R251" s="562" t="e">
        <f ca="1">_xll.qlCalendarAdvance(Calendar,R250,"1D","f")</f>
        <v>#NAME?</v>
      </c>
      <c r="S251" s="575" t="e">
        <f ca="1">_xll.qlInterpolationInterpolate(B3Minterpolation,R251,TRUE)</f>
        <v>#NAME?</v>
      </c>
      <c r="X251" s="563"/>
      <c r="Y251" s="563"/>
    </row>
    <row r="252" spans="5:25" ht="11.25" customHeight="1" x14ac:dyDescent="0.2">
      <c r="E252" s="564"/>
      <c r="F252" s="564"/>
      <c r="G252" s="563"/>
      <c r="K252" s="563"/>
      <c r="L252" s="563"/>
      <c r="R252" s="562" t="e">
        <f ca="1">_xll.qlCalendarAdvance(Calendar,R251,"1D","f")</f>
        <v>#NAME?</v>
      </c>
      <c r="S252" s="575" t="e">
        <f ca="1">_xll.qlInterpolationInterpolate(B3Minterpolation,R252,TRUE)</f>
        <v>#NAME?</v>
      </c>
      <c r="X252" s="563"/>
      <c r="Y252" s="563"/>
    </row>
    <row r="253" spans="5:25" ht="11.25" customHeight="1" x14ac:dyDescent="0.2">
      <c r="E253" s="564"/>
      <c r="F253" s="564"/>
      <c r="G253" s="563"/>
      <c r="K253" s="563"/>
      <c r="L253" s="563"/>
      <c r="R253" s="562" t="e">
        <f ca="1">_xll.qlCalendarAdvance(Calendar,R252,"1D","f")</f>
        <v>#NAME?</v>
      </c>
      <c r="S253" s="575" t="e">
        <f ca="1">_xll.qlInterpolationInterpolate(B3Minterpolation,R253,TRUE)</f>
        <v>#NAME?</v>
      </c>
      <c r="X253" s="563"/>
      <c r="Y253" s="563"/>
    </row>
    <row r="254" spans="5:25" ht="11.25" customHeight="1" x14ac:dyDescent="0.2">
      <c r="E254" s="564"/>
      <c r="F254" s="564"/>
      <c r="G254" s="563"/>
      <c r="K254" s="563"/>
      <c r="L254" s="563"/>
      <c r="R254" s="562" t="e">
        <f ca="1">_xll.qlCalendarAdvance(Calendar,R253,"1D","f")</f>
        <v>#NAME?</v>
      </c>
      <c r="S254" s="575" t="e">
        <f ca="1">_xll.qlInterpolationInterpolate(B3Minterpolation,R254,TRUE)</f>
        <v>#NAME?</v>
      </c>
      <c r="X254" s="563"/>
      <c r="Y254" s="563"/>
    </row>
    <row r="255" spans="5:25" ht="11.25" customHeight="1" x14ac:dyDescent="0.2">
      <c r="E255" s="564"/>
      <c r="F255" s="564"/>
      <c r="G255" s="563"/>
      <c r="K255" s="563"/>
      <c r="L255" s="563"/>
      <c r="R255" s="562" t="e">
        <f ca="1">_xll.qlCalendarAdvance(Calendar,R254,"1D","f")</f>
        <v>#NAME?</v>
      </c>
      <c r="S255" s="575" t="e">
        <f ca="1">_xll.qlInterpolationInterpolate(B3Minterpolation,R255,TRUE)</f>
        <v>#NAME?</v>
      </c>
      <c r="X255" s="563"/>
      <c r="Y255" s="563"/>
    </row>
    <row r="256" spans="5:25" ht="11.25" customHeight="1" x14ac:dyDescent="0.2">
      <c r="E256" s="564"/>
      <c r="F256" s="564"/>
      <c r="G256" s="563"/>
      <c r="K256" s="563"/>
      <c r="L256" s="563"/>
      <c r="R256" s="562" t="e">
        <f ca="1">_xll.qlCalendarAdvance(Calendar,R255,"1D","f")</f>
        <v>#NAME?</v>
      </c>
      <c r="S256" s="575" t="e">
        <f ca="1">_xll.qlInterpolationInterpolate(B3Minterpolation,R256,TRUE)</f>
        <v>#NAME?</v>
      </c>
      <c r="X256" s="563"/>
      <c r="Y256" s="563"/>
    </row>
    <row r="257" spans="5:25" ht="11.25" customHeight="1" x14ac:dyDescent="0.2">
      <c r="E257" s="564"/>
      <c r="F257" s="564"/>
      <c r="G257" s="563"/>
      <c r="K257" s="563"/>
      <c r="L257" s="563"/>
      <c r="R257" s="562" t="e">
        <f ca="1">_xll.qlCalendarAdvance(Calendar,R256,"1D","f")</f>
        <v>#NAME?</v>
      </c>
      <c r="S257" s="575" t="e">
        <f ca="1">_xll.qlInterpolationInterpolate(B3Minterpolation,R257,TRUE)</f>
        <v>#NAME?</v>
      </c>
      <c r="X257" s="563"/>
      <c r="Y257" s="563"/>
    </row>
    <row r="258" spans="5:25" ht="11.25" customHeight="1" x14ac:dyDescent="0.2">
      <c r="E258" s="564"/>
      <c r="F258" s="564"/>
      <c r="G258" s="563"/>
      <c r="K258" s="563"/>
      <c r="L258" s="563"/>
      <c r="R258" s="562" t="e">
        <f ca="1">_xll.qlCalendarAdvance(Calendar,R257,"1D","f")</f>
        <v>#NAME?</v>
      </c>
      <c r="S258" s="575" t="e">
        <f ca="1">_xll.qlInterpolationInterpolate(B3Minterpolation,R258,TRUE)</f>
        <v>#NAME?</v>
      </c>
      <c r="X258" s="563"/>
      <c r="Y258" s="563"/>
    </row>
    <row r="259" spans="5:25" ht="11.25" customHeight="1" x14ac:dyDescent="0.2">
      <c r="E259" s="564"/>
      <c r="F259" s="564"/>
      <c r="G259" s="563"/>
      <c r="K259" s="563"/>
      <c r="L259" s="563"/>
      <c r="R259" s="562" t="e">
        <f ca="1">_xll.qlCalendarAdvance(Calendar,R258,"1D","f")</f>
        <v>#NAME?</v>
      </c>
      <c r="S259" s="575" t="e">
        <f ca="1">_xll.qlInterpolationInterpolate(B3Minterpolation,R259,TRUE)</f>
        <v>#NAME?</v>
      </c>
      <c r="X259" s="563"/>
      <c r="Y259" s="563"/>
    </row>
    <row r="260" spans="5:25" ht="11.25" customHeight="1" x14ac:dyDescent="0.2">
      <c r="E260" s="564"/>
      <c r="F260" s="564"/>
      <c r="G260" s="563"/>
      <c r="K260" s="563"/>
      <c r="L260" s="563"/>
      <c r="R260" s="562" t="e">
        <f ca="1">_xll.qlCalendarAdvance(Calendar,R259,"1D","f")</f>
        <v>#NAME?</v>
      </c>
      <c r="S260" s="575" t="e">
        <f ca="1">_xll.qlInterpolationInterpolate(B3Minterpolation,R260,TRUE)</f>
        <v>#NAME?</v>
      </c>
      <c r="X260" s="563"/>
      <c r="Y260" s="563"/>
    </row>
    <row r="261" spans="5:25" ht="11.25" customHeight="1" x14ac:dyDescent="0.2">
      <c r="E261" s="564"/>
      <c r="F261" s="564"/>
      <c r="G261" s="563"/>
      <c r="K261" s="563"/>
      <c r="L261" s="563"/>
      <c r="R261" s="560" t="e">
        <f ca="1">_xll.qlCalendarAdvance(Calendar,R260,"1D","f")</f>
        <v>#NAME?</v>
      </c>
      <c r="S261" s="568" t="e">
        <f ca="1">_xll.qlInterpolationInterpolate(B3Minterpolation,R261,TRUE)</f>
        <v>#NAME?</v>
      </c>
      <c r="X261" s="563"/>
      <c r="Y261" s="563"/>
    </row>
    <row r="262" spans="5:25" ht="11.25" customHeight="1" x14ac:dyDescent="0.2">
      <c r="E262" s="564"/>
      <c r="F262" s="564"/>
      <c r="G262" s="563"/>
      <c r="K262" s="563"/>
      <c r="L262" s="563"/>
      <c r="R262" s="558"/>
      <c r="S262" s="558"/>
      <c r="X262" s="563"/>
      <c r="Y262" s="563"/>
    </row>
    <row r="263" spans="5:25" ht="11.25" customHeight="1" x14ac:dyDescent="0.2">
      <c r="E263" s="564"/>
      <c r="F263" s="564"/>
      <c r="G263" s="563"/>
      <c r="K263" s="563"/>
      <c r="L263" s="563"/>
      <c r="R263" s="558"/>
      <c r="S263" s="558"/>
      <c r="X263" s="563"/>
      <c r="Y263" s="563"/>
    </row>
    <row r="264" spans="5:25" ht="11.25" customHeight="1" x14ac:dyDescent="0.2">
      <c r="E264" s="564"/>
      <c r="F264" s="564"/>
      <c r="G264" s="563"/>
      <c r="K264" s="563"/>
      <c r="L264" s="563"/>
      <c r="R264" s="558"/>
      <c r="S264" s="558"/>
      <c r="X264" s="563"/>
      <c r="Y264" s="563"/>
    </row>
    <row r="265" spans="5:25" ht="11.25" customHeight="1" x14ac:dyDescent="0.2">
      <c r="E265" s="564"/>
      <c r="F265" s="564"/>
      <c r="G265" s="563"/>
      <c r="K265" s="563"/>
      <c r="L265" s="563"/>
      <c r="R265" s="558"/>
      <c r="S265" s="558"/>
      <c r="X265" s="563"/>
      <c r="Y265" s="563"/>
    </row>
    <row r="266" spans="5:25" ht="11.25" customHeight="1" x14ac:dyDescent="0.2">
      <c r="E266" s="564"/>
      <c r="F266" s="564"/>
      <c r="G266" s="563"/>
      <c r="K266" s="563"/>
      <c r="L266" s="563"/>
      <c r="R266" s="558"/>
      <c r="S266" s="558"/>
      <c r="X266" s="563"/>
      <c r="Y266" s="563"/>
    </row>
    <row r="267" spans="5:25" ht="11.25" customHeight="1" x14ac:dyDescent="0.2">
      <c r="E267" s="564"/>
      <c r="F267" s="564"/>
      <c r="G267" s="563"/>
      <c r="K267" s="563"/>
      <c r="L267" s="563"/>
      <c r="R267" s="558"/>
      <c r="S267" s="558"/>
      <c r="X267" s="563"/>
      <c r="Y267" s="563"/>
    </row>
    <row r="268" spans="5:25" ht="11.25" customHeight="1" x14ac:dyDescent="0.2">
      <c r="E268" s="564"/>
      <c r="F268" s="564"/>
      <c r="G268" s="563"/>
      <c r="K268" s="563"/>
      <c r="L268" s="563"/>
      <c r="R268" s="558"/>
      <c r="S268" s="558"/>
      <c r="X268" s="563"/>
      <c r="Y268" s="563"/>
    </row>
    <row r="269" spans="5:25" ht="11.25" customHeight="1" x14ac:dyDescent="0.2">
      <c r="E269" s="564"/>
      <c r="F269" s="564"/>
      <c r="G269" s="563"/>
      <c r="K269" s="563"/>
      <c r="L269" s="563"/>
      <c r="R269" s="558"/>
      <c r="S269" s="558"/>
      <c r="X269" s="563"/>
      <c r="Y269" s="563"/>
    </row>
    <row r="270" spans="5:25" ht="11.25" customHeight="1" x14ac:dyDescent="0.2">
      <c r="E270" s="564"/>
      <c r="F270" s="564"/>
      <c r="G270" s="563"/>
      <c r="K270" s="563"/>
      <c r="L270" s="563"/>
      <c r="R270" s="558"/>
      <c r="S270" s="558"/>
      <c r="X270" s="563"/>
      <c r="Y270" s="563"/>
    </row>
    <row r="271" spans="5:25" ht="11.25" customHeight="1" x14ac:dyDescent="0.2">
      <c r="E271" s="564"/>
      <c r="F271" s="564"/>
      <c r="G271" s="563"/>
      <c r="K271" s="563"/>
      <c r="L271" s="563"/>
      <c r="R271" s="558"/>
      <c r="S271" s="558"/>
      <c r="X271" s="563"/>
      <c r="Y271" s="563"/>
    </row>
    <row r="272" spans="5:25" ht="11.25" customHeight="1" x14ac:dyDescent="0.2">
      <c r="E272" s="564"/>
      <c r="F272" s="564"/>
      <c r="G272" s="563"/>
      <c r="K272" s="563"/>
      <c r="L272" s="563"/>
      <c r="R272" s="558"/>
      <c r="S272" s="558"/>
      <c r="X272" s="563"/>
      <c r="Y272" s="563"/>
    </row>
    <row r="273" spans="5:25" ht="11.25" customHeight="1" x14ac:dyDescent="0.2">
      <c r="E273" s="564"/>
      <c r="F273" s="564"/>
      <c r="G273" s="563"/>
      <c r="K273" s="563"/>
      <c r="L273" s="563"/>
      <c r="R273" s="558"/>
      <c r="S273" s="558"/>
      <c r="X273" s="563"/>
      <c r="Y273" s="563"/>
    </row>
    <row r="274" spans="5:25" ht="11.25" customHeight="1" x14ac:dyDescent="0.2">
      <c r="E274" s="564"/>
      <c r="F274" s="564"/>
      <c r="G274" s="563"/>
      <c r="K274" s="563"/>
      <c r="L274" s="563"/>
      <c r="R274" s="558"/>
      <c r="S274" s="558"/>
      <c r="X274" s="563"/>
      <c r="Y274" s="563"/>
    </row>
    <row r="275" spans="5:25" ht="11.25" customHeight="1" x14ac:dyDescent="0.2">
      <c r="E275" s="564"/>
      <c r="F275" s="564"/>
      <c r="G275" s="563"/>
      <c r="K275" s="563"/>
      <c r="L275" s="563"/>
      <c r="R275" s="558"/>
      <c r="S275" s="558"/>
      <c r="X275" s="563"/>
      <c r="Y275" s="563"/>
    </row>
    <row r="276" spans="5:25" ht="11.25" customHeight="1" x14ac:dyDescent="0.2">
      <c r="E276" s="564"/>
      <c r="F276" s="564"/>
      <c r="G276" s="563"/>
      <c r="K276" s="563"/>
      <c r="L276" s="563"/>
      <c r="R276" s="558"/>
      <c r="S276" s="558"/>
      <c r="X276" s="563"/>
      <c r="Y276" s="563"/>
    </row>
    <row r="277" spans="5:25" ht="11.25" customHeight="1" x14ac:dyDescent="0.2">
      <c r="E277" s="564"/>
      <c r="F277" s="564"/>
      <c r="G277" s="563"/>
      <c r="K277" s="563"/>
      <c r="L277" s="563"/>
      <c r="R277" s="558"/>
      <c r="S277" s="558"/>
      <c r="X277" s="563"/>
      <c r="Y277" s="563"/>
    </row>
    <row r="278" spans="5:25" ht="11.25" customHeight="1" x14ac:dyDescent="0.2">
      <c r="E278" s="564"/>
      <c r="F278" s="564"/>
      <c r="G278" s="563"/>
      <c r="K278" s="563"/>
      <c r="L278" s="563"/>
      <c r="R278" s="558"/>
      <c r="S278" s="558"/>
      <c r="X278" s="563"/>
      <c r="Y278" s="563"/>
    </row>
    <row r="279" spans="5:25" ht="11.25" customHeight="1" x14ac:dyDescent="0.2">
      <c r="E279" s="564"/>
      <c r="F279" s="564"/>
      <c r="G279" s="563"/>
      <c r="K279" s="563"/>
      <c r="L279" s="563"/>
      <c r="R279" s="558"/>
      <c r="S279" s="558"/>
      <c r="X279" s="563"/>
      <c r="Y279" s="563"/>
    </row>
    <row r="280" spans="5:25" ht="11.25" customHeight="1" x14ac:dyDescent="0.2">
      <c r="E280" s="564"/>
      <c r="F280" s="564"/>
      <c r="G280" s="563"/>
      <c r="K280" s="563"/>
      <c r="L280" s="563"/>
      <c r="R280" s="558"/>
      <c r="S280" s="558"/>
      <c r="X280" s="563"/>
      <c r="Y280" s="563"/>
    </row>
    <row r="281" spans="5:25" ht="11.25" customHeight="1" x14ac:dyDescent="0.2">
      <c r="E281" s="564"/>
      <c r="F281" s="564"/>
      <c r="G281" s="563"/>
      <c r="K281" s="563"/>
      <c r="L281" s="563"/>
      <c r="R281" s="558"/>
      <c r="S281" s="558"/>
      <c r="X281" s="563"/>
      <c r="Y281" s="563"/>
    </row>
    <row r="282" spans="5:25" ht="11.25" customHeight="1" x14ac:dyDescent="0.2">
      <c r="E282" s="564"/>
      <c r="F282" s="564"/>
      <c r="G282" s="563"/>
      <c r="K282" s="563"/>
      <c r="L282" s="563"/>
      <c r="R282" s="558"/>
      <c r="S282" s="558"/>
      <c r="X282" s="563"/>
      <c r="Y282" s="563"/>
    </row>
    <row r="283" spans="5:25" ht="11.25" customHeight="1" x14ac:dyDescent="0.2">
      <c r="E283" s="564"/>
      <c r="F283" s="564"/>
      <c r="G283" s="563"/>
      <c r="K283" s="563"/>
      <c r="L283" s="563"/>
      <c r="R283" s="558"/>
      <c r="S283" s="558"/>
      <c r="X283" s="563"/>
      <c r="Y283" s="563"/>
    </row>
    <row r="284" spans="5:25" ht="11.25" customHeight="1" x14ac:dyDescent="0.2">
      <c r="E284" s="564"/>
      <c r="F284" s="564"/>
      <c r="G284" s="563"/>
      <c r="K284" s="563"/>
      <c r="L284" s="563"/>
      <c r="R284" s="558"/>
      <c r="S284" s="558"/>
      <c r="X284" s="563"/>
      <c r="Y284" s="563"/>
    </row>
    <row r="285" spans="5:25" ht="11.25" customHeight="1" x14ac:dyDescent="0.2">
      <c r="E285" s="564"/>
      <c r="F285" s="564"/>
      <c r="G285" s="563"/>
      <c r="K285" s="563"/>
      <c r="L285" s="563"/>
      <c r="R285" s="558"/>
      <c r="S285" s="558"/>
      <c r="X285" s="563"/>
      <c r="Y285" s="563"/>
    </row>
    <row r="286" spans="5:25" ht="11.25" customHeight="1" x14ac:dyDescent="0.2">
      <c r="E286" s="564"/>
      <c r="F286" s="564"/>
      <c r="G286" s="563"/>
      <c r="K286" s="563"/>
      <c r="L286" s="563"/>
      <c r="R286" s="558"/>
      <c r="S286" s="558"/>
      <c r="X286" s="563"/>
      <c r="Y286" s="563"/>
    </row>
    <row r="287" spans="5:25" ht="11.25" customHeight="1" x14ac:dyDescent="0.2">
      <c r="E287" s="564"/>
      <c r="F287" s="564"/>
      <c r="G287" s="563"/>
      <c r="K287" s="563"/>
      <c r="L287" s="563"/>
      <c r="R287" s="558"/>
      <c r="S287" s="558"/>
      <c r="X287" s="563"/>
      <c r="Y287" s="563"/>
    </row>
    <row r="288" spans="5:25" ht="11.25" customHeight="1" x14ac:dyDescent="0.2">
      <c r="E288" s="564"/>
      <c r="F288" s="564"/>
      <c r="G288" s="563"/>
      <c r="K288" s="563"/>
      <c r="L288" s="563"/>
      <c r="R288" s="558"/>
      <c r="S288" s="558"/>
      <c r="X288" s="563"/>
      <c r="Y288" s="563"/>
    </row>
    <row r="289" spans="5:25" ht="11.25" customHeight="1" x14ac:dyDescent="0.2">
      <c r="E289" s="564"/>
      <c r="F289" s="564"/>
      <c r="G289" s="563"/>
      <c r="K289" s="563"/>
      <c r="L289" s="563"/>
      <c r="R289" s="558"/>
      <c r="S289" s="558"/>
      <c r="X289" s="563"/>
      <c r="Y289" s="563"/>
    </row>
    <row r="290" spans="5:25" ht="11.25" customHeight="1" x14ac:dyDescent="0.2">
      <c r="E290" s="564"/>
      <c r="F290" s="564"/>
      <c r="G290" s="563"/>
      <c r="K290" s="563"/>
      <c r="L290" s="563"/>
      <c r="R290" s="558"/>
      <c r="S290" s="558"/>
      <c r="X290" s="563"/>
      <c r="Y290" s="563"/>
    </row>
    <row r="291" spans="5:25" ht="11.25" customHeight="1" x14ac:dyDescent="0.2">
      <c r="E291" s="564"/>
      <c r="F291" s="564"/>
      <c r="G291" s="563"/>
      <c r="K291" s="563"/>
      <c r="L291" s="563"/>
      <c r="R291" s="558"/>
      <c r="S291" s="558"/>
      <c r="X291" s="563"/>
      <c r="Y291" s="563"/>
    </row>
    <row r="292" spans="5:25" ht="11.25" customHeight="1" x14ac:dyDescent="0.2">
      <c r="E292" s="564"/>
      <c r="F292" s="564"/>
      <c r="G292" s="563"/>
      <c r="K292" s="563"/>
      <c r="L292" s="563"/>
      <c r="R292" s="558"/>
      <c r="S292" s="558"/>
      <c r="X292" s="563"/>
      <c r="Y292" s="563"/>
    </row>
    <row r="293" spans="5:25" ht="11.25" customHeight="1" x14ac:dyDescent="0.2">
      <c r="E293" s="564"/>
      <c r="F293" s="564"/>
      <c r="G293" s="563"/>
      <c r="K293" s="563"/>
      <c r="L293" s="563"/>
      <c r="R293" s="558"/>
      <c r="S293" s="558"/>
      <c r="X293" s="563"/>
      <c r="Y293" s="563"/>
    </row>
    <row r="294" spans="5:25" ht="11.25" customHeight="1" x14ac:dyDescent="0.2">
      <c r="E294" s="564"/>
      <c r="F294" s="564"/>
      <c r="G294" s="563"/>
      <c r="K294" s="563"/>
      <c r="L294" s="563"/>
      <c r="R294" s="558"/>
      <c r="S294" s="558"/>
      <c r="X294" s="563"/>
      <c r="Y294" s="563"/>
    </row>
    <row r="295" spans="5:25" ht="11.25" customHeight="1" x14ac:dyDescent="0.2">
      <c r="E295" s="564"/>
      <c r="F295" s="564"/>
      <c r="G295" s="563"/>
      <c r="K295" s="563"/>
      <c r="L295" s="563"/>
      <c r="R295" s="558"/>
      <c r="S295" s="558"/>
      <c r="X295" s="563"/>
      <c r="Y295" s="563"/>
    </row>
    <row r="296" spans="5:25" ht="11.25" customHeight="1" x14ac:dyDescent="0.2">
      <c r="E296" s="564"/>
      <c r="F296" s="564"/>
      <c r="G296" s="563"/>
      <c r="K296" s="563"/>
      <c r="L296" s="563"/>
      <c r="R296" s="558"/>
      <c r="S296" s="558"/>
      <c r="X296" s="563"/>
      <c r="Y296" s="563"/>
    </row>
    <row r="297" spans="5:25" ht="11.25" customHeight="1" x14ac:dyDescent="0.2">
      <c r="E297" s="564"/>
      <c r="F297" s="564"/>
      <c r="G297" s="563"/>
      <c r="K297" s="563"/>
      <c r="L297" s="563"/>
      <c r="R297" s="558"/>
      <c r="S297" s="558"/>
      <c r="X297" s="563"/>
      <c r="Y297" s="563"/>
    </row>
    <row r="298" spans="5:25" ht="11.25" customHeight="1" x14ac:dyDescent="0.2">
      <c r="E298" s="564"/>
      <c r="F298" s="564"/>
      <c r="G298" s="563"/>
      <c r="K298" s="563"/>
      <c r="L298" s="563"/>
      <c r="R298" s="558"/>
      <c r="S298" s="558"/>
      <c r="X298" s="563"/>
      <c r="Y298" s="563"/>
    </row>
    <row r="299" spans="5:25" ht="11.25" customHeight="1" x14ac:dyDescent="0.2">
      <c r="E299" s="564"/>
      <c r="F299" s="564"/>
      <c r="G299" s="563"/>
      <c r="K299" s="563"/>
      <c r="L299" s="563"/>
      <c r="R299" s="558"/>
      <c r="S299" s="558"/>
      <c r="X299" s="563"/>
      <c r="Y299" s="563"/>
    </row>
    <row r="300" spans="5:25" ht="11.25" customHeight="1" x14ac:dyDescent="0.2">
      <c r="E300" s="564"/>
      <c r="F300" s="564"/>
      <c r="G300" s="563"/>
      <c r="K300" s="563"/>
      <c r="L300" s="563"/>
      <c r="R300" s="558"/>
      <c r="S300" s="558"/>
      <c r="X300" s="563"/>
      <c r="Y300" s="563"/>
    </row>
    <row r="301" spans="5:25" ht="11.25" customHeight="1" x14ac:dyDescent="0.2">
      <c r="E301" s="564"/>
      <c r="F301" s="564"/>
      <c r="G301" s="563"/>
      <c r="K301" s="563"/>
      <c r="L301" s="563"/>
      <c r="R301" s="558"/>
      <c r="S301" s="558"/>
      <c r="X301" s="563"/>
      <c r="Y301" s="563"/>
    </row>
    <row r="302" spans="5:25" ht="11.25" customHeight="1" x14ac:dyDescent="0.2">
      <c r="E302" s="564"/>
      <c r="F302" s="564"/>
      <c r="G302" s="563"/>
      <c r="K302" s="563"/>
      <c r="L302" s="563"/>
      <c r="R302" s="558"/>
      <c r="S302" s="558"/>
      <c r="X302" s="563"/>
      <c r="Y302" s="563"/>
    </row>
    <row r="303" spans="5:25" ht="11.25" customHeight="1" x14ac:dyDescent="0.2">
      <c r="E303" s="564"/>
      <c r="F303" s="564"/>
      <c r="G303" s="563"/>
      <c r="K303" s="563"/>
      <c r="L303" s="563"/>
      <c r="R303" s="558"/>
      <c r="S303" s="558"/>
      <c r="X303" s="563"/>
      <c r="Y303" s="563"/>
    </row>
    <row r="304" spans="5:25" ht="11.25" customHeight="1" x14ac:dyDescent="0.2">
      <c r="E304" s="564"/>
      <c r="F304" s="564"/>
      <c r="G304" s="563"/>
      <c r="K304" s="563"/>
      <c r="L304" s="563"/>
      <c r="R304" s="558"/>
      <c r="S304" s="558"/>
      <c r="X304" s="563"/>
      <c r="Y304" s="563"/>
    </row>
    <row r="305" spans="5:25" ht="11.25" customHeight="1" x14ac:dyDescent="0.2">
      <c r="E305" s="564"/>
      <c r="F305" s="564"/>
      <c r="G305" s="563"/>
      <c r="K305" s="563"/>
      <c r="L305" s="563"/>
      <c r="R305" s="558"/>
      <c r="S305" s="558"/>
      <c r="X305" s="563"/>
      <c r="Y305" s="563"/>
    </row>
    <row r="306" spans="5:25" ht="11.25" customHeight="1" x14ac:dyDescent="0.2">
      <c r="E306" s="564"/>
      <c r="F306" s="564"/>
      <c r="G306" s="563"/>
      <c r="K306" s="563"/>
      <c r="L306" s="563"/>
      <c r="R306" s="558"/>
      <c r="S306" s="558"/>
      <c r="X306" s="563"/>
      <c r="Y306" s="563"/>
    </row>
    <row r="307" spans="5:25" ht="11.25" customHeight="1" x14ac:dyDescent="0.2">
      <c r="E307" s="564"/>
      <c r="F307" s="564"/>
      <c r="G307" s="563"/>
      <c r="K307" s="563"/>
      <c r="L307" s="563"/>
      <c r="R307" s="558"/>
      <c r="S307" s="558"/>
      <c r="X307" s="563"/>
      <c r="Y307" s="563"/>
    </row>
    <row r="308" spans="5:25" ht="11.25" customHeight="1" x14ac:dyDescent="0.2">
      <c r="E308" s="564"/>
      <c r="F308" s="564"/>
      <c r="G308" s="563"/>
      <c r="K308" s="563"/>
      <c r="L308" s="563"/>
      <c r="R308" s="558"/>
      <c r="S308" s="558"/>
      <c r="X308" s="563"/>
      <c r="Y308" s="563"/>
    </row>
    <row r="309" spans="5:25" ht="11.25" customHeight="1" x14ac:dyDescent="0.2">
      <c r="E309" s="564"/>
      <c r="F309" s="564"/>
      <c r="G309" s="563"/>
      <c r="K309" s="563"/>
      <c r="L309" s="563"/>
      <c r="R309" s="558"/>
      <c r="S309" s="558"/>
      <c r="X309" s="563"/>
      <c r="Y309" s="563"/>
    </row>
    <row r="310" spans="5:25" ht="11.25" customHeight="1" x14ac:dyDescent="0.2">
      <c r="E310" s="564"/>
      <c r="F310" s="564"/>
      <c r="G310" s="563"/>
      <c r="K310" s="563"/>
      <c r="L310" s="563"/>
      <c r="R310" s="558"/>
      <c r="S310" s="558"/>
      <c r="X310" s="563"/>
      <c r="Y310" s="563"/>
    </row>
    <row r="311" spans="5:25" ht="11.25" customHeight="1" x14ac:dyDescent="0.2">
      <c r="E311" s="564"/>
      <c r="F311" s="564"/>
      <c r="G311" s="563"/>
      <c r="K311" s="563"/>
      <c r="L311" s="563"/>
      <c r="R311" s="558"/>
      <c r="S311" s="558"/>
      <c r="X311" s="563"/>
      <c r="Y311" s="563"/>
    </row>
    <row r="312" spans="5:25" ht="11.25" customHeight="1" x14ac:dyDescent="0.2">
      <c r="E312" s="564"/>
      <c r="F312" s="564"/>
      <c r="G312" s="563"/>
      <c r="K312" s="563"/>
      <c r="L312" s="563"/>
      <c r="R312" s="558"/>
      <c r="S312" s="558"/>
      <c r="X312" s="563"/>
      <c r="Y312" s="563"/>
    </row>
    <row r="313" spans="5:25" ht="11.25" customHeight="1" x14ac:dyDescent="0.2">
      <c r="E313" s="564"/>
      <c r="F313" s="564"/>
      <c r="G313" s="563"/>
      <c r="K313" s="563"/>
      <c r="L313" s="563"/>
      <c r="R313" s="558"/>
      <c r="S313" s="558"/>
      <c r="X313" s="563"/>
      <c r="Y313" s="563"/>
    </row>
    <row r="314" spans="5:25" ht="11.25" customHeight="1" x14ac:dyDescent="0.2">
      <c r="E314" s="564"/>
      <c r="F314" s="564"/>
      <c r="G314" s="563"/>
      <c r="K314" s="563"/>
      <c r="L314" s="563"/>
      <c r="R314" s="558"/>
      <c r="S314" s="558"/>
      <c r="X314" s="563"/>
      <c r="Y314" s="563"/>
    </row>
    <row r="315" spans="5:25" ht="11.25" customHeight="1" x14ac:dyDescent="0.2">
      <c r="E315" s="564"/>
      <c r="F315" s="564"/>
      <c r="G315" s="563"/>
      <c r="K315" s="563"/>
      <c r="L315" s="563"/>
      <c r="R315" s="558"/>
      <c r="S315" s="558"/>
      <c r="X315" s="563"/>
      <c r="Y315" s="563"/>
    </row>
    <row r="316" spans="5:25" ht="11.25" customHeight="1" x14ac:dyDescent="0.2">
      <c r="E316" s="564"/>
      <c r="F316" s="564"/>
      <c r="G316" s="563"/>
      <c r="K316" s="563"/>
      <c r="L316" s="563"/>
      <c r="R316" s="558"/>
      <c r="S316" s="558"/>
      <c r="X316" s="563"/>
      <c r="Y316" s="563"/>
    </row>
    <row r="317" spans="5:25" ht="11.25" customHeight="1" x14ac:dyDescent="0.2">
      <c r="E317" s="564"/>
      <c r="F317" s="564"/>
      <c r="G317" s="563"/>
      <c r="K317" s="563"/>
      <c r="L317" s="563"/>
      <c r="R317" s="558"/>
      <c r="S317" s="558"/>
      <c r="X317" s="563"/>
      <c r="Y317" s="563"/>
    </row>
    <row r="318" spans="5:25" ht="11.25" customHeight="1" x14ac:dyDescent="0.2">
      <c r="E318" s="564"/>
      <c r="F318" s="564"/>
      <c r="G318" s="563"/>
      <c r="K318" s="563"/>
      <c r="L318" s="563"/>
      <c r="R318" s="558"/>
      <c r="S318" s="558"/>
      <c r="X318" s="563"/>
      <c r="Y318" s="563"/>
    </row>
    <row r="319" spans="5:25" ht="11.25" customHeight="1" x14ac:dyDescent="0.2">
      <c r="E319" s="564"/>
      <c r="F319" s="564"/>
      <c r="G319" s="563"/>
      <c r="K319" s="563"/>
      <c r="L319" s="563"/>
      <c r="R319" s="558"/>
      <c r="S319" s="558"/>
      <c r="X319" s="563"/>
      <c r="Y319" s="563"/>
    </row>
    <row r="320" spans="5:25" ht="11.25" customHeight="1" x14ac:dyDescent="0.2">
      <c r="E320" s="564"/>
      <c r="F320" s="564"/>
      <c r="G320" s="563"/>
      <c r="K320" s="563"/>
      <c r="L320" s="563"/>
      <c r="R320" s="558"/>
      <c r="S320" s="558"/>
      <c r="X320" s="563"/>
      <c r="Y320" s="563"/>
    </row>
    <row r="321" spans="5:25" ht="11.25" customHeight="1" x14ac:dyDescent="0.2">
      <c r="E321" s="564"/>
      <c r="F321" s="564"/>
      <c r="G321" s="563"/>
      <c r="K321" s="563"/>
      <c r="L321" s="563"/>
      <c r="R321" s="558"/>
      <c r="S321" s="558"/>
      <c r="X321" s="563"/>
      <c r="Y321" s="563"/>
    </row>
    <row r="322" spans="5:25" ht="11.25" customHeight="1" x14ac:dyDescent="0.2">
      <c r="E322" s="564"/>
      <c r="F322" s="564"/>
      <c r="G322" s="563"/>
      <c r="K322" s="563"/>
      <c r="L322" s="563"/>
      <c r="R322" s="558"/>
      <c r="S322" s="558"/>
      <c r="X322" s="563"/>
      <c r="Y322" s="563"/>
    </row>
    <row r="323" spans="5:25" ht="11.25" customHeight="1" x14ac:dyDescent="0.2">
      <c r="E323" s="564"/>
      <c r="F323" s="564"/>
      <c r="G323" s="563"/>
      <c r="K323" s="563"/>
      <c r="L323" s="563"/>
      <c r="R323" s="558"/>
      <c r="S323" s="558"/>
      <c r="X323" s="563"/>
      <c r="Y323" s="563"/>
    </row>
    <row r="324" spans="5:25" ht="11.25" customHeight="1" x14ac:dyDescent="0.2">
      <c r="E324" s="564"/>
      <c r="F324" s="564"/>
      <c r="G324" s="563"/>
      <c r="K324" s="563"/>
      <c r="L324" s="563"/>
      <c r="R324" s="558"/>
      <c r="S324" s="558"/>
      <c r="X324" s="563"/>
      <c r="Y324" s="563"/>
    </row>
    <row r="325" spans="5:25" ht="11.25" customHeight="1" x14ac:dyDescent="0.2">
      <c r="E325" s="564"/>
      <c r="F325" s="564"/>
      <c r="G325" s="563"/>
      <c r="K325" s="563"/>
      <c r="L325" s="563"/>
      <c r="R325" s="558"/>
      <c r="S325" s="558"/>
      <c r="X325" s="563"/>
      <c r="Y325" s="563"/>
    </row>
    <row r="326" spans="5:25" ht="11.25" customHeight="1" x14ac:dyDescent="0.2">
      <c r="E326" s="564"/>
      <c r="F326" s="564"/>
      <c r="G326" s="563"/>
      <c r="K326" s="563"/>
      <c r="L326" s="563"/>
      <c r="R326" s="558"/>
      <c r="S326" s="558"/>
      <c r="X326" s="563"/>
      <c r="Y326" s="563"/>
    </row>
    <row r="327" spans="5:25" ht="11.25" customHeight="1" x14ac:dyDescent="0.2">
      <c r="E327" s="564"/>
      <c r="F327" s="564"/>
      <c r="G327" s="563"/>
      <c r="K327" s="563"/>
      <c r="L327" s="563"/>
      <c r="R327" s="558"/>
      <c r="S327" s="558"/>
      <c r="X327" s="563"/>
      <c r="Y327" s="563"/>
    </row>
    <row r="328" spans="5:25" ht="11.25" customHeight="1" x14ac:dyDescent="0.2">
      <c r="E328" s="564"/>
      <c r="F328" s="564"/>
      <c r="G328" s="563"/>
      <c r="K328" s="563"/>
      <c r="L328" s="563"/>
      <c r="R328" s="558"/>
      <c r="S328" s="558"/>
      <c r="X328" s="563"/>
      <c r="Y328" s="563"/>
    </row>
    <row r="329" spans="5:25" ht="11.25" customHeight="1" x14ac:dyDescent="0.2">
      <c r="E329" s="564"/>
      <c r="F329" s="564"/>
      <c r="G329" s="563"/>
      <c r="K329" s="563"/>
      <c r="L329" s="563"/>
      <c r="R329" s="558"/>
      <c r="S329" s="558"/>
      <c r="X329" s="563"/>
      <c r="Y329" s="563"/>
    </row>
    <row r="330" spans="5:25" ht="11.25" customHeight="1" x14ac:dyDescent="0.2">
      <c r="E330" s="564"/>
      <c r="F330" s="564"/>
      <c r="G330" s="563"/>
      <c r="K330" s="563"/>
      <c r="L330" s="563"/>
      <c r="R330" s="558"/>
      <c r="S330" s="558"/>
      <c r="X330" s="563"/>
      <c r="Y330" s="563"/>
    </row>
    <row r="331" spans="5:25" ht="11.25" customHeight="1" x14ac:dyDescent="0.2">
      <c r="E331" s="564"/>
      <c r="F331" s="564"/>
      <c r="G331" s="563"/>
      <c r="K331" s="563"/>
      <c r="L331" s="563"/>
      <c r="R331" s="558"/>
      <c r="S331" s="558"/>
      <c r="X331" s="563"/>
      <c r="Y331" s="563"/>
    </row>
    <row r="332" spans="5:25" ht="11.25" customHeight="1" x14ac:dyDescent="0.2">
      <c r="E332" s="564"/>
      <c r="F332" s="564"/>
      <c r="G332" s="563"/>
      <c r="K332" s="563"/>
      <c r="L332" s="563"/>
      <c r="R332" s="558"/>
      <c r="S332" s="558"/>
      <c r="X332" s="563"/>
      <c r="Y332" s="563"/>
    </row>
    <row r="333" spans="5:25" ht="11.25" customHeight="1" x14ac:dyDescent="0.2">
      <c r="E333" s="564"/>
      <c r="F333" s="564"/>
      <c r="G333" s="563"/>
      <c r="K333" s="563"/>
      <c r="L333" s="563"/>
      <c r="R333" s="558"/>
      <c r="S333" s="558"/>
      <c r="X333" s="563"/>
      <c r="Y333" s="563"/>
    </row>
    <row r="334" spans="5:25" ht="11.25" customHeight="1" x14ac:dyDescent="0.2">
      <c r="E334" s="564"/>
      <c r="F334" s="564"/>
      <c r="G334" s="563"/>
      <c r="K334" s="563"/>
      <c r="L334" s="563"/>
      <c r="R334" s="558"/>
      <c r="S334" s="558"/>
      <c r="X334" s="563"/>
      <c r="Y334" s="563"/>
    </row>
    <row r="335" spans="5:25" ht="11.25" customHeight="1" x14ac:dyDescent="0.2">
      <c r="E335" s="564"/>
      <c r="F335" s="564"/>
      <c r="G335" s="563"/>
      <c r="K335" s="563"/>
      <c r="L335" s="563"/>
      <c r="R335" s="558"/>
      <c r="S335" s="558"/>
      <c r="X335" s="563"/>
      <c r="Y335" s="563"/>
    </row>
    <row r="336" spans="5:25" ht="11.25" customHeight="1" x14ac:dyDescent="0.2">
      <c r="E336" s="564"/>
      <c r="F336" s="564"/>
      <c r="G336" s="563"/>
      <c r="K336" s="563"/>
      <c r="L336" s="563"/>
      <c r="R336" s="558"/>
      <c r="S336" s="558"/>
      <c r="X336" s="563"/>
      <c r="Y336" s="563"/>
    </row>
    <row r="337" spans="5:25" ht="11.25" customHeight="1" x14ac:dyDescent="0.2">
      <c r="E337" s="564"/>
      <c r="F337" s="564"/>
      <c r="G337" s="563"/>
      <c r="K337" s="563"/>
      <c r="L337" s="563"/>
      <c r="R337" s="558"/>
      <c r="S337" s="558"/>
      <c r="X337" s="563"/>
      <c r="Y337" s="563"/>
    </row>
    <row r="338" spans="5:25" ht="11.25" customHeight="1" x14ac:dyDescent="0.2">
      <c r="E338" s="564"/>
      <c r="F338" s="564"/>
      <c r="G338" s="563"/>
      <c r="K338" s="563"/>
      <c r="L338" s="563"/>
      <c r="R338" s="558"/>
      <c r="S338" s="558"/>
      <c r="X338" s="563"/>
      <c r="Y338" s="563"/>
    </row>
    <row r="339" spans="5:25" ht="11.25" customHeight="1" x14ac:dyDescent="0.2">
      <c r="E339" s="564"/>
      <c r="F339" s="564"/>
      <c r="G339" s="563"/>
      <c r="K339" s="563"/>
      <c r="L339" s="563"/>
      <c r="R339" s="558"/>
      <c r="S339" s="558"/>
      <c r="X339" s="563"/>
      <c r="Y339" s="563"/>
    </row>
    <row r="340" spans="5:25" ht="11.25" customHeight="1" x14ac:dyDescent="0.2">
      <c r="E340" s="564"/>
      <c r="F340" s="564"/>
      <c r="G340" s="563"/>
      <c r="K340" s="563"/>
      <c r="L340" s="563"/>
      <c r="R340" s="558"/>
      <c r="S340" s="558"/>
      <c r="X340" s="563"/>
      <c r="Y340" s="563"/>
    </row>
    <row r="341" spans="5:25" ht="11.25" customHeight="1" x14ac:dyDescent="0.2">
      <c r="E341" s="564"/>
      <c r="F341" s="564"/>
      <c r="G341" s="563"/>
      <c r="K341" s="563"/>
      <c r="L341" s="563"/>
      <c r="R341" s="558"/>
      <c r="S341" s="558"/>
      <c r="X341" s="563"/>
      <c r="Y341" s="563"/>
    </row>
    <row r="342" spans="5:25" ht="11.25" customHeight="1" x14ac:dyDescent="0.2">
      <c r="E342" s="564"/>
      <c r="F342" s="564"/>
      <c r="G342" s="563"/>
      <c r="K342" s="563"/>
      <c r="L342" s="563"/>
      <c r="R342" s="558"/>
      <c r="S342" s="558"/>
      <c r="X342" s="563"/>
      <c r="Y342" s="563"/>
    </row>
    <row r="343" spans="5:25" ht="11.25" customHeight="1" x14ac:dyDescent="0.2">
      <c r="E343" s="564"/>
      <c r="F343" s="564"/>
      <c r="G343" s="563"/>
      <c r="K343" s="563"/>
      <c r="L343" s="563"/>
      <c r="R343" s="558"/>
      <c r="S343" s="558"/>
      <c r="X343" s="563"/>
      <c r="Y343" s="563"/>
    </row>
    <row r="344" spans="5:25" ht="11.25" customHeight="1" x14ac:dyDescent="0.2">
      <c r="E344" s="564"/>
      <c r="F344" s="564"/>
      <c r="G344" s="563"/>
      <c r="K344" s="563"/>
      <c r="L344" s="563"/>
      <c r="R344" s="558"/>
      <c r="S344" s="558"/>
      <c r="X344" s="563"/>
      <c r="Y344" s="563"/>
    </row>
    <row r="345" spans="5:25" ht="11.25" customHeight="1" x14ac:dyDescent="0.2">
      <c r="E345" s="564"/>
      <c r="F345" s="564"/>
      <c r="G345" s="563"/>
      <c r="K345" s="563"/>
      <c r="L345" s="563"/>
      <c r="R345" s="558"/>
      <c r="S345" s="558"/>
      <c r="X345" s="563"/>
      <c r="Y345" s="563"/>
    </row>
    <row r="346" spans="5:25" ht="11.25" customHeight="1" x14ac:dyDescent="0.2">
      <c r="E346" s="564"/>
      <c r="F346" s="564"/>
      <c r="G346" s="563"/>
      <c r="K346" s="563"/>
      <c r="L346" s="563"/>
      <c r="R346" s="558"/>
      <c r="S346" s="558"/>
      <c r="X346" s="563"/>
      <c r="Y346" s="563"/>
    </row>
    <row r="347" spans="5:25" ht="11.25" customHeight="1" x14ac:dyDescent="0.2">
      <c r="E347" s="564"/>
      <c r="F347" s="564"/>
      <c r="G347" s="563"/>
      <c r="K347" s="563"/>
      <c r="L347" s="563"/>
      <c r="R347" s="558"/>
      <c r="S347" s="558"/>
      <c r="X347" s="563"/>
      <c r="Y347" s="563"/>
    </row>
    <row r="348" spans="5:25" ht="11.25" customHeight="1" x14ac:dyDescent="0.2">
      <c r="E348" s="564"/>
      <c r="F348" s="564"/>
      <c r="G348" s="563"/>
      <c r="K348" s="563"/>
      <c r="L348" s="563"/>
      <c r="R348" s="558"/>
      <c r="S348" s="558"/>
      <c r="X348" s="563"/>
      <c r="Y348" s="563"/>
    </row>
    <row r="349" spans="5:25" ht="11.25" customHeight="1" x14ac:dyDescent="0.2">
      <c r="E349" s="564"/>
      <c r="F349" s="564"/>
      <c r="G349" s="563"/>
      <c r="K349" s="563"/>
      <c r="L349" s="563"/>
      <c r="R349" s="558"/>
      <c r="S349" s="558"/>
      <c r="X349" s="563"/>
      <c r="Y349" s="563"/>
    </row>
    <row r="350" spans="5:25" ht="11.25" customHeight="1" x14ac:dyDescent="0.2">
      <c r="E350" s="564"/>
      <c r="F350" s="564"/>
      <c r="G350" s="563"/>
      <c r="K350" s="563"/>
      <c r="L350" s="563"/>
      <c r="R350" s="558"/>
      <c r="S350" s="558"/>
      <c r="X350" s="563"/>
      <c r="Y350" s="563"/>
    </row>
    <row r="351" spans="5:25" ht="11.25" customHeight="1" x14ac:dyDescent="0.2">
      <c r="E351" s="564"/>
      <c r="F351" s="564"/>
      <c r="G351" s="563"/>
      <c r="K351" s="563"/>
      <c r="L351" s="563"/>
      <c r="R351" s="558"/>
      <c r="S351" s="558"/>
      <c r="X351" s="563"/>
      <c r="Y351" s="563"/>
    </row>
    <row r="352" spans="5:25" ht="11.25" customHeight="1" x14ac:dyDescent="0.2">
      <c r="E352" s="564"/>
      <c r="F352" s="564"/>
      <c r="G352" s="563"/>
      <c r="K352" s="563"/>
      <c r="L352" s="563"/>
      <c r="R352" s="558"/>
      <c r="S352" s="558"/>
      <c r="X352" s="563"/>
      <c r="Y352" s="563"/>
    </row>
    <row r="353" spans="5:25" ht="11.25" customHeight="1" x14ac:dyDescent="0.2">
      <c r="E353" s="564"/>
      <c r="F353" s="564"/>
      <c r="G353" s="563"/>
      <c r="K353" s="563"/>
      <c r="L353" s="563"/>
      <c r="R353" s="558"/>
      <c r="S353" s="558"/>
      <c r="X353" s="563"/>
      <c r="Y353" s="563"/>
    </row>
    <row r="354" spans="5:25" ht="11.25" customHeight="1" x14ac:dyDescent="0.2">
      <c r="E354" s="564"/>
      <c r="F354" s="564"/>
      <c r="G354" s="563"/>
      <c r="K354" s="563"/>
      <c r="L354" s="563"/>
      <c r="R354" s="558"/>
      <c r="S354" s="558"/>
      <c r="X354" s="563"/>
      <c r="Y354" s="563"/>
    </row>
    <row r="355" spans="5:25" ht="11.25" customHeight="1" x14ac:dyDescent="0.2">
      <c r="E355" s="564"/>
      <c r="F355" s="564"/>
      <c r="G355" s="563"/>
      <c r="K355" s="563"/>
      <c r="L355" s="563"/>
      <c r="R355" s="558"/>
      <c r="S355" s="558"/>
      <c r="X355" s="563"/>
      <c r="Y355" s="563"/>
    </row>
    <row r="356" spans="5:25" ht="11.25" customHeight="1" x14ac:dyDescent="0.2">
      <c r="E356" s="564"/>
      <c r="F356" s="564"/>
      <c r="G356" s="563"/>
      <c r="K356" s="563"/>
      <c r="L356" s="563"/>
      <c r="R356" s="558"/>
      <c r="S356" s="558"/>
      <c r="X356" s="563"/>
      <c r="Y356" s="563"/>
    </row>
    <row r="357" spans="5:25" ht="11.25" customHeight="1" x14ac:dyDescent="0.2">
      <c r="E357" s="564"/>
      <c r="F357" s="564"/>
      <c r="G357" s="563"/>
      <c r="K357" s="563"/>
      <c r="L357" s="563"/>
      <c r="R357" s="558"/>
      <c r="S357" s="558"/>
      <c r="X357" s="563"/>
      <c r="Y357" s="563"/>
    </row>
    <row r="358" spans="5:25" ht="11.25" customHeight="1" x14ac:dyDescent="0.2">
      <c r="E358" s="564"/>
      <c r="F358" s="564"/>
      <c r="G358" s="563"/>
      <c r="K358" s="563"/>
      <c r="L358" s="563"/>
      <c r="R358" s="558"/>
      <c r="S358" s="558"/>
      <c r="X358" s="563"/>
      <c r="Y358" s="563"/>
    </row>
    <row r="359" spans="5:25" ht="11.25" customHeight="1" x14ac:dyDescent="0.2">
      <c r="E359" s="564"/>
      <c r="F359" s="564"/>
      <c r="G359" s="563"/>
      <c r="K359" s="563"/>
      <c r="L359" s="563"/>
      <c r="R359" s="558"/>
      <c r="S359" s="558"/>
      <c r="X359" s="563"/>
      <c r="Y359" s="563"/>
    </row>
    <row r="360" spans="5:25" ht="11.25" customHeight="1" x14ac:dyDescent="0.2">
      <c r="E360" s="564"/>
      <c r="F360" s="564"/>
      <c r="G360" s="563"/>
      <c r="K360" s="563"/>
      <c r="L360" s="563"/>
      <c r="R360" s="558"/>
      <c r="S360" s="558"/>
      <c r="X360" s="563"/>
      <c r="Y360" s="563"/>
    </row>
    <row r="361" spans="5:25" ht="11.25" customHeight="1" x14ac:dyDescent="0.2">
      <c r="E361" s="564"/>
      <c r="F361" s="564"/>
      <c r="G361" s="563"/>
      <c r="K361" s="563"/>
      <c r="L361" s="563"/>
      <c r="R361" s="558"/>
      <c r="S361" s="558"/>
      <c r="X361" s="563"/>
      <c r="Y361" s="563"/>
    </row>
    <row r="362" spans="5:25" ht="11.25" customHeight="1" x14ac:dyDescent="0.2">
      <c r="E362" s="564"/>
      <c r="F362" s="564"/>
      <c r="G362" s="563"/>
      <c r="K362" s="563"/>
      <c r="L362" s="563"/>
      <c r="R362" s="558"/>
      <c r="S362" s="558"/>
      <c r="X362" s="563"/>
      <c r="Y362" s="563"/>
    </row>
    <row r="363" spans="5:25" ht="11.25" customHeight="1" x14ac:dyDescent="0.2">
      <c r="E363" s="564"/>
      <c r="F363" s="564"/>
      <c r="G363" s="563"/>
      <c r="K363" s="563"/>
      <c r="L363" s="563"/>
      <c r="R363" s="558"/>
      <c r="S363" s="558"/>
      <c r="X363" s="563"/>
      <c r="Y363" s="563"/>
    </row>
    <row r="364" spans="5:25" ht="11.25" customHeight="1" x14ac:dyDescent="0.2">
      <c r="E364" s="564"/>
      <c r="F364" s="564"/>
      <c r="G364" s="563"/>
      <c r="K364" s="563"/>
      <c r="L364" s="563"/>
      <c r="R364" s="558"/>
      <c r="S364" s="558"/>
      <c r="X364" s="563"/>
      <c r="Y364" s="563"/>
    </row>
    <row r="365" spans="5:25" ht="11.25" customHeight="1" x14ac:dyDescent="0.2">
      <c r="E365" s="564"/>
      <c r="F365" s="564"/>
      <c r="G365" s="563"/>
      <c r="K365" s="563"/>
      <c r="L365" s="563"/>
      <c r="R365" s="558"/>
      <c r="S365" s="558"/>
      <c r="X365" s="563"/>
      <c r="Y365" s="563"/>
    </row>
    <row r="366" spans="5:25" ht="11.25" customHeight="1" x14ac:dyDescent="0.2">
      <c r="E366" s="564"/>
      <c r="F366" s="564"/>
      <c r="G366" s="563"/>
      <c r="K366" s="563"/>
      <c r="L366" s="563"/>
      <c r="R366" s="558"/>
      <c r="S366" s="558"/>
      <c r="X366" s="563"/>
      <c r="Y366" s="563"/>
    </row>
    <row r="367" spans="5:25" ht="11.25" customHeight="1" x14ac:dyDescent="0.2">
      <c r="E367" s="564"/>
      <c r="F367" s="564"/>
      <c r="G367" s="563"/>
      <c r="K367" s="563"/>
      <c r="L367" s="563"/>
      <c r="R367" s="558"/>
      <c r="S367" s="558"/>
      <c r="X367" s="563"/>
      <c r="Y367" s="563"/>
    </row>
    <row r="368" spans="5:25" ht="11.25" customHeight="1" x14ac:dyDescent="0.2">
      <c r="E368" s="564"/>
      <c r="F368" s="564"/>
      <c r="G368" s="563"/>
      <c r="K368" s="563"/>
      <c r="L368" s="563"/>
      <c r="R368" s="558"/>
      <c r="S368" s="558"/>
      <c r="X368" s="563"/>
      <c r="Y368" s="563"/>
    </row>
    <row r="369" spans="5:25" ht="11.25" customHeight="1" x14ac:dyDescent="0.2">
      <c r="E369" s="564"/>
      <c r="F369" s="564"/>
      <c r="G369" s="563"/>
      <c r="K369" s="563"/>
      <c r="L369" s="563"/>
      <c r="R369" s="558"/>
      <c r="S369" s="558"/>
      <c r="X369" s="563"/>
      <c r="Y369" s="563"/>
    </row>
    <row r="370" spans="5:25" ht="11.25" customHeight="1" x14ac:dyDescent="0.2">
      <c r="E370" s="564"/>
      <c r="F370" s="564"/>
      <c r="G370" s="563"/>
      <c r="K370" s="563"/>
      <c r="L370" s="563"/>
      <c r="R370" s="558"/>
      <c r="S370" s="558"/>
      <c r="X370" s="563"/>
      <c r="Y370" s="563"/>
    </row>
    <row r="371" spans="5:25" ht="11.25" customHeight="1" x14ac:dyDescent="0.2">
      <c r="E371" s="564"/>
      <c r="F371" s="564"/>
      <c r="G371" s="563"/>
      <c r="K371" s="563"/>
      <c r="L371" s="563"/>
      <c r="R371" s="558"/>
      <c r="S371" s="558"/>
      <c r="X371" s="563"/>
      <c r="Y371" s="563"/>
    </row>
    <row r="372" spans="5:25" ht="11.25" customHeight="1" x14ac:dyDescent="0.2">
      <c r="E372" s="564"/>
      <c r="F372" s="564"/>
      <c r="G372" s="563"/>
      <c r="K372" s="563"/>
      <c r="L372" s="563"/>
      <c r="R372" s="558"/>
      <c r="S372" s="558"/>
      <c r="X372" s="563"/>
      <c r="Y372" s="563"/>
    </row>
    <row r="373" spans="5:25" ht="11.25" customHeight="1" x14ac:dyDescent="0.2">
      <c r="E373" s="564"/>
      <c r="F373" s="564"/>
      <c r="G373" s="563"/>
      <c r="K373" s="563"/>
      <c r="L373" s="563"/>
      <c r="R373" s="558"/>
      <c r="S373" s="558"/>
      <c r="X373" s="563"/>
      <c r="Y373" s="563"/>
    </row>
    <row r="374" spans="5:25" ht="11.25" customHeight="1" x14ac:dyDescent="0.2">
      <c r="E374" s="564"/>
      <c r="F374" s="564"/>
      <c r="G374" s="563"/>
      <c r="K374" s="563"/>
      <c r="L374" s="563"/>
      <c r="R374" s="558"/>
      <c r="S374" s="558"/>
      <c r="X374" s="563"/>
      <c r="Y374" s="563"/>
    </row>
    <row r="375" spans="5:25" ht="11.25" customHeight="1" x14ac:dyDescent="0.2">
      <c r="E375" s="564"/>
      <c r="F375" s="564"/>
      <c r="G375" s="563"/>
      <c r="K375" s="563"/>
      <c r="L375" s="563"/>
      <c r="R375" s="558"/>
      <c r="S375" s="558"/>
      <c r="X375" s="563"/>
      <c r="Y375" s="563"/>
    </row>
    <row r="376" spans="5:25" ht="11.25" customHeight="1" x14ac:dyDescent="0.2">
      <c r="E376" s="564"/>
      <c r="F376" s="564"/>
      <c r="G376" s="563"/>
      <c r="K376" s="563"/>
      <c r="L376" s="563"/>
      <c r="R376" s="558"/>
      <c r="S376" s="558"/>
      <c r="X376" s="563"/>
      <c r="Y376" s="563"/>
    </row>
    <row r="377" spans="5:25" ht="11.25" customHeight="1" x14ac:dyDescent="0.2">
      <c r="E377" s="564"/>
      <c r="F377" s="564"/>
      <c r="G377" s="563"/>
      <c r="K377" s="563"/>
      <c r="L377" s="563"/>
      <c r="R377" s="558"/>
      <c r="S377" s="558"/>
      <c r="X377" s="563"/>
      <c r="Y377" s="563"/>
    </row>
    <row r="378" spans="5:25" ht="11.25" customHeight="1" x14ac:dyDescent="0.2">
      <c r="E378" s="564"/>
      <c r="F378" s="564"/>
      <c r="G378" s="563"/>
      <c r="K378" s="563"/>
      <c r="L378" s="563"/>
      <c r="R378" s="558"/>
      <c r="S378" s="558"/>
      <c r="X378" s="563"/>
      <c r="Y378" s="563"/>
    </row>
    <row r="379" spans="5:25" ht="11.25" customHeight="1" x14ac:dyDescent="0.2">
      <c r="E379" s="564"/>
      <c r="F379" s="564"/>
      <c r="G379" s="563"/>
      <c r="K379" s="563"/>
      <c r="L379" s="563"/>
      <c r="R379" s="558"/>
      <c r="S379" s="558"/>
      <c r="X379" s="563"/>
      <c r="Y379" s="563"/>
    </row>
    <row r="380" spans="5:25" ht="11.25" customHeight="1" x14ac:dyDescent="0.2">
      <c r="E380" s="564"/>
      <c r="F380" s="564"/>
      <c r="G380" s="563"/>
      <c r="K380" s="563"/>
      <c r="L380" s="563"/>
      <c r="R380" s="558"/>
      <c r="S380" s="558"/>
      <c r="X380" s="563"/>
      <c r="Y380" s="563"/>
    </row>
    <row r="381" spans="5:25" ht="11.25" customHeight="1" x14ac:dyDescent="0.2">
      <c r="E381" s="564"/>
      <c r="F381" s="564"/>
      <c r="G381" s="563"/>
      <c r="K381" s="563"/>
      <c r="L381" s="563"/>
      <c r="R381" s="558"/>
      <c r="S381" s="558"/>
      <c r="X381" s="563"/>
      <c r="Y381" s="563"/>
    </row>
    <row r="382" spans="5:25" ht="11.25" customHeight="1" x14ac:dyDescent="0.2">
      <c r="E382" s="564"/>
      <c r="F382" s="564"/>
      <c r="G382" s="563"/>
      <c r="K382" s="563"/>
      <c r="L382" s="563"/>
      <c r="R382" s="558"/>
      <c r="S382" s="558"/>
      <c r="X382" s="563"/>
      <c r="Y382" s="563"/>
    </row>
    <row r="383" spans="5:25" ht="11.25" customHeight="1" x14ac:dyDescent="0.2">
      <c r="E383" s="564"/>
      <c r="F383" s="564"/>
      <c r="G383" s="563"/>
      <c r="K383" s="563"/>
      <c r="L383" s="563"/>
      <c r="R383" s="558"/>
      <c r="S383" s="558"/>
      <c r="X383" s="563"/>
      <c r="Y383" s="563"/>
    </row>
    <row r="384" spans="5:25" ht="11.25" customHeight="1" x14ac:dyDescent="0.2">
      <c r="E384" s="564"/>
      <c r="F384" s="564"/>
      <c r="G384" s="563"/>
      <c r="K384" s="563"/>
      <c r="L384" s="563"/>
      <c r="R384" s="558"/>
      <c r="S384" s="558"/>
      <c r="X384" s="563"/>
      <c r="Y384" s="563"/>
    </row>
    <row r="385" spans="5:25" ht="11.25" customHeight="1" x14ac:dyDescent="0.2">
      <c r="E385" s="564"/>
      <c r="F385" s="564"/>
      <c r="G385" s="563"/>
      <c r="K385" s="563"/>
      <c r="L385" s="563"/>
      <c r="R385" s="558"/>
      <c r="S385" s="558"/>
      <c r="X385" s="563"/>
      <c r="Y385" s="563"/>
    </row>
    <row r="386" spans="5:25" ht="11.25" customHeight="1" x14ac:dyDescent="0.2">
      <c r="E386" s="564"/>
      <c r="F386" s="564"/>
      <c r="G386" s="563"/>
      <c r="K386" s="563"/>
      <c r="L386" s="563"/>
      <c r="R386" s="558"/>
      <c r="S386" s="558"/>
      <c r="X386" s="563"/>
      <c r="Y386" s="563"/>
    </row>
    <row r="387" spans="5:25" ht="11.25" customHeight="1" x14ac:dyDescent="0.2">
      <c r="E387" s="564"/>
      <c r="F387" s="564"/>
      <c r="G387" s="563"/>
      <c r="K387" s="563"/>
      <c r="L387" s="563"/>
      <c r="R387" s="558"/>
      <c r="S387" s="558"/>
      <c r="X387" s="563"/>
      <c r="Y387" s="563"/>
    </row>
    <row r="388" spans="5:25" ht="11.25" customHeight="1" x14ac:dyDescent="0.2">
      <c r="E388" s="564"/>
      <c r="F388" s="564"/>
      <c r="G388" s="563"/>
      <c r="K388" s="563"/>
      <c r="L388" s="563"/>
      <c r="R388" s="558"/>
      <c r="S388" s="558"/>
      <c r="X388" s="563"/>
      <c r="Y388" s="563"/>
    </row>
    <row r="389" spans="5:25" ht="11.25" customHeight="1" x14ac:dyDescent="0.2">
      <c r="E389" s="564"/>
      <c r="F389" s="564"/>
      <c r="G389" s="563"/>
      <c r="K389" s="563"/>
      <c r="L389" s="563"/>
      <c r="R389" s="558"/>
      <c r="S389" s="558"/>
      <c r="X389" s="563"/>
      <c r="Y389" s="563"/>
    </row>
    <row r="390" spans="5:25" ht="11.25" customHeight="1" x14ac:dyDescent="0.2">
      <c r="E390" s="564"/>
      <c r="F390" s="564"/>
      <c r="G390" s="563"/>
      <c r="K390" s="563"/>
      <c r="L390" s="563"/>
      <c r="R390" s="558"/>
      <c r="S390" s="558"/>
      <c r="X390" s="563"/>
      <c r="Y390" s="563"/>
    </row>
    <row r="391" spans="5:25" ht="11.25" customHeight="1" x14ac:dyDescent="0.2">
      <c r="E391" s="564"/>
      <c r="F391" s="564"/>
      <c r="G391" s="563"/>
      <c r="K391" s="563"/>
      <c r="L391" s="563"/>
      <c r="R391" s="558"/>
      <c r="S391" s="558"/>
      <c r="X391" s="563"/>
      <c r="Y391" s="563"/>
    </row>
    <row r="392" spans="5:25" ht="11.25" customHeight="1" x14ac:dyDescent="0.2">
      <c r="E392" s="564"/>
      <c r="F392" s="564"/>
      <c r="G392" s="563"/>
      <c r="K392" s="563"/>
      <c r="L392" s="563"/>
      <c r="R392" s="558"/>
      <c r="S392" s="558"/>
      <c r="X392" s="563"/>
      <c r="Y392" s="563"/>
    </row>
    <row r="393" spans="5:25" ht="11.25" customHeight="1" x14ac:dyDescent="0.2">
      <c r="E393" s="564"/>
      <c r="F393" s="564"/>
      <c r="G393" s="563"/>
      <c r="K393" s="563"/>
      <c r="L393" s="563"/>
      <c r="R393" s="558"/>
      <c r="S393" s="558"/>
      <c r="X393" s="563"/>
      <c r="Y393" s="563"/>
    </row>
    <row r="394" spans="5:25" ht="11.25" customHeight="1" x14ac:dyDescent="0.2">
      <c r="E394" s="564"/>
      <c r="F394" s="564"/>
      <c r="G394" s="563"/>
      <c r="K394" s="563"/>
      <c r="L394" s="563"/>
      <c r="R394" s="558"/>
      <c r="S394" s="558"/>
      <c r="X394" s="563"/>
      <c r="Y394" s="563"/>
    </row>
    <row r="395" spans="5:25" ht="11.25" customHeight="1" x14ac:dyDescent="0.2">
      <c r="E395" s="564"/>
      <c r="F395" s="564"/>
      <c r="G395" s="563"/>
      <c r="K395" s="563"/>
      <c r="L395" s="563"/>
      <c r="R395" s="558"/>
      <c r="S395" s="558"/>
      <c r="X395" s="563"/>
      <c r="Y395" s="563"/>
    </row>
    <row r="396" spans="5:25" ht="11.25" customHeight="1" x14ac:dyDescent="0.2">
      <c r="E396" s="564"/>
      <c r="F396" s="564"/>
      <c r="G396" s="563"/>
      <c r="K396" s="563"/>
      <c r="L396" s="563"/>
      <c r="R396" s="558"/>
      <c r="S396" s="558"/>
      <c r="X396" s="563"/>
      <c r="Y396" s="563"/>
    </row>
    <row r="397" spans="5:25" ht="11.25" customHeight="1" x14ac:dyDescent="0.2">
      <c r="E397" s="564"/>
      <c r="F397" s="564"/>
      <c r="G397" s="563"/>
      <c r="K397" s="563"/>
      <c r="L397" s="563"/>
      <c r="R397" s="558"/>
      <c r="S397" s="558"/>
      <c r="X397" s="563"/>
      <c r="Y397" s="563"/>
    </row>
    <row r="398" spans="5:25" ht="11.25" customHeight="1" x14ac:dyDescent="0.2">
      <c r="E398" s="564"/>
      <c r="F398" s="564"/>
      <c r="G398" s="563"/>
      <c r="K398" s="563"/>
      <c r="L398" s="563"/>
      <c r="R398" s="558"/>
      <c r="S398" s="558"/>
      <c r="X398" s="563"/>
      <c r="Y398" s="563"/>
    </row>
    <row r="399" spans="5:25" ht="11.25" customHeight="1" x14ac:dyDescent="0.2">
      <c r="E399" s="564"/>
      <c r="F399" s="564"/>
      <c r="G399" s="563"/>
      <c r="K399" s="563"/>
      <c r="L399" s="563"/>
      <c r="R399" s="558"/>
      <c r="S399" s="558"/>
      <c r="X399" s="563"/>
      <c r="Y399" s="563"/>
    </row>
    <row r="400" spans="5:25" ht="11.25" customHeight="1" x14ac:dyDescent="0.2">
      <c r="E400" s="564"/>
      <c r="F400" s="564"/>
      <c r="G400" s="563"/>
      <c r="K400" s="563"/>
      <c r="L400" s="563"/>
      <c r="R400" s="558"/>
      <c r="S400" s="558"/>
      <c r="X400" s="563"/>
      <c r="Y400" s="563"/>
    </row>
    <row r="401" spans="5:25" ht="11.25" customHeight="1" x14ac:dyDescent="0.2">
      <c r="E401" s="564"/>
      <c r="F401" s="564"/>
      <c r="G401" s="563"/>
      <c r="K401" s="563"/>
      <c r="L401" s="563"/>
      <c r="R401" s="558"/>
      <c r="S401" s="558"/>
      <c r="X401" s="563"/>
      <c r="Y401" s="563"/>
    </row>
    <row r="402" spans="5:25" ht="11.25" customHeight="1" x14ac:dyDescent="0.2">
      <c r="E402" s="564"/>
      <c r="F402" s="564"/>
      <c r="G402" s="563"/>
      <c r="K402" s="563"/>
      <c r="L402" s="563"/>
      <c r="R402" s="558"/>
      <c r="S402" s="558"/>
      <c r="X402" s="563"/>
      <c r="Y402" s="563"/>
    </row>
    <row r="403" spans="5:25" ht="11.25" customHeight="1" x14ac:dyDescent="0.2">
      <c r="E403" s="564"/>
      <c r="F403" s="564"/>
      <c r="G403" s="563"/>
      <c r="K403" s="563"/>
      <c r="L403" s="563"/>
      <c r="R403" s="558"/>
      <c r="S403" s="558"/>
      <c r="X403" s="563"/>
      <c r="Y403" s="563"/>
    </row>
    <row r="404" spans="5:25" ht="11.25" customHeight="1" x14ac:dyDescent="0.2">
      <c r="E404" s="564"/>
      <c r="F404" s="564"/>
      <c r="G404" s="563"/>
      <c r="K404" s="563"/>
      <c r="L404" s="563"/>
      <c r="R404" s="558"/>
      <c r="S404" s="558"/>
      <c r="X404" s="563"/>
      <c r="Y404" s="563"/>
    </row>
    <row r="405" spans="5:25" ht="11.25" customHeight="1" x14ac:dyDescent="0.2">
      <c r="E405" s="564"/>
      <c r="F405" s="564"/>
      <c r="G405" s="563"/>
      <c r="K405" s="563"/>
      <c r="L405" s="563"/>
      <c r="R405" s="558"/>
      <c r="S405" s="558"/>
      <c r="X405" s="563"/>
      <c r="Y405" s="563"/>
    </row>
    <row r="406" spans="5:25" ht="11.25" customHeight="1" x14ac:dyDescent="0.2">
      <c r="E406" s="564"/>
      <c r="F406" s="564"/>
      <c r="G406" s="563"/>
      <c r="K406" s="563"/>
      <c r="L406" s="563"/>
      <c r="R406" s="558"/>
      <c r="S406" s="558"/>
      <c r="X406" s="563"/>
      <c r="Y406" s="563"/>
    </row>
    <row r="407" spans="5:25" ht="11.25" customHeight="1" x14ac:dyDescent="0.2">
      <c r="E407" s="564"/>
      <c r="F407" s="564"/>
      <c r="G407" s="563"/>
      <c r="K407" s="563"/>
      <c r="L407" s="563"/>
      <c r="R407" s="558"/>
      <c r="S407" s="558"/>
      <c r="X407" s="563"/>
      <c r="Y407" s="563"/>
    </row>
    <row r="408" spans="5:25" ht="11.25" customHeight="1" x14ac:dyDescent="0.2">
      <c r="E408" s="564"/>
      <c r="F408" s="564"/>
      <c r="G408" s="563"/>
      <c r="K408" s="563"/>
      <c r="L408" s="563"/>
      <c r="R408" s="558"/>
      <c r="S408" s="558"/>
      <c r="X408" s="563"/>
      <c r="Y408" s="563"/>
    </row>
    <row r="409" spans="5:25" ht="11.25" customHeight="1" x14ac:dyDescent="0.2">
      <c r="E409" s="564"/>
      <c r="F409" s="564"/>
      <c r="G409" s="563"/>
      <c r="K409" s="563"/>
      <c r="L409" s="563"/>
      <c r="R409" s="558"/>
      <c r="S409" s="558"/>
      <c r="X409" s="563"/>
      <c r="Y409" s="563"/>
    </row>
    <row r="410" spans="5:25" ht="11.25" customHeight="1" x14ac:dyDescent="0.2">
      <c r="E410" s="564"/>
      <c r="F410" s="564"/>
      <c r="G410" s="563"/>
      <c r="K410" s="563"/>
      <c r="L410" s="563"/>
      <c r="R410" s="558"/>
      <c r="S410" s="558"/>
      <c r="X410" s="563"/>
      <c r="Y410" s="563"/>
    </row>
    <row r="411" spans="5:25" ht="11.25" customHeight="1" x14ac:dyDescent="0.2">
      <c r="E411" s="564"/>
      <c r="F411" s="564"/>
      <c r="G411" s="563"/>
      <c r="K411" s="563"/>
      <c r="L411" s="563"/>
      <c r="R411" s="558"/>
      <c r="S411" s="558"/>
      <c r="X411" s="563"/>
      <c r="Y411" s="563"/>
    </row>
    <row r="412" spans="5:25" ht="11.25" customHeight="1" x14ac:dyDescent="0.2">
      <c r="E412" s="564"/>
      <c r="F412" s="564"/>
      <c r="G412" s="563"/>
      <c r="K412" s="563"/>
      <c r="L412" s="563"/>
      <c r="R412" s="558"/>
      <c r="S412" s="558"/>
      <c r="X412" s="563"/>
      <c r="Y412" s="563"/>
    </row>
    <row r="413" spans="5:25" ht="11.25" customHeight="1" x14ac:dyDescent="0.2">
      <c r="E413" s="564"/>
      <c r="F413" s="564"/>
      <c r="G413" s="563"/>
      <c r="K413" s="563"/>
      <c r="L413" s="563"/>
      <c r="R413" s="558"/>
      <c r="S413" s="558"/>
      <c r="X413" s="563"/>
      <c r="Y413" s="563"/>
    </row>
    <row r="414" spans="5:25" ht="11.25" customHeight="1" x14ac:dyDescent="0.2">
      <c r="E414" s="564"/>
      <c r="F414" s="564"/>
      <c r="G414" s="563"/>
      <c r="K414" s="563"/>
      <c r="L414" s="563"/>
      <c r="R414" s="558"/>
      <c r="S414" s="558"/>
      <c r="X414" s="563"/>
      <c r="Y414" s="563"/>
    </row>
    <row r="415" spans="5:25" ht="11.25" customHeight="1" x14ac:dyDescent="0.2">
      <c r="E415" s="564"/>
      <c r="F415" s="564"/>
      <c r="G415" s="563"/>
      <c r="K415" s="563"/>
      <c r="L415" s="563"/>
      <c r="R415" s="558"/>
      <c r="S415" s="558"/>
      <c r="X415" s="563"/>
      <c r="Y415" s="563"/>
    </row>
    <row r="416" spans="5:25" ht="11.25" customHeight="1" x14ac:dyDescent="0.2">
      <c r="E416" s="564"/>
      <c r="F416" s="564"/>
      <c r="G416" s="563"/>
      <c r="K416" s="563"/>
      <c r="L416" s="563"/>
      <c r="R416" s="558"/>
      <c r="S416" s="558"/>
      <c r="X416" s="563"/>
      <c r="Y416" s="563"/>
    </row>
    <row r="417" spans="5:25" ht="11.25" customHeight="1" x14ac:dyDescent="0.2">
      <c r="E417" s="564"/>
      <c r="F417" s="564"/>
      <c r="G417" s="563"/>
      <c r="K417" s="563"/>
      <c r="L417" s="563"/>
      <c r="R417" s="558"/>
      <c r="S417" s="558"/>
      <c r="X417" s="563"/>
      <c r="Y417" s="563"/>
    </row>
    <row r="418" spans="5:25" ht="11.25" customHeight="1" x14ac:dyDescent="0.2">
      <c r="E418" s="564"/>
      <c r="F418" s="564"/>
      <c r="G418" s="563"/>
      <c r="K418" s="563"/>
      <c r="L418" s="563"/>
      <c r="R418" s="558"/>
      <c r="S418" s="558"/>
      <c r="X418" s="563"/>
      <c r="Y418" s="563"/>
    </row>
    <row r="419" spans="5:25" ht="11.25" customHeight="1" x14ac:dyDescent="0.2">
      <c r="E419" s="564"/>
      <c r="F419" s="564"/>
      <c r="G419" s="563"/>
      <c r="K419" s="563"/>
      <c r="L419" s="563"/>
      <c r="R419" s="558"/>
      <c r="S419" s="558"/>
      <c r="X419" s="563"/>
      <c r="Y419" s="563"/>
    </row>
    <row r="420" spans="5:25" ht="11.25" customHeight="1" x14ac:dyDescent="0.2">
      <c r="E420" s="564"/>
      <c r="F420" s="564"/>
      <c r="G420" s="563"/>
      <c r="K420" s="563"/>
      <c r="L420" s="563"/>
      <c r="R420" s="558"/>
      <c r="S420" s="558"/>
      <c r="X420" s="563"/>
      <c r="Y420" s="563"/>
    </row>
    <row r="421" spans="5:25" ht="11.25" customHeight="1" x14ac:dyDescent="0.2">
      <c r="E421" s="564"/>
      <c r="F421" s="564"/>
      <c r="G421" s="563"/>
      <c r="K421" s="563"/>
      <c r="L421" s="563"/>
      <c r="R421" s="558"/>
      <c r="S421" s="558"/>
      <c r="X421" s="563"/>
      <c r="Y421" s="563"/>
    </row>
    <row r="422" spans="5:25" ht="11.25" customHeight="1" x14ac:dyDescent="0.2">
      <c r="E422" s="564"/>
      <c r="F422" s="564"/>
      <c r="G422" s="563"/>
      <c r="K422" s="563"/>
      <c r="L422" s="563"/>
      <c r="R422" s="558"/>
      <c r="S422" s="558"/>
      <c r="X422" s="563"/>
      <c r="Y422" s="563"/>
    </row>
    <row r="423" spans="5:25" ht="11.25" customHeight="1" x14ac:dyDescent="0.2">
      <c r="E423" s="564"/>
      <c r="F423" s="564"/>
      <c r="G423" s="563"/>
      <c r="K423" s="563"/>
      <c r="L423" s="563"/>
      <c r="R423" s="558"/>
      <c r="S423" s="558"/>
      <c r="X423" s="563"/>
      <c r="Y423" s="563"/>
    </row>
    <row r="424" spans="5:25" ht="11.25" customHeight="1" x14ac:dyDescent="0.2">
      <c r="E424" s="564"/>
      <c r="F424" s="564"/>
      <c r="G424" s="563"/>
      <c r="K424" s="563"/>
      <c r="L424" s="563"/>
      <c r="R424" s="558"/>
      <c r="S424" s="558"/>
      <c r="X424" s="563"/>
      <c r="Y424" s="563"/>
    </row>
    <row r="425" spans="5:25" ht="11.25" customHeight="1" x14ac:dyDescent="0.2">
      <c r="E425" s="564"/>
      <c r="F425" s="564"/>
      <c r="G425" s="563"/>
      <c r="K425" s="563"/>
      <c r="L425" s="563"/>
      <c r="R425" s="558"/>
      <c r="S425" s="558"/>
      <c r="X425" s="563"/>
      <c r="Y425" s="563"/>
    </row>
    <row r="426" spans="5:25" ht="11.25" customHeight="1" x14ac:dyDescent="0.2">
      <c r="E426" s="564"/>
      <c r="F426" s="564"/>
      <c r="G426" s="563"/>
      <c r="K426" s="563"/>
      <c r="L426" s="563"/>
      <c r="R426" s="558"/>
      <c r="S426" s="558"/>
      <c r="X426" s="563"/>
      <c r="Y426" s="563"/>
    </row>
    <row r="427" spans="5:25" ht="11.25" customHeight="1" x14ac:dyDescent="0.2">
      <c r="E427" s="564"/>
      <c r="F427" s="564"/>
      <c r="G427" s="563"/>
      <c r="K427" s="563"/>
      <c r="L427" s="563"/>
      <c r="R427" s="558"/>
      <c r="S427" s="558"/>
      <c r="X427" s="563"/>
      <c r="Y427" s="563"/>
    </row>
    <row r="428" spans="5:25" ht="11.25" customHeight="1" x14ac:dyDescent="0.2">
      <c r="E428" s="564"/>
      <c r="F428" s="564"/>
      <c r="G428" s="563"/>
      <c r="K428" s="563"/>
      <c r="L428" s="563"/>
      <c r="R428" s="558"/>
      <c r="S428" s="558"/>
      <c r="X428" s="563"/>
      <c r="Y428" s="563"/>
    </row>
    <row r="429" spans="5:25" ht="11.25" customHeight="1" x14ac:dyDescent="0.2">
      <c r="E429" s="564"/>
      <c r="F429" s="564"/>
      <c r="G429" s="563"/>
      <c r="K429" s="563"/>
      <c r="L429" s="563"/>
      <c r="R429" s="558"/>
      <c r="S429" s="558"/>
      <c r="X429" s="563"/>
      <c r="Y429" s="563"/>
    </row>
    <row r="430" spans="5:25" ht="11.25" customHeight="1" x14ac:dyDescent="0.2">
      <c r="E430" s="564"/>
      <c r="F430" s="564"/>
      <c r="G430" s="563"/>
      <c r="K430" s="563"/>
      <c r="L430" s="563"/>
      <c r="R430" s="558"/>
      <c r="S430" s="558"/>
      <c r="X430" s="563"/>
      <c r="Y430" s="563"/>
    </row>
    <row r="431" spans="5:25" ht="11.25" customHeight="1" x14ac:dyDescent="0.2">
      <c r="E431" s="564"/>
      <c r="F431" s="564"/>
      <c r="G431" s="563"/>
      <c r="K431" s="563"/>
      <c r="L431" s="563"/>
      <c r="R431" s="558"/>
      <c r="S431" s="558"/>
      <c r="X431" s="563"/>
      <c r="Y431" s="563"/>
    </row>
    <row r="432" spans="5:25" ht="11.25" customHeight="1" x14ac:dyDescent="0.2">
      <c r="E432" s="564"/>
      <c r="F432" s="564"/>
      <c r="G432" s="563"/>
      <c r="K432" s="563"/>
      <c r="L432" s="563"/>
      <c r="R432" s="558"/>
      <c r="S432" s="558"/>
      <c r="X432" s="563"/>
      <c r="Y432" s="563"/>
    </row>
    <row r="433" spans="5:25" ht="11.25" customHeight="1" x14ac:dyDescent="0.2">
      <c r="E433" s="564"/>
      <c r="F433" s="564"/>
      <c r="G433" s="563"/>
      <c r="K433" s="563"/>
      <c r="L433" s="563"/>
      <c r="R433" s="558"/>
      <c r="S433" s="558"/>
      <c r="X433" s="563"/>
      <c r="Y433" s="563"/>
    </row>
    <row r="434" spans="5:25" ht="11.25" customHeight="1" x14ac:dyDescent="0.2">
      <c r="E434" s="564"/>
      <c r="F434" s="564"/>
      <c r="G434" s="563"/>
      <c r="K434" s="563"/>
      <c r="L434" s="563"/>
      <c r="R434" s="558"/>
      <c r="S434" s="558"/>
      <c r="X434" s="563"/>
      <c r="Y434" s="563"/>
    </row>
    <row r="435" spans="5:25" ht="11.25" customHeight="1" x14ac:dyDescent="0.2">
      <c r="E435" s="564"/>
      <c r="F435" s="564"/>
      <c r="G435" s="563"/>
      <c r="K435" s="563"/>
      <c r="L435" s="563"/>
      <c r="R435" s="558"/>
      <c r="S435" s="558"/>
      <c r="X435" s="563"/>
      <c r="Y435" s="563"/>
    </row>
    <row r="436" spans="5:25" ht="11.25" customHeight="1" x14ac:dyDescent="0.2">
      <c r="E436" s="564"/>
      <c r="F436" s="564"/>
      <c r="G436" s="563"/>
      <c r="K436" s="563"/>
      <c r="L436" s="563"/>
      <c r="R436" s="558"/>
      <c r="S436" s="558"/>
      <c r="X436" s="563"/>
      <c r="Y436" s="563"/>
    </row>
    <row r="437" spans="5:25" ht="11.25" customHeight="1" x14ac:dyDescent="0.2">
      <c r="E437" s="564"/>
      <c r="F437" s="564"/>
      <c r="G437" s="563"/>
      <c r="K437" s="563"/>
      <c r="L437" s="563"/>
      <c r="R437" s="558"/>
      <c r="S437" s="558"/>
      <c r="X437" s="563"/>
      <c r="Y437" s="563"/>
    </row>
    <row r="438" spans="5:25" ht="11.25" customHeight="1" x14ac:dyDescent="0.2">
      <c r="E438" s="564"/>
      <c r="F438" s="564"/>
      <c r="G438" s="563"/>
      <c r="K438" s="563"/>
      <c r="L438" s="563"/>
      <c r="R438" s="558"/>
      <c r="S438" s="558"/>
      <c r="X438" s="563"/>
      <c r="Y438" s="563"/>
    </row>
    <row r="439" spans="5:25" ht="11.25" customHeight="1" x14ac:dyDescent="0.2">
      <c r="E439" s="564"/>
      <c r="F439" s="564"/>
      <c r="G439" s="563"/>
      <c r="K439" s="563"/>
      <c r="L439" s="563"/>
      <c r="R439" s="558"/>
      <c r="S439" s="558"/>
      <c r="X439" s="563"/>
      <c r="Y439" s="563"/>
    </row>
    <row r="440" spans="5:25" ht="11.25" customHeight="1" x14ac:dyDescent="0.2">
      <c r="E440" s="564"/>
      <c r="F440" s="564"/>
      <c r="G440" s="563"/>
      <c r="K440" s="563"/>
      <c r="L440" s="563"/>
      <c r="R440" s="558"/>
      <c r="S440" s="558"/>
      <c r="X440" s="563"/>
      <c r="Y440" s="563"/>
    </row>
    <row r="441" spans="5:25" ht="11.25" customHeight="1" x14ac:dyDescent="0.2">
      <c r="E441" s="564"/>
      <c r="F441" s="564"/>
      <c r="G441" s="563"/>
      <c r="K441" s="563"/>
      <c r="L441" s="563"/>
      <c r="R441" s="558"/>
      <c r="S441" s="558"/>
      <c r="X441" s="563"/>
      <c r="Y441" s="563"/>
    </row>
    <row r="442" spans="5:25" ht="11.25" customHeight="1" x14ac:dyDescent="0.2">
      <c r="E442" s="564"/>
      <c r="F442" s="564"/>
      <c r="G442" s="563"/>
      <c r="K442" s="563"/>
      <c r="L442" s="563"/>
      <c r="R442" s="558"/>
      <c r="S442" s="558"/>
      <c r="X442" s="563"/>
      <c r="Y442" s="563"/>
    </row>
    <row r="443" spans="5:25" ht="11.25" customHeight="1" x14ac:dyDescent="0.2">
      <c r="E443" s="564"/>
      <c r="F443" s="564"/>
      <c r="G443" s="563"/>
      <c r="K443" s="563"/>
      <c r="L443" s="563"/>
      <c r="R443" s="558"/>
      <c r="S443" s="558"/>
      <c r="X443" s="563"/>
      <c r="Y443" s="563"/>
    </row>
    <row r="444" spans="5:25" ht="11.25" customHeight="1" x14ac:dyDescent="0.2">
      <c r="E444" s="564"/>
      <c r="F444" s="564"/>
      <c r="G444" s="563"/>
      <c r="K444" s="563"/>
      <c r="L444" s="563"/>
      <c r="R444" s="558"/>
      <c r="S444" s="558"/>
      <c r="X444" s="563"/>
      <c r="Y444" s="563"/>
    </row>
    <row r="445" spans="5:25" ht="11.25" customHeight="1" x14ac:dyDescent="0.2">
      <c r="E445" s="564"/>
      <c r="F445" s="564"/>
      <c r="G445" s="563"/>
      <c r="K445" s="563"/>
      <c r="L445" s="563"/>
      <c r="R445" s="558"/>
      <c r="S445" s="558"/>
      <c r="X445" s="563"/>
      <c r="Y445" s="563"/>
    </row>
    <row r="446" spans="5:25" ht="11.25" customHeight="1" x14ac:dyDescent="0.2">
      <c r="E446" s="564"/>
      <c r="F446" s="564"/>
      <c r="G446" s="563"/>
      <c r="K446" s="563"/>
      <c r="L446" s="563"/>
      <c r="R446" s="558"/>
      <c r="S446" s="558"/>
      <c r="X446" s="563"/>
      <c r="Y446" s="563"/>
    </row>
    <row r="447" spans="5:25" ht="11.25" customHeight="1" x14ac:dyDescent="0.2">
      <c r="E447" s="564"/>
      <c r="F447" s="564"/>
      <c r="G447" s="563"/>
      <c r="K447" s="563"/>
      <c r="L447" s="563"/>
      <c r="R447" s="558"/>
      <c r="S447" s="558"/>
      <c r="X447" s="563"/>
      <c r="Y447" s="563"/>
    </row>
    <row r="448" spans="5:25" ht="11.25" customHeight="1" x14ac:dyDescent="0.2">
      <c r="E448" s="564"/>
      <c r="F448" s="564"/>
      <c r="G448" s="563"/>
      <c r="K448" s="563"/>
      <c r="L448" s="563"/>
      <c r="R448" s="558"/>
      <c r="S448" s="558"/>
      <c r="X448" s="563"/>
      <c r="Y448" s="563"/>
    </row>
    <row r="449" spans="5:25" ht="11.25" customHeight="1" x14ac:dyDescent="0.2">
      <c r="E449" s="564"/>
      <c r="F449" s="564"/>
      <c r="G449" s="563"/>
      <c r="K449" s="563"/>
      <c r="L449" s="563"/>
      <c r="R449" s="558"/>
      <c r="S449" s="558"/>
      <c r="X449" s="563"/>
      <c r="Y449" s="563"/>
    </row>
    <row r="450" spans="5:25" ht="11.25" customHeight="1" x14ac:dyDescent="0.2">
      <c r="E450" s="564"/>
      <c r="F450" s="564"/>
      <c r="G450" s="563"/>
      <c r="K450" s="563"/>
      <c r="L450" s="563"/>
      <c r="R450" s="558"/>
      <c r="S450" s="558"/>
      <c r="X450" s="563"/>
      <c r="Y450" s="563"/>
    </row>
    <row r="451" spans="5:25" ht="11.25" customHeight="1" x14ac:dyDescent="0.2">
      <c r="E451" s="564"/>
      <c r="F451" s="564"/>
      <c r="G451" s="563"/>
      <c r="K451" s="563"/>
      <c r="L451" s="563"/>
      <c r="R451" s="558"/>
      <c r="S451" s="558"/>
      <c r="X451" s="563"/>
      <c r="Y451" s="563"/>
    </row>
    <row r="452" spans="5:25" ht="11.25" customHeight="1" x14ac:dyDescent="0.2">
      <c r="E452" s="564"/>
      <c r="F452" s="564"/>
      <c r="G452" s="563"/>
      <c r="K452" s="563"/>
      <c r="L452" s="563"/>
      <c r="R452" s="558"/>
      <c r="S452" s="558"/>
      <c r="X452" s="563"/>
      <c r="Y452" s="563"/>
    </row>
    <row r="453" spans="5:25" ht="11.25" customHeight="1" x14ac:dyDescent="0.2">
      <c r="E453" s="564"/>
      <c r="F453" s="564"/>
      <c r="G453" s="563"/>
      <c r="K453" s="563"/>
      <c r="L453" s="563"/>
      <c r="R453" s="558"/>
      <c r="S453" s="558"/>
      <c r="X453" s="563"/>
      <c r="Y453" s="563"/>
    </row>
    <row r="454" spans="5:25" ht="11.25" customHeight="1" x14ac:dyDescent="0.2">
      <c r="E454" s="564"/>
      <c r="F454" s="564"/>
      <c r="G454" s="563"/>
      <c r="K454" s="563"/>
      <c r="L454" s="563"/>
      <c r="R454" s="558"/>
      <c r="S454" s="558"/>
      <c r="X454" s="563"/>
      <c r="Y454" s="563"/>
    </row>
    <row r="455" spans="5:25" ht="11.25" customHeight="1" x14ac:dyDescent="0.2">
      <c r="E455" s="564"/>
      <c r="F455" s="564"/>
      <c r="G455" s="563"/>
      <c r="K455" s="563"/>
      <c r="L455" s="563"/>
      <c r="R455" s="558"/>
      <c r="S455" s="558"/>
      <c r="X455" s="563"/>
      <c r="Y455" s="563"/>
    </row>
    <row r="456" spans="5:25" ht="11.25" customHeight="1" x14ac:dyDescent="0.2">
      <c r="E456" s="564"/>
      <c r="F456" s="564"/>
      <c r="G456" s="563"/>
      <c r="K456" s="563"/>
      <c r="L456" s="563"/>
      <c r="R456" s="558"/>
      <c r="S456" s="558"/>
      <c r="X456" s="563"/>
      <c r="Y456" s="563"/>
    </row>
    <row r="457" spans="5:25" ht="11.25" customHeight="1" x14ac:dyDescent="0.2">
      <c r="E457" s="564"/>
      <c r="F457" s="564"/>
      <c r="G457" s="563"/>
      <c r="K457" s="563"/>
      <c r="L457" s="563"/>
      <c r="R457" s="558"/>
      <c r="S457" s="558"/>
      <c r="X457" s="563"/>
      <c r="Y457" s="563"/>
    </row>
    <row r="458" spans="5:25" ht="11.25" customHeight="1" x14ac:dyDescent="0.2">
      <c r="E458" s="564"/>
      <c r="F458" s="564"/>
      <c r="G458" s="563"/>
      <c r="K458" s="563"/>
      <c r="L458" s="563"/>
      <c r="R458" s="558"/>
      <c r="S458" s="558"/>
      <c r="X458" s="563"/>
      <c r="Y458" s="563"/>
    </row>
    <row r="459" spans="5:25" ht="11.25" customHeight="1" x14ac:dyDescent="0.2">
      <c r="E459" s="564"/>
      <c r="F459" s="564"/>
      <c r="G459" s="563"/>
      <c r="K459" s="563"/>
      <c r="L459" s="563"/>
      <c r="R459" s="558"/>
      <c r="S459" s="558"/>
      <c r="X459" s="563"/>
      <c r="Y459" s="563"/>
    </row>
    <row r="460" spans="5:25" ht="11.25" customHeight="1" x14ac:dyDescent="0.2">
      <c r="E460" s="564"/>
      <c r="F460" s="564"/>
      <c r="G460" s="563"/>
      <c r="K460" s="563"/>
      <c r="L460" s="563"/>
      <c r="R460" s="558"/>
      <c r="S460" s="558"/>
      <c r="X460" s="563"/>
      <c r="Y460" s="563"/>
    </row>
    <row r="461" spans="5:25" ht="11.25" customHeight="1" x14ac:dyDescent="0.2">
      <c r="E461" s="564"/>
      <c r="F461" s="564"/>
      <c r="G461" s="563"/>
      <c r="K461" s="563"/>
      <c r="L461" s="563"/>
      <c r="R461" s="558"/>
      <c r="S461" s="558"/>
      <c r="X461" s="563"/>
      <c r="Y461" s="563"/>
    </row>
    <row r="462" spans="5:25" ht="11.25" customHeight="1" x14ac:dyDescent="0.2">
      <c r="E462" s="564"/>
      <c r="F462" s="564"/>
      <c r="G462" s="563"/>
      <c r="K462" s="563"/>
      <c r="L462" s="563"/>
      <c r="R462" s="558"/>
      <c r="S462" s="558"/>
      <c r="X462" s="563"/>
      <c r="Y462" s="563"/>
    </row>
    <row r="463" spans="5:25" ht="11.25" customHeight="1" x14ac:dyDescent="0.2">
      <c r="E463" s="564"/>
      <c r="F463" s="564"/>
      <c r="G463" s="563"/>
      <c r="K463" s="563"/>
      <c r="L463" s="563"/>
      <c r="R463" s="558"/>
      <c r="S463" s="558"/>
      <c r="X463" s="563"/>
      <c r="Y463" s="563"/>
    </row>
    <row r="464" spans="5:25" ht="11.25" customHeight="1" x14ac:dyDescent="0.2">
      <c r="E464" s="564"/>
      <c r="F464" s="564"/>
      <c r="G464" s="563"/>
      <c r="K464" s="563"/>
      <c r="L464" s="563"/>
      <c r="R464" s="558"/>
      <c r="S464" s="558"/>
      <c r="X464" s="563"/>
      <c r="Y464" s="563"/>
    </row>
    <row r="465" spans="5:25" ht="11.25" customHeight="1" x14ac:dyDescent="0.2">
      <c r="E465" s="564"/>
      <c r="F465" s="564"/>
      <c r="G465" s="563"/>
      <c r="K465" s="563"/>
      <c r="L465" s="563"/>
      <c r="R465" s="558"/>
      <c r="S465" s="558"/>
      <c r="X465" s="563"/>
      <c r="Y465" s="563"/>
    </row>
    <row r="466" spans="5:25" ht="11.25" customHeight="1" x14ac:dyDescent="0.2">
      <c r="E466" s="564"/>
      <c r="F466" s="564"/>
      <c r="G466" s="563"/>
      <c r="K466" s="563"/>
      <c r="L466" s="563"/>
      <c r="R466" s="558"/>
      <c r="S466" s="558"/>
      <c r="X466" s="563"/>
      <c r="Y466" s="563"/>
    </row>
    <row r="467" spans="5:25" ht="11.25" customHeight="1" x14ac:dyDescent="0.2">
      <c r="E467" s="564"/>
      <c r="F467" s="564"/>
      <c r="G467" s="563"/>
      <c r="K467" s="563"/>
      <c r="L467" s="563"/>
      <c r="R467" s="558"/>
      <c r="S467" s="558"/>
      <c r="X467" s="563"/>
      <c r="Y467" s="563"/>
    </row>
    <row r="468" spans="5:25" ht="11.25" customHeight="1" x14ac:dyDescent="0.2">
      <c r="E468" s="564"/>
      <c r="F468" s="564"/>
      <c r="G468" s="563"/>
      <c r="K468" s="563"/>
      <c r="L468" s="563"/>
      <c r="R468" s="558"/>
      <c r="S468" s="558"/>
      <c r="X468" s="563"/>
      <c r="Y468" s="563"/>
    </row>
    <row r="469" spans="5:25" ht="11.25" customHeight="1" x14ac:dyDescent="0.2">
      <c r="E469" s="564"/>
      <c r="F469" s="564"/>
      <c r="G469" s="563"/>
      <c r="K469" s="563"/>
      <c r="L469" s="563"/>
      <c r="R469" s="558"/>
      <c r="S469" s="558"/>
      <c r="X469" s="563"/>
      <c r="Y469" s="563"/>
    </row>
    <row r="470" spans="5:25" ht="11.25" customHeight="1" x14ac:dyDescent="0.2">
      <c r="E470" s="564"/>
      <c r="F470" s="564"/>
      <c r="G470" s="563"/>
      <c r="K470" s="563"/>
      <c r="L470" s="563"/>
      <c r="R470" s="558"/>
      <c r="S470" s="558"/>
      <c r="X470" s="563"/>
      <c r="Y470" s="563"/>
    </row>
    <row r="471" spans="5:25" ht="11.25" customHeight="1" x14ac:dyDescent="0.2">
      <c r="E471" s="564"/>
      <c r="F471" s="564"/>
      <c r="G471" s="563"/>
      <c r="K471" s="563"/>
      <c r="L471" s="563"/>
      <c r="R471" s="558"/>
      <c r="S471" s="558"/>
      <c r="X471" s="563"/>
      <c r="Y471" s="563"/>
    </row>
    <row r="472" spans="5:25" ht="11.25" customHeight="1" x14ac:dyDescent="0.2">
      <c r="E472" s="564"/>
      <c r="F472" s="564"/>
      <c r="G472" s="563"/>
      <c r="K472" s="563"/>
      <c r="L472" s="563"/>
      <c r="R472" s="558"/>
      <c r="S472" s="558"/>
      <c r="X472" s="563"/>
      <c r="Y472" s="563"/>
    </row>
    <row r="473" spans="5:25" ht="11.25" customHeight="1" x14ac:dyDescent="0.2">
      <c r="E473" s="564"/>
      <c r="F473" s="564"/>
      <c r="G473" s="563"/>
      <c r="K473" s="563"/>
      <c r="L473" s="563"/>
      <c r="R473" s="558"/>
      <c r="S473" s="558"/>
      <c r="X473" s="563"/>
      <c r="Y473" s="563"/>
    </row>
    <row r="474" spans="5:25" ht="11.25" customHeight="1" x14ac:dyDescent="0.2">
      <c r="E474" s="564"/>
      <c r="F474" s="564"/>
      <c r="G474" s="563"/>
      <c r="K474" s="563"/>
      <c r="L474" s="563"/>
      <c r="R474" s="558"/>
      <c r="S474" s="558"/>
      <c r="X474" s="563"/>
      <c r="Y474" s="563"/>
    </row>
    <row r="475" spans="5:25" ht="11.25" customHeight="1" x14ac:dyDescent="0.2">
      <c r="E475" s="564"/>
      <c r="F475" s="564"/>
      <c r="G475" s="563"/>
      <c r="K475" s="563"/>
      <c r="L475" s="563"/>
      <c r="R475" s="558"/>
      <c r="S475" s="558"/>
      <c r="X475" s="563"/>
      <c r="Y475" s="563"/>
    </row>
    <row r="476" spans="5:25" ht="11.25" customHeight="1" x14ac:dyDescent="0.2">
      <c r="E476" s="564"/>
      <c r="F476" s="564"/>
      <c r="G476" s="563"/>
      <c r="K476" s="563"/>
      <c r="L476" s="563"/>
      <c r="R476" s="558"/>
      <c r="S476" s="558"/>
      <c r="X476" s="563"/>
      <c r="Y476" s="563"/>
    </row>
    <row r="477" spans="5:25" ht="11.25" customHeight="1" x14ac:dyDescent="0.2">
      <c r="E477" s="564"/>
      <c r="F477" s="564"/>
      <c r="G477" s="563"/>
      <c r="K477" s="563"/>
      <c r="L477" s="563"/>
      <c r="R477" s="558"/>
      <c r="S477" s="558"/>
      <c r="X477" s="563"/>
      <c r="Y477" s="563"/>
    </row>
    <row r="478" spans="5:25" ht="11.25" customHeight="1" x14ac:dyDescent="0.2">
      <c r="E478" s="564"/>
      <c r="F478" s="564"/>
      <c r="G478" s="563"/>
      <c r="K478" s="563"/>
      <c r="L478" s="563"/>
      <c r="R478" s="558"/>
      <c r="S478" s="558"/>
      <c r="X478" s="563"/>
      <c r="Y478" s="563"/>
    </row>
    <row r="479" spans="5:25" ht="11.25" customHeight="1" x14ac:dyDescent="0.2">
      <c r="E479" s="564"/>
      <c r="F479" s="564"/>
      <c r="G479" s="563"/>
      <c r="K479" s="563"/>
      <c r="L479" s="563"/>
      <c r="R479" s="558"/>
      <c r="S479" s="558"/>
      <c r="X479" s="563"/>
      <c r="Y479" s="563"/>
    </row>
    <row r="480" spans="5:25" ht="11.25" customHeight="1" x14ac:dyDescent="0.2">
      <c r="E480" s="564"/>
      <c r="F480" s="564"/>
      <c r="G480" s="563"/>
      <c r="K480" s="563"/>
      <c r="L480" s="563"/>
      <c r="R480" s="558"/>
      <c r="S480" s="558"/>
      <c r="X480" s="563"/>
      <c r="Y480" s="563"/>
    </row>
    <row r="481" spans="5:25" ht="11.25" customHeight="1" x14ac:dyDescent="0.2">
      <c r="E481" s="564"/>
      <c r="F481" s="564"/>
      <c r="G481" s="563"/>
      <c r="K481" s="563"/>
      <c r="L481" s="563"/>
      <c r="R481" s="558"/>
      <c r="S481" s="558"/>
      <c r="X481" s="563"/>
      <c r="Y481" s="563"/>
    </row>
    <row r="482" spans="5:25" ht="11.25" customHeight="1" x14ac:dyDescent="0.2">
      <c r="E482" s="564"/>
      <c r="F482" s="564"/>
      <c r="G482" s="563"/>
      <c r="K482" s="563"/>
      <c r="L482" s="563"/>
      <c r="R482" s="558"/>
      <c r="S482" s="558"/>
      <c r="X482" s="563"/>
      <c r="Y482" s="563"/>
    </row>
    <row r="483" spans="5:25" ht="11.25" customHeight="1" x14ac:dyDescent="0.2">
      <c r="E483" s="564"/>
      <c r="F483" s="564"/>
      <c r="G483" s="563"/>
      <c r="K483" s="563"/>
      <c r="L483" s="563"/>
      <c r="R483" s="558"/>
      <c r="S483" s="558"/>
      <c r="X483" s="563"/>
      <c r="Y483" s="563"/>
    </row>
    <row r="484" spans="5:25" ht="11.25" customHeight="1" x14ac:dyDescent="0.2">
      <c r="E484" s="564"/>
      <c r="F484" s="564"/>
      <c r="G484" s="563"/>
      <c r="K484" s="563"/>
      <c r="L484" s="563"/>
      <c r="R484" s="558"/>
      <c r="S484" s="558"/>
      <c r="X484" s="563"/>
      <c r="Y484" s="563"/>
    </row>
    <row r="485" spans="5:25" ht="11.25" customHeight="1" x14ac:dyDescent="0.2">
      <c r="E485" s="564"/>
      <c r="F485" s="564"/>
      <c r="G485" s="563"/>
      <c r="K485" s="563"/>
      <c r="L485" s="563"/>
      <c r="R485" s="558"/>
      <c r="S485" s="558"/>
      <c r="V485" s="563"/>
      <c r="X485" s="563"/>
      <c r="Y485" s="563"/>
    </row>
    <row r="486" spans="5:25" ht="11.25" customHeight="1" x14ac:dyDescent="0.2">
      <c r="E486" s="564"/>
      <c r="F486" s="564"/>
      <c r="G486" s="563"/>
      <c r="K486" s="563"/>
      <c r="L486" s="563"/>
      <c r="R486" s="558"/>
      <c r="S486" s="558"/>
      <c r="V486" s="563"/>
      <c r="X486" s="563"/>
      <c r="Y486" s="563"/>
    </row>
    <row r="487" spans="5:25" ht="11.25" customHeight="1" x14ac:dyDescent="0.2">
      <c r="E487" s="564"/>
      <c r="F487" s="564"/>
      <c r="G487" s="563"/>
      <c r="K487" s="563"/>
      <c r="L487" s="563"/>
      <c r="R487" s="558"/>
      <c r="S487" s="558"/>
      <c r="V487" s="563"/>
      <c r="X487" s="563"/>
      <c r="Y487" s="563"/>
    </row>
    <row r="488" spans="5:25" ht="11.25" customHeight="1" x14ac:dyDescent="0.2">
      <c r="E488" s="564"/>
      <c r="F488" s="564"/>
      <c r="G488" s="563"/>
      <c r="K488" s="563"/>
      <c r="L488" s="563"/>
      <c r="R488" s="558"/>
      <c r="S488" s="558"/>
      <c r="V488" s="563"/>
      <c r="X488" s="563"/>
      <c r="Y488" s="563"/>
    </row>
    <row r="489" spans="5:25" ht="11.25" customHeight="1" x14ac:dyDescent="0.2">
      <c r="E489" s="564"/>
      <c r="F489" s="564"/>
      <c r="G489" s="563"/>
      <c r="K489" s="563"/>
      <c r="L489" s="563"/>
      <c r="R489" s="558"/>
      <c r="S489" s="558"/>
      <c r="V489" s="563"/>
      <c r="X489" s="563"/>
      <c r="Y489" s="563"/>
    </row>
    <row r="490" spans="5:25" ht="11.25" customHeight="1" x14ac:dyDescent="0.2">
      <c r="E490" s="564"/>
      <c r="F490" s="564"/>
      <c r="G490" s="563"/>
      <c r="K490" s="563"/>
      <c r="L490" s="563"/>
      <c r="R490" s="558"/>
      <c r="S490" s="558"/>
      <c r="V490" s="563"/>
      <c r="X490" s="563"/>
      <c r="Y490" s="563"/>
    </row>
    <row r="491" spans="5:25" ht="11.25" customHeight="1" x14ac:dyDescent="0.2">
      <c r="E491" s="564"/>
      <c r="F491" s="564"/>
      <c r="G491" s="563"/>
      <c r="K491" s="563"/>
      <c r="L491" s="563"/>
      <c r="R491" s="558"/>
      <c r="S491" s="558"/>
      <c r="V491" s="563"/>
      <c r="X491" s="563"/>
      <c r="Y491" s="563"/>
    </row>
    <row r="492" spans="5:25" ht="11.25" customHeight="1" x14ac:dyDescent="0.2">
      <c r="E492" s="564"/>
      <c r="F492" s="564"/>
      <c r="G492" s="563"/>
      <c r="K492" s="563"/>
      <c r="L492" s="563"/>
      <c r="R492" s="558"/>
      <c r="S492" s="558"/>
      <c r="V492" s="563"/>
      <c r="X492" s="563"/>
      <c r="Y492" s="563"/>
    </row>
    <row r="493" spans="5:25" ht="11.25" customHeight="1" x14ac:dyDescent="0.2">
      <c r="E493" s="564"/>
      <c r="F493" s="564"/>
      <c r="G493" s="563"/>
      <c r="K493" s="563"/>
      <c r="L493" s="563"/>
      <c r="R493" s="558"/>
      <c r="S493" s="558"/>
      <c r="V493" s="563"/>
      <c r="X493" s="563"/>
      <c r="Y493" s="563"/>
    </row>
    <row r="494" spans="5:25" ht="11.25" customHeight="1" x14ac:dyDescent="0.2">
      <c r="E494" s="564"/>
      <c r="F494" s="564"/>
      <c r="G494" s="563"/>
      <c r="K494" s="563"/>
      <c r="L494" s="563"/>
      <c r="R494" s="558"/>
      <c r="S494" s="558"/>
      <c r="V494" s="563"/>
      <c r="X494" s="563"/>
      <c r="Y494" s="563"/>
    </row>
    <row r="495" spans="5:25" ht="11.25" customHeight="1" x14ac:dyDescent="0.2">
      <c r="E495" s="564"/>
      <c r="F495" s="564"/>
      <c r="G495" s="563"/>
      <c r="K495" s="563"/>
      <c r="L495" s="563"/>
      <c r="R495" s="558"/>
      <c r="S495" s="558"/>
      <c r="V495" s="563"/>
      <c r="X495" s="563"/>
      <c r="Y495" s="563"/>
    </row>
    <row r="496" spans="5:25" ht="11.25" customHeight="1" x14ac:dyDescent="0.2">
      <c r="E496" s="564"/>
      <c r="F496" s="564"/>
      <c r="G496" s="563"/>
      <c r="K496" s="563"/>
      <c r="L496" s="563"/>
      <c r="R496" s="558"/>
      <c r="S496" s="558"/>
      <c r="V496" s="563"/>
      <c r="X496" s="563"/>
      <c r="Y496" s="563"/>
    </row>
    <row r="497" spans="5:25" ht="11.25" customHeight="1" x14ac:dyDescent="0.2">
      <c r="E497" s="564"/>
      <c r="F497" s="564"/>
      <c r="G497" s="563"/>
      <c r="K497" s="563"/>
      <c r="L497" s="563"/>
      <c r="R497" s="558"/>
      <c r="S497" s="558"/>
      <c r="V497" s="563"/>
      <c r="X497" s="563"/>
      <c r="Y497" s="563"/>
    </row>
    <row r="498" spans="5:25" ht="11.25" customHeight="1" x14ac:dyDescent="0.2">
      <c r="E498" s="564"/>
      <c r="F498" s="564"/>
      <c r="G498" s="563"/>
      <c r="K498" s="563"/>
      <c r="L498" s="563"/>
      <c r="R498" s="558"/>
      <c r="S498" s="558"/>
      <c r="V498" s="563"/>
      <c r="X498" s="563"/>
      <c r="Y498" s="563"/>
    </row>
    <row r="499" spans="5:25" ht="11.25" customHeight="1" x14ac:dyDescent="0.2">
      <c r="E499" s="564"/>
      <c r="F499" s="564"/>
      <c r="G499" s="563"/>
      <c r="K499" s="563"/>
      <c r="L499" s="563"/>
      <c r="R499" s="558"/>
      <c r="S499" s="558"/>
      <c r="V499" s="563"/>
      <c r="X499" s="563"/>
      <c r="Y499" s="563"/>
    </row>
    <row r="500" spans="5:25" ht="11.25" customHeight="1" x14ac:dyDescent="0.2">
      <c r="E500" s="564"/>
      <c r="F500" s="564"/>
      <c r="G500" s="563"/>
      <c r="K500" s="563"/>
      <c r="L500" s="563"/>
      <c r="R500" s="558"/>
      <c r="S500" s="558"/>
      <c r="V500" s="563"/>
      <c r="X500" s="563"/>
      <c r="Y500" s="563"/>
    </row>
    <row r="501" spans="5:25" ht="11.25" customHeight="1" x14ac:dyDescent="0.2">
      <c r="E501" s="564"/>
      <c r="F501" s="564"/>
      <c r="G501" s="563"/>
      <c r="K501" s="563"/>
      <c r="L501" s="563"/>
      <c r="R501" s="558"/>
      <c r="S501" s="558"/>
      <c r="V501" s="563"/>
      <c r="X501" s="563"/>
      <c r="Y501" s="563"/>
    </row>
    <row r="502" spans="5:25" ht="11.25" customHeight="1" x14ac:dyDescent="0.2">
      <c r="E502" s="564"/>
      <c r="F502" s="564"/>
      <c r="G502" s="563"/>
      <c r="K502" s="563"/>
      <c r="L502" s="563"/>
      <c r="R502" s="558"/>
      <c r="S502" s="558"/>
      <c r="V502" s="563"/>
      <c r="X502" s="563"/>
      <c r="Y502" s="563"/>
    </row>
    <row r="503" spans="5:25" ht="11.25" customHeight="1" x14ac:dyDescent="0.2">
      <c r="E503" s="564"/>
      <c r="F503" s="564"/>
      <c r="G503" s="563"/>
      <c r="K503" s="563"/>
      <c r="L503" s="563"/>
      <c r="R503" s="558"/>
      <c r="S503" s="558"/>
      <c r="V503" s="563"/>
      <c r="X503" s="563"/>
      <c r="Y503" s="563"/>
    </row>
    <row r="504" spans="5:25" ht="11.25" customHeight="1" x14ac:dyDescent="0.2">
      <c r="E504" s="564"/>
      <c r="F504" s="564"/>
      <c r="G504" s="563"/>
      <c r="K504" s="563"/>
      <c r="L504" s="563"/>
      <c r="R504" s="558"/>
      <c r="S504" s="558"/>
      <c r="V504" s="563"/>
      <c r="X504" s="563"/>
      <c r="Y504" s="563"/>
    </row>
    <row r="505" spans="5:25" ht="11.25" customHeight="1" x14ac:dyDescent="0.2">
      <c r="E505" s="564"/>
      <c r="F505" s="564"/>
      <c r="G505" s="563"/>
      <c r="K505" s="563"/>
      <c r="L505" s="563"/>
      <c r="R505" s="558"/>
      <c r="S505" s="558"/>
      <c r="V505" s="563"/>
      <c r="X505" s="563"/>
      <c r="Y505" s="563"/>
    </row>
    <row r="506" spans="5:25" ht="11.25" customHeight="1" x14ac:dyDescent="0.2">
      <c r="E506" s="564"/>
      <c r="F506" s="564"/>
      <c r="G506" s="563"/>
      <c r="K506" s="563"/>
      <c r="L506" s="563"/>
      <c r="R506" s="558"/>
      <c r="S506" s="558"/>
      <c r="V506" s="563"/>
      <c r="X506" s="563"/>
      <c r="Y506" s="563"/>
    </row>
    <row r="507" spans="5:25" ht="11.25" customHeight="1" x14ac:dyDescent="0.2">
      <c r="E507" s="564"/>
      <c r="F507" s="564"/>
      <c r="G507" s="563"/>
      <c r="K507" s="563"/>
      <c r="L507" s="563"/>
      <c r="R507" s="558"/>
      <c r="S507" s="558"/>
      <c r="V507" s="563"/>
      <c r="X507" s="563"/>
      <c r="Y507" s="563"/>
    </row>
    <row r="508" spans="5:25" ht="11.25" customHeight="1" x14ac:dyDescent="0.2">
      <c r="E508" s="564"/>
      <c r="F508" s="564"/>
      <c r="G508" s="563"/>
      <c r="K508" s="563"/>
      <c r="L508" s="563"/>
      <c r="R508" s="558"/>
      <c r="S508" s="558"/>
      <c r="V508" s="563"/>
      <c r="X508" s="563"/>
      <c r="Y508" s="563"/>
    </row>
    <row r="509" spans="5:25" ht="11.25" customHeight="1" x14ac:dyDescent="0.2">
      <c r="E509" s="564"/>
      <c r="F509" s="564"/>
      <c r="G509" s="563"/>
      <c r="K509" s="563"/>
      <c r="L509" s="563"/>
      <c r="R509" s="558"/>
      <c r="S509" s="558"/>
      <c r="V509" s="563"/>
      <c r="X509" s="563"/>
      <c r="Y509" s="563"/>
    </row>
    <row r="510" spans="5:25" ht="11.25" customHeight="1" x14ac:dyDescent="0.2">
      <c r="E510" s="564"/>
      <c r="F510" s="564"/>
      <c r="G510" s="563"/>
      <c r="K510" s="563"/>
      <c r="L510" s="563"/>
      <c r="R510" s="558"/>
      <c r="S510" s="558"/>
      <c r="V510" s="563"/>
      <c r="X510" s="563"/>
      <c r="Y510" s="563"/>
    </row>
    <row r="511" spans="5:25" ht="11.25" customHeight="1" x14ac:dyDescent="0.2">
      <c r="E511" s="564"/>
      <c r="F511" s="564"/>
      <c r="G511" s="563"/>
      <c r="K511" s="563"/>
      <c r="L511" s="563"/>
      <c r="R511" s="558"/>
      <c r="S511" s="558"/>
      <c r="V511" s="563"/>
      <c r="X511" s="563"/>
      <c r="Y511" s="563"/>
    </row>
    <row r="512" spans="5:25" ht="11.25" customHeight="1" x14ac:dyDescent="0.2">
      <c r="E512" s="564"/>
      <c r="F512" s="564"/>
      <c r="G512" s="563"/>
      <c r="K512" s="563"/>
      <c r="L512" s="563"/>
      <c r="R512" s="558"/>
      <c r="S512" s="558"/>
      <c r="V512" s="563"/>
      <c r="X512" s="563"/>
      <c r="Y512" s="563"/>
    </row>
    <row r="513" spans="5:25" ht="11.25" customHeight="1" x14ac:dyDescent="0.2">
      <c r="E513" s="564"/>
      <c r="F513" s="564"/>
      <c r="G513" s="563"/>
      <c r="K513" s="563"/>
      <c r="L513" s="563"/>
      <c r="R513" s="558"/>
      <c r="S513" s="558"/>
      <c r="V513" s="563"/>
      <c r="X513" s="563"/>
      <c r="Y513" s="563"/>
    </row>
    <row r="514" spans="5:25" ht="11.25" customHeight="1" x14ac:dyDescent="0.2">
      <c r="E514" s="564"/>
      <c r="F514" s="564"/>
      <c r="G514" s="563"/>
      <c r="K514" s="563"/>
      <c r="L514" s="563"/>
      <c r="R514" s="558"/>
      <c r="S514" s="558"/>
      <c r="V514" s="563"/>
      <c r="X514" s="563"/>
      <c r="Y514" s="563"/>
    </row>
    <row r="515" spans="5:25" ht="11.25" customHeight="1" x14ac:dyDescent="0.2">
      <c r="E515" s="564"/>
      <c r="F515" s="564"/>
      <c r="G515" s="563"/>
      <c r="K515" s="563"/>
      <c r="L515" s="563"/>
      <c r="R515" s="558"/>
      <c r="S515" s="558"/>
      <c r="V515" s="563"/>
      <c r="X515" s="563"/>
      <c r="Y515" s="563"/>
    </row>
    <row r="516" spans="5:25" ht="11.25" customHeight="1" x14ac:dyDescent="0.2">
      <c r="E516" s="564"/>
      <c r="F516" s="564"/>
      <c r="G516" s="563"/>
      <c r="K516" s="563"/>
      <c r="L516" s="563"/>
      <c r="R516" s="558"/>
      <c r="S516" s="558"/>
      <c r="V516" s="563"/>
      <c r="X516" s="563"/>
      <c r="Y516" s="563"/>
    </row>
    <row r="517" spans="5:25" ht="11.25" customHeight="1" x14ac:dyDescent="0.2">
      <c r="E517" s="564"/>
      <c r="F517" s="564"/>
      <c r="G517" s="563"/>
      <c r="K517" s="563"/>
      <c r="L517" s="563"/>
      <c r="R517" s="558"/>
      <c r="S517" s="558"/>
      <c r="V517" s="563"/>
      <c r="X517" s="563"/>
      <c r="Y517" s="563"/>
    </row>
    <row r="518" spans="5:25" ht="11.25" customHeight="1" x14ac:dyDescent="0.2">
      <c r="E518" s="564"/>
      <c r="F518" s="564"/>
      <c r="G518" s="563"/>
      <c r="K518" s="563"/>
      <c r="L518" s="563"/>
      <c r="R518" s="558"/>
      <c r="S518" s="558"/>
      <c r="V518" s="563"/>
      <c r="X518" s="563"/>
      <c r="Y518" s="563"/>
    </row>
    <row r="519" spans="5:25" ht="11.25" customHeight="1" x14ac:dyDescent="0.2">
      <c r="E519" s="564"/>
      <c r="F519" s="564"/>
      <c r="G519" s="563"/>
      <c r="K519" s="563"/>
      <c r="L519" s="563"/>
      <c r="R519" s="558"/>
      <c r="S519" s="558"/>
      <c r="V519" s="563"/>
      <c r="X519" s="563"/>
      <c r="Y519" s="563"/>
    </row>
    <row r="520" spans="5:25" ht="11.25" customHeight="1" x14ac:dyDescent="0.2">
      <c r="E520" s="564"/>
      <c r="F520" s="564"/>
      <c r="G520" s="563"/>
      <c r="K520" s="563"/>
      <c r="L520" s="563"/>
      <c r="R520" s="558"/>
      <c r="S520" s="558"/>
      <c r="V520" s="563"/>
      <c r="X520" s="563"/>
      <c r="Y520" s="563"/>
    </row>
    <row r="521" spans="5:25" ht="11.25" customHeight="1" x14ac:dyDescent="0.2">
      <c r="E521" s="564"/>
      <c r="F521" s="564"/>
      <c r="G521" s="563"/>
      <c r="K521" s="563"/>
      <c r="L521" s="563"/>
      <c r="R521" s="558"/>
      <c r="S521" s="558"/>
      <c r="V521" s="563"/>
      <c r="X521" s="563"/>
      <c r="Y521" s="563"/>
    </row>
    <row r="522" spans="5:25" ht="11.25" customHeight="1" x14ac:dyDescent="0.2">
      <c r="E522" s="564"/>
      <c r="F522" s="564"/>
      <c r="G522" s="563"/>
      <c r="K522" s="563"/>
      <c r="L522" s="563"/>
      <c r="R522" s="558"/>
      <c r="S522" s="558"/>
      <c r="V522" s="563"/>
      <c r="X522" s="563"/>
      <c r="Y522" s="563"/>
    </row>
    <row r="523" spans="5:25" ht="11.25" customHeight="1" x14ac:dyDescent="0.2">
      <c r="E523" s="564"/>
      <c r="F523" s="564"/>
      <c r="G523" s="563"/>
      <c r="K523" s="563"/>
      <c r="L523" s="563"/>
      <c r="R523" s="558"/>
      <c r="S523" s="558"/>
      <c r="V523" s="563"/>
      <c r="X523" s="563"/>
      <c r="Y523" s="563"/>
    </row>
    <row r="524" spans="5:25" ht="11.25" customHeight="1" x14ac:dyDescent="0.2">
      <c r="E524" s="564"/>
      <c r="F524" s="564"/>
      <c r="G524" s="563"/>
      <c r="K524" s="563"/>
      <c r="L524" s="563"/>
      <c r="R524" s="558"/>
      <c r="S524" s="558"/>
      <c r="V524" s="563"/>
      <c r="X524" s="563"/>
      <c r="Y524" s="563"/>
    </row>
    <row r="525" spans="5:25" ht="11.25" customHeight="1" x14ac:dyDescent="0.2">
      <c r="E525" s="564"/>
      <c r="F525" s="564"/>
      <c r="G525" s="563"/>
      <c r="K525" s="563"/>
      <c r="L525" s="563"/>
      <c r="R525" s="558"/>
      <c r="S525" s="558"/>
      <c r="V525" s="563"/>
      <c r="X525" s="563"/>
      <c r="Y525" s="563"/>
    </row>
    <row r="526" spans="5:25" ht="11.25" customHeight="1" x14ac:dyDescent="0.2">
      <c r="E526" s="564"/>
      <c r="F526" s="564"/>
      <c r="G526" s="563"/>
      <c r="K526" s="563"/>
      <c r="L526" s="563"/>
      <c r="R526" s="558"/>
      <c r="S526" s="558"/>
      <c r="V526" s="563"/>
      <c r="X526" s="563"/>
      <c r="Y526" s="563"/>
    </row>
    <row r="527" spans="5:25" ht="11.25" customHeight="1" x14ac:dyDescent="0.2">
      <c r="E527" s="564"/>
      <c r="F527" s="564"/>
      <c r="G527" s="563"/>
      <c r="K527" s="563"/>
      <c r="L527" s="563"/>
      <c r="R527" s="558"/>
      <c r="S527" s="558"/>
      <c r="V527" s="563"/>
      <c r="X527" s="563"/>
      <c r="Y527" s="563"/>
    </row>
    <row r="528" spans="5:25" ht="11.25" customHeight="1" x14ac:dyDescent="0.2">
      <c r="E528" s="564"/>
      <c r="F528" s="564"/>
      <c r="G528" s="563"/>
      <c r="K528" s="563"/>
      <c r="L528" s="563"/>
      <c r="R528" s="558"/>
      <c r="S528" s="558"/>
      <c r="V528" s="563"/>
      <c r="X528" s="563"/>
      <c r="Y528" s="563"/>
    </row>
    <row r="529" spans="5:25" ht="11.25" customHeight="1" x14ac:dyDescent="0.2">
      <c r="E529" s="564"/>
      <c r="F529" s="564"/>
      <c r="G529" s="563"/>
      <c r="K529" s="563"/>
      <c r="L529" s="563"/>
      <c r="R529" s="558"/>
      <c r="S529" s="558"/>
      <c r="V529" s="563"/>
      <c r="X529" s="563"/>
      <c r="Y529" s="563"/>
    </row>
    <row r="530" spans="5:25" ht="11.25" customHeight="1" x14ac:dyDescent="0.2">
      <c r="E530" s="564"/>
      <c r="F530" s="564"/>
      <c r="G530" s="563"/>
      <c r="K530" s="563"/>
      <c r="L530" s="563"/>
      <c r="R530" s="558"/>
      <c r="S530" s="558"/>
      <c r="V530" s="563"/>
      <c r="X530" s="563"/>
      <c r="Y530" s="563"/>
    </row>
    <row r="531" spans="5:25" ht="11.25" customHeight="1" x14ac:dyDescent="0.2">
      <c r="E531" s="564"/>
      <c r="F531" s="564"/>
      <c r="G531" s="563"/>
      <c r="K531" s="563"/>
      <c r="L531" s="563"/>
      <c r="R531" s="558"/>
      <c r="S531" s="558"/>
      <c r="V531" s="563"/>
      <c r="X531" s="563"/>
      <c r="Y531" s="563"/>
    </row>
    <row r="532" spans="5:25" ht="11.25" customHeight="1" x14ac:dyDescent="0.2">
      <c r="E532" s="564"/>
      <c r="F532" s="564"/>
      <c r="G532" s="563"/>
      <c r="K532" s="563"/>
      <c r="L532" s="563"/>
      <c r="R532" s="558"/>
      <c r="S532" s="558"/>
      <c r="V532" s="563"/>
      <c r="X532" s="563"/>
      <c r="Y532" s="563"/>
    </row>
    <row r="533" spans="5:25" ht="11.25" customHeight="1" x14ac:dyDescent="0.2">
      <c r="E533" s="564"/>
      <c r="F533" s="564"/>
      <c r="G533" s="563"/>
      <c r="K533" s="563"/>
      <c r="L533" s="563"/>
      <c r="R533" s="558"/>
      <c r="S533" s="558"/>
      <c r="V533" s="563"/>
      <c r="X533" s="563"/>
      <c r="Y533" s="563"/>
    </row>
    <row r="534" spans="5:25" ht="11.25" customHeight="1" x14ac:dyDescent="0.2">
      <c r="E534" s="564"/>
      <c r="F534" s="564"/>
      <c r="G534" s="563"/>
      <c r="K534" s="563"/>
      <c r="L534" s="563"/>
      <c r="R534" s="558"/>
      <c r="S534" s="558"/>
      <c r="V534" s="563"/>
      <c r="X534" s="563"/>
      <c r="Y534" s="563"/>
    </row>
    <row r="535" spans="5:25" ht="11.25" customHeight="1" x14ac:dyDescent="0.2">
      <c r="E535" s="564"/>
      <c r="F535" s="564"/>
      <c r="G535" s="563"/>
      <c r="K535" s="563"/>
      <c r="L535" s="563"/>
      <c r="V535" s="563"/>
      <c r="X535" s="563"/>
      <c r="Y535" s="563"/>
    </row>
    <row r="536" spans="5:25" ht="11.25" customHeight="1" x14ac:dyDescent="0.2">
      <c r="E536" s="564"/>
      <c r="F536" s="564"/>
      <c r="G536" s="563"/>
      <c r="K536" s="563"/>
      <c r="L536" s="563"/>
      <c r="V536" s="563"/>
      <c r="X536" s="563"/>
      <c r="Y536" s="563"/>
    </row>
    <row r="537" spans="5:25" ht="11.25" customHeight="1" x14ac:dyDescent="0.2">
      <c r="E537" s="564"/>
      <c r="F537" s="564"/>
      <c r="G537" s="563"/>
      <c r="K537" s="563"/>
      <c r="L537" s="563"/>
      <c r="V537" s="563"/>
      <c r="X537" s="563"/>
      <c r="Y537" s="563"/>
    </row>
    <row r="538" spans="5:25" ht="11.25" customHeight="1" x14ac:dyDescent="0.2">
      <c r="E538" s="564"/>
      <c r="F538" s="564"/>
      <c r="G538" s="563"/>
      <c r="K538" s="563"/>
      <c r="L538" s="563"/>
      <c r="V538" s="563"/>
      <c r="X538" s="563"/>
      <c r="Y538" s="563"/>
    </row>
    <row r="539" spans="5:25" ht="11.25" customHeight="1" x14ac:dyDescent="0.2">
      <c r="E539" s="564"/>
      <c r="F539" s="564"/>
      <c r="G539" s="563"/>
      <c r="K539" s="563"/>
      <c r="L539" s="563"/>
      <c r="V539" s="563"/>
      <c r="X539" s="563"/>
      <c r="Y539" s="563"/>
    </row>
    <row r="540" spans="5:25" ht="11.25" customHeight="1" x14ac:dyDescent="0.2">
      <c r="E540" s="564"/>
      <c r="F540" s="564"/>
      <c r="G540" s="563"/>
      <c r="K540" s="563"/>
      <c r="L540" s="563"/>
      <c r="V540" s="563"/>
      <c r="X540" s="563"/>
      <c r="Y540" s="563"/>
    </row>
    <row r="541" spans="5:25" ht="11.25" customHeight="1" x14ac:dyDescent="0.2">
      <c r="E541" s="564"/>
      <c r="F541" s="564"/>
      <c r="G541" s="563"/>
      <c r="K541" s="563"/>
      <c r="L541" s="563"/>
      <c r="V541" s="563"/>
      <c r="X541" s="563"/>
      <c r="Y541" s="563"/>
    </row>
    <row r="542" spans="5:25" ht="11.25" customHeight="1" x14ac:dyDescent="0.2">
      <c r="E542" s="564"/>
      <c r="F542" s="564"/>
      <c r="G542" s="563"/>
      <c r="K542" s="563"/>
      <c r="L542" s="563"/>
      <c r="V542" s="563"/>
      <c r="X542" s="563"/>
      <c r="Y542" s="563"/>
    </row>
    <row r="543" spans="5:25" ht="11.25" customHeight="1" x14ac:dyDescent="0.2">
      <c r="E543" s="564"/>
      <c r="F543" s="564"/>
      <c r="G543" s="563"/>
      <c r="K543" s="563"/>
      <c r="L543" s="563"/>
      <c r="V543" s="563"/>
      <c r="X543" s="563"/>
      <c r="Y543" s="563"/>
    </row>
    <row r="544" spans="5:25" ht="11.25" customHeight="1" x14ac:dyDescent="0.2">
      <c r="E544" s="564"/>
      <c r="F544" s="564"/>
      <c r="G544" s="563"/>
      <c r="K544" s="563"/>
      <c r="L544" s="563"/>
      <c r="V544" s="563"/>
      <c r="X544" s="563"/>
      <c r="Y544" s="563"/>
    </row>
    <row r="545" spans="5:25" ht="11.25" customHeight="1" x14ac:dyDescent="0.2">
      <c r="E545" s="564"/>
      <c r="F545" s="564"/>
      <c r="G545" s="563"/>
      <c r="K545" s="563"/>
      <c r="L545" s="563"/>
      <c r="V545" s="563"/>
      <c r="X545" s="563"/>
      <c r="Y545" s="563"/>
    </row>
    <row r="546" spans="5:25" ht="11.25" customHeight="1" x14ac:dyDescent="0.2">
      <c r="E546" s="564"/>
      <c r="F546" s="564"/>
      <c r="G546" s="563"/>
      <c r="K546" s="563"/>
      <c r="L546" s="563"/>
      <c r="V546" s="563"/>
      <c r="X546" s="563"/>
      <c r="Y546" s="563"/>
    </row>
    <row r="547" spans="5:25" ht="11.25" customHeight="1" x14ac:dyDescent="0.2">
      <c r="E547" s="564"/>
      <c r="F547" s="564"/>
      <c r="G547" s="563"/>
      <c r="K547" s="563"/>
      <c r="L547" s="563"/>
      <c r="V547" s="563"/>
      <c r="X547" s="563"/>
      <c r="Y547" s="563"/>
    </row>
    <row r="548" spans="5:25" ht="11.25" customHeight="1" x14ac:dyDescent="0.2">
      <c r="E548" s="564"/>
      <c r="F548" s="564"/>
      <c r="G548" s="563"/>
      <c r="K548" s="563"/>
      <c r="L548" s="563"/>
      <c r="V548" s="563"/>
      <c r="X548" s="563"/>
      <c r="Y548" s="563"/>
    </row>
    <row r="549" spans="5:25" ht="11.25" customHeight="1" x14ac:dyDescent="0.2">
      <c r="E549" s="564"/>
      <c r="F549" s="564"/>
      <c r="G549" s="563"/>
      <c r="K549" s="563"/>
      <c r="L549" s="563"/>
      <c r="V549" s="563"/>
      <c r="X549" s="563"/>
      <c r="Y549" s="563"/>
    </row>
    <row r="550" spans="5:25" ht="11.25" customHeight="1" x14ac:dyDescent="0.2">
      <c r="E550" s="564"/>
      <c r="F550" s="564"/>
      <c r="G550" s="563"/>
      <c r="K550" s="563"/>
      <c r="L550" s="563"/>
      <c r="V550" s="563"/>
      <c r="X550" s="563"/>
      <c r="Y550" s="563"/>
    </row>
    <row r="551" spans="5:25" ht="11.25" customHeight="1" x14ac:dyDescent="0.2">
      <c r="E551" s="564"/>
      <c r="F551" s="564"/>
      <c r="G551" s="563"/>
      <c r="K551" s="563"/>
      <c r="L551" s="563"/>
      <c r="V551" s="563"/>
      <c r="X551" s="563"/>
      <c r="Y551" s="563"/>
    </row>
    <row r="552" spans="5:25" ht="11.25" customHeight="1" x14ac:dyDescent="0.2">
      <c r="E552" s="564"/>
      <c r="F552" s="564"/>
      <c r="G552" s="563"/>
      <c r="K552" s="563"/>
      <c r="L552" s="563"/>
      <c r="V552" s="563"/>
      <c r="X552" s="563"/>
      <c r="Y552" s="563"/>
    </row>
    <row r="553" spans="5:25" ht="11.25" customHeight="1" x14ac:dyDescent="0.2">
      <c r="E553" s="564"/>
      <c r="F553" s="564"/>
      <c r="G553" s="563"/>
      <c r="K553" s="563"/>
      <c r="L553" s="563"/>
      <c r="V553" s="563"/>
      <c r="X553" s="563"/>
      <c r="Y553" s="563"/>
    </row>
    <row r="554" spans="5:25" ht="11.25" customHeight="1" x14ac:dyDescent="0.2">
      <c r="E554" s="564"/>
      <c r="F554" s="564"/>
      <c r="G554" s="563"/>
      <c r="K554" s="563"/>
      <c r="L554" s="563"/>
      <c r="V554" s="563"/>
      <c r="X554" s="563"/>
      <c r="Y554" s="563"/>
    </row>
    <row r="555" spans="5:25" ht="11.25" customHeight="1" x14ac:dyDescent="0.2">
      <c r="E555" s="564"/>
      <c r="F555" s="564"/>
      <c r="G555" s="563"/>
      <c r="K555" s="563"/>
      <c r="L555" s="563"/>
      <c r="V555" s="563"/>
      <c r="X555" s="563"/>
      <c r="Y555" s="563"/>
    </row>
    <row r="556" spans="5:25" ht="11.25" customHeight="1" x14ac:dyDescent="0.2">
      <c r="E556" s="564"/>
      <c r="F556" s="564"/>
      <c r="G556" s="563"/>
      <c r="K556" s="563"/>
      <c r="L556" s="563"/>
      <c r="V556" s="563"/>
      <c r="X556" s="563"/>
      <c r="Y556" s="563"/>
    </row>
    <row r="557" spans="5:25" ht="11.25" customHeight="1" x14ac:dyDescent="0.2">
      <c r="E557" s="564"/>
      <c r="F557" s="564"/>
      <c r="G557" s="563"/>
      <c r="K557" s="563"/>
      <c r="L557" s="563"/>
      <c r="V557" s="563"/>
      <c r="X557" s="563"/>
      <c r="Y557" s="563"/>
    </row>
    <row r="558" spans="5:25" ht="11.25" customHeight="1" x14ac:dyDescent="0.2">
      <c r="E558" s="564"/>
      <c r="F558" s="564"/>
      <c r="G558" s="563"/>
      <c r="K558" s="563"/>
      <c r="L558" s="563"/>
      <c r="V558" s="563"/>
      <c r="X558" s="563"/>
      <c r="Y558" s="563"/>
    </row>
    <row r="559" spans="5:25" ht="11.25" customHeight="1" x14ac:dyDescent="0.2">
      <c r="E559" s="564"/>
      <c r="F559" s="564"/>
      <c r="G559" s="563"/>
      <c r="K559" s="563"/>
      <c r="L559" s="563"/>
      <c r="V559" s="563"/>
      <c r="X559" s="563"/>
      <c r="Y559" s="563"/>
    </row>
    <row r="560" spans="5:25" ht="11.25" customHeight="1" x14ac:dyDescent="0.2">
      <c r="E560" s="564"/>
      <c r="F560" s="564"/>
      <c r="G560" s="563"/>
      <c r="K560" s="563"/>
      <c r="L560" s="563"/>
      <c r="V560" s="563"/>
      <c r="X560" s="563"/>
      <c r="Y560" s="563"/>
    </row>
    <row r="561" spans="5:25" ht="11.25" customHeight="1" x14ac:dyDescent="0.2">
      <c r="E561" s="564"/>
      <c r="F561" s="564"/>
      <c r="G561" s="563"/>
      <c r="K561" s="563"/>
      <c r="L561" s="563"/>
      <c r="V561" s="563"/>
      <c r="X561" s="563"/>
      <c r="Y561" s="563"/>
    </row>
    <row r="562" spans="5:25" ht="11.25" customHeight="1" x14ac:dyDescent="0.2">
      <c r="E562" s="564"/>
      <c r="F562" s="564"/>
      <c r="G562" s="563"/>
      <c r="K562" s="563"/>
      <c r="L562" s="563"/>
      <c r="V562" s="563"/>
      <c r="X562" s="563"/>
      <c r="Y562" s="563"/>
    </row>
    <row r="563" spans="5:25" ht="11.25" customHeight="1" x14ac:dyDescent="0.2">
      <c r="E563" s="564"/>
      <c r="F563" s="564"/>
      <c r="G563" s="563"/>
      <c r="K563" s="563"/>
      <c r="L563" s="563"/>
      <c r="V563" s="563"/>
      <c r="X563" s="563"/>
      <c r="Y563" s="563"/>
    </row>
    <row r="564" spans="5:25" ht="11.25" customHeight="1" x14ac:dyDescent="0.2">
      <c r="E564" s="564"/>
      <c r="F564" s="564"/>
      <c r="G564" s="563"/>
      <c r="K564" s="563"/>
      <c r="L564" s="563"/>
      <c r="V564" s="563"/>
      <c r="X564" s="563"/>
      <c r="Y564" s="563"/>
    </row>
    <row r="565" spans="5:25" ht="11.25" customHeight="1" x14ac:dyDescent="0.2">
      <c r="E565" s="564"/>
      <c r="F565" s="564"/>
      <c r="G565" s="563"/>
      <c r="K565" s="563"/>
      <c r="L565" s="563"/>
      <c r="V565" s="563"/>
      <c r="X565" s="563"/>
      <c r="Y565" s="563"/>
    </row>
    <row r="566" spans="5:25" ht="11.25" customHeight="1" x14ac:dyDescent="0.2">
      <c r="E566" s="564"/>
      <c r="F566" s="564"/>
      <c r="G566" s="563"/>
      <c r="K566" s="563"/>
      <c r="L566" s="563"/>
      <c r="V566" s="563"/>
      <c r="X566" s="563"/>
      <c r="Y566" s="563"/>
    </row>
    <row r="567" spans="5:25" ht="11.25" customHeight="1" x14ac:dyDescent="0.2">
      <c r="E567" s="564"/>
      <c r="F567" s="564"/>
      <c r="G567" s="563"/>
      <c r="K567" s="563"/>
      <c r="L567" s="563"/>
      <c r="V567" s="563"/>
      <c r="X567" s="563"/>
      <c r="Y567" s="563"/>
    </row>
    <row r="568" spans="5:25" ht="11.25" customHeight="1" x14ac:dyDescent="0.2">
      <c r="E568" s="564"/>
      <c r="F568" s="564"/>
      <c r="G568" s="563"/>
      <c r="K568" s="563"/>
      <c r="L568" s="563"/>
      <c r="V568" s="563"/>
      <c r="X568" s="563"/>
      <c r="Y568" s="563"/>
    </row>
    <row r="569" spans="5:25" ht="11.25" customHeight="1" x14ac:dyDescent="0.2">
      <c r="E569" s="564"/>
      <c r="F569" s="564"/>
      <c r="G569" s="563"/>
      <c r="K569" s="563"/>
      <c r="L569" s="563"/>
      <c r="V569" s="563"/>
      <c r="X569" s="563"/>
      <c r="Y569" s="563"/>
    </row>
    <row r="570" spans="5:25" ht="11.25" customHeight="1" x14ac:dyDescent="0.2">
      <c r="E570" s="564"/>
      <c r="F570" s="564"/>
      <c r="G570" s="563"/>
      <c r="K570" s="563"/>
      <c r="L570" s="563"/>
      <c r="V570" s="563"/>
      <c r="X570" s="563"/>
      <c r="Y570" s="563"/>
    </row>
    <row r="571" spans="5:25" ht="11.25" customHeight="1" x14ac:dyDescent="0.2">
      <c r="E571" s="564"/>
      <c r="F571" s="564"/>
      <c r="G571" s="563"/>
      <c r="K571" s="563"/>
      <c r="L571" s="563"/>
      <c r="V571" s="563"/>
      <c r="X571" s="563"/>
      <c r="Y571" s="563"/>
    </row>
    <row r="572" spans="5:25" ht="11.25" customHeight="1" x14ac:dyDescent="0.2">
      <c r="E572" s="564"/>
      <c r="F572" s="564"/>
      <c r="G572" s="563"/>
      <c r="K572" s="563"/>
      <c r="L572" s="563"/>
      <c r="V572" s="563"/>
      <c r="X572" s="563"/>
      <c r="Y572" s="563"/>
    </row>
    <row r="573" spans="5:25" ht="11.25" customHeight="1" x14ac:dyDescent="0.2">
      <c r="E573" s="564"/>
      <c r="F573" s="564"/>
      <c r="G573" s="563"/>
      <c r="K573" s="563"/>
      <c r="L573" s="563"/>
      <c r="V573" s="563"/>
      <c r="X573" s="563"/>
      <c r="Y573" s="563"/>
    </row>
    <row r="574" spans="5:25" ht="11.25" customHeight="1" x14ac:dyDescent="0.2">
      <c r="E574" s="564"/>
      <c r="F574" s="564"/>
      <c r="G574" s="563"/>
      <c r="K574" s="563"/>
      <c r="L574" s="563"/>
      <c r="V574" s="563"/>
      <c r="X574" s="563"/>
      <c r="Y574" s="563"/>
    </row>
    <row r="575" spans="5:25" ht="11.25" customHeight="1" x14ac:dyDescent="0.2">
      <c r="E575" s="564"/>
      <c r="F575" s="564"/>
      <c r="G575" s="563"/>
      <c r="K575" s="563"/>
      <c r="L575" s="563"/>
      <c r="V575" s="563"/>
      <c r="X575" s="563"/>
      <c r="Y575" s="563"/>
    </row>
    <row r="576" spans="5:25" ht="11.25" customHeight="1" x14ac:dyDescent="0.2">
      <c r="E576" s="564"/>
      <c r="F576" s="564"/>
      <c r="G576" s="563"/>
      <c r="K576" s="563"/>
      <c r="L576" s="563"/>
      <c r="V576" s="563"/>
      <c r="X576" s="563"/>
      <c r="Y576" s="563"/>
    </row>
    <row r="577" spans="5:25" ht="11.25" customHeight="1" x14ac:dyDescent="0.2">
      <c r="E577" s="564"/>
      <c r="F577" s="564"/>
      <c r="G577" s="563"/>
      <c r="K577" s="563"/>
      <c r="L577" s="563"/>
      <c r="V577" s="563"/>
      <c r="X577" s="563"/>
      <c r="Y577" s="563"/>
    </row>
    <row r="578" spans="5:25" ht="11.25" customHeight="1" x14ac:dyDescent="0.2">
      <c r="E578" s="564"/>
      <c r="F578" s="564"/>
      <c r="G578" s="563"/>
      <c r="K578" s="563"/>
      <c r="L578" s="563"/>
      <c r="V578" s="563"/>
      <c r="X578" s="563"/>
      <c r="Y578" s="563"/>
    </row>
    <row r="579" spans="5:25" ht="11.25" customHeight="1" x14ac:dyDescent="0.2">
      <c r="E579" s="564"/>
      <c r="F579" s="564"/>
      <c r="G579" s="563"/>
      <c r="K579" s="563"/>
      <c r="L579" s="563"/>
      <c r="V579" s="563"/>
      <c r="X579" s="563"/>
      <c r="Y579" s="563"/>
    </row>
    <row r="580" spans="5:25" ht="11.25" customHeight="1" x14ac:dyDescent="0.2">
      <c r="E580" s="564"/>
      <c r="F580" s="564"/>
      <c r="G580" s="563"/>
      <c r="K580" s="563"/>
      <c r="L580" s="563"/>
      <c r="V580" s="563"/>
      <c r="X580" s="563"/>
      <c r="Y580" s="563"/>
    </row>
    <row r="581" spans="5:25" ht="11.25" customHeight="1" x14ac:dyDescent="0.2">
      <c r="E581" s="564"/>
      <c r="F581" s="564"/>
      <c r="G581" s="563"/>
      <c r="K581" s="563"/>
      <c r="L581" s="563"/>
      <c r="V581" s="563"/>
      <c r="X581" s="563"/>
      <c r="Y581" s="563"/>
    </row>
    <row r="582" spans="5:25" ht="11.25" customHeight="1" x14ac:dyDescent="0.2">
      <c r="E582" s="564"/>
      <c r="F582" s="564"/>
      <c r="G582" s="563"/>
      <c r="K582" s="563"/>
      <c r="L582" s="563"/>
      <c r="V582" s="563"/>
      <c r="X582" s="563"/>
      <c r="Y582" s="563"/>
    </row>
    <row r="583" spans="5:25" ht="11.25" customHeight="1" x14ac:dyDescent="0.2">
      <c r="E583" s="564"/>
      <c r="F583" s="564"/>
      <c r="G583" s="563"/>
      <c r="K583" s="563"/>
      <c r="L583" s="563"/>
      <c r="V583" s="563"/>
      <c r="X583" s="563"/>
      <c r="Y583" s="563"/>
    </row>
    <row r="584" spans="5:25" ht="11.25" customHeight="1" x14ac:dyDescent="0.2">
      <c r="E584" s="564"/>
      <c r="F584" s="564"/>
      <c r="G584" s="563"/>
      <c r="K584" s="563"/>
      <c r="L584" s="563"/>
      <c r="V584" s="563"/>
      <c r="X584" s="563"/>
      <c r="Y584" s="563"/>
    </row>
    <row r="585" spans="5:25" ht="11.25" customHeight="1" x14ac:dyDescent="0.2">
      <c r="E585" s="564"/>
      <c r="F585" s="564"/>
      <c r="G585" s="563"/>
      <c r="K585" s="563"/>
      <c r="L585" s="563"/>
      <c r="V585" s="563"/>
      <c r="X585" s="563"/>
      <c r="Y585" s="563"/>
    </row>
    <row r="586" spans="5:25" ht="11.25" customHeight="1" x14ac:dyDescent="0.2">
      <c r="E586" s="564"/>
      <c r="F586" s="564"/>
      <c r="G586" s="563"/>
      <c r="K586" s="563"/>
      <c r="L586" s="563"/>
      <c r="V586" s="563"/>
      <c r="X586" s="563"/>
      <c r="Y586" s="563"/>
    </row>
    <row r="587" spans="5:25" ht="11.25" customHeight="1" x14ac:dyDescent="0.2">
      <c r="E587" s="564"/>
      <c r="F587" s="564"/>
      <c r="G587" s="563"/>
      <c r="K587" s="563"/>
      <c r="L587" s="563"/>
      <c r="V587" s="563"/>
      <c r="X587" s="563"/>
      <c r="Y587" s="563"/>
    </row>
    <row r="588" spans="5:25" x14ac:dyDescent="0.2">
      <c r="E588" s="564"/>
      <c r="F588" s="564"/>
      <c r="G588" s="563"/>
      <c r="K588" s="563"/>
      <c r="L588" s="563"/>
      <c r="V588" s="563"/>
      <c r="X588" s="563"/>
      <c r="Y588" s="563"/>
    </row>
    <row r="589" spans="5:25" x14ac:dyDescent="0.2">
      <c r="E589" s="564"/>
      <c r="F589" s="564"/>
      <c r="G589" s="563"/>
      <c r="K589" s="563"/>
      <c r="L589" s="563"/>
      <c r="V589" s="563"/>
      <c r="X589" s="563"/>
      <c r="Y589" s="563"/>
    </row>
    <row r="590" spans="5:25" x14ac:dyDescent="0.2">
      <c r="E590" s="564"/>
      <c r="F590" s="564"/>
      <c r="G590" s="563"/>
      <c r="K590" s="563"/>
      <c r="L590" s="563"/>
      <c r="V590" s="563"/>
      <c r="X590" s="563"/>
      <c r="Y590" s="563"/>
    </row>
    <row r="591" spans="5:25" x14ac:dyDescent="0.2">
      <c r="V591" s="563"/>
      <c r="X591" s="563"/>
      <c r="Y591" s="563"/>
    </row>
    <row r="592" spans="5:25" x14ac:dyDescent="0.2">
      <c r="V592" s="563"/>
      <c r="X592" s="563"/>
      <c r="Y592" s="563"/>
    </row>
    <row r="593" spans="22:25" x14ac:dyDescent="0.2">
      <c r="V593" s="563"/>
      <c r="X593" s="563"/>
      <c r="Y593" s="563"/>
    </row>
    <row r="594" spans="22:25" x14ac:dyDescent="0.2">
      <c r="V594" s="563"/>
      <c r="X594" s="563"/>
      <c r="Y594" s="563"/>
    </row>
    <row r="595" spans="22:25" x14ac:dyDescent="0.2">
      <c r="V595" s="563"/>
      <c r="X595" s="563"/>
      <c r="Y595" s="563"/>
    </row>
    <row r="596" spans="22:25" x14ac:dyDescent="0.2">
      <c r="V596" s="563"/>
      <c r="X596" s="563"/>
      <c r="Y596" s="563"/>
    </row>
    <row r="597" spans="22:25" x14ac:dyDescent="0.2">
      <c r="V597" s="563"/>
      <c r="X597" s="563"/>
      <c r="Y597" s="563"/>
    </row>
    <row r="598" spans="22:25" x14ac:dyDescent="0.2">
      <c r="V598" s="563"/>
      <c r="X598" s="563"/>
      <c r="Y598" s="563"/>
    </row>
    <row r="599" spans="22:25" x14ac:dyDescent="0.2">
      <c r="V599" s="563"/>
      <c r="X599" s="563"/>
      <c r="Y599" s="563"/>
    </row>
    <row r="600" spans="22:25" x14ac:dyDescent="0.2">
      <c r="V600" s="563"/>
      <c r="X600" s="563"/>
      <c r="Y600" s="563"/>
    </row>
    <row r="601" spans="22:25" x14ac:dyDescent="0.2">
      <c r="V601" s="563"/>
      <c r="X601" s="563"/>
      <c r="Y601" s="563"/>
    </row>
    <row r="602" spans="22:25" x14ac:dyDescent="0.2">
      <c r="V602" s="563"/>
      <c r="X602" s="563"/>
      <c r="Y602" s="563"/>
    </row>
    <row r="603" spans="22:25" x14ac:dyDescent="0.2">
      <c r="V603" s="563"/>
      <c r="X603" s="563"/>
      <c r="Y603" s="563"/>
    </row>
    <row r="604" spans="22:25" x14ac:dyDescent="0.2">
      <c r="V604" s="563"/>
      <c r="X604" s="563"/>
      <c r="Y604" s="563"/>
    </row>
    <row r="605" spans="22:25" x14ac:dyDescent="0.2">
      <c r="V605" s="563"/>
      <c r="X605" s="563"/>
      <c r="Y605" s="563"/>
    </row>
    <row r="606" spans="22:25" x14ac:dyDescent="0.2">
      <c r="V606" s="563"/>
      <c r="X606" s="563"/>
      <c r="Y606" s="563"/>
    </row>
    <row r="607" spans="22:25" x14ac:dyDescent="0.2">
      <c r="V607" s="563"/>
      <c r="X607" s="563"/>
      <c r="Y607" s="563"/>
    </row>
    <row r="608" spans="22:25" x14ac:dyDescent="0.2">
      <c r="V608" s="563"/>
      <c r="X608" s="563"/>
      <c r="Y608" s="563"/>
    </row>
    <row r="609" spans="22:25" x14ac:dyDescent="0.2">
      <c r="V609" s="563"/>
      <c r="X609" s="563"/>
      <c r="Y609" s="563"/>
    </row>
    <row r="610" spans="22:25" x14ac:dyDescent="0.2">
      <c r="V610" s="563"/>
      <c r="X610" s="563"/>
      <c r="Y610" s="563"/>
    </row>
    <row r="611" spans="22:25" x14ac:dyDescent="0.2">
      <c r="V611" s="563"/>
      <c r="X611" s="563"/>
      <c r="Y611" s="563"/>
    </row>
    <row r="612" spans="22:25" x14ac:dyDescent="0.2">
      <c r="V612" s="563"/>
      <c r="X612" s="563"/>
      <c r="Y612" s="563"/>
    </row>
    <row r="613" spans="22:25" x14ac:dyDescent="0.2">
      <c r="V613" s="563"/>
      <c r="X613" s="563"/>
      <c r="Y613" s="563"/>
    </row>
    <row r="614" spans="22:25" x14ac:dyDescent="0.2">
      <c r="V614" s="563"/>
      <c r="X614" s="563"/>
      <c r="Y614" s="563"/>
    </row>
    <row r="615" spans="22:25" x14ac:dyDescent="0.2">
      <c r="V615" s="563"/>
      <c r="X615" s="563"/>
      <c r="Y615" s="563"/>
    </row>
    <row r="616" spans="22:25" x14ac:dyDescent="0.2">
      <c r="V616" s="563"/>
      <c r="X616" s="563"/>
      <c r="Y616" s="563"/>
    </row>
    <row r="617" spans="22:25" x14ac:dyDescent="0.2">
      <c r="V617" s="563"/>
      <c r="X617" s="563"/>
      <c r="Y617" s="563"/>
    </row>
    <row r="618" spans="22:25" x14ac:dyDescent="0.2">
      <c r="V618" s="563"/>
      <c r="X618" s="563"/>
      <c r="Y618" s="563"/>
    </row>
    <row r="619" spans="22:25" x14ac:dyDescent="0.2">
      <c r="V619" s="563"/>
      <c r="X619" s="563"/>
      <c r="Y619" s="563"/>
    </row>
    <row r="620" spans="22:25" x14ac:dyDescent="0.2">
      <c r="V620" s="563"/>
      <c r="X620" s="563"/>
      <c r="Y620" s="563"/>
    </row>
    <row r="621" spans="22:25" x14ac:dyDescent="0.2">
      <c r="V621" s="563"/>
      <c r="X621" s="563"/>
      <c r="Y621" s="563"/>
    </row>
    <row r="622" spans="22:25" x14ac:dyDescent="0.2">
      <c r="V622" s="563"/>
      <c r="X622" s="563"/>
      <c r="Y622" s="563"/>
    </row>
    <row r="623" spans="22:25" x14ac:dyDescent="0.2">
      <c r="V623" s="563"/>
      <c r="X623" s="563"/>
      <c r="Y623" s="563"/>
    </row>
    <row r="624" spans="22:25" x14ac:dyDescent="0.2">
      <c r="V624" s="563"/>
      <c r="X624" s="563"/>
      <c r="Y624" s="563"/>
    </row>
    <row r="625" spans="22:25" x14ac:dyDescent="0.2">
      <c r="V625" s="563"/>
      <c r="X625" s="563"/>
      <c r="Y625" s="563"/>
    </row>
    <row r="626" spans="22:25" x14ac:dyDescent="0.2">
      <c r="V626" s="563"/>
      <c r="X626" s="563"/>
      <c r="Y626" s="563"/>
    </row>
    <row r="627" spans="22:25" x14ac:dyDescent="0.2">
      <c r="V627" s="563"/>
      <c r="X627" s="563"/>
      <c r="Y627" s="563"/>
    </row>
    <row r="628" spans="22:25" x14ac:dyDescent="0.2">
      <c r="V628" s="563"/>
      <c r="X628" s="563"/>
      <c r="Y628" s="563"/>
    </row>
    <row r="629" spans="22:25" x14ac:dyDescent="0.2">
      <c r="V629" s="563"/>
      <c r="X629" s="563"/>
      <c r="Y629" s="563"/>
    </row>
    <row r="630" spans="22:25" x14ac:dyDescent="0.2">
      <c r="V630" s="563"/>
      <c r="X630" s="563"/>
      <c r="Y630" s="563"/>
    </row>
    <row r="631" spans="22:25" x14ac:dyDescent="0.2">
      <c r="V631" s="563"/>
      <c r="X631" s="563"/>
      <c r="Y631" s="563"/>
    </row>
    <row r="632" spans="22:25" x14ac:dyDescent="0.2">
      <c r="V632" s="563"/>
      <c r="X632" s="563"/>
      <c r="Y632" s="563"/>
    </row>
    <row r="633" spans="22:25" x14ac:dyDescent="0.2">
      <c r="V633" s="563"/>
      <c r="X633" s="563"/>
      <c r="Y633" s="563"/>
    </row>
    <row r="634" spans="22:25" x14ac:dyDescent="0.2">
      <c r="V634" s="563"/>
      <c r="X634" s="563"/>
      <c r="Y634" s="563"/>
    </row>
    <row r="635" spans="22:25" x14ac:dyDescent="0.2">
      <c r="V635" s="563"/>
      <c r="X635" s="563"/>
      <c r="Y635" s="563"/>
    </row>
    <row r="636" spans="22:25" x14ac:dyDescent="0.2">
      <c r="V636" s="563"/>
      <c r="X636" s="563"/>
      <c r="Y636" s="563"/>
    </row>
    <row r="637" spans="22:25" x14ac:dyDescent="0.2">
      <c r="V637" s="563"/>
      <c r="X637" s="563"/>
      <c r="Y637" s="563"/>
    </row>
    <row r="638" spans="22:25" x14ac:dyDescent="0.2">
      <c r="V638" s="563"/>
      <c r="X638" s="563"/>
      <c r="Y638" s="563"/>
    </row>
    <row r="639" spans="22:25" x14ac:dyDescent="0.2">
      <c r="V639" s="563"/>
      <c r="X639" s="563"/>
      <c r="Y639" s="563"/>
    </row>
    <row r="640" spans="22:25" x14ac:dyDescent="0.2">
      <c r="V640" s="563"/>
      <c r="X640" s="563"/>
      <c r="Y640" s="563"/>
    </row>
    <row r="641" spans="22:25" x14ac:dyDescent="0.2">
      <c r="V641" s="563"/>
      <c r="X641" s="563"/>
      <c r="Y641" s="563"/>
    </row>
    <row r="642" spans="22:25" x14ac:dyDescent="0.2">
      <c r="V642" s="563"/>
      <c r="X642" s="563"/>
      <c r="Y642" s="563"/>
    </row>
    <row r="643" spans="22:25" x14ac:dyDescent="0.2">
      <c r="V643" s="563"/>
      <c r="X643" s="563"/>
      <c r="Y643" s="563"/>
    </row>
    <row r="644" spans="22:25" x14ac:dyDescent="0.2">
      <c r="V644" s="563"/>
      <c r="X644" s="563"/>
      <c r="Y644" s="563"/>
    </row>
    <row r="645" spans="22:25" x14ac:dyDescent="0.2">
      <c r="V645" s="563"/>
      <c r="X645" s="563"/>
      <c r="Y645" s="563"/>
    </row>
    <row r="646" spans="22:25" x14ac:dyDescent="0.2">
      <c r="V646" s="563"/>
      <c r="X646" s="563"/>
      <c r="Y646" s="563"/>
    </row>
    <row r="647" spans="22:25" x14ac:dyDescent="0.2">
      <c r="V647" s="563"/>
      <c r="X647" s="563"/>
      <c r="Y647" s="563"/>
    </row>
    <row r="648" spans="22:25" x14ac:dyDescent="0.2">
      <c r="V648" s="563"/>
      <c r="X648" s="563"/>
      <c r="Y648" s="563"/>
    </row>
    <row r="649" spans="22:25" x14ac:dyDescent="0.2">
      <c r="V649" s="563"/>
      <c r="X649" s="563"/>
      <c r="Y649" s="563"/>
    </row>
    <row r="650" spans="22:25" x14ac:dyDescent="0.2">
      <c r="V650" s="563"/>
      <c r="X650" s="563"/>
      <c r="Y650" s="563"/>
    </row>
    <row r="651" spans="22:25" x14ac:dyDescent="0.2">
      <c r="V651" s="563"/>
      <c r="X651" s="563"/>
      <c r="Y651" s="563"/>
    </row>
    <row r="652" spans="22:25" x14ac:dyDescent="0.2">
      <c r="V652" s="563"/>
      <c r="X652" s="563"/>
      <c r="Y652" s="563"/>
    </row>
    <row r="653" spans="22:25" x14ac:dyDescent="0.2">
      <c r="V653" s="563"/>
      <c r="X653" s="563"/>
      <c r="Y653" s="563"/>
    </row>
    <row r="654" spans="22:25" x14ac:dyDescent="0.2">
      <c r="V654" s="563"/>
      <c r="X654" s="563"/>
      <c r="Y654" s="563"/>
    </row>
    <row r="655" spans="22:25" x14ac:dyDescent="0.2">
      <c r="V655" s="563"/>
      <c r="X655" s="563"/>
      <c r="Y655" s="563"/>
    </row>
    <row r="656" spans="22:25" x14ac:dyDescent="0.2">
      <c r="V656" s="563"/>
      <c r="X656" s="563"/>
      <c r="Y656" s="563"/>
    </row>
    <row r="657" spans="22:25" x14ac:dyDescent="0.2">
      <c r="V657" s="563"/>
      <c r="X657" s="563"/>
      <c r="Y657" s="563"/>
    </row>
    <row r="658" spans="22:25" x14ac:dyDescent="0.2">
      <c r="V658" s="563"/>
      <c r="X658" s="563"/>
      <c r="Y658" s="563"/>
    </row>
    <row r="659" spans="22:25" x14ac:dyDescent="0.2">
      <c r="V659" s="563"/>
      <c r="X659" s="563"/>
      <c r="Y659" s="563"/>
    </row>
    <row r="660" spans="22:25" x14ac:dyDescent="0.2">
      <c r="V660" s="563"/>
      <c r="X660" s="563"/>
      <c r="Y660" s="563"/>
    </row>
    <row r="661" spans="22:25" x14ac:dyDescent="0.2">
      <c r="V661" s="563"/>
      <c r="X661" s="563"/>
      <c r="Y661" s="563"/>
    </row>
    <row r="662" spans="22:25" x14ac:dyDescent="0.2">
      <c r="V662" s="563"/>
      <c r="X662" s="563"/>
      <c r="Y662" s="563"/>
    </row>
    <row r="663" spans="22:25" x14ac:dyDescent="0.2">
      <c r="V663" s="563"/>
      <c r="X663" s="563"/>
      <c r="Y663" s="563"/>
    </row>
    <row r="664" spans="22:25" x14ac:dyDescent="0.2">
      <c r="V664" s="563"/>
      <c r="X664" s="563"/>
      <c r="Y664" s="563"/>
    </row>
    <row r="665" spans="22:25" x14ac:dyDescent="0.2">
      <c r="V665" s="563"/>
      <c r="X665" s="563"/>
      <c r="Y665" s="563"/>
    </row>
    <row r="666" spans="22:25" x14ac:dyDescent="0.2">
      <c r="V666" s="563"/>
      <c r="X666" s="563"/>
      <c r="Y666" s="563"/>
    </row>
    <row r="667" spans="22:25" x14ac:dyDescent="0.2">
      <c r="V667" s="563"/>
      <c r="X667" s="563"/>
      <c r="Y667" s="563"/>
    </row>
    <row r="668" spans="22:25" x14ac:dyDescent="0.2">
      <c r="V668" s="563"/>
      <c r="X668" s="563"/>
      <c r="Y668" s="563"/>
    </row>
    <row r="669" spans="22:25" x14ac:dyDescent="0.2">
      <c r="V669" s="563"/>
      <c r="X669" s="563"/>
      <c r="Y669" s="563"/>
    </row>
    <row r="670" spans="22:25" x14ac:dyDescent="0.2">
      <c r="V670" s="563"/>
      <c r="X670" s="563"/>
      <c r="Y670" s="563"/>
    </row>
    <row r="671" spans="22:25" x14ac:dyDescent="0.2">
      <c r="V671" s="563"/>
      <c r="X671" s="563"/>
      <c r="Y671" s="563"/>
    </row>
    <row r="672" spans="22:25" x14ac:dyDescent="0.2">
      <c r="V672" s="563"/>
      <c r="X672" s="563"/>
      <c r="Y672" s="563"/>
    </row>
    <row r="673" spans="22:25" x14ac:dyDescent="0.2">
      <c r="V673" s="563"/>
      <c r="X673" s="563"/>
      <c r="Y673" s="563"/>
    </row>
    <row r="674" spans="22:25" x14ac:dyDescent="0.2">
      <c r="V674" s="563"/>
      <c r="X674" s="563"/>
      <c r="Y674" s="563"/>
    </row>
    <row r="675" spans="22:25" x14ac:dyDescent="0.2">
      <c r="V675" s="563"/>
      <c r="X675" s="563"/>
      <c r="Y675" s="563"/>
    </row>
    <row r="676" spans="22:25" x14ac:dyDescent="0.2">
      <c r="V676" s="563"/>
      <c r="X676" s="563"/>
      <c r="Y676" s="563"/>
    </row>
    <row r="677" spans="22:25" x14ac:dyDescent="0.2">
      <c r="V677" s="563"/>
      <c r="X677" s="563"/>
      <c r="Y677" s="563"/>
    </row>
    <row r="678" spans="22:25" x14ac:dyDescent="0.2">
      <c r="V678" s="563"/>
      <c r="X678" s="563"/>
      <c r="Y678" s="563"/>
    </row>
    <row r="679" spans="22:25" x14ac:dyDescent="0.2">
      <c r="V679" s="563"/>
      <c r="X679" s="563"/>
      <c r="Y679" s="563"/>
    </row>
    <row r="680" spans="22:25" x14ac:dyDescent="0.2">
      <c r="V680" s="563"/>
      <c r="X680" s="563"/>
      <c r="Y680" s="563"/>
    </row>
    <row r="681" spans="22:25" x14ac:dyDescent="0.2">
      <c r="V681" s="563"/>
      <c r="X681" s="563"/>
      <c r="Y681" s="563"/>
    </row>
    <row r="682" spans="22:25" x14ac:dyDescent="0.2">
      <c r="V682" s="563"/>
      <c r="X682" s="563"/>
      <c r="Y682" s="563"/>
    </row>
    <row r="683" spans="22:25" x14ac:dyDescent="0.2">
      <c r="V683" s="563"/>
      <c r="X683" s="563"/>
      <c r="Y683" s="563"/>
    </row>
    <row r="684" spans="22:25" x14ac:dyDescent="0.2">
      <c r="V684" s="563"/>
      <c r="X684" s="563"/>
      <c r="Y684" s="563"/>
    </row>
    <row r="685" spans="22:25" x14ac:dyDescent="0.2">
      <c r="V685" s="563"/>
      <c r="X685" s="563"/>
      <c r="Y685" s="563"/>
    </row>
    <row r="686" spans="22:25" x14ac:dyDescent="0.2">
      <c r="V686" s="563"/>
      <c r="X686" s="563"/>
      <c r="Y686" s="563"/>
    </row>
    <row r="687" spans="22:25" x14ac:dyDescent="0.2">
      <c r="V687" s="563"/>
      <c r="X687" s="563"/>
      <c r="Y687" s="563"/>
    </row>
    <row r="688" spans="22:25" x14ac:dyDescent="0.2">
      <c r="V688" s="563"/>
      <c r="X688" s="563"/>
      <c r="Y688" s="563"/>
    </row>
    <row r="689" spans="22:25" x14ac:dyDescent="0.2">
      <c r="V689" s="563"/>
      <c r="X689" s="563"/>
      <c r="Y689" s="563"/>
    </row>
    <row r="690" spans="22:25" x14ac:dyDescent="0.2">
      <c r="V690" s="563"/>
      <c r="X690" s="563"/>
      <c r="Y690" s="563"/>
    </row>
    <row r="691" spans="22:25" x14ac:dyDescent="0.2">
      <c r="V691" s="563"/>
      <c r="X691" s="563"/>
      <c r="Y691" s="563"/>
    </row>
    <row r="692" spans="22:25" x14ac:dyDescent="0.2">
      <c r="V692" s="563"/>
      <c r="X692" s="563"/>
      <c r="Y692" s="563"/>
    </row>
    <row r="693" spans="22:25" x14ac:dyDescent="0.2">
      <c r="V693" s="563"/>
      <c r="X693" s="563"/>
      <c r="Y693" s="563"/>
    </row>
    <row r="694" spans="22:25" x14ac:dyDescent="0.2">
      <c r="V694" s="563"/>
      <c r="X694" s="563"/>
      <c r="Y694" s="563"/>
    </row>
    <row r="695" spans="22:25" x14ac:dyDescent="0.2">
      <c r="V695" s="563"/>
      <c r="X695" s="563"/>
      <c r="Y695" s="563"/>
    </row>
    <row r="696" spans="22:25" x14ac:dyDescent="0.2">
      <c r="V696" s="563"/>
      <c r="X696" s="563"/>
      <c r="Y696" s="563"/>
    </row>
    <row r="697" spans="22:25" x14ac:dyDescent="0.2">
      <c r="V697" s="563"/>
      <c r="X697" s="563"/>
      <c r="Y697" s="563"/>
    </row>
    <row r="698" spans="22:25" x14ac:dyDescent="0.2">
      <c r="V698" s="563"/>
      <c r="X698" s="563"/>
      <c r="Y698" s="563"/>
    </row>
    <row r="699" spans="22:25" x14ac:dyDescent="0.2">
      <c r="V699" s="563"/>
      <c r="X699" s="563"/>
      <c r="Y699" s="563"/>
    </row>
    <row r="700" spans="22:25" x14ac:dyDescent="0.2">
      <c r="V700" s="563"/>
      <c r="X700" s="563"/>
      <c r="Y700" s="563"/>
    </row>
    <row r="701" spans="22:25" x14ac:dyDescent="0.2">
      <c r="V701" s="563"/>
      <c r="X701" s="563"/>
      <c r="Y701" s="563"/>
    </row>
    <row r="702" spans="22:25" x14ac:dyDescent="0.2">
      <c r="V702" s="563"/>
      <c r="X702" s="563"/>
      <c r="Y702" s="563"/>
    </row>
    <row r="703" spans="22:25" x14ac:dyDescent="0.2">
      <c r="V703" s="563"/>
      <c r="X703" s="563"/>
      <c r="Y703" s="563"/>
    </row>
    <row r="704" spans="22:25" x14ac:dyDescent="0.2">
      <c r="V704" s="563"/>
      <c r="X704" s="563"/>
      <c r="Y704" s="563"/>
    </row>
    <row r="705" spans="22:25" x14ac:dyDescent="0.2">
      <c r="V705" s="563"/>
      <c r="X705" s="563"/>
      <c r="Y705" s="563"/>
    </row>
    <row r="706" spans="22:25" x14ac:dyDescent="0.2">
      <c r="V706" s="563"/>
      <c r="X706" s="563"/>
      <c r="Y706" s="563"/>
    </row>
    <row r="707" spans="22:25" x14ac:dyDescent="0.2">
      <c r="V707" s="563"/>
      <c r="X707" s="563"/>
      <c r="Y707" s="563"/>
    </row>
    <row r="708" spans="22:25" x14ac:dyDescent="0.2">
      <c r="V708" s="563"/>
      <c r="X708" s="563"/>
      <c r="Y708" s="563"/>
    </row>
    <row r="709" spans="22:25" x14ac:dyDescent="0.2">
      <c r="V709" s="563"/>
      <c r="X709" s="563"/>
      <c r="Y709" s="563"/>
    </row>
    <row r="710" spans="22:25" x14ac:dyDescent="0.2">
      <c r="V710" s="563"/>
      <c r="X710" s="563"/>
      <c r="Y710" s="563"/>
    </row>
    <row r="711" spans="22:25" x14ac:dyDescent="0.2">
      <c r="V711" s="563"/>
      <c r="X711" s="563"/>
      <c r="Y711" s="563"/>
    </row>
    <row r="712" spans="22:25" x14ac:dyDescent="0.2">
      <c r="V712" s="563"/>
      <c r="X712" s="563"/>
      <c r="Y712" s="563"/>
    </row>
    <row r="713" spans="22:25" x14ac:dyDescent="0.2">
      <c r="V713" s="563"/>
      <c r="X713" s="563"/>
      <c r="Y713" s="563"/>
    </row>
    <row r="714" spans="22:25" x14ac:dyDescent="0.2">
      <c r="V714" s="563"/>
      <c r="X714" s="563"/>
      <c r="Y714" s="563"/>
    </row>
    <row r="715" spans="22:25" x14ac:dyDescent="0.2">
      <c r="V715" s="563"/>
      <c r="X715" s="563"/>
      <c r="Y715" s="563"/>
    </row>
    <row r="716" spans="22:25" x14ac:dyDescent="0.2">
      <c r="V716" s="563"/>
      <c r="X716" s="563"/>
      <c r="Y716" s="563"/>
    </row>
    <row r="717" spans="22:25" x14ac:dyDescent="0.2">
      <c r="V717" s="563"/>
      <c r="X717" s="563"/>
      <c r="Y717" s="563"/>
    </row>
    <row r="718" spans="22:25" x14ac:dyDescent="0.2">
      <c r="V718" s="563"/>
      <c r="X718" s="563"/>
      <c r="Y718" s="563"/>
    </row>
    <row r="719" spans="22:25" x14ac:dyDescent="0.2">
      <c r="V719" s="563"/>
      <c r="X719" s="563"/>
      <c r="Y719" s="563"/>
    </row>
    <row r="720" spans="22:25" x14ac:dyDescent="0.2">
      <c r="V720" s="563"/>
      <c r="X720" s="563"/>
      <c r="Y720" s="563"/>
    </row>
    <row r="721" spans="22:25" x14ac:dyDescent="0.2">
      <c r="V721" s="563"/>
      <c r="X721" s="563"/>
      <c r="Y721" s="563"/>
    </row>
    <row r="722" spans="22:25" x14ac:dyDescent="0.2">
      <c r="V722" s="563"/>
      <c r="X722" s="563"/>
      <c r="Y722" s="563"/>
    </row>
    <row r="723" spans="22:25" x14ac:dyDescent="0.2">
      <c r="V723" s="563"/>
      <c r="X723" s="563"/>
      <c r="Y723" s="563"/>
    </row>
    <row r="724" spans="22:25" x14ac:dyDescent="0.2">
      <c r="V724" s="563"/>
      <c r="X724" s="563"/>
      <c r="Y724" s="563"/>
    </row>
    <row r="725" spans="22:25" x14ac:dyDescent="0.2">
      <c r="V725" s="563"/>
      <c r="X725" s="563"/>
      <c r="Y725" s="563"/>
    </row>
    <row r="726" spans="22:25" x14ac:dyDescent="0.2">
      <c r="V726" s="563"/>
      <c r="X726" s="563"/>
      <c r="Y726" s="563"/>
    </row>
    <row r="727" spans="22:25" x14ac:dyDescent="0.2">
      <c r="V727" s="563"/>
      <c r="X727" s="563"/>
      <c r="Y727" s="563"/>
    </row>
    <row r="728" spans="22:25" x14ac:dyDescent="0.2">
      <c r="V728" s="563"/>
      <c r="X728" s="563"/>
      <c r="Y728" s="563"/>
    </row>
    <row r="729" spans="22:25" x14ac:dyDescent="0.2">
      <c r="V729" s="563"/>
      <c r="X729" s="563"/>
      <c r="Y729" s="563"/>
    </row>
    <row r="730" spans="22:25" x14ac:dyDescent="0.2">
      <c r="V730" s="563"/>
      <c r="X730" s="563"/>
      <c r="Y730" s="563"/>
    </row>
    <row r="731" spans="22:25" x14ac:dyDescent="0.2">
      <c r="V731" s="563"/>
      <c r="X731" s="563"/>
      <c r="Y731" s="563"/>
    </row>
    <row r="732" spans="22:25" x14ac:dyDescent="0.2">
      <c r="V732" s="563"/>
      <c r="X732" s="563"/>
      <c r="Y732" s="563"/>
    </row>
    <row r="733" spans="22:25" x14ac:dyDescent="0.2">
      <c r="V733" s="563"/>
      <c r="X733" s="563"/>
      <c r="Y733" s="563"/>
    </row>
    <row r="734" spans="22:25" x14ac:dyDescent="0.2">
      <c r="V734" s="563"/>
      <c r="X734" s="563"/>
      <c r="Y734" s="563"/>
    </row>
    <row r="735" spans="22:25" x14ac:dyDescent="0.2">
      <c r="V735" s="563"/>
      <c r="X735" s="563"/>
      <c r="Y735" s="563"/>
    </row>
    <row r="736" spans="22:25" x14ac:dyDescent="0.2">
      <c r="V736" s="563"/>
      <c r="X736" s="563"/>
      <c r="Y736" s="563"/>
    </row>
    <row r="737" spans="22:25" x14ac:dyDescent="0.2">
      <c r="V737" s="563"/>
      <c r="X737" s="563"/>
      <c r="Y737" s="563"/>
    </row>
    <row r="738" spans="22:25" x14ac:dyDescent="0.2">
      <c r="V738" s="563"/>
      <c r="X738" s="563"/>
      <c r="Y738" s="563"/>
    </row>
    <row r="739" spans="22:25" x14ac:dyDescent="0.2">
      <c r="V739" s="563"/>
      <c r="X739" s="563"/>
      <c r="Y739" s="563"/>
    </row>
    <row r="740" spans="22:25" x14ac:dyDescent="0.2">
      <c r="V740" s="563"/>
      <c r="X740" s="563"/>
      <c r="Y740" s="563"/>
    </row>
    <row r="741" spans="22:25" x14ac:dyDescent="0.2">
      <c r="V741" s="563"/>
      <c r="X741" s="563"/>
      <c r="Y741" s="563"/>
    </row>
    <row r="742" spans="22:25" x14ac:dyDescent="0.2">
      <c r="V742" s="563"/>
      <c r="X742" s="563"/>
      <c r="Y742" s="563"/>
    </row>
    <row r="743" spans="22:25" x14ac:dyDescent="0.2">
      <c r="V743" s="563"/>
      <c r="X743" s="563"/>
      <c r="Y743" s="563"/>
    </row>
    <row r="744" spans="22:25" x14ac:dyDescent="0.2">
      <c r="V744" s="563"/>
      <c r="X744" s="563"/>
      <c r="Y744" s="563"/>
    </row>
    <row r="745" spans="22:25" x14ac:dyDescent="0.2">
      <c r="V745" s="563"/>
      <c r="X745" s="563"/>
      <c r="Y745" s="563"/>
    </row>
    <row r="746" spans="22:25" x14ac:dyDescent="0.2">
      <c r="V746" s="563"/>
      <c r="X746" s="563"/>
      <c r="Y746" s="563"/>
    </row>
    <row r="747" spans="22:25" x14ac:dyDescent="0.2">
      <c r="V747" s="563"/>
      <c r="X747" s="563"/>
      <c r="Y747" s="563"/>
    </row>
    <row r="748" spans="22:25" x14ac:dyDescent="0.2">
      <c r="V748" s="563"/>
      <c r="X748" s="563"/>
      <c r="Y748" s="563"/>
    </row>
    <row r="749" spans="22:25" x14ac:dyDescent="0.2">
      <c r="V749" s="563"/>
      <c r="X749" s="563"/>
      <c r="Y749" s="563"/>
    </row>
    <row r="750" spans="22:25" x14ac:dyDescent="0.2">
      <c r="V750" s="563"/>
      <c r="X750" s="563"/>
      <c r="Y750" s="563"/>
    </row>
    <row r="751" spans="22:25" x14ac:dyDescent="0.2">
      <c r="V751" s="563"/>
      <c r="X751" s="563"/>
      <c r="Y751" s="563"/>
    </row>
    <row r="752" spans="22:25" x14ac:dyDescent="0.2">
      <c r="V752" s="563"/>
      <c r="X752" s="563"/>
      <c r="Y752" s="563"/>
    </row>
    <row r="753" spans="22:25" x14ac:dyDescent="0.2">
      <c r="V753" s="563"/>
      <c r="X753" s="563"/>
      <c r="Y753" s="563"/>
    </row>
    <row r="754" spans="22:25" x14ac:dyDescent="0.2">
      <c r="V754" s="563"/>
      <c r="X754" s="563"/>
      <c r="Y754" s="563"/>
    </row>
    <row r="755" spans="22:25" x14ac:dyDescent="0.2">
      <c r="V755" s="563"/>
      <c r="X755" s="563"/>
      <c r="Y755" s="563"/>
    </row>
    <row r="756" spans="22:25" x14ac:dyDescent="0.2">
      <c r="V756" s="563"/>
      <c r="X756" s="563"/>
      <c r="Y756" s="563"/>
    </row>
    <row r="757" spans="22:25" x14ac:dyDescent="0.2">
      <c r="V757" s="563"/>
      <c r="X757" s="563"/>
      <c r="Y757" s="563"/>
    </row>
    <row r="758" spans="22:25" x14ac:dyDescent="0.2">
      <c r="V758" s="563"/>
      <c r="X758" s="563"/>
      <c r="Y758" s="563"/>
    </row>
    <row r="759" spans="22:25" x14ac:dyDescent="0.2">
      <c r="V759" s="563"/>
      <c r="X759" s="563"/>
      <c r="Y759" s="563"/>
    </row>
    <row r="760" spans="22:25" x14ac:dyDescent="0.2">
      <c r="V760" s="563"/>
      <c r="X760" s="563"/>
      <c r="Y760" s="563"/>
    </row>
    <row r="761" spans="22:25" x14ac:dyDescent="0.2">
      <c r="V761" s="563"/>
      <c r="X761" s="563"/>
      <c r="Y761" s="563"/>
    </row>
    <row r="762" spans="22:25" x14ac:dyDescent="0.2">
      <c r="V762" s="563"/>
      <c r="X762" s="563"/>
      <c r="Y762" s="563"/>
    </row>
    <row r="763" spans="22:25" x14ac:dyDescent="0.2">
      <c r="V763" s="563"/>
      <c r="X763" s="563"/>
      <c r="Y763" s="563"/>
    </row>
    <row r="764" spans="22:25" x14ac:dyDescent="0.2">
      <c r="V764" s="563"/>
      <c r="X764" s="563"/>
      <c r="Y764" s="563"/>
    </row>
    <row r="765" spans="22:25" x14ac:dyDescent="0.2">
      <c r="V765" s="563"/>
      <c r="X765" s="563"/>
      <c r="Y765" s="563"/>
    </row>
    <row r="766" spans="22:25" x14ac:dyDescent="0.2">
      <c r="V766" s="563"/>
      <c r="X766" s="563"/>
      <c r="Y766" s="563"/>
    </row>
    <row r="767" spans="22:25" x14ac:dyDescent="0.2">
      <c r="V767" s="563"/>
      <c r="X767" s="563"/>
      <c r="Y767" s="563"/>
    </row>
    <row r="768" spans="22:25" x14ac:dyDescent="0.2">
      <c r="V768" s="563"/>
      <c r="X768" s="563"/>
      <c r="Y768" s="563"/>
    </row>
    <row r="769" spans="22:25" x14ac:dyDescent="0.2">
      <c r="V769" s="563"/>
      <c r="X769" s="563"/>
      <c r="Y769" s="563"/>
    </row>
    <row r="770" spans="22:25" x14ac:dyDescent="0.2">
      <c r="V770" s="563"/>
      <c r="X770" s="563"/>
      <c r="Y770" s="563"/>
    </row>
    <row r="771" spans="22:25" x14ac:dyDescent="0.2">
      <c r="V771" s="563"/>
      <c r="X771" s="563"/>
      <c r="Y771" s="563"/>
    </row>
    <row r="772" spans="22:25" x14ac:dyDescent="0.2">
      <c r="V772" s="563"/>
      <c r="X772" s="563"/>
      <c r="Y772" s="563"/>
    </row>
    <row r="773" spans="22:25" x14ac:dyDescent="0.2">
      <c r="V773" s="563"/>
      <c r="X773" s="563"/>
      <c r="Y773" s="563"/>
    </row>
    <row r="774" spans="22:25" x14ac:dyDescent="0.2">
      <c r="V774" s="563"/>
      <c r="X774" s="563"/>
      <c r="Y774" s="563"/>
    </row>
    <row r="775" spans="22:25" x14ac:dyDescent="0.2">
      <c r="V775" s="563"/>
      <c r="X775" s="563"/>
      <c r="Y775" s="563"/>
    </row>
    <row r="776" spans="22:25" x14ac:dyDescent="0.2">
      <c r="V776" s="563"/>
      <c r="X776" s="563"/>
      <c r="Y776" s="563"/>
    </row>
    <row r="777" spans="22:25" x14ac:dyDescent="0.2">
      <c r="V777" s="563"/>
      <c r="X777" s="563"/>
      <c r="Y777" s="563"/>
    </row>
    <row r="778" spans="22:25" x14ac:dyDescent="0.2">
      <c r="V778" s="563"/>
      <c r="X778" s="563"/>
      <c r="Y778" s="563"/>
    </row>
    <row r="779" spans="22:25" x14ac:dyDescent="0.2">
      <c r="V779" s="563"/>
      <c r="X779" s="563"/>
      <c r="Y779" s="563"/>
    </row>
    <row r="780" spans="22:25" x14ac:dyDescent="0.2">
      <c r="V780" s="563"/>
      <c r="X780" s="563"/>
      <c r="Y780" s="563"/>
    </row>
    <row r="781" spans="22:25" x14ac:dyDescent="0.2">
      <c r="V781" s="563"/>
      <c r="X781" s="563"/>
      <c r="Y781" s="563"/>
    </row>
    <row r="782" spans="22:25" x14ac:dyDescent="0.2">
      <c r="V782" s="563"/>
      <c r="X782" s="563"/>
      <c r="Y782" s="563"/>
    </row>
    <row r="783" spans="22:25" x14ac:dyDescent="0.2">
      <c r="V783" s="563"/>
      <c r="X783" s="563"/>
      <c r="Y783" s="563"/>
    </row>
    <row r="784" spans="22:25" x14ac:dyDescent="0.2">
      <c r="V784" s="563"/>
      <c r="X784" s="563"/>
      <c r="Y784" s="563"/>
    </row>
    <row r="785" spans="22:25" x14ac:dyDescent="0.2">
      <c r="V785" s="563"/>
      <c r="X785" s="563"/>
      <c r="Y785" s="563"/>
    </row>
    <row r="786" spans="22:25" x14ac:dyDescent="0.2">
      <c r="V786" s="563"/>
      <c r="X786" s="563"/>
      <c r="Y786" s="563"/>
    </row>
    <row r="787" spans="22:25" x14ac:dyDescent="0.2">
      <c r="V787" s="563"/>
      <c r="X787" s="563"/>
      <c r="Y787" s="563"/>
    </row>
    <row r="788" spans="22:25" x14ac:dyDescent="0.2">
      <c r="V788" s="563"/>
      <c r="X788" s="563"/>
      <c r="Y788" s="563"/>
    </row>
    <row r="789" spans="22:25" x14ac:dyDescent="0.2">
      <c r="V789" s="563"/>
      <c r="X789" s="563"/>
      <c r="Y789" s="563"/>
    </row>
    <row r="790" spans="22:25" x14ac:dyDescent="0.2">
      <c r="V790" s="563"/>
      <c r="X790" s="563"/>
      <c r="Y790" s="563"/>
    </row>
    <row r="791" spans="22:25" x14ac:dyDescent="0.2">
      <c r="V791" s="563"/>
      <c r="X791" s="563"/>
      <c r="Y791" s="563"/>
    </row>
    <row r="792" spans="22:25" x14ac:dyDescent="0.2">
      <c r="V792" s="563"/>
      <c r="X792" s="563"/>
      <c r="Y792" s="563"/>
    </row>
    <row r="793" spans="22:25" x14ac:dyDescent="0.2">
      <c r="V793" s="563"/>
      <c r="X793" s="563"/>
      <c r="Y793" s="563"/>
    </row>
    <row r="794" spans="22:25" x14ac:dyDescent="0.2">
      <c r="V794" s="563"/>
      <c r="X794" s="563"/>
      <c r="Y794" s="563"/>
    </row>
    <row r="795" spans="22:25" x14ac:dyDescent="0.2">
      <c r="V795" s="563"/>
      <c r="X795" s="563"/>
      <c r="Y795" s="563"/>
    </row>
    <row r="796" spans="22:25" x14ac:dyDescent="0.2">
      <c r="V796" s="563"/>
      <c r="X796" s="563"/>
      <c r="Y796" s="563"/>
    </row>
    <row r="797" spans="22:25" x14ac:dyDescent="0.2">
      <c r="V797" s="563"/>
      <c r="X797" s="563"/>
      <c r="Y797" s="563"/>
    </row>
    <row r="798" spans="22:25" x14ac:dyDescent="0.2">
      <c r="V798" s="563"/>
      <c r="X798" s="563"/>
      <c r="Y798" s="563"/>
    </row>
    <row r="799" spans="22:25" x14ac:dyDescent="0.2">
      <c r="V799" s="563"/>
      <c r="X799" s="563"/>
      <c r="Y799" s="563"/>
    </row>
    <row r="800" spans="22:25" x14ac:dyDescent="0.2">
      <c r="V800" s="563"/>
      <c r="X800" s="563"/>
      <c r="Y800" s="563"/>
    </row>
    <row r="801" spans="22:25" x14ac:dyDescent="0.2">
      <c r="V801" s="563"/>
      <c r="X801" s="563"/>
      <c r="Y801" s="563"/>
    </row>
    <row r="802" spans="22:25" x14ac:dyDescent="0.2">
      <c r="V802" s="563"/>
      <c r="X802" s="563"/>
      <c r="Y802" s="563"/>
    </row>
    <row r="803" spans="22:25" x14ac:dyDescent="0.2">
      <c r="V803" s="563"/>
      <c r="X803" s="563"/>
      <c r="Y803" s="563"/>
    </row>
    <row r="804" spans="22:25" x14ac:dyDescent="0.2">
      <c r="V804" s="563"/>
      <c r="X804" s="563"/>
      <c r="Y804" s="563"/>
    </row>
    <row r="805" spans="22:25" x14ac:dyDescent="0.2">
      <c r="V805" s="563"/>
      <c r="X805" s="563"/>
      <c r="Y805" s="563"/>
    </row>
    <row r="806" spans="22:25" x14ac:dyDescent="0.2">
      <c r="V806" s="563"/>
      <c r="X806" s="563"/>
      <c r="Y806" s="563"/>
    </row>
    <row r="807" spans="22:25" x14ac:dyDescent="0.2">
      <c r="V807" s="563"/>
      <c r="X807" s="563"/>
      <c r="Y807" s="563"/>
    </row>
    <row r="808" spans="22:25" x14ac:dyDescent="0.2">
      <c r="V808" s="563"/>
      <c r="X808" s="563"/>
      <c r="Y808" s="563"/>
    </row>
    <row r="809" spans="22:25" x14ac:dyDescent="0.2">
      <c r="V809" s="563"/>
      <c r="X809" s="563"/>
      <c r="Y809" s="563"/>
    </row>
    <row r="810" spans="22:25" x14ac:dyDescent="0.2">
      <c r="V810" s="563"/>
      <c r="X810" s="563"/>
      <c r="Y810" s="563"/>
    </row>
    <row r="811" spans="22:25" x14ac:dyDescent="0.2">
      <c r="V811" s="563"/>
      <c r="X811" s="563"/>
      <c r="Y811" s="563"/>
    </row>
    <row r="812" spans="22:25" x14ac:dyDescent="0.2">
      <c r="V812" s="563"/>
      <c r="X812" s="563"/>
      <c r="Y812" s="563"/>
    </row>
    <row r="813" spans="22:25" x14ac:dyDescent="0.2">
      <c r="V813" s="563"/>
      <c r="X813" s="563"/>
      <c r="Y813" s="563"/>
    </row>
    <row r="814" spans="22:25" x14ac:dyDescent="0.2">
      <c r="V814" s="563"/>
      <c r="X814" s="563"/>
      <c r="Y814" s="563"/>
    </row>
    <row r="815" spans="22:25" x14ac:dyDescent="0.2">
      <c r="V815" s="563"/>
      <c r="X815" s="563"/>
      <c r="Y815" s="563"/>
    </row>
    <row r="816" spans="22:25" x14ac:dyDescent="0.2">
      <c r="V816" s="563"/>
      <c r="X816" s="563"/>
      <c r="Y816" s="563"/>
    </row>
    <row r="817" spans="22:25" x14ac:dyDescent="0.2">
      <c r="V817" s="563"/>
      <c r="X817" s="563"/>
      <c r="Y817" s="563"/>
    </row>
    <row r="818" spans="22:25" x14ac:dyDescent="0.2">
      <c r="V818" s="563"/>
      <c r="X818" s="563"/>
      <c r="Y818" s="563"/>
    </row>
    <row r="819" spans="22:25" x14ac:dyDescent="0.2">
      <c r="V819" s="563"/>
      <c r="X819" s="563"/>
      <c r="Y819" s="563"/>
    </row>
    <row r="820" spans="22:25" x14ac:dyDescent="0.2">
      <c r="V820" s="563"/>
      <c r="X820" s="563"/>
      <c r="Y820" s="563"/>
    </row>
    <row r="821" spans="22:25" x14ac:dyDescent="0.2">
      <c r="V821" s="563"/>
      <c r="X821" s="563"/>
      <c r="Y821" s="563"/>
    </row>
    <row r="822" spans="22:25" x14ac:dyDescent="0.2">
      <c r="V822" s="563"/>
      <c r="X822" s="563"/>
      <c r="Y822" s="563"/>
    </row>
    <row r="823" spans="22:25" x14ac:dyDescent="0.2">
      <c r="V823" s="563"/>
      <c r="X823" s="563"/>
      <c r="Y823" s="563"/>
    </row>
    <row r="824" spans="22:25" x14ac:dyDescent="0.2">
      <c r="V824" s="563"/>
      <c r="X824" s="563"/>
      <c r="Y824" s="563"/>
    </row>
    <row r="825" spans="22:25" x14ac:dyDescent="0.2">
      <c r="V825" s="563"/>
      <c r="X825" s="563"/>
      <c r="Y825" s="563"/>
    </row>
    <row r="826" spans="22:25" x14ac:dyDescent="0.2">
      <c r="V826" s="563"/>
      <c r="X826" s="563"/>
      <c r="Y826" s="563"/>
    </row>
    <row r="827" spans="22:25" x14ac:dyDescent="0.2">
      <c r="V827" s="563"/>
      <c r="X827" s="563"/>
      <c r="Y827" s="563"/>
    </row>
    <row r="828" spans="22:25" x14ac:dyDescent="0.2">
      <c r="V828" s="563"/>
      <c r="X828" s="563"/>
      <c r="Y828" s="563"/>
    </row>
    <row r="829" spans="22:25" x14ac:dyDescent="0.2">
      <c r="V829" s="563"/>
      <c r="X829" s="563"/>
      <c r="Y829" s="563"/>
    </row>
    <row r="830" spans="22:25" x14ac:dyDescent="0.2">
      <c r="V830" s="563"/>
      <c r="X830" s="563"/>
      <c r="Y830" s="563"/>
    </row>
    <row r="831" spans="22:25" x14ac:dyDescent="0.2">
      <c r="V831" s="563"/>
      <c r="X831" s="563"/>
      <c r="Y831" s="563"/>
    </row>
    <row r="832" spans="22:25" x14ac:dyDescent="0.2">
      <c r="V832" s="563"/>
      <c r="X832" s="563"/>
      <c r="Y832" s="563"/>
    </row>
    <row r="833" spans="22:25" x14ac:dyDescent="0.2">
      <c r="V833" s="563"/>
      <c r="X833" s="563"/>
      <c r="Y833" s="563"/>
    </row>
    <row r="834" spans="22:25" x14ac:dyDescent="0.2">
      <c r="V834" s="563"/>
      <c r="X834" s="563"/>
      <c r="Y834" s="563"/>
    </row>
    <row r="835" spans="22:25" x14ac:dyDescent="0.2">
      <c r="V835" s="563"/>
      <c r="X835" s="563"/>
      <c r="Y835" s="563"/>
    </row>
    <row r="836" spans="22:25" x14ac:dyDescent="0.2">
      <c r="V836" s="563"/>
      <c r="X836" s="563"/>
      <c r="Y836" s="563"/>
    </row>
    <row r="837" spans="22:25" x14ac:dyDescent="0.2">
      <c r="V837" s="563"/>
      <c r="X837" s="563"/>
      <c r="Y837" s="563"/>
    </row>
    <row r="838" spans="22:25" x14ac:dyDescent="0.2">
      <c r="V838" s="563"/>
      <c r="X838" s="563"/>
      <c r="Y838" s="563"/>
    </row>
    <row r="839" spans="22:25" x14ac:dyDescent="0.2">
      <c r="V839" s="563"/>
      <c r="X839" s="563"/>
      <c r="Y839" s="563"/>
    </row>
    <row r="840" spans="22:25" x14ac:dyDescent="0.2">
      <c r="V840" s="563"/>
      <c r="X840" s="563"/>
      <c r="Y840" s="563"/>
    </row>
    <row r="841" spans="22:25" x14ac:dyDescent="0.2">
      <c r="V841" s="563"/>
      <c r="X841" s="563"/>
      <c r="Y841" s="563"/>
    </row>
    <row r="842" spans="22:25" x14ac:dyDescent="0.2">
      <c r="V842" s="563"/>
      <c r="X842" s="563"/>
      <c r="Y842" s="563"/>
    </row>
    <row r="843" spans="22:25" x14ac:dyDescent="0.2">
      <c r="V843" s="563"/>
      <c r="X843" s="563"/>
      <c r="Y843" s="563"/>
    </row>
    <row r="844" spans="22:25" x14ac:dyDescent="0.2">
      <c r="V844" s="563"/>
      <c r="X844" s="563"/>
      <c r="Y844" s="563"/>
    </row>
    <row r="845" spans="22:25" x14ac:dyDescent="0.2">
      <c r="V845" s="563"/>
      <c r="X845" s="563"/>
      <c r="Y845" s="563"/>
    </row>
    <row r="846" spans="22:25" x14ac:dyDescent="0.2">
      <c r="V846" s="563"/>
      <c r="X846" s="563"/>
      <c r="Y846" s="563"/>
    </row>
    <row r="847" spans="22:25" x14ac:dyDescent="0.2">
      <c r="V847" s="563"/>
      <c r="X847" s="563"/>
      <c r="Y847" s="563"/>
    </row>
    <row r="848" spans="22:25" x14ac:dyDescent="0.2">
      <c r="V848" s="563"/>
      <c r="X848" s="563"/>
      <c r="Y848" s="563"/>
    </row>
    <row r="849" spans="22:25" x14ac:dyDescent="0.2">
      <c r="V849" s="563"/>
      <c r="X849" s="563"/>
      <c r="Y849" s="563"/>
    </row>
    <row r="850" spans="22:25" x14ac:dyDescent="0.2">
      <c r="V850" s="563"/>
      <c r="X850" s="563"/>
      <c r="Y850" s="563"/>
    </row>
    <row r="851" spans="22:25" x14ac:dyDescent="0.2">
      <c r="V851" s="563"/>
      <c r="X851" s="563"/>
      <c r="Y851" s="563"/>
    </row>
    <row r="852" spans="22:25" x14ac:dyDescent="0.2">
      <c r="V852" s="563"/>
      <c r="X852" s="563"/>
      <c r="Y852" s="563"/>
    </row>
    <row r="853" spans="22:25" x14ac:dyDescent="0.2">
      <c r="V853" s="563"/>
      <c r="X853" s="563"/>
      <c r="Y853" s="563"/>
    </row>
    <row r="854" spans="22:25" x14ac:dyDescent="0.2">
      <c r="V854" s="563"/>
      <c r="X854" s="563"/>
      <c r="Y854" s="563"/>
    </row>
    <row r="855" spans="22:25" x14ac:dyDescent="0.2">
      <c r="V855" s="563"/>
      <c r="X855" s="563"/>
      <c r="Y855" s="563"/>
    </row>
    <row r="856" spans="22:25" x14ac:dyDescent="0.2">
      <c r="V856" s="563"/>
      <c r="X856" s="563"/>
      <c r="Y856" s="563"/>
    </row>
    <row r="857" spans="22:25" x14ac:dyDescent="0.2">
      <c r="V857" s="563"/>
      <c r="X857" s="563"/>
      <c r="Y857" s="563"/>
    </row>
    <row r="858" spans="22:25" x14ac:dyDescent="0.2">
      <c r="V858" s="563"/>
      <c r="X858" s="563"/>
      <c r="Y858" s="563"/>
    </row>
    <row r="859" spans="22:25" x14ac:dyDescent="0.2">
      <c r="V859" s="563"/>
      <c r="X859" s="563"/>
      <c r="Y859" s="563"/>
    </row>
    <row r="860" spans="22:25" x14ac:dyDescent="0.2">
      <c r="V860" s="563"/>
      <c r="X860" s="563"/>
      <c r="Y860" s="563"/>
    </row>
    <row r="861" spans="22:25" x14ac:dyDescent="0.2">
      <c r="V861" s="563"/>
      <c r="X861" s="563"/>
      <c r="Y861" s="563"/>
    </row>
    <row r="862" spans="22:25" x14ac:dyDescent="0.2">
      <c r="V862" s="563"/>
      <c r="X862" s="563"/>
      <c r="Y862" s="563"/>
    </row>
    <row r="863" spans="22:25" x14ac:dyDescent="0.2">
      <c r="V863" s="563"/>
      <c r="X863" s="563"/>
      <c r="Y863" s="563"/>
    </row>
    <row r="864" spans="22:25" x14ac:dyDescent="0.2">
      <c r="V864" s="563"/>
      <c r="X864" s="563"/>
      <c r="Y864" s="563"/>
    </row>
    <row r="865" spans="22:25" x14ac:dyDescent="0.2">
      <c r="V865" s="563"/>
      <c r="X865" s="563"/>
      <c r="Y865" s="563"/>
    </row>
    <row r="866" spans="22:25" x14ac:dyDescent="0.2">
      <c r="V866" s="563"/>
      <c r="X866" s="563"/>
      <c r="Y866" s="563"/>
    </row>
    <row r="867" spans="22:25" x14ac:dyDescent="0.2">
      <c r="V867" s="563"/>
      <c r="X867" s="563"/>
      <c r="Y867" s="563"/>
    </row>
    <row r="868" spans="22:25" x14ac:dyDescent="0.2">
      <c r="V868" s="563"/>
      <c r="X868" s="563"/>
      <c r="Y868" s="563"/>
    </row>
    <row r="869" spans="22:25" x14ac:dyDescent="0.2">
      <c r="V869" s="563"/>
      <c r="X869" s="563"/>
      <c r="Y869" s="563"/>
    </row>
    <row r="870" spans="22:25" x14ac:dyDescent="0.2">
      <c r="V870" s="563"/>
      <c r="X870" s="563"/>
      <c r="Y870" s="563"/>
    </row>
    <row r="871" spans="22:25" x14ac:dyDescent="0.2">
      <c r="V871" s="563"/>
      <c r="X871" s="563"/>
      <c r="Y871" s="563"/>
    </row>
    <row r="872" spans="22:25" x14ac:dyDescent="0.2">
      <c r="V872" s="563"/>
      <c r="X872" s="563"/>
      <c r="Y872" s="563"/>
    </row>
    <row r="873" spans="22:25" x14ac:dyDescent="0.2">
      <c r="V873" s="563"/>
      <c r="X873" s="563"/>
      <c r="Y873" s="563"/>
    </row>
    <row r="874" spans="22:25" x14ac:dyDescent="0.2">
      <c r="V874" s="563"/>
      <c r="X874" s="563"/>
      <c r="Y874" s="563"/>
    </row>
    <row r="875" spans="22:25" x14ac:dyDescent="0.2">
      <c r="V875" s="563"/>
      <c r="X875" s="563"/>
      <c r="Y875" s="563"/>
    </row>
    <row r="876" spans="22:25" x14ac:dyDescent="0.2">
      <c r="V876" s="563"/>
      <c r="X876" s="563"/>
      <c r="Y876" s="563"/>
    </row>
    <row r="877" spans="22:25" x14ac:dyDescent="0.2">
      <c r="V877" s="563"/>
      <c r="X877" s="563"/>
      <c r="Y877" s="563"/>
    </row>
    <row r="878" spans="22:25" x14ac:dyDescent="0.2">
      <c r="V878" s="563"/>
      <c r="X878" s="563"/>
      <c r="Y878" s="563"/>
    </row>
    <row r="879" spans="22:25" x14ac:dyDescent="0.2">
      <c r="V879" s="563"/>
      <c r="X879" s="563"/>
      <c r="Y879" s="563"/>
    </row>
    <row r="880" spans="22:25" x14ac:dyDescent="0.2">
      <c r="V880" s="563"/>
      <c r="X880" s="563"/>
      <c r="Y880" s="563"/>
    </row>
    <row r="881" spans="22:25" x14ac:dyDescent="0.2">
      <c r="V881" s="563"/>
      <c r="X881" s="563"/>
      <c r="Y881" s="563"/>
    </row>
    <row r="882" spans="22:25" x14ac:dyDescent="0.2">
      <c r="V882" s="563"/>
      <c r="X882" s="563"/>
      <c r="Y882" s="563"/>
    </row>
    <row r="883" spans="22:25" x14ac:dyDescent="0.2">
      <c r="V883" s="563"/>
      <c r="X883" s="563"/>
      <c r="Y883" s="563"/>
    </row>
    <row r="884" spans="22:25" x14ac:dyDescent="0.2">
      <c r="V884" s="563"/>
      <c r="X884" s="563"/>
      <c r="Y884" s="563"/>
    </row>
    <row r="885" spans="22:25" x14ac:dyDescent="0.2">
      <c r="V885" s="563"/>
      <c r="X885" s="563"/>
      <c r="Y885" s="563"/>
    </row>
    <row r="886" spans="22:25" x14ac:dyDescent="0.2">
      <c r="V886" s="563"/>
      <c r="X886" s="563"/>
      <c r="Y886" s="563"/>
    </row>
    <row r="887" spans="22:25" x14ac:dyDescent="0.2">
      <c r="V887" s="563"/>
      <c r="X887" s="563"/>
      <c r="Y887" s="563"/>
    </row>
    <row r="888" spans="22:25" x14ac:dyDescent="0.2">
      <c r="V888" s="563"/>
      <c r="X888" s="563"/>
      <c r="Y888" s="563"/>
    </row>
    <row r="889" spans="22:25" x14ac:dyDescent="0.2">
      <c r="V889" s="563"/>
      <c r="X889" s="563"/>
      <c r="Y889" s="563"/>
    </row>
    <row r="890" spans="22:25" x14ac:dyDescent="0.2">
      <c r="V890" s="563"/>
      <c r="X890" s="563"/>
      <c r="Y890" s="563"/>
    </row>
    <row r="891" spans="22:25" x14ac:dyDescent="0.2">
      <c r="V891" s="563"/>
      <c r="X891" s="563"/>
      <c r="Y891" s="563"/>
    </row>
    <row r="892" spans="22:25" x14ac:dyDescent="0.2">
      <c r="V892" s="563"/>
      <c r="X892" s="563"/>
      <c r="Y892" s="563"/>
    </row>
    <row r="893" spans="22:25" x14ac:dyDescent="0.2">
      <c r="V893" s="563"/>
      <c r="X893" s="563"/>
      <c r="Y893" s="563"/>
    </row>
    <row r="894" spans="22:25" x14ac:dyDescent="0.2">
      <c r="V894" s="563"/>
      <c r="X894" s="563"/>
      <c r="Y894" s="563"/>
    </row>
    <row r="895" spans="22:25" x14ac:dyDescent="0.2">
      <c r="V895" s="563"/>
      <c r="X895" s="563"/>
      <c r="Y895" s="563"/>
    </row>
    <row r="896" spans="22:25" x14ac:dyDescent="0.2">
      <c r="V896" s="563"/>
      <c r="X896" s="563"/>
      <c r="Y896" s="563"/>
    </row>
    <row r="897" spans="22:25" x14ac:dyDescent="0.2">
      <c r="V897" s="563"/>
      <c r="X897" s="563"/>
      <c r="Y897" s="563"/>
    </row>
    <row r="898" spans="22:25" x14ac:dyDescent="0.2">
      <c r="V898" s="563"/>
      <c r="X898" s="563"/>
      <c r="Y898" s="563"/>
    </row>
    <row r="899" spans="22:25" x14ac:dyDescent="0.2">
      <c r="V899" s="563"/>
      <c r="X899" s="563"/>
      <c r="Y899" s="563"/>
    </row>
    <row r="900" spans="22:25" x14ac:dyDescent="0.2">
      <c r="V900" s="563"/>
      <c r="X900" s="563"/>
      <c r="Y900" s="563"/>
    </row>
    <row r="901" spans="22:25" x14ac:dyDescent="0.2">
      <c r="V901" s="563"/>
      <c r="X901" s="563"/>
      <c r="Y901" s="563"/>
    </row>
    <row r="902" spans="22:25" x14ac:dyDescent="0.2">
      <c r="V902" s="563"/>
      <c r="X902" s="563"/>
      <c r="Y902" s="563"/>
    </row>
    <row r="903" spans="22:25" x14ac:dyDescent="0.2">
      <c r="V903" s="563"/>
      <c r="X903" s="563"/>
      <c r="Y903" s="563"/>
    </row>
    <row r="904" spans="22:25" x14ac:dyDescent="0.2">
      <c r="V904" s="563"/>
      <c r="X904" s="563"/>
      <c r="Y904" s="563"/>
    </row>
    <row r="905" spans="22:25" x14ac:dyDescent="0.2">
      <c r="V905" s="563"/>
      <c r="X905" s="563"/>
      <c r="Y905" s="563"/>
    </row>
    <row r="906" spans="22:25" x14ac:dyDescent="0.2">
      <c r="V906" s="563"/>
      <c r="X906" s="563"/>
      <c r="Y906" s="563"/>
    </row>
    <row r="907" spans="22:25" x14ac:dyDescent="0.2">
      <c r="V907" s="563"/>
      <c r="X907" s="563"/>
      <c r="Y907" s="563"/>
    </row>
    <row r="908" spans="22:25" x14ac:dyDescent="0.2">
      <c r="V908" s="563"/>
      <c r="X908" s="563"/>
      <c r="Y908" s="563"/>
    </row>
    <row r="909" spans="22:25" x14ac:dyDescent="0.2">
      <c r="V909" s="563"/>
      <c r="X909" s="563"/>
      <c r="Y909" s="563"/>
    </row>
    <row r="910" spans="22:25" x14ac:dyDescent="0.2">
      <c r="V910" s="563"/>
      <c r="X910" s="563"/>
      <c r="Y910" s="563"/>
    </row>
    <row r="911" spans="22:25" x14ac:dyDescent="0.2">
      <c r="V911" s="563"/>
      <c r="X911" s="563"/>
      <c r="Y911" s="563"/>
    </row>
    <row r="912" spans="22:25" x14ac:dyDescent="0.2">
      <c r="V912" s="563"/>
      <c r="X912" s="563"/>
      <c r="Y912" s="563"/>
    </row>
    <row r="913" spans="22:25" x14ac:dyDescent="0.2">
      <c r="V913" s="563"/>
      <c r="X913" s="563"/>
      <c r="Y913" s="563"/>
    </row>
    <row r="914" spans="22:25" x14ac:dyDescent="0.2">
      <c r="V914" s="563"/>
      <c r="X914" s="563"/>
      <c r="Y914" s="563"/>
    </row>
    <row r="915" spans="22:25" x14ac:dyDescent="0.2">
      <c r="V915" s="563"/>
      <c r="X915" s="563"/>
      <c r="Y915" s="563"/>
    </row>
    <row r="916" spans="22:25" x14ac:dyDescent="0.2">
      <c r="V916" s="563"/>
      <c r="X916" s="563"/>
      <c r="Y916" s="563"/>
    </row>
    <row r="917" spans="22:25" x14ac:dyDescent="0.2">
      <c r="V917" s="563"/>
      <c r="X917" s="563"/>
      <c r="Y917" s="563"/>
    </row>
    <row r="918" spans="22:25" x14ac:dyDescent="0.2">
      <c r="V918" s="563"/>
      <c r="X918" s="563"/>
      <c r="Y918" s="563"/>
    </row>
    <row r="919" spans="22:25" x14ac:dyDescent="0.2">
      <c r="V919" s="563"/>
      <c r="X919" s="563"/>
      <c r="Y919" s="563"/>
    </row>
    <row r="920" spans="22:25" x14ac:dyDescent="0.2">
      <c r="V920" s="563"/>
      <c r="X920" s="563"/>
      <c r="Y920" s="563"/>
    </row>
    <row r="921" spans="22:25" x14ac:dyDescent="0.2">
      <c r="V921" s="563"/>
      <c r="X921" s="563"/>
      <c r="Y921" s="563"/>
    </row>
    <row r="922" spans="22:25" x14ac:dyDescent="0.2">
      <c r="V922" s="563"/>
      <c r="X922" s="563"/>
      <c r="Y922" s="563"/>
    </row>
    <row r="923" spans="22:25" x14ac:dyDescent="0.2">
      <c r="V923" s="563"/>
      <c r="X923" s="563"/>
      <c r="Y923" s="563"/>
    </row>
    <row r="924" spans="22:25" x14ac:dyDescent="0.2">
      <c r="V924" s="563"/>
      <c r="X924" s="563"/>
      <c r="Y924" s="563"/>
    </row>
    <row r="925" spans="22:25" x14ac:dyDescent="0.2">
      <c r="V925" s="563"/>
      <c r="X925" s="563"/>
      <c r="Y925" s="563"/>
    </row>
    <row r="926" spans="22:25" x14ac:dyDescent="0.2">
      <c r="V926" s="563"/>
      <c r="X926" s="563"/>
      <c r="Y926" s="563"/>
    </row>
    <row r="927" spans="22:25" x14ac:dyDescent="0.2">
      <c r="V927" s="563"/>
      <c r="X927" s="563"/>
      <c r="Y927" s="563"/>
    </row>
    <row r="928" spans="22:25" x14ac:dyDescent="0.2">
      <c r="V928" s="563"/>
      <c r="X928" s="563"/>
      <c r="Y928" s="563"/>
    </row>
    <row r="929" spans="22:25" x14ac:dyDescent="0.2">
      <c r="V929" s="563"/>
      <c r="X929" s="563"/>
      <c r="Y929" s="563"/>
    </row>
    <row r="930" spans="22:25" x14ac:dyDescent="0.2">
      <c r="V930" s="563"/>
      <c r="X930" s="563"/>
      <c r="Y930" s="563"/>
    </row>
    <row r="931" spans="22:25" x14ac:dyDescent="0.2">
      <c r="V931" s="563"/>
      <c r="X931" s="563"/>
      <c r="Y931" s="563"/>
    </row>
    <row r="932" spans="22:25" x14ac:dyDescent="0.2">
      <c r="V932" s="563"/>
      <c r="X932" s="563"/>
      <c r="Y932" s="563"/>
    </row>
    <row r="933" spans="22:25" x14ac:dyDescent="0.2">
      <c r="V933" s="563"/>
      <c r="X933" s="563"/>
      <c r="Y933" s="563"/>
    </row>
    <row r="934" spans="22:25" x14ac:dyDescent="0.2">
      <c r="V934" s="563"/>
      <c r="X934" s="563"/>
      <c r="Y934" s="563"/>
    </row>
    <row r="935" spans="22:25" x14ac:dyDescent="0.2">
      <c r="V935" s="563"/>
      <c r="X935" s="563"/>
      <c r="Y935" s="563"/>
    </row>
    <row r="936" spans="22:25" x14ac:dyDescent="0.2">
      <c r="V936" s="563"/>
      <c r="X936" s="563"/>
      <c r="Y936" s="563"/>
    </row>
    <row r="937" spans="22:25" x14ac:dyDescent="0.2">
      <c r="V937" s="563"/>
      <c r="X937" s="563"/>
      <c r="Y937" s="563"/>
    </row>
    <row r="938" spans="22:25" x14ac:dyDescent="0.2">
      <c r="V938" s="563"/>
      <c r="X938" s="563"/>
      <c r="Y938" s="563"/>
    </row>
    <row r="939" spans="22:25" x14ac:dyDescent="0.2">
      <c r="V939" s="563"/>
      <c r="X939" s="563"/>
      <c r="Y939" s="563"/>
    </row>
    <row r="940" spans="22:25" x14ac:dyDescent="0.2">
      <c r="V940" s="563"/>
      <c r="X940" s="563"/>
      <c r="Y940" s="563"/>
    </row>
    <row r="941" spans="22:25" x14ac:dyDescent="0.2">
      <c r="V941" s="563"/>
      <c r="X941" s="563"/>
      <c r="Y941" s="563"/>
    </row>
    <row r="942" spans="22:25" x14ac:dyDescent="0.2">
      <c r="V942" s="563"/>
      <c r="X942" s="563"/>
      <c r="Y942" s="563"/>
    </row>
    <row r="943" spans="22:25" x14ac:dyDescent="0.2">
      <c r="V943" s="563"/>
      <c r="X943" s="563"/>
      <c r="Y943" s="563"/>
    </row>
    <row r="944" spans="22:25" x14ac:dyDescent="0.2">
      <c r="V944" s="563"/>
      <c r="X944" s="563"/>
      <c r="Y944" s="563"/>
    </row>
    <row r="945" spans="22:25" x14ac:dyDescent="0.2">
      <c r="V945" s="563"/>
      <c r="X945" s="563"/>
      <c r="Y945" s="563"/>
    </row>
    <row r="946" spans="22:25" x14ac:dyDescent="0.2">
      <c r="V946" s="563"/>
      <c r="X946" s="563"/>
      <c r="Y946" s="563"/>
    </row>
    <row r="947" spans="22:25" x14ac:dyDescent="0.2">
      <c r="V947" s="563"/>
      <c r="X947" s="563"/>
      <c r="Y947" s="563"/>
    </row>
    <row r="948" spans="22:25" x14ac:dyDescent="0.2">
      <c r="V948" s="563"/>
      <c r="X948" s="563"/>
      <c r="Y948" s="563"/>
    </row>
    <row r="949" spans="22:25" x14ac:dyDescent="0.2">
      <c r="V949" s="563"/>
      <c r="X949" s="563"/>
      <c r="Y949" s="563"/>
    </row>
    <row r="950" spans="22:25" x14ac:dyDescent="0.2">
      <c r="V950" s="563"/>
      <c r="X950" s="563"/>
      <c r="Y950" s="563"/>
    </row>
    <row r="951" spans="22:25" x14ac:dyDescent="0.2">
      <c r="V951" s="563"/>
      <c r="X951" s="563"/>
      <c r="Y951" s="563"/>
    </row>
    <row r="952" spans="22:25" x14ac:dyDescent="0.2">
      <c r="V952" s="563"/>
      <c r="X952" s="563"/>
      <c r="Y952" s="563"/>
    </row>
    <row r="953" spans="22:25" x14ac:dyDescent="0.2">
      <c r="V953" s="563"/>
      <c r="X953" s="563"/>
      <c r="Y953" s="563"/>
    </row>
    <row r="954" spans="22:25" x14ac:dyDescent="0.2">
      <c r="V954" s="563"/>
      <c r="X954" s="563"/>
      <c r="Y954" s="563"/>
    </row>
    <row r="955" spans="22:25" x14ac:dyDescent="0.2">
      <c r="V955" s="563"/>
      <c r="X955" s="563"/>
      <c r="Y955" s="563"/>
    </row>
    <row r="956" spans="22:25" x14ac:dyDescent="0.2">
      <c r="V956" s="563"/>
      <c r="X956" s="563"/>
      <c r="Y956" s="563"/>
    </row>
    <row r="957" spans="22:25" x14ac:dyDescent="0.2">
      <c r="V957" s="563"/>
      <c r="X957" s="563"/>
      <c r="Y957" s="563"/>
    </row>
    <row r="958" spans="22:25" x14ac:dyDescent="0.2">
      <c r="V958" s="563"/>
      <c r="X958" s="563"/>
      <c r="Y958" s="563"/>
    </row>
    <row r="959" spans="22:25" x14ac:dyDescent="0.2">
      <c r="V959" s="563"/>
      <c r="X959" s="563"/>
      <c r="Y959" s="563"/>
    </row>
    <row r="960" spans="22:25" x14ac:dyDescent="0.2">
      <c r="V960" s="563"/>
      <c r="X960" s="563"/>
      <c r="Y960" s="563"/>
    </row>
    <row r="961" spans="22:25" x14ac:dyDescent="0.2">
      <c r="V961" s="563"/>
      <c r="X961" s="563"/>
      <c r="Y961" s="563"/>
    </row>
    <row r="962" spans="22:25" x14ac:dyDescent="0.2">
      <c r="V962" s="563"/>
      <c r="X962" s="563"/>
      <c r="Y962" s="563"/>
    </row>
    <row r="963" spans="22:25" x14ac:dyDescent="0.2">
      <c r="V963" s="563"/>
      <c r="X963" s="563"/>
      <c r="Y963" s="563"/>
    </row>
    <row r="964" spans="22:25" x14ac:dyDescent="0.2">
      <c r="V964" s="563"/>
      <c r="X964" s="563"/>
      <c r="Y964" s="563"/>
    </row>
    <row r="965" spans="22:25" x14ac:dyDescent="0.2">
      <c r="V965" s="563"/>
      <c r="X965" s="563"/>
      <c r="Y965" s="563"/>
    </row>
    <row r="966" spans="22:25" x14ac:dyDescent="0.2">
      <c r="V966" s="563"/>
      <c r="X966" s="563"/>
      <c r="Y966" s="563"/>
    </row>
    <row r="967" spans="22:25" x14ac:dyDescent="0.2">
      <c r="V967" s="563"/>
      <c r="X967" s="563"/>
      <c r="Y967" s="563"/>
    </row>
    <row r="968" spans="22:25" x14ac:dyDescent="0.2">
      <c r="V968" s="563"/>
      <c r="X968" s="563"/>
      <c r="Y968" s="563"/>
    </row>
    <row r="969" spans="22:25" x14ac:dyDescent="0.2">
      <c r="V969" s="563"/>
      <c r="X969" s="563"/>
      <c r="Y969" s="563"/>
    </row>
    <row r="970" spans="22:25" x14ac:dyDescent="0.2">
      <c r="V970" s="563"/>
      <c r="X970" s="563"/>
      <c r="Y970" s="563"/>
    </row>
    <row r="971" spans="22:25" x14ac:dyDescent="0.2">
      <c r="V971" s="563"/>
      <c r="X971" s="563"/>
      <c r="Y971" s="563"/>
    </row>
    <row r="972" spans="22:25" x14ac:dyDescent="0.2">
      <c r="V972" s="563"/>
      <c r="X972" s="563"/>
      <c r="Y972" s="563"/>
    </row>
    <row r="973" spans="22:25" x14ac:dyDescent="0.2">
      <c r="V973" s="563"/>
      <c r="X973" s="563"/>
      <c r="Y973" s="563"/>
    </row>
    <row r="974" spans="22:25" x14ac:dyDescent="0.2">
      <c r="V974" s="563"/>
      <c r="X974" s="563"/>
      <c r="Y974" s="563"/>
    </row>
    <row r="975" spans="22:25" x14ac:dyDescent="0.2">
      <c r="V975" s="563"/>
      <c r="X975" s="563"/>
      <c r="Y975" s="563"/>
    </row>
    <row r="976" spans="22:25" x14ac:dyDescent="0.2">
      <c r="V976" s="563"/>
      <c r="X976" s="563"/>
      <c r="Y976" s="563"/>
    </row>
    <row r="977" spans="22:25" x14ac:dyDescent="0.2">
      <c r="V977" s="563"/>
      <c r="X977" s="563"/>
      <c r="Y977" s="563"/>
    </row>
    <row r="978" spans="22:25" x14ac:dyDescent="0.2">
      <c r="V978" s="563"/>
      <c r="X978" s="563"/>
      <c r="Y978" s="563"/>
    </row>
    <row r="979" spans="22:25" x14ac:dyDescent="0.2">
      <c r="V979" s="563"/>
      <c r="X979" s="563"/>
      <c r="Y979" s="563"/>
    </row>
    <row r="980" spans="22:25" x14ac:dyDescent="0.2">
      <c r="V980" s="563"/>
      <c r="X980" s="563"/>
      <c r="Y980" s="563"/>
    </row>
    <row r="981" spans="22:25" x14ac:dyDescent="0.2">
      <c r="V981" s="563"/>
      <c r="X981" s="563"/>
      <c r="Y981" s="563"/>
    </row>
    <row r="982" spans="22:25" x14ac:dyDescent="0.2">
      <c r="V982" s="563"/>
      <c r="X982" s="563"/>
      <c r="Y982" s="563"/>
    </row>
    <row r="983" spans="22:25" x14ac:dyDescent="0.2">
      <c r="V983" s="563"/>
      <c r="X983" s="563"/>
      <c r="Y983" s="563"/>
    </row>
    <row r="984" spans="22:25" x14ac:dyDescent="0.2">
      <c r="V984" s="563"/>
      <c r="X984" s="563"/>
      <c r="Y984" s="563"/>
    </row>
    <row r="985" spans="22:25" x14ac:dyDescent="0.2">
      <c r="V985" s="563"/>
      <c r="X985" s="563"/>
      <c r="Y985" s="563"/>
    </row>
    <row r="986" spans="22:25" x14ac:dyDescent="0.2">
      <c r="V986" s="563"/>
      <c r="X986" s="563"/>
      <c r="Y986" s="563"/>
    </row>
    <row r="987" spans="22:25" x14ac:dyDescent="0.2">
      <c r="V987" s="563"/>
      <c r="X987" s="563"/>
      <c r="Y987" s="563"/>
    </row>
    <row r="988" spans="22:25" x14ac:dyDescent="0.2">
      <c r="V988" s="563"/>
      <c r="X988" s="563"/>
      <c r="Y988" s="563"/>
    </row>
    <row r="989" spans="22:25" x14ac:dyDescent="0.2">
      <c r="V989" s="563"/>
      <c r="X989" s="563"/>
      <c r="Y989" s="563"/>
    </row>
    <row r="990" spans="22:25" x14ac:dyDescent="0.2">
      <c r="V990" s="563"/>
      <c r="X990" s="563"/>
      <c r="Y990" s="563"/>
    </row>
    <row r="991" spans="22:25" x14ac:dyDescent="0.2">
      <c r="V991" s="563"/>
      <c r="X991" s="563"/>
      <c r="Y991" s="563"/>
    </row>
    <row r="992" spans="22:25" x14ac:dyDescent="0.2">
      <c r="V992" s="563"/>
      <c r="X992" s="563"/>
      <c r="Y992" s="563"/>
    </row>
    <row r="993" spans="22:25" x14ac:dyDescent="0.2">
      <c r="V993" s="563"/>
      <c r="X993" s="563"/>
      <c r="Y993" s="563"/>
    </row>
    <row r="994" spans="22:25" x14ac:dyDescent="0.2">
      <c r="V994" s="563"/>
      <c r="X994" s="563"/>
      <c r="Y994" s="563"/>
    </row>
    <row r="995" spans="22:25" x14ac:dyDescent="0.2">
      <c r="V995" s="563"/>
      <c r="X995" s="563"/>
      <c r="Y995" s="563"/>
    </row>
    <row r="996" spans="22:25" x14ac:dyDescent="0.2">
      <c r="V996" s="563"/>
      <c r="X996" s="563"/>
      <c r="Y996" s="563"/>
    </row>
    <row r="997" spans="22:25" x14ac:dyDescent="0.2">
      <c r="V997" s="563"/>
      <c r="X997" s="563"/>
      <c r="Y997" s="563"/>
    </row>
    <row r="998" spans="22:25" x14ac:dyDescent="0.2">
      <c r="V998" s="563"/>
      <c r="X998" s="563"/>
      <c r="Y998" s="563"/>
    </row>
    <row r="999" spans="22:25" x14ac:dyDescent="0.2">
      <c r="V999" s="563"/>
      <c r="X999" s="563"/>
      <c r="Y999" s="563"/>
    </row>
    <row r="1000" spans="22:25" x14ac:dyDescent="0.2">
      <c r="V1000" s="563"/>
      <c r="X1000" s="563"/>
      <c r="Y1000" s="563"/>
    </row>
    <row r="1001" spans="22:25" x14ac:dyDescent="0.2">
      <c r="V1001" s="563"/>
      <c r="X1001" s="563"/>
      <c r="Y1001" s="563"/>
    </row>
    <row r="1002" spans="22:25" x14ac:dyDescent="0.2">
      <c r="V1002" s="563"/>
      <c r="X1002" s="563"/>
      <c r="Y1002" s="563"/>
    </row>
    <row r="1003" spans="22:25" x14ac:dyDescent="0.2">
      <c r="V1003" s="563"/>
      <c r="X1003" s="563"/>
      <c r="Y1003" s="563"/>
    </row>
    <row r="1004" spans="22:25" x14ac:dyDescent="0.2">
      <c r="V1004" s="563"/>
      <c r="X1004" s="563"/>
      <c r="Y1004" s="563"/>
    </row>
    <row r="1005" spans="22:25" x14ac:dyDescent="0.2">
      <c r="V1005" s="563"/>
      <c r="X1005" s="563"/>
      <c r="Y1005" s="563"/>
    </row>
    <row r="1006" spans="22:25" x14ac:dyDescent="0.2">
      <c r="V1006" s="563"/>
      <c r="X1006" s="563"/>
      <c r="Y1006" s="563"/>
    </row>
    <row r="1007" spans="22:25" x14ac:dyDescent="0.2">
      <c r="V1007" s="563"/>
      <c r="X1007" s="563"/>
      <c r="Y1007" s="563"/>
    </row>
    <row r="1008" spans="22:25" x14ac:dyDescent="0.2">
      <c r="V1008" s="563"/>
      <c r="X1008" s="563"/>
      <c r="Y1008" s="563"/>
    </row>
    <row r="1009" spans="22:25" x14ac:dyDescent="0.2">
      <c r="V1009" s="563"/>
      <c r="X1009" s="563"/>
      <c r="Y1009" s="563"/>
    </row>
    <row r="1010" spans="22:25" x14ac:dyDescent="0.2">
      <c r="V1010" s="563"/>
      <c r="X1010" s="563"/>
      <c r="Y1010" s="563"/>
    </row>
    <row r="1011" spans="22:25" x14ac:dyDescent="0.2">
      <c r="V1011" s="563"/>
      <c r="X1011" s="563"/>
      <c r="Y1011" s="563"/>
    </row>
    <row r="1012" spans="22:25" x14ac:dyDescent="0.2">
      <c r="V1012" s="563"/>
      <c r="X1012" s="563"/>
      <c r="Y1012" s="563"/>
    </row>
    <row r="1013" spans="22:25" x14ac:dyDescent="0.2">
      <c r="V1013" s="563"/>
      <c r="X1013" s="563"/>
      <c r="Y1013" s="563"/>
    </row>
    <row r="1014" spans="22:25" x14ac:dyDescent="0.2">
      <c r="V1014" s="563"/>
      <c r="X1014" s="563"/>
      <c r="Y1014" s="563"/>
    </row>
    <row r="1015" spans="22:25" x14ac:dyDescent="0.2">
      <c r="V1015" s="563"/>
      <c r="X1015" s="563"/>
      <c r="Y1015" s="563"/>
    </row>
    <row r="1016" spans="22:25" x14ac:dyDescent="0.2">
      <c r="V1016" s="563"/>
      <c r="X1016" s="563"/>
      <c r="Y1016" s="563"/>
    </row>
    <row r="1017" spans="22:25" x14ac:dyDescent="0.2">
      <c r="V1017" s="563"/>
      <c r="X1017" s="563"/>
      <c r="Y1017" s="563"/>
    </row>
    <row r="1018" spans="22:25" x14ac:dyDescent="0.2">
      <c r="V1018" s="563"/>
      <c r="X1018" s="563"/>
      <c r="Y1018" s="563"/>
    </row>
    <row r="1019" spans="22:25" x14ac:dyDescent="0.2">
      <c r="V1019" s="563"/>
      <c r="X1019" s="563"/>
      <c r="Y1019" s="563"/>
    </row>
    <row r="1020" spans="22:25" x14ac:dyDescent="0.2">
      <c r="V1020" s="563"/>
      <c r="X1020" s="563"/>
      <c r="Y1020" s="563"/>
    </row>
    <row r="1021" spans="22:25" x14ac:dyDescent="0.2">
      <c r="V1021" s="563"/>
      <c r="X1021" s="563"/>
      <c r="Y1021" s="563"/>
    </row>
    <row r="1022" spans="22:25" x14ac:dyDescent="0.2">
      <c r="V1022" s="563"/>
      <c r="X1022" s="563"/>
      <c r="Y1022" s="563"/>
    </row>
    <row r="1023" spans="22:25" x14ac:dyDescent="0.2">
      <c r="V1023" s="563"/>
      <c r="X1023" s="563"/>
      <c r="Y1023" s="563"/>
    </row>
    <row r="1024" spans="22:25" x14ac:dyDescent="0.2">
      <c r="V1024" s="563"/>
      <c r="X1024" s="563"/>
      <c r="Y1024" s="563"/>
    </row>
    <row r="1025" spans="22:25" x14ac:dyDescent="0.2">
      <c r="V1025" s="563"/>
      <c r="X1025" s="563"/>
      <c r="Y1025" s="563"/>
    </row>
    <row r="1026" spans="22:25" x14ac:dyDescent="0.2">
      <c r="V1026" s="563"/>
      <c r="X1026" s="563"/>
      <c r="Y1026" s="563"/>
    </row>
    <row r="1027" spans="22:25" x14ac:dyDescent="0.2">
      <c r="V1027" s="563"/>
      <c r="X1027" s="563"/>
      <c r="Y1027" s="563"/>
    </row>
    <row r="1028" spans="22:25" x14ac:dyDescent="0.2">
      <c r="V1028" s="563"/>
      <c r="X1028" s="563"/>
      <c r="Y1028" s="563"/>
    </row>
    <row r="1029" spans="22:25" x14ac:dyDescent="0.2">
      <c r="V1029" s="563"/>
      <c r="X1029" s="563"/>
      <c r="Y1029" s="563"/>
    </row>
    <row r="1030" spans="22:25" x14ac:dyDescent="0.2">
      <c r="V1030" s="563"/>
      <c r="X1030" s="563"/>
      <c r="Y1030" s="563"/>
    </row>
    <row r="1031" spans="22:25" x14ac:dyDescent="0.2">
      <c r="V1031" s="563"/>
      <c r="X1031" s="563"/>
      <c r="Y1031" s="563"/>
    </row>
    <row r="1032" spans="22:25" x14ac:dyDescent="0.2">
      <c r="V1032" s="563"/>
      <c r="X1032" s="563"/>
      <c r="Y1032" s="563"/>
    </row>
    <row r="1033" spans="22:25" x14ac:dyDescent="0.2">
      <c r="V1033" s="563"/>
      <c r="X1033" s="563"/>
      <c r="Y1033" s="563"/>
    </row>
    <row r="1034" spans="22:25" x14ac:dyDescent="0.2">
      <c r="V1034" s="563"/>
      <c r="X1034" s="563"/>
      <c r="Y1034" s="563"/>
    </row>
    <row r="1035" spans="22:25" x14ac:dyDescent="0.2">
      <c r="V1035" s="563"/>
      <c r="X1035" s="563"/>
      <c r="Y1035" s="563"/>
    </row>
    <row r="1036" spans="22:25" x14ac:dyDescent="0.2">
      <c r="V1036" s="563"/>
      <c r="X1036" s="563"/>
      <c r="Y1036" s="563"/>
    </row>
    <row r="1037" spans="22:25" x14ac:dyDescent="0.2">
      <c r="V1037" s="563"/>
      <c r="X1037" s="563"/>
      <c r="Y1037" s="563"/>
    </row>
    <row r="1038" spans="22:25" x14ac:dyDescent="0.2">
      <c r="V1038" s="563"/>
      <c r="X1038" s="563"/>
      <c r="Y1038" s="563"/>
    </row>
    <row r="1039" spans="22:25" x14ac:dyDescent="0.2">
      <c r="V1039" s="563"/>
      <c r="X1039" s="563"/>
      <c r="Y1039" s="563"/>
    </row>
    <row r="1040" spans="22:25" x14ac:dyDescent="0.2">
      <c r="V1040" s="563"/>
      <c r="X1040" s="563"/>
      <c r="Y1040" s="563"/>
    </row>
    <row r="1041" spans="22:25" x14ac:dyDescent="0.2">
      <c r="V1041" s="563"/>
      <c r="X1041" s="563"/>
      <c r="Y1041" s="563"/>
    </row>
    <row r="1042" spans="22:25" x14ac:dyDescent="0.2">
      <c r="V1042" s="563"/>
      <c r="X1042" s="563"/>
      <c r="Y1042" s="563"/>
    </row>
    <row r="1043" spans="22:25" x14ac:dyDescent="0.2">
      <c r="V1043" s="563"/>
      <c r="X1043" s="563"/>
      <c r="Y1043" s="563"/>
    </row>
    <row r="1044" spans="22:25" x14ac:dyDescent="0.2">
      <c r="V1044" s="563"/>
      <c r="X1044" s="563"/>
      <c r="Y1044" s="563"/>
    </row>
    <row r="1045" spans="22:25" x14ac:dyDescent="0.2">
      <c r="V1045" s="563"/>
      <c r="X1045" s="563"/>
      <c r="Y1045" s="563"/>
    </row>
    <row r="1046" spans="22:25" x14ac:dyDescent="0.2">
      <c r="V1046" s="563"/>
      <c r="X1046" s="563"/>
      <c r="Y1046" s="563"/>
    </row>
    <row r="1047" spans="22:25" x14ac:dyDescent="0.2">
      <c r="V1047" s="563"/>
      <c r="X1047" s="563"/>
      <c r="Y1047" s="563"/>
    </row>
    <row r="1048" spans="22:25" x14ac:dyDescent="0.2">
      <c r="V1048" s="563"/>
      <c r="X1048" s="563"/>
      <c r="Y1048" s="563"/>
    </row>
    <row r="1049" spans="22:25" x14ac:dyDescent="0.2">
      <c r="V1049" s="563"/>
      <c r="X1049" s="563"/>
      <c r="Y1049" s="563"/>
    </row>
    <row r="1050" spans="22:25" x14ac:dyDescent="0.2">
      <c r="V1050" s="563"/>
      <c r="X1050" s="563"/>
      <c r="Y1050" s="563"/>
    </row>
    <row r="1051" spans="22:25" x14ac:dyDescent="0.2">
      <c r="V1051" s="563"/>
      <c r="X1051" s="563"/>
      <c r="Y1051" s="563"/>
    </row>
    <row r="1052" spans="22:25" x14ac:dyDescent="0.2">
      <c r="V1052" s="563"/>
      <c r="X1052" s="563"/>
      <c r="Y1052" s="563"/>
    </row>
    <row r="1053" spans="22:25" x14ac:dyDescent="0.2">
      <c r="V1053" s="563"/>
      <c r="X1053" s="563"/>
      <c r="Y1053" s="563"/>
    </row>
    <row r="1054" spans="22:25" x14ac:dyDescent="0.2">
      <c r="V1054" s="563"/>
      <c r="X1054" s="563"/>
      <c r="Y1054" s="563"/>
    </row>
    <row r="1055" spans="22:25" x14ac:dyDescent="0.2">
      <c r="V1055" s="563"/>
      <c r="X1055" s="563"/>
      <c r="Y1055" s="563"/>
    </row>
    <row r="1056" spans="22:25" x14ac:dyDescent="0.2">
      <c r="V1056" s="563"/>
      <c r="X1056" s="563"/>
      <c r="Y1056" s="563"/>
    </row>
    <row r="1057" spans="22:25" x14ac:dyDescent="0.2">
      <c r="V1057" s="563"/>
      <c r="X1057" s="563"/>
      <c r="Y1057" s="563"/>
    </row>
    <row r="1058" spans="22:25" x14ac:dyDescent="0.2">
      <c r="V1058" s="563"/>
      <c r="X1058" s="563"/>
      <c r="Y1058" s="563"/>
    </row>
    <row r="1059" spans="22:25" x14ac:dyDescent="0.2">
      <c r="V1059" s="563"/>
      <c r="X1059" s="563"/>
      <c r="Y1059" s="563"/>
    </row>
    <row r="1060" spans="22:25" x14ac:dyDescent="0.2">
      <c r="V1060" s="563"/>
      <c r="X1060" s="563"/>
      <c r="Y1060" s="563"/>
    </row>
    <row r="1061" spans="22:25" x14ac:dyDescent="0.2">
      <c r="V1061" s="563"/>
      <c r="X1061" s="563"/>
      <c r="Y1061" s="563"/>
    </row>
    <row r="1062" spans="22:25" x14ac:dyDescent="0.2">
      <c r="V1062" s="563"/>
      <c r="X1062" s="563"/>
      <c r="Y1062" s="563"/>
    </row>
    <row r="1063" spans="22:25" x14ac:dyDescent="0.2">
      <c r="V1063" s="563"/>
      <c r="X1063" s="563"/>
      <c r="Y1063" s="563"/>
    </row>
    <row r="1064" spans="22:25" x14ac:dyDescent="0.2">
      <c r="V1064" s="563"/>
      <c r="X1064" s="563"/>
      <c r="Y1064" s="563"/>
    </row>
    <row r="1065" spans="22:25" x14ac:dyDescent="0.2">
      <c r="V1065" s="563"/>
      <c r="X1065" s="563"/>
      <c r="Y1065" s="563"/>
    </row>
    <row r="1066" spans="22:25" x14ac:dyDescent="0.2">
      <c r="V1066" s="563"/>
      <c r="X1066" s="563"/>
      <c r="Y1066" s="563"/>
    </row>
    <row r="1067" spans="22:25" x14ac:dyDescent="0.2">
      <c r="V1067" s="563"/>
      <c r="X1067" s="563"/>
      <c r="Y1067" s="563"/>
    </row>
    <row r="1068" spans="22:25" x14ac:dyDescent="0.2">
      <c r="V1068" s="563"/>
      <c r="X1068" s="563"/>
      <c r="Y1068" s="563"/>
    </row>
    <row r="1069" spans="22:25" x14ac:dyDescent="0.2">
      <c r="V1069" s="563"/>
      <c r="X1069" s="563"/>
      <c r="Y1069" s="563"/>
    </row>
    <row r="1070" spans="22:25" x14ac:dyDescent="0.2">
      <c r="V1070" s="563"/>
      <c r="X1070" s="563"/>
      <c r="Y1070" s="563"/>
    </row>
    <row r="1071" spans="22:25" x14ac:dyDescent="0.2">
      <c r="V1071" s="563"/>
      <c r="X1071" s="563"/>
      <c r="Y1071" s="563"/>
    </row>
    <row r="1072" spans="22:25" x14ac:dyDescent="0.2">
      <c r="V1072" s="563"/>
      <c r="X1072" s="563"/>
      <c r="Y1072" s="563"/>
    </row>
    <row r="1073" spans="22:25" x14ac:dyDescent="0.2">
      <c r="V1073" s="563"/>
      <c r="X1073" s="563"/>
      <c r="Y1073" s="563"/>
    </row>
    <row r="1074" spans="22:25" x14ac:dyDescent="0.2">
      <c r="V1074" s="563"/>
      <c r="X1074" s="563"/>
      <c r="Y1074" s="563"/>
    </row>
    <row r="1075" spans="22:25" x14ac:dyDescent="0.2">
      <c r="V1075" s="563"/>
      <c r="X1075" s="563"/>
      <c r="Y1075" s="563"/>
    </row>
    <row r="1076" spans="22:25" x14ac:dyDescent="0.2">
      <c r="V1076" s="563"/>
      <c r="X1076" s="563"/>
      <c r="Y1076" s="563"/>
    </row>
    <row r="1077" spans="22:25" x14ac:dyDescent="0.2">
      <c r="V1077" s="563"/>
      <c r="X1077" s="563"/>
      <c r="Y1077" s="563"/>
    </row>
    <row r="1078" spans="22:25" x14ac:dyDescent="0.2">
      <c r="V1078" s="563"/>
      <c r="X1078" s="563"/>
      <c r="Y1078" s="563"/>
    </row>
    <row r="1079" spans="22:25" x14ac:dyDescent="0.2">
      <c r="V1079" s="563"/>
      <c r="X1079" s="563"/>
      <c r="Y1079" s="563"/>
    </row>
    <row r="1080" spans="22:25" x14ac:dyDescent="0.2">
      <c r="V1080" s="563"/>
      <c r="X1080" s="563"/>
      <c r="Y1080" s="563"/>
    </row>
    <row r="1081" spans="22:25" x14ac:dyDescent="0.2">
      <c r="V1081" s="563"/>
      <c r="X1081" s="563"/>
      <c r="Y1081" s="563"/>
    </row>
    <row r="1082" spans="22:25" x14ac:dyDescent="0.2">
      <c r="V1082" s="563"/>
      <c r="X1082" s="563"/>
      <c r="Y1082" s="563"/>
    </row>
    <row r="1083" spans="22:25" x14ac:dyDescent="0.2">
      <c r="V1083" s="563"/>
      <c r="X1083" s="563"/>
      <c r="Y1083" s="563"/>
    </row>
    <row r="1084" spans="22:25" x14ac:dyDescent="0.2">
      <c r="V1084" s="563"/>
      <c r="X1084" s="563"/>
      <c r="Y1084" s="563"/>
    </row>
    <row r="1085" spans="22:25" x14ac:dyDescent="0.2">
      <c r="V1085" s="563"/>
      <c r="X1085" s="563"/>
      <c r="Y1085" s="563"/>
    </row>
    <row r="1086" spans="22:25" x14ac:dyDescent="0.2">
      <c r="V1086" s="563"/>
      <c r="X1086" s="563"/>
      <c r="Y1086" s="563"/>
    </row>
    <row r="1087" spans="22:25" x14ac:dyDescent="0.2">
      <c r="V1087" s="563"/>
      <c r="X1087" s="563"/>
      <c r="Y1087" s="563"/>
    </row>
    <row r="1088" spans="22:25" x14ac:dyDescent="0.2">
      <c r="V1088" s="563"/>
      <c r="X1088" s="563"/>
      <c r="Y1088" s="563"/>
    </row>
    <row r="1089" spans="22:25" x14ac:dyDescent="0.2">
      <c r="V1089" s="563"/>
      <c r="X1089" s="563"/>
      <c r="Y1089" s="563"/>
    </row>
    <row r="1090" spans="22:25" x14ac:dyDescent="0.2">
      <c r="V1090" s="563"/>
      <c r="X1090" s="563"/>
      <c r="Y1090" s="563"/>
    </row>
    <row r="1091" spans="22:25" x14ac:dyDescent="0.2">
      <c r="V1091" s="563"/>
      <c r="X1091" s="563"/>
      <c r="Y1091" s="563"/>
    </row>
    <row r="1092" spans="22:25" x14ac:dyDescent="0.2">
      <c r="V1092" s="563"/>
      <c r="X1092" s="563"/>
      <c r="Y1092" s="563"/>
    </row>
    <row r="1093" spans="22:25" x14ac:dyDescent="0.2">
      <c r="V1093" s="563"/>
      <c r="X1093" s="563"/>
      <c r="Y1093" s="563"/>
    </row>
    <row r="1094" spans="22:25" x14ac:dyDescent="0.2">
      <c r="V1094" s="563"/>
      <c r="X1094" s="563"/>
      <c r="Y1094" s="563"/>
    </row>
    <row r="1095" spans="22:25" x14ac:dyDescent="0.2">
      <c r="V1095" s="563"/>
      <c r="X1095" s="563"/>
      <c r="Y1095" s="563"/>
    </row>
    <row r="1096" spans="22:25" x14ac:dyDescent="0.2">
      <c r="V1096" s="563"/>
      <c r="X1096" s="563"/>
      <c r="Y1096" s="563"/>
    </row>
    <row r="1097" spans="22:25" x14ac:dyDescent="0.2">
      <c r="V1097" s="563"/>
      <c r="X1097" s="563"/>
      <c r="Y1097" s="563"/>
    </row>
    <row r="1098" spans="22:25" x14ac:dyDescent="0.2">
      <c r="V1098" s="563"/>
      <c r="X1098" s="563"/>
      <c r="Y1098" s="563"/>
    </row>
    <row r="1099" spans="22:25" x14ac:dyDescent="0.2">
      <c r="V1099" s="563"/>
      <c r="X1099" s="563"/>
      <c r="Y1099" s="563"/>
    </row>
    <row r="1100" spans="22:25" x14ac:dyDescent="0.2">
      <c r="V1100" s="563"/>
      <c r="X1100" s="563"/>
      <c r="Y1100" s="563"/>
    </row>
    <row r="1101" spans="22:25" x14ac:dyDescent="0.2">
      <c r="V1101" s="563"/>
      <c r="X1101" s="563"/>
      <c r="Y1101" s="563"/>
    </row>
    <row r="1102" spans="22:25" x14ac:dyDescent="0.2">
      <c r="V1102" s="563"/>
      <c r="X1102" s="563"/>
      <c r="Y1102" s="563"/>
    </row>
    <row r="1103" spans="22:25" x14ac:dyDescent="0.2">
      <c r="V1103" s="563"/>
      <c r="X1103" s="563"/>
      <c r="Y1103" s="563"/>
    </row>
    <row r="1104" spans="22:25" x14ac:dyDescent="0.2">
      <c r="V1104" s="563"/>
      <c r="X1104" s="563"/>
      <c r="Y1104" s="563"/>
    </row>
    <row r="1105" spans="22:25" x14ac:dyDescent="0.2">
      <c r="V1105" s="563"/>
      <c r="X1105" s="563"/>
      <c r="Y1105" s="563"/>
    </row>
    <row r="1106" spans="22:25" x14ac:dyDescent="0.2">
      <c r="V1106" s="563"/>
      <c r="X1106" s="563"/>
      <c r="Y1106" s="563"/>
    </row>
    <row r="1107" spans="22:25" x14ac:dyDescent="0.2">
      <c r="V1107" s="563"/>
      <c r="X1107" s="563"/>
      <c r="Y1107" s="563"/>
    </row>
    <row r="1108" spans="22:25" x14ac:dyDescent="0.2">
      <c r="V1108" s="563"/>
      <c r="X1108" s="563"/>
      <c r="Y1108" s="563"/>
    </row>
    <row r="1109" spans="22:25" x14ac:dyDescent="0.2">
      <c r="V1109" s="563"/>
      <c r="X1109" s="563"/>
      <c r="Y1109" s="563"/>
    </row>
    <row r="1110" spans="22:25" x14ac:dyDescent="0.2">
      <c r="V1110" s="563"/>
      <c r="X1110" s="563"/>
      <c r="Y1110" s="563"/>
    </row>
    <row r="1111" spans="22:25" x14ac:dyDescent="0.2">
      <c r="V1111" s="563"/>
      <c r="X1111" s="563"/>
      <c r="Y1111" s="563"/>
    </row>
    <row r="1112" spans="22:25" x14ac:dyDescent="0.2">
      <c r="V1112" s="563"/>
      <c r="X1112" s="563"/>
      <c r="Y1112" s="563"/>
    </row>
    <row r="1113" spans="22:25" x14ac:dyDescent="0.2">
      <c r="V1113" s="563"/>
      <c r="X1113" s="563"/>
      <c r="Y1113" s="563"/>
    </row>
    <row r="1114" spans="22:25" x14ac:dyDescent="0.2">
      <c r="V1114" s="563"/>
      <c r="X1114" s="563"/>
      <c r="Y1114" s="563"/>
    </row>
    <row r="1115" spans="22:25" x14ac:dyDescent="0.2">
      <c r="V1115" s="563"/>
      <c r="X1115" s="563"/>
      <c r="Y1115" s="563"/>
    </row>
    <row r="1116" spans="22:25" x14ac:dyDescent="0.2">
      <c r="V1116" s="563"/>
      <c r="X1116" s="563"/>
      <c r="Y1116" s="563"/>
    </row>
    <row r="1117" spans="22:25" x14ac:dyDescent="0.2">
      <c r="V1117" s="563"/>
      <c r="X1117" s="563"/>
      <c r="Y1117" s="563"/>
    </row>
    <row r="1118" spans="22:25" x14ac:dyDescent="0.2">
      <c r="V1118" s="563"/>
      <c r="X1118" s="563"/>
      <c r="Y1118" s="563"/>
    </row>
    <row r="1119" spans="22:25" x14ac:dyDescent="0.2">
      <c r="V1119" s="563"/>
      <c r="X1119" s="563"/>
      <c r="Y1119" s="563"/>
    </row>
    <row r="1120" spans="22:25" x14ac:dyDescent="0.2">
      <c r="V1120" s="563"/>
      <c r="X1120" s="563"/>
      <c r="Y1120" s="563"/>
    </row>
    <row r="1121" spans="22:25" x14ac:dyDescent="0.2">
      <c r="V1121" s="563"/>
      <c r="X1121" s="563"/>
      <c r="Y1121" s="563"/>
    </row>
    <row r="1122" spans="22:25" x14ac:dyDescent="0.2">
      <c r="V1122" s="563"/>
      <c r="X1122" s="563"/>
      <c r="Y1122" s="563"/>
    </row>
    <row r="1123" spans="22:25" x14ac:dyDescent="0.2">
      <c r="V1123" s="563"/>
      <c r="X1123" s="563"/>
      <c r="Y1123" s="563"/>
    </row>
    <row r="1124" spans="22:25" x14ac:dyDescent="0.2">
      <c r="V1124" s="563"/>
      <c r="X1124" s="563"/>
      <c r="Y1124" s="563"/>
    </row>
    <row r="1125" spans="22:25" x14ac:dyDescent="0.2">
      <c r="V1125" s="563"/>
      <c r="X1125" s="563"/>
      <c r="Y1125" s="563"/>
    </row>
    <row r="1126" spans="22:25" x14ac:dyDescent="0.2">
      <c r="V1126" s="563"/>
      <c r="X1126" s="563"/>
      <c r="Y1126" s="563"/>
    </row>
    <row r="1127" spans="22:25" x14ac:dyDescent="0.2">
      <c r="V1127" s="563"/>
      <c r="X1127" s="563"/>
      <c r="Y1127" s="563"/>
    </row>
    <row r="1128" spans="22:25" x14ac:dyDescent="0.2">
      <c r="V1128" s="563"/>
      <c r="X1128" s="563"/>
      <c r="Y1128" s="563"/>
    </row>
    <row r="1129" spans="22:25" x14ac:dyDescent="0.2">
      <c r="V1129" s="563"/>
      <c r="X1129" s="563"/>
      <c r="Y1129" s="563"/>
    </row>
    <row r="1130" spans="22:25" x14ac:dyDescent="0.2">
      <c r="V1130" s="563"/>
      <c r="X1130" s="563"/>
      <c r="Y1130" s="563"/>
    </row>
    <row r="1131" spans="22:25" x14ac:dyDescent="0.2">
      <c r="V1131" s="563"/>
      <c r="X1131" s="563"/>
      <c r="Y1131" s="563"/>
    </row>
    <row r="1132" spans="22:25" x14ac:dyDescent="0.2">
      <c r="V1132" s="563"/>
      <c r="X1132" s="563"/>
      <c r="Y1132" s="563"/>
    </row>
    <row r="1133" spans="22:25" x14ac:dyDescent="0.2">
      <c r="V1133" s="563"/>
      <c r="X1133" s="563"/>
      <c r="Y1133" s="563"/>
    </row>
    <row r="1134" spans="22:25" x14ac:dyDescent="0.2">
      <c r="V1134" s="563"/>
      <c r="X1134" s="563"/>
      <c r="Y1134" s="563"/>
    </row>
    <row r="1135" spans="22:25" x14ac:dyDescent="0.2">
      <c r="V1135" s="563"/>
      <c r="X1135" s="563"/>
      <c r="Y1135" s="563"/>
    </row>
    <row r="1136" spans="22:25" x14ac:dyDescent="0.2">
      <c r="V1136" s="563"/>
      <c r="X1136" s="563"/>
      <c r="Y1136" s="563"/>
    </row>
    <row r="1137" spans="22:25" x14ac:dyDescent="0.2">
      <c r="V1137" s="563"/>
      <c r="X1137" s="563"/>
      <c r="Y1137" s="563"/>
    </row>
    <row r="1138" spans="22:25" x14ac:dyDescent="0.2">
      <c r="V1138" s="563"/>
      <c r="X1138" s="563"/>
      <c r="Y1138" s="563"/>
    </row>
    <row r="1139" spans="22:25" x14ac:dyDescent="0.2">
      <c r="V1139" s="563"/>
      <c r="X1139" s="563"/>
      <c r="Y1139" s="563"/>
    </row>
    <row r="1140" spans="22:25" x14ac:dyDescent="0.2">
      <c r="V1140" s="563"/>
      <c r="X1140" s="563"/>
      <c r="Y1140" s="563"/>
    </row>
    <row r="1141" spans="22:25" x14ac:dyDescent="0.2">
      <c r="V1141" s="563"/>
      <c r="X1141" s="563"/>
      <c r="Y1141" s="563"/>
    </row>
    <row r="1142" spans="22:25" x14ac:dyDescent="0.2">
      <c r="V1142" s="563"/>
      <c r="X1142" s="563"/>
      <c r="Y1142" s="563"/>
    </row>
    <row r="1143" spans="22:25" x14ac:dyDescent="0.2">
      <c r="V1143" s="563"/>
      <c r="X1143" s="563"/>
      <c r="Y1143" s="563"/>
    </row>
    <row r="1144" spans="22:25" x14ac:dyDescent="0.2">
      <c r="V1144" s="563"/>
      <c r="X1144" s="563"/>
      <c r="Y1144" s="563"/>
    </row>
    <row r="1145" spans="22:25" x14ac:dyDescent="0.2">
      <c r="V1145" s="563"/>
      <c r="X1145" s="563"/>
      <c r="Y1145" s="563"/>
    </row>
    <row r="1146" spans="22:25" x14ac:dyDescent="0.2">
      <c r="V1146" s="563"/>
      <c r="X1146" s="563"/>
      <c r="Y1146" s="563"/>
    </row>
    <row r="1147" spans="22:25" x14ac:dyDescent="0.2">
      <c r="V1147" s="563"/>
      <c r="X1147" s="563"/>
      <c r="Y1147" s="563"/>
    </row>
    <row r="1148" spans="22:25" x14ac:dyDescent="0.2">
      <c r="V1148" s="563"/>
      <c r="X1148" s="563"/>
      <c r="Y1148" s="563"/>
    </row>
    <row r="1149" spans="22:25" x14ac:dyDescent="0.2">
      <c r="V1149" s="563"/>
      <c r="X1149" s="563"/>
      <c r="Y1149" s="563"/>
    </row>
    <row r="1150" spans="22:25" x14ac:dyDescent="0.2">
      <c r="V1150" s="563"/>
      <c r="X1150" s="563"/>
      <c r="Y1150" s="563"/>
    </row>
    <row r="1151" spans="22:25" x14ac:dyDescent="0.2">
      <c r="V1151" s="563"/>
      <c r="X1151" s="563"/>
      <c r="Y1151" s="563"/>
    </row>
    <row r="1152" spans="22:25" x14ac:dyDescent="0.2">
      <c r="V1152" s="563"/>
      <c r="X1152" s="563"/>
      <c r="Y1152" s="563"/>
    </row>
    <row r="1153" spans="22:25" x14ac:dyDescent="0.2">
      <c r="V1153" s="563"/>
      <c r="X1153" s="563"/>
      <c r="Y1153" s="563"/>
    </row>
    <row r="1154" spans="22:25" x14ac:dyDescent="0.2">
      <c r="V1154" s="563"/>
      <c r="X1154" s="563"/>
      <c r="Y1154" s="563"/>
    </row>
    <row r="1155" spans="22:25" x14ac:dyDescent="0.2">
      <c r="V1155" s="563"/>
      <c r="X1155" s="563"/>
      <c r="Y1155" s="563"/>
    </row>
    <row r="1156" spans="22:25" x14ac:dyDescent="0.2">
      <c r="V1156" s="563"/>
      <c r="X1156" s="563"/>
      <c r="Y1156" s="563"/>
    </row>
    <row r="1157" spans="22:25" x14ac:dyDescent="0.2">
      <c r="V1157" s="563"/>
      <c r="X1157" s="563"/>
      <c r="Y1157" s="563"/>
    </row>
    <row r="1158" spans="22:25" x14ac:dyDescent="0.2">
      <c r="V1158" s="563"/>
      <c r="X1158" s="563"/>
      <c r="Y1158" s="563"/>
    </row>
    <row r="1159" spans="22:25" x14ac:dyDescent="0.2">
      <c r="V1159" s="563"/>
      <c r="X1159" s="563"/>
      <c r="Y1159" s="563"/>
    </row>
    <row r="1160" spans="22:25" x14ac:dyDescent="0.2">
      <c r="V1160" s="563"/>
      <c r="X1160" s="563"/>
      <c r="Y1160" s="563"/>
    </row>
    <row r="1161" spans="22:25" x14ac:dyDescent="0.2">
      <c r="V1161" s="563"/>
      <c r="X1161" s="563"/>
      <c r="Y1161" s="563"/>
    </row>
    <row r="1162" spans="22:25" x14ac:dyDescent="0.2">
      <c r="V1162" s="563"/>
      <c r="X1162" s="563"/>
      <c r="Y1162" s="563"/>
    </row>
    <row r="1163" spans="22:25" x14ac:dyDescent="0.2">
      <c r="V1163" s="563"/>
      <c r="X1163" s="563"/>
      <c r="Y1163" s="563"/>
    </row>
    <row r="1164" spans="22:25" x14ac:dyDescent="0.2">
      <c r="V1164" s="563"/>
      <c r="X1164" s="563"/>
      <c r="Y1164" s="563"/>
    </row>
    <row r="1165" spans="22:25" x14ac:dyDescent="0.2">
      <c r="V1165" s="563"/>
      <c r="X1165" s="563"/>
      <c r="Y1165" s="563"/>
    </row>
    <row r="1166" spans="22:25" x14ac:dyDescent="0.2">
      <c r="V1166" s="563"/>
      <c r="X1166" s="563"/>
      <c r="Y1166" s="563"/>
    </row>
    <row r="1167" spans="22:25" x14ac:dyDescent="0.2">
      <c r="V1167" s="563"/>
      <c r="X1167" s="563"/>
      <c r="Y1167" s="563"/>
    </row>
    <row r="1168" spans="22:25" x14ac:dyDescent="0.2">
      <c r="V1168" s="563"/>
      <c r="X1168" s="563"/>
      <c r="Y1168" s="563"/>
    </row>
    <row r="1169" spans="22:25" x14ac:dyDescent="0.2">
      <c r="V1169" s="563"/>
      <c r="X1169" s="563"/>
      <c r="Y1169" s="563"/>
    </row>
    <row r="1170" spans="22:25" x14ac:dyDescent="0.2">
      <c r="V1170" s="563"/>
      <c r="X1170" s="563"/>
      <c r="Y1170" s="563"/>
    </row>
    <row r="1171" spans="22:25" x14ac:dyDescent="0.2">
      <c r="V1171" s="563"/>
      <c r="X1171" s="563"/>
      <c r="Y1171" s="563"/>
    </row>
    <row r="1172" spans="22:25" x14ac:dyDescent="0.2">
      <c r="V1172" s="563"/>
      <c r="X1172" s="563"/>
      <c r="Y1172" s="563"/>
    </row>
    <row r="1173" spans="22:25" x14ac:dyDescent="0.2">
      <c r="V1173" s="563"/>
      <c r="X1173" s="563"/>
      <c r="Y1173" s="563"/>
    </row>
    <row r="1174" spans="22:25" x14ac:dyDescent="0.2">
      <c r="V1174" s="563"/>
      <c r="X1174" s="563"/>
      <c r="Y1174" s="563"/>
    </row>
    <row r="1175" spans="22:25" x14ac:dyDescent="0.2">
      <c r="V1175" s="563"/>
      <c r="X1175" s="563"/>
      <c r="Y1175" s="563"/>
    </row>
    <row r="1176" spans="22:25" x14ac:dyDescent="0.2">
      <c r="V1176" s="563"/>
      <c r="X1176" s="563"/>
      <c r="Y1176" s="563"/>
    </row>
    <row r="1177" spans="22:25" x14ac:dyDescent="0.2">
      <c r="V1177" s="563"/>
      <c r="X1177" s="563"/>
      <c r="Y1177" s="563"/>
    </row>
    <row r="1178" spans="22:25" x14ac:dyDescent="0.2">
      <c r="V1178" s="563"/>
      <c r="X1178" s="563"/>
      <c r="Y1178" s="563"/>
    </row>
    <row r="1179" spans="22:25" x14ac:dyDescent="0.2">
      <c r="V1179" s="563"/>
      <c r="X1179" s="563"/>
      <c r="Y1179" s="563"/>
    </row>
    <row r="1180" spans="22:25" x14ac:dyDescent="0.2">
      <c r="V1180" s="563"/>
      <c r="X1180" s="563"/>
      <c r="Y1180" s="563"/>
    </row>
    <row r="1181" spans="22:25" x14ac:dyDescent="0.2">
      <c r="V1181" s="563"/>
      <c r="X1181" s="563"/>
      <c r="Y1181" s="563"/>
    </row>
    <row r="1182" spans="22:25" x14ac:dyDescent="0.2">
      <c r="V1182" s="563"/>
      <c r="X1182" s="563"/>
      <c r="Y1182" s="563"/>
    </row>
    <row r="1183" spans="22:25" x14ac:dyDescent="0.2">
      <c r="V1183" s="563"/>
      <c r="X1183" s="563"/>
      <c r="Y1183" s="563"/>
    </row>
    <row r="1184" spans="22:25" x14ac:dyDescent="0.2">
      <c r="V1184" s="563"/>
      <c r="X1184" s="563"/>
      <c r="Y1184" s="563"/>
    </row>
    <row r="1185" spans="22:25" x14ac:dyDescent="0.2">
      <c r="V1185" s="563"/>
      <c r="X1185" s="563"/>
      <c r="Y1185" s="563"/>
    </row>
    <row r="1186" spans="22:25" x14ac:dyDescent="0.2">
      <c r="V1186" s="563"/>
      <c r="X1186" s="563"/>
      <c r="Y1186" s="563"/>
    </row>
    <row r="1187" spans="22:25" x14ac:dyDescent="0.2">
      <c r="V1187" s="563"/>
      <c r="X1187" s="563"/>
      <c r="Y1187" s="563"/>
    </row>
    <row r="1188" spans="22:25" x14ac:dyDescent="0.2">
      <c r="V1188" s="563"/>
      <c r="X1188" s="563"/>
      <c r="Y1188" s="563"/>
    </row>
    <row r="1189" spans="22:25" x14ac:dyDescent="0.2">
      <c r="V1189" s="563"/>
      <c r="X1189" s="563"/>
      <c r="Y1189" s="563"/>
    </row>
    <row r="1190" spans="22:25" x14ac:dyDescent="0.2">
      <c r="V1190" s="563"/>
      <c r="X1190" s="563"/>
      <c r="Y1190" s="563"/>
    </row>
    <row r="1191" spans="22:25" x14ac:dyDescent="0.2">
      <c r="V1191" s="563"/>
      <c r="X1191" s="563"/>
      <c r="Y1191" s="563"/>
    </row>
    <row r="1192" spans="22:25" x14ac:dyDescent="0.2">
      <c r="V1192" s="563"/>
      <c r="X1192" s="563"/>
      <c r="Y1192" s="563"/>
    </row>
    <row r="1193" spans="22:25" x14ac:dyDescent="0.2">
      <c r="V1193" s="563"/>
      <c r="X1193" s="563"/>
      <c r="Y1193" s="563"/>
    </row>
    <row r="1194" spans="22:25" x14ac:dyDescent="0.2">
      <c r="V1194" s="563"/>
      <c r="X1194" s="563"/>
      <c r="Y1194" s="563"/>
    </row>
    <row r="1195" spans="22:25" x14ac:dyDescent="0.2">
      <c r="V1195" s="563"/>
      <c r="X1195" s="563"/>
      <c r="Y1195" s="563"/>
    </row>
    <row r="1196" spans="22:25" x14ac:dyDescent="0.2">
      <c r="V1196" s="563"/>
      <c r="X1196" s="563"/>
      <c r="Y1196" s="563"/>
    </row>
    <row r="1197" spans="22:25" x14ac:dyDescent="0.2">
      <c r="V1197" s="563"/>
      <c r="X1197" s="563"/>
      <c r="Y1197" s="563"/>
    </row>
    <row r="1198" spans="22:25" x14ac:dyDescent="0.2">
      <c r="V1198" s="563"/>
      <c r="X1198" s="563"/>
      <c r="Y1198" s="563"/>
    </row>
    <row r="1199" spans="22:25" x14ac:dyDescent="0.2">
      <c r="V1199" s="563"/>
      <c r="X1199" s="563"/>
      <c r="Y1199" s="563"/>
    </row>
    <row r="1200" spans="22:25" x14ac:dyDescent="0.2">
      <c r="V1200" s="563"/>
      <c r="X1200" s="563"/>
      <c r="Y1200" s="563"/>
    </row>
    <row r="1201" spans="22:25" x14ac:dyDescent="0.2">
      <c r="V1201" s="563"/>
      <c r="X1201" s="563"/>
      <c r="Y1201" s="563"/>
    </row>
    <row r="1202" spans="22:25" x14ac:dyDescent="0.2">
      <c r="V1202" s="563"/>
      <c r="X1202" s="563"/>
      <c r="Y1202" s="563"/>
    </row>
    <row r="1203" spans="22:25" x14ac:dyDescent="0.2">
      <c r="V1203" s="563"/>
      <c r="X1203" s="563"/>
      <c r="Y1203" s="563"/>
    </row>
    <row r="1204" spans="22:25" x14ac:dyDescent="0.2">
      <c r="V1204" s="563"/>
      <c r="X1204" s="563"/>
      <c r="Y1204" s="563"/>
    </row>
    <row r="1205" spans="22:25" x14ac:dyDescent="0.2">
      <c r="V1205" s="563"/>
      <c r="X1205" s="563"/>
      <c r="Y1205" s="563"/>
    </row>
    <row r="1206" spans="22:25" x14ac:dyDescent="0.2">
      <c r="V1206" s="563"/>
      <c r="X1206" s="563"/>
      <c r="Y1206" s="563"/>
    </row>
    <row r="1207" spans="22:25" x14ac:dyDescent="0.2">
      <c r="V1207" s="563"/>
      <c r="X1207" s="563"/>
      <c r="Y1207" s="563"/>
    </row>
    <row r="1208" spans="22:25" x14ac:dyDescent="0.2">
      <c r="V1208" s="563"/>
      <c r="X1208" s="563"/>
      <c r="Y1208" s="563"/>
    </row>
    <row r="1209" spans="22:25" x14ac:dyDescent="0.2">
      <c r="V1209" s="563"/>
      <c r="X1209" s="563"/>
      <c r="Y1209" s="563"/>
    </row>
    <row r="1210" spans="22:25" x14ac:dyDescent="0.2">
      <c r="V1210" s="563"/>
      <c r="X1210" s="563"/>
      <c r="Y1210" s="563"/>
    </row>
    <row r="1211" spans="22:25" x14ac:dyDescent="0.2">
      <c r="V1211" s="563"/>
      <c r="X1211" s="563"/>
      <c r="Y1211" s="563"/>
    </row>
    <row r="1212" spans="22:25" x14ac:dyDescent="0.2">
      <c r="V1212" s="563"/>
      <c r="X1212" s="563"/>
      <c r="Y1212" s="563"/>
    </row>
    <row r="1213" spans="22:25" x14ac:dyDescent="0.2">
      <c r="V1213" s="563"/>
      <c r="X1213" s="563"/>
      <c r="Y1213" s="563"/>
    </row>
    <row r="1214" spans="22:25" x14ac:dyDescent="0.2">
      <c r="V1214" s="563"/>
      <c r="X1214" s="563"/>
      <c r="Y1214" s="563"/>
    </row>
    <row r="1215" spans="22:25" x14ac:dyDescent="0.2">
      <c r="V1215" s="563"/>
      <c r="X1215" s="563"/>
      <c r="Y1215" s="563"/>
    </row>
    <row r="1216" spans="22:25" x14ac:dyDescent="0.2">
      <c r="V1216" s="563"/>
      <c r="X1216" s="563"/>
      <c r="Y1216" s="563"/>
    </row>
    <row r="1217" spans="22:25" x14ac:dyDescent="0.2">
      <c r="V1217" s="563"/>
      <c r="X1217" s="563"/>
      <c r="Y1217" s="563"/>
    </row>
    <row r="1218" spans="22:25" x14ac:dyDescent="0.2">
      <c r="V1218" s="563"/>
      <c r="X1218" s="563"/>
      <c r="Y1218" s="563"/>
    </row>
    <row r="1219" spans="22:25" x14ac:dyDescent="0.2">
      <c r="V1219" s="563"/>
      <c r="X1219" s="563"/>
      <c r="Y1219" s="563"/>
    </row>
    <row r="1220" spans="22:25" x14ac:dyDescent="0.2">
      <c r="V1220" s="563"/>
      <c r="X1220" s="563"/>
      <c r="Y1220" s="563"/>
    </row>
    <row r="1221" spans="22:25" x14ac:dyDescent="0.2">
      <c r="V1221" s="563"/>
      <c r="X1221" s="563"/>
      <c r="Y1221" s="563"/>
    </row>
    <row r="1222" spans="22:25" x14ac:dyDescent="0.2">
      <c r="V1222" s="563"/>
      <c r="X1222" s="563"/>
      <c r="Y1222" s="563"/>
    </row>
    <row r="1223" spans="22:25" x14ac:dyDescent="0.2">
      <c r="V1223" s="563"/>
      <c r="X1223" s="563"/>
      <c r="Y1223" s="563"/>
    </row>
    <row r="1224" spans="22:25" x14ac:dyDescent="0.2">
      <c r="V1224" s="563"/>
      <c r="X1224" s="563"/>
      <c r="Y1224" s="563"/>
    </row>
    <row r="1225" spans="22:25" x14ac:dyDescent="0.2">
      <c r="V1225" s="563"/>
      <c r="X1225" s="563"/>
      <c r="Y1225" s="563"/>
    </row>
    <row r="1226" spans="22:25" x14ac:dyDescent="0.2">
      <c r="V1226" s="563"/>
      <c r="X1226" s="563"/>
      <c r="Y1226" s="563"/>
    </row>
    <row r="1227" spans="22:25" x14ac:dyDescent="0.2">
      <c r="V1227" s="563"/>
      <c r="X1227" s="563"/>
      <c r="Y1227" s="563"/>
    </row>
    <row r="1228" spans="22:25" x14ac:dyDescent="0.2">
      <c r="V1228" s="563"/>
      <c r="X1228" s="563"/>
      <c r="Y1228" s="563"/>
    </row>
    <row r="1229" spans="22:25" x14ac:dyDescent="0.2">
      <c r="V1229" s="563"/>
      <c r="X1229" s="563"/>
      <c r="Y1229" s="563"/>
    </row>
    <row r="1230" spans="22:25" x14ac:dyDescent="0.2">
      <c r="V1230" s="563"/>
      <c r="X1230" s="563"/>
      <c r="Y1230" s="563"/>
    </row>
    <row r="1231" spans="22:25" x14ac:dyDescent="0.2">
      <c r="V1231" s="563"/>
      <c r="X1231" s="563"/>
      <c r="Y1231" s="563"/>
    </row>
    <row r="1232" spans="22:25" x14ac:dyDescent="0.2">
      <c r="V1232" s="563"/>
      <c r="X1232" s="563"/>
      <c r="Y1232" s="563"/>
    </row>
    <row r="1233" spans="22:25" x14ac:dyDescent="0.2">
      <c r="V1233" s="563"/>
      <c r="X1233" s="563"/>
      <c r="Y1233" s="563"/>
    </row>
    <row r="1234" spans="22:25" x14ac:dyDescent="0.2">
      <c r="V1234" s="563"/>
      <c r="X1234" s="563"/>
      <c r="Y1234" s="563"/>
    </row>
    <row r="1235" spans="22:25" x14ac:dyDescent="0.2">
      <c r="V1235" s="563"/>
      <c r="X1235" s="563"/>
      <c r="Y1235" s="563"/>
    </row>
    <row r="1236" spans="22:25" x14ac:dyDescent="0.2">
      <c r="V1236" s="563"/>
      <c r="X1236" s="563"/>
      <c r="Y1236" s="563"/>
    </row>
    <row r="1237" spans="22:25" x14ac:dyDescent="0.2">
      <c r="V1237" s="563"/>
      <c r="X1237" s="563"/>
      <c r="Y1237" s="563"/>
    </row>
    <row r="1238" spans="22:25" x14ac:dyDescent="0.2">
      <c r="V1238" s="563"/>
      <c r="X1238" s="563"/>
      <c r="Y1238" s="563"/>
    </row>
    <row r="1239" spans="22:25" x14ac:dyDescent="0.2">
      <c r="V1239" s="563"/>
      <c r="X1239" s="563"/>
      <c r="Y1239" s="563"/>
    </row>
    <row r="1240" spans="22:25" x14ac:dyDescent="0.2">
      <c r="V1240" s="563"/>
      <c r="X1240" s="563"/>
      <c r="Y1240" s="563"/>
    </row>
    <row r="1241" spans="22:25" x14ac:dyDescent="0.2">
      <c r="V1241" s="563"/>
      <c r="X1241" s="563"/>
      <c r="Y1241" s="563"/>
    </row>
    <row r="1242" spans="22:25" x14ac:dyDescent="0.2">
      <c r="V1242" s="563"/>
      <c r="X1242" s="563"/>
      <c r="Y1242" s="563"/>
    </row>
    <row r="1243" spans="22:25" x14ac:dyDescent="0.2">
      <c r="V1243" s="563"/>
      <c r="X1243" s="563"/>
      <c r="Y1243" s="563"/>
    </row>
    <row r="1244" spans="22:25" x14ac:dyDescent="0.2">
      <c r="V1244" s="563"/>
      <c r="X1244" s="563"/>
      <c r="Y1244" s="563"/>
    </row>
    <row r="1245" spans="22:25" x14ac:dyDescent="0.2">
      <c r="V1245" s="563"/>
      <c r="X1245" s="563"/>
      <c r="Y1245" s="563"/>
    </row>
    <row r="1246" spans="22:25" x14ac:dyDescent="0.2">
      <c r="V1246" s="563"/>
      <c r="X1246" s="563"/>
      <c r="Y1246" s="563"/>
    </row>
    <row r="1247" spans="22:25" x14ac:dyDescent="0.2">
      <c r="V1247" s="563"/>
      <c r="X1247" s="563"/>
      <c r="Y1247" s="563"/>
    </row>
    <row r="1248" spans="22:25" x14ac:dyDescent="0.2">
      <c r="V1248" s="563"/>
      <c r="X1248" s="563"/>
      <c r="Y1248" s="563"/>
    </row>
    <row r="1249" spans="22:25" x14ac:dyDescent="0.2">
      <c r="V1249" s="563"/>
      <c r="X1249" s="563"/>
      <c r="Y1249" s="563"/>
    </row>
    <row r="1250" spans="22:25" x14ac:dyDescent="0.2">
      <c r="V1250" s="563"/>
      <c r="X1250" s="563"/>
      <c r="Y1250" s="563"/>
    </row>
    <row r="1251" spans="22:25" x14ac:dyDescent="0.2">
      <c r="V1251" s="563"/>
      <c r="X1251" s="563"/>
      <c r="Y1251" s="563"/>
    </row>
    <row r="1252" spans="22:25" x14ac:dyDescent="0.2">
      <c r="V1252" s="563"/>
      <c r="X1252" s="563"/>
      <c r="Y1252" s="563"/>
    </row>
    <row r="1253" spans="22:25" x14ac:dyDescent="0.2">
      <c r="V1253" s="563"/>
      <c r="X1253" s="563"/>
      <c r="Y1253" s="563"/>
    </row>
    <row r="1254" spans="22:25" x14ac:dyDescent="0.2">
      <c r="V1254" s="563"/>
      <c r="X1254" s="563"/>
      <c r="Y1254" s="563"/>
    </row>
    <row r="1255" spans="22:25" x14ac:dyDescent="0.2">
      <c r="V1255" s="563"/>
      <c r="X1255" s="563"/>
      <c r="Y1255" s="563"/>
    </row>
    <row r="1256" spans="22:25" x14ac:dyDescent="0.2">
      <c r="V1256" s="563"/>
      <c r="X1256" s="563"/>
      <c r="Y1256" s="563"/>
    </row>
    <row r="1257" spans="22:25" x14ac:dyDescent="0.2">
      <c r="V1257" s="563"/>
      <c r="X1257" s="563"/>
      <c r="Y1257" s="563"/>
    </row>
    <row r="1258" spans="22:25" x14ac:dyDescent="0.2">
      <c r="V1258" s="563"/>
      <c r="X1258" s="563"/>
      <c r="Y1258" s="563"/>
    </row>
    <row r="1259" spans="22:25" x14ac:dyDescent="0.2">
      <c r="V1259" s="563"/>
      <c r="X1259" s="563"/>
      <c r="Y1259" s="563"/>
    </row>
    <row r="1260" spans="22:25" x14ac:dyDescent="0.2">
      <c r="V1260" s="563"/>
      <c r="X1260" s="563"/>
      <c r="Y1260" s="563"/>
    </row>
    <row r="1261" spans="22:25" x14ac:dyDescent="0.2">
      <c r="V1261" s="563"/>
      <c r="X1261" s="563"/>
      <c r="Y1261" s="563"/>
    </row>
    <row r="1262" spans="22:25" x14ac:dyDescent="0.2">
      <c r="V1262" s="563"/>
      <c r="X1262" s="563"/>
      <c r="Y1262" s="563"/>
    </row>
    <row r="1263" spans="22:25" x14ac:dyDescent="0.2">
      <c r="V1263" s="563"/>
      <c r="X1263" s="563"/>
      <c r="Y1263" s="563"/>
    </row>
    <row r="1264" spans="22:25" x14ac:dyDescent="0.2">
      <c r="V1264" s="563"/>
      <c r="X1264" s="563"/>
      <c r="Y1264" s="563"/>
    </row>
    <row r="1265" spans="22:25" x14ac:dyDescent="0.2">
      <c r="V1265" s="563"/>
      <c r="X1265" s="563"/>
      <c r="Y1265" s="563"/>
    </row>
    <row r="1266" spans="22:25" x14ac:dyDescent="0.2">
      <c r="V1266" s="563"/>
      <c r="X1266" s="563"/>
      <c r="Y1266" s="563"/>
    </row>
    <row r="1267" spans="22:25" x14ac:dyDescent="0.2">
      <c r="V1267" s="563"/>
      <c r="X1267" s="563"/>
      <c r="Y1267" s="563"/>
    </row>
    <row r="1268" spans="22:25" x14ac:dyDescent="0.2">
      <c r="V1268" s="563"/>
      <c r="X1268" s="563"/>
      <c r="Y1268" s="563"/>
    </row>
    <row r="1269" spans="22:25" x14ac:dyDescent="0.2">
      <c r="V1269" s="563"/>
      <c r="X1269" s="563"/>
      <c r="Y1269" s="563"/>
    </row>
    <row r="1270" spans="22:25" x14ac:dyDescent="0.2">
      <c r="V1270" s="563"/>
      <c r="X1270" s="563"/>
      <c r="Y1270" s="563"/>
    </row>
    <row r="1271" spans="22:25" x14ac:dyDescent="0.2">
      <c r="V1271" s="563"/>
      <c r="X1271" s="563"/>
      <c r="Y1271" s="563"/>
    </row>
    <row r="1272" spans="22:25" x14ac:dyDescent="0.2">
      <c r="V1272" s="563"/>
      <c r="X1272" s="563"/>
      <c r="Y1272" s="563"/>
    </row>
    <row r="1273" spans="22:25" x14ac:dyDescent="0.2">
      <c r="V1273" s="563"/>
      <c r="X1273" s="563"/>
      <c r="Y1273" s="563"/>
    </row>
    <row r="1274" spans="22:25" x14ac:dyDescent="0.2">
      <c r="V1274" s="563"/>
      <c r="X1274" s="563"/>
      <c r="Y1274" s="563"/>
    </row>
    <row r="1275" spans="22:25" x14ac:dyDescent="0.2">
      <c r="V1275" s="563"/>
      <c r="X1275" s="563"/>
      <c r="Y1275" s="563"/>
    </row>
    <row r="1276" spans="22:25" x14ac:dyDescent="0.2">
      <c r="V1276" s="563"/>
      <c r="X1276" s="563"/>
      <c r="Y1276" s="563"/>
    </row>
    <row r="1277" spans="22:25" x14ac:dyDescent="0.2">
      <c r="V1277" s="563"/>
      <c r="X1277" s="563"/>
      <c r="Y1277" s="563"/>
    </row>
    <row r="1278" spans="22:25" x14ac:dyDescent="0.2">
      <c r="V1278" s="563"/>
      <c r="X1278" s="563"/>
      <c r="Y1278" s="563"/>
    </row>
    <row r="1279" spans="22:25" x14ac:dyDescent="0.2">
      <c r="V1279" s="563"/>
      <c r="X1279" s="563"/>
      <c r="Y1279" s="563"/>
    </row>
    <row r="1280" spans="22:25" x14ac:dyDescent="0.2">
      <c r="V1280" s="563"/>
      <c r="X1280" s="563"/>
      <c r="Y1280" s="563"/>
    </row>
    <row r="1281" spans="22:25" x14ac:dyDescent="0.2">
      <c r="V1281" s="563"/>
      <c r="X1281" s="563"/>
      <c r="Y1281" s="563"/>
    </row>
    <row r="1282" spans="22:25" x14ac:dyDescent="0.2">
      <c r="V1282" s="563"/>
      <c r="X1282" s="563"/>
      <c r="Y1282" s="563"/>
    </row>
    <row r="1283" spans="22:25" x14ac:dyDescent="0.2">
      <c r="V1283" s="563"/>
      <c r="X1283" s="563"/>
      <c r="Y1283" s="563"/>
    </row>
    <row r="1284" spans="22:25" x14ac:dyDescent="0.2">
      <c r="V1284" s="563"/>
      <c r="X1284" s="563"/>
      <c r="Y1284" s="563"/>
    </row>
    <row r="1285" spans="22:25" x14ac:dyDescent="0.2">
      <c r="V1285" s="563"/>
      <c r="X1285" s="563"/>
      <c r="Y1285" s="563"/>
    </row>
    <row r="1286" spans="22:25" x14ac:dyDescent="0.2">
      <c r="V1286" s="563"/>
      <c r="X1286" s="563"/>
      <c r="Y1286" s="563"/>
    </row>
    <row r="1287" spans="22:25" x14ac:dyDescent="0.2">
      <c r="V1287" s="563"/>
      <c r="X1287" s="563"/>
      <c r="Y1287" s="563"/>
    </row>
    <row r="1288" spans="22:25" x14ac:dyDescent="0.2">
      <c r="V1288" s="563"/>
      <c r="X1288" s="563"/>
      <c r="Y1288" s="563"/>
    </row>
    <row r="1289" spans="22:25" x14ac:dyDescent="0.2">
      <c r="V1289" s="563"/>
      <c r="X1289" s="563"/>
      <c r="Y1289" s="563"/>
    </row>
    <row r="1290" spans="22:25" x14ac:dyDescent="0.2">
      <c r="V1290" s="563"/>
      <c r="X1290" s="563"/>
      <c r="Y1290" s="563"/>
    </row>
    <row r="1291" spans="22:25" x14ac:dyDescent="0.2">
      <c r="V1291" s="563"/>
      <c r="X1291" s="563"/>
      <c r="Y1291" s="563"/>
    </row>
    <row r="1292" spans="22:25" x14ac:dyDescent="0.2">
      <c r="V1292" s="563"/>
      <c r="X1292" s="563"/>
      <c r="Y1292" s="563"/>
    </row>
    <row r="1293" spans="22:25" x14ac:dyDescent="0.2">
      <c r="V1293" s="563"/>
      <c r="X1293" s="563"/>
      <c r="Y1293" s="563"/>
    </row>
    <row r="1294" spans="22:25" x14ac:dyDescent="0.2">
      <c r="V1294" s="563"/>
      <c r="X1294" s="563"/>
      <c r="Y1294" s="563"/>
    </row>
    <row r="1295" spans="22:25" x14ac:dyDescent="0.2">
      <c r="V1295" s="563"/>
      <c r="X1295" s="563"/>
      <c r="Y1295" s="563"/>
    </row>
    <row r="1296" spans="22:25" x14ac:dyDescent="0.2">
      <c r="V1296" s="563"/>
      <c r="X1296" s="563"/>
      <c r="Y1296" s="563"/>
    </row>
    <row r="1297" spans="22:25" x14ac:dyDescent="0.2">
      <c r="V1297" s="563"/>
      <c r="X1297" s="563"/>
      <c r="Y1297" s="563"/>
    </row>
    <row r="1298" spans="22:25" x14ac:dyDescent="0.2">
      <c r="V1298" s="563"/>
      <c r="X1298" s="563"/>
      <c r="Y1298" s="563"/>
    </row>
    <row r="1299" spans="22:25" x14ac:dyDescent="0.2">
      <c r="V1299" s="563"/>
      <c r="X1299" s="563"/>
      <c r="Y1299" s="563"/>
    </row>
    <row r="1300" spans="22:25" x14ac:dyDescent="0.2">
      <c r="V1300" s="563"/>
      <c r="X1300" s="563"/>
      <c r="Y1300" s="563"/>
    </row>
    <row r="1301" spans="22:25" x14ac:dyDescent="0.2">
      <c r="V1301" s="563"/>
      <c r="X1301" s="563"/>
      <c r="Y1301" s="563"/>
    </row>
    <row r="1302" spans="22:25" x14ac:dyDescent="0.2">
      <c r="V1302" s="563"/>
      <c r="X1302" s="563"/>
      <c r="Y1302" s="563"/>
    </row>
    <row r="1303" spans="22:25" x14ac:dyDescent="0.2">
      <c r="V1303" s="563"/>
      <c r="X1303" s="563"/>
      <c r="Y1303" s="563"/>
    </row>
    <row r="1304" spans="22:25" x14ac:dyDescent="0.2">
      <c r="V1304" s="563"/>
      <c r="X1304" s="563"/>
      <c r="Y1304" s="563"/>
    </row>
    <row r="1305" spans="22:25" x14ac:dyDescent="0.2">
      <c r="V1305" s="563"/>
      <c r="X1305" s="563"/>
      <c r="Y1305" s="563"/>
    </row>
    <row r="1306" spans="22:25" x14ac:dyDescent="0.2">
      <c r="V1306" s="563"/>
      <c r="X1306" s="563"/>
      <c r="Y1306" s="563"/>
    </row>
    <row r="1307" spans="22:25" x14ac:dyDescent="0.2">
      <c r="V1307" s="563"/>
      <c r="X1307" s="563"/>
      <c r="Y1307" s="563"/>
    </row>
    <row r="1308" spans="22:25" x14ac:dyDescent="0.2">
      <c r="V1308" s="563"/>
      <c r="X1308" s="563"/>
      <c r="Y1308" s="563"/>
    </row>
    <row r="1309" spans="22:25" x14ac:dyDescent="0.2">
      <c r="V1309" s="563"/>
      <c r="X1309" s="563"/>
      <c r="Y1309" s="563"/>
    </row>
    <row r="1310" spans="22:25" x14ac:dyDescent="0.2">
      <c r="V1310" s="563"/>
      <c r="X1310" s="563"/>
      <c r="Y1310" s="563"/>
    </row>
    <row r="1311" spans="22:25" x14ac:dyDescent="0.2">
      <c r="V1311" s="563"/>
      <c r="X1311" s="563"/>
      <c r="Y1311" s="563"/>
    </row>
    <row r="1312" spans="22:25" x14ac:dyDescent="0.2">
      <c r="V1312" s="563"/>
      <c r="X1312" s="563"/>
      <c r="Y1312" s="563"/>
    </row>
    <row r="1313" spans="22:25" x14ac:dyDescent="0.2">
      <c r="V1313" s="563"/>
      <c r="X1313" s="563"/>
      <c r="Y1313" s="563"/>
    </row>
    <row r="1314" spans="22:25" x14ac:dyDescent="0.2">
      <c r="V1314" s="563"/>
      <c r="X1314" s="563"/>
      <c r="Y1314" s="563"/>
    </row>
    <row r="1315" spans="22:25" x14ac:dyDescent="0.2">
      <c r="V1315" s="563"/>
      <c r="X1315" s="563"/>
      <c r="Y1315" s="563"/>
    </row>
    <row r="1316" spans="22:25" x14ac:dyDescent="0.2">
      <c r="V1316" s="563"/>
      <c r="X1316" s="563"/>
      <c r="Y1316" s="563"/>
    </row>
    <row r="1317" spans="22:25" x14ac:dyDescent="0.2">
      <c r="V1317" s="563"/>
      <c r="X1317" s="563"/>
      <c r="Y1317" s="563"/>
    </row>
    <row r="1318" spans="22:25" x14ac:dyDescent="0.2">
      <c r="V1318" s="563"/>
      <c r="X1318" s="563"/>
      <c r="Y1318" s="563"/>
    </row>
    <row r="1319" spans="22:25" x14ac:dyDescent="0.2">
      <c r="V1319" s="563"/>
      <c r="X1319" s="563"/>
      <c r="Y1319" s="563"/>
    </row>
    <row r="1320" spans="22:25" x14ac:dyDescent="0.2">
      <c r="V1320" s="563"/>
      <c r="X1320" s="563"/>
      <c r="Y1320" s="563"/>
    </row>
    <row r="1321" spans="22:25" x14ac:dyDescent="0.2">
      <c r="V1321" s="563"/>
      <c r="X1321" s="563"/>
      <c r="Y1321" s="563"/>
    </row>
    <row r="1322" spans="22:25" x14ac:dyDescent="0.2">
      <c r="V1322" s="563"/>
      <c r="X1322" s="563"/>
      <c r="Y1322" s="563"/>
    </row>
    <row r="1323" spans="22:25" x14ac:dyDescent="0.2">
      <c r="V1323" s="563"/>
      <c r="X1323" s="563"/>
      <c r="Y1323" s="563"/>
    </row>
    <row r="1324" spans="22:25" x14ac:dyDescent="0.2">
      <c r="V1324" s="563"/>
      <c r="X1324" s="563"/>
      <c r="Y1324" s="563"/>
    </row>
    <row r="1325" spans="22:25" x14ac:dyDescent="0.2">
      <c r="V1325" s="563"/>
      <c r="X1325" s="563"/>
      <c r="Y1325" s="563"/>
    </row>
    <row r="1326" spans="22:25" x14ac:dyDescent="0.2">
      <c r="V1326" s="563"/>
      <c r="X1326" s="563"/>
      <c r="Y1326" s="563"/>
    </row>
    <row r="1327" spans="22:25" x14ac:dyDescent="0.2">
      <c r="V1327" s="563"/>
      <c r="X1327" s="563"/>
      <c r="Y1327" s="563"/>
    </row>
    <row r="1328" spans="22:25" x14ac:dyDescent="0.2">
      <c r="V1328" s="563"/>
      <c r="X1328" s="563"/>
      <c r="Y1328" s="563"/>
    </row>
    <row r="1329" spans="22:25" x14ac:dyDescent="0.2">
      <c r="V1329" s="563"/>
      <c r="X1329" s="563"/>
      <c r="Y1329" s="563"/>
    </row>
    <row r="1330" spans="22:25" x14ac:dyDescent="0.2">
      <c r="V1330" s="563"/>
      <c r="X1330" s="563"/>
      <c r="Y1330" s="563"/>
    </row>
    <row r="1331" spans="22:25" x14ac:dyDescent="0.2">
      <c r="V1331" s="563"/>
      <c r="X1331" s="563"/>
      <c r="Y1331" s="563"/>
    </row>
    <row r="1332" spans="22:25" x14ac:dyDescent="0.2">
      <c r="V1332" s="563"/>
      <c r="X1332" s="563"/>
      <c r="Y1332" s="563"/>
    </row>
    <row r="1333" spans="22:25" x14ac:dyDescent="0.2">
      <c r="V1333" s="563"/>
      <c r="X1333" s="563"/>
      <c r="Y1333" s="563"/>
    </row>
    <row r="1334" spans="22:25" x14ac:dyDescent="0.2">
      <c r="V1334" s="563"/>
      <c r="X1334" s="563"/>
      <c r="Y1334" s="563"/>
    </row>
    <row r="1335" spans="22:25" x14ac:dyDescent="0.2">
      <c r="V1335" s="563"/>
      <c r="X1335" s="563"/>
      <c r="Y1335" s="563"/>
    </row>
    <row r="1336" spans="22:25" x14ac:dyDescent="0.2">
      <c r="V1336" s="563"/>
      <c r="X1336" s="563"/>
      <c r="Y1336" s="563"/>
    </row>
    <row r="1337" spans="22:25" x14ac:dyDescent="0.2">
      <c r="V1337" s="563"/>
      <c r="X1337" s="563"/>
      <c r="Y1337" s="563"/>
    </row>
    <row r="1338" spans="22:25" x14ac:dyDescent="0.2">
      <c r="V1338" s="563"/>
      <c r="X1338" s="563"/>
      <c r="Y1338" s="563"/>
    </row>
    <row r="1339" spans="22:25" x14ac:dyDescent="0.2">
      <c r="V1339" s="563"/>
      <c r="X1339" s="563"/>
      <c r="Y1339" s="563"/>
    </row>
    <row r="1340" spans="22:25" x14ac:dyDescent="0.2">
      <c r="V1340" s="563"/>
      <c r="X1340" s="563"/>
      <c r="Y1340" s="563"/>
    </row>
    <row r="1341" spans="22:25" x14ac:dyDescent="0.2">
      <c r="V1341" s="563"/>
      <c r="X1341" s="563"/>
      <c r="Y1341" s="563"/>
    </row>
    <row r="1342" spans="22:25" x14ac:dyDescent="0.2">
      <c r="V1342" s="563"/>
      <c r="X1342" s="563"/>
      <c r="Y1342" s="563"/>
    </row>
    <row r="1343" spans="22:25" x14ac:dyDescent="0.2">
      <c r="V1343" s="563"/>
      <c r="X1343" s="563"/>
      <c r="Y1343" s="563"/>
    </row>
    <row r="1344" spans="22:25" x14ac:dyDescent="0.2">
      <c r="V1344" s="563"/>
      <c r="X1344" s="563"/>
      <c r="Y1344" s="563"/>
    </row>
    <row r="1345" spans="22:25" x14ac:dyDescent="0.2">
      <c r="V1345" s="563"/>
      <c r="X1345" s="563"/>
      <c r="Y1345" s="563"/>
    </row>
    <row r="1346" spans="22:25" x14ac:dyDescent="0.2">
      <c r="V1346" s="563"/>
      <c r="X1346" s="563"/>
      <c r="Y1346" s="563"/>
    </row>
    <row r="1347" spans="22:25" x14ac:dyDescent="0.2">
      <c r="V1347" s="563"/>
      <c r="X1347" s="563"/>
      <c r="Y1347" s="563"/>
    </row>
    <row r="1348" spans="22:25" x14ac:dyDescent="0.2">
      <c r="V1348" s="563"/>
      <c r="X1348" s="563"/>
      <c r="Y1348" s="563"/>
    </row>
    <row r="1349" spans="22:25" x14ac:dyDescent="0.2">
      <c r="V1349" s="563"/>
      <c r="X1349" s="563"/>
      <c r="Y1349" s="563"/>
    </row>
    <row r="1350" spans="22:25" x14ac:dyDescent="0.2">
      <c r="V1350" s="563"/>
      <c r="X1350" s="563"/>
      <c r="Y1350" s="563"/>
    </row>
    <row r="1351" spans="22:25" x14ac:dyDescent="0.2">
      <c r="V1351" s="563"/>
      <c r="X1351" s="563"/>
      <c r="Y1351" s="563"/>
    </row>
    <row r="1352" spans="22:25" x14ac:dyDescent="0.2">
      <c r="V1352" s="563"/>
      <c r="X1352" s="563"/>
      <c r="Y1352" s="563"/>
    </row>
    <row r="1353" spans="22:25" x14ac:dyDescent="0.2">
      <c r="V1353" s="563"/>
      <c r="X1353" s="563"/>
      <c r="Y1353" s="563"/>
    </row>
    <row r="1354" spans="22:25" x14ac:dyDescent="0.2">
      <c r="V1354" s="563"/>
      <c r="X1354" s="563"/>
      <c r="Y1354" s="563"/>
    </row>
    <row r="1355" spans="22:25" x14ac:dyDescent="0.2">
      <c r="V1355" s="563"/>
      <c r="X1355" s="563"/>
      <c r="Y1355" s="563"/>
    </row>
    <row r="1356" spans="22:25" x14ac:dyDescent="0.2">
      <c r="V1356" s="563"/>
      <c r="X1356" s="563"/>
      <c r="Y1356" s="563"/>
    </row>
    <row r="1357" spans="22:25" x14ac:dyDescent="0.2">
      <c r="V1357" s="563"/>
      <c r="X1357" s="563"/>
      <c r="Y1357" s="563"/>
    </row>
    <row r="1358" spans="22:25" x14ac:dyDescent="0.2">
      <c r="V1358" s="563"/>
      <c r="X1358" s="563"/>
      <c r="Y1358" s="563"/>
    </row>
    <row r="1359" spans="22:25" x14ac:dyDescent="0.2">
      <c r="V1359" s="563"/>
      <c r="X1359" s="563"/>
      <c r="Y1359" s="563"/>
    </row>
    <row r="1360" spans="22:25" x14ac:dyDescent="0.2">
      <c r="V1360" s="563"/>
      <c r="X1360" s="563"/>
      <c r="Y1360" s="563"/>
    </row>
    <row r="1361" spans="22:25" x14ac:dyDescent="0.2">
      <c r="V1361" s="563"/>
      <c r="X1361" s="563"/>
      <c r="Y1361" s="563"/>
    </row>
    <row r="1362" spans="22:25" x14ac:dyDescent="0.2">
      <c r="V1362" s="563"/>
      <c r="X1362" s="563"/>
      <c r="Y1362" s="563"/>
    </row>
    <row r="1363" spans="22:25" x14ac:dyDescent="0.2">
      <c r="V1363" s="563"/>
      <c r="X1363" s="563"/>
      <c r="Y1363" s="563"/>
    </row>
    <row r="1364" spans="22:25" x14ac:dyDescent="0.2">
      <c r="V1364" s="563"/>
      <c r="X1364" s="563"/>
      <c r="Y1364" s="563"/>
    </row>
    <row r="1365" spans="22:25" x14ac:dyDescent="0.2">
      <c r="V1365" s="563"/>
      <c r="X1365" s="563"/>
      <c r="Y1365" s="563"/>
    </row>
    <row r="1366" spans="22:25" x14ac:dyDescent="0.2">
      <c r="V1366" s="563"/>
      <c r="X1366" s="563"/>
      <c r="Y1366" s="563"/>
    </row>
    <row r="1367" spans="22:25" x14ac:dyDescent="0.2">
      <c r="V1367" s="563"/>
      <c r="X1367" s="563"/>
      <c r="Y1367" s="563"/>
    </row>
    <row r="1368" spans="22:25" x14ac:dyDescent="0.2">
      <c r="V1368" s="563"/>
      <c r="X1368" s="563"/>
      <c r="Y1368" s="563"/>
    </row>
    <row r="1369" spans="22:25" x14ac:dyDescent="0.2">
      <c r="V1369" s="563"/>
      <c r="X1369" s="563"/>
      <c r="Y1369" s="563"/>
    </row>
    <row r="1370" spans="22:25" x14ac:dyDescent="0.2">
      <c r="V1370" s="563"/>
      <c r="X1370" s="563"/>
      <c r="Y1370" s="563"/>
    </row>
    <row r="1371" spans="22:25" x14ac:dyDescent="0.2">
      <c r="V1371" s="563"/>
      <c r="X1371" s="563"/>
      <c r="Y1371" s="563"/>
    </row>
    <row r="1372" spans="22:25" x14ac:dyDescent="0.2">
      <c r="V1372" s="563"/>
      <c r="X1372" s="563"/>
      <c r="Y1372" s="563"/>
    </row>
    <row r="1373" spans="22:25" x14ac:dyDescent="0.2">
      <c r="V1373" s="563"/>
      <c r="X1373" s="563"/>
      <c r="Y1373" s="563"/>
    </row>
    <row r="1374" spans="22:25" x14ac:dyDescent="0.2">
      <c r="V1374" s="563"/>
      <c r="X1374" s="563"/>
      <c r="Y1374" s="563"/>
    </row>
    <row r="1375" spans="22:25" x14ac:dyDescent="0.2">
      <c r="V1375" s="563"/>
      <c r="X1375" s="563"/>
      <c r="Y1375" s="563"/>
    </row>
    <row r="1376" spans="22:25" x14ac:dyDescent="0.2">
      <c r="V1376" s="563"/>
      <c r="X1376" s="563"/>
      <c r="Y1376" s="563"/>
    </row>
    <row r="1377" spans="22:25" x14ac:dyDescent="0.2">
      <c r="V1377" s="563"/>
      <c r="X1377" s="563"/>
      <c r="Y1377" s="563"/>
    </row>
    <row r="1378" spans="22:25" x14ac:dyDescent="0.2">
      <c r="V1378" s="563"/>
      <c r="X1378" s="563"/>
      <c r="Y1378" s="563"/>
    </row>
    <row r="1379" spans="22:25" x14ac:dyDescent="0.2">
      <c r="V1379" s="563"/>
      <c r="X1379" s="563"/>
      <c r="Y1379" s="563"/>
    </row>
    <row r="1380" spans="22:25" x14ac:dyDescent="0.2">
      <c r="V1380" s="563"/>
      <c r="X1380" s="563"/>
      <c r="Y1380" s="563"/>
    </row>
    <row r="1381" spans="22:25" x14ac:dyDescent="0.2">
      <c r="V1381" s="563"/>
      <c r="X1381" s="563"/>
      <c r="Y1381" s="563"/>
    </row>
    <row r="1382" spans="22:25" x14ac:dyDescent="0.2">
      <c r="V1382" s="563"/>
      <c r="X1382" s="563"/>
      <c r="Y1382" s="563"/>
    </row>
    <row r="1383" spans="22:25" x14ac:dyDescent="0.2">
      <c r="V1383" s="563"/>
      <c r="X1383" s="563"/>
      <c r="Y1383" s="563"/>
    </row>
    <row r="1384" spans="22:25" x14ac:dyDescent="0.2">
      <c r="V1384" s="563"/>
      <c r="X1384" s="563"/>
      <c r="Y1384" s="563"/>
    </row>
    <row r="1385" spans="22:25" x14ac:dyDescent="0.2">
      <c r="V1385" s="563"/>
      <c r="X1385" s="563"/>
      <c r="Y1385" s="563"/>
    </row>
    <row r="1386" spans="22:25" x14ac:dyDescent="0.2">
      <c r="V1386" s="563"/>
      <c r="X1386" s="563"/>
      <c r="Y1386" s="563"/>
    </row>
    <row r="1387" spans="22:25" x14ac:dyDescent="0.2">
      <c r="V1387" s="563"/>
      <c r="X1387" s="563"/>
      <c r="Y1387" s="563"/>
    </row>
    <row r="1388" spans="22:25" x14ac:dyDescent="0.2">
      <c r="V1388" s="563"/>
      <c r="X1388" s="563"/>
      <c r="Y1388" s="563"/>
    </row>
    <row r="1389" spans="22:25" x14ac:dyDescent="0.2">
      <c r="V1389" s="563"/>
      <c r="X1389" s="563"/>
      <c r="Y1389" s="563"/>
    </row>
    <row r="1390" spans="22:25" x14ac:dyDescent="0.2">
      <c r="V1390" s="563"/>
      <c r="X1390" s="563"/>
      <c r="Y1390" s="563"/>
    </row>
    <row r="1391" spans="22:25" x14ac:dyDescent="0.2">
      <c r="V1391" s="563"/>
      <c r="X1391" s="563"/>
      <c r="Y1391" s="563"/>
    </row>
    <row r="1392" spans="22:25" x14ac:dyDescent="0.2">
      <c r="V1392" s="563"/>
      <c r="X1392" s="563"/>
      <c r="Y1392" s="563"/>
    </row>
    <row r="1393" spans="22:25" x14ac:dyDescent="0.2">
      <c r="V1393" s="563"/>
      <c r="X1393" s="563"/>
      <c r="Y1393" s="563"/>
    </row>
    <row r="1394" spans="22:25" x14ac:dyDescent="0.2">
      <c r="V1394" s="563"/>
      <c r="X1394" s="563"/>
      <c r="Y1394" s="563"/>
    </row>
    <row r="1395" spans="22:25" x14ac:dyDescent="0.2">
      <c r="V1395" s="563"/>
      <c r="X1395" s="563"/>
      <c r="Y1395" s="563"/>
    </row>
    <row r="1396" spans="22:25" x14ac:dyDescent="0.2">
      <c r="V1396" s="563"/>
      <c r="X1396" s="563"/>
      <c r="Y1396" s="563"/>
    </row>
    <row r="1397" spans="22:25" x14ac:dyDescent="0.2">
      <c r="V1397" s="563"/>
      <c r="X1397" s="563"/>
      <c r="Y1397" s="563"/>
    </row>
    <row r="1398" spans="22:25" x14ac:dyDescent="0.2">
      <c r="V1398" s="563"/>
      <c r="X1398" s="563"/>
      <c r="Y1398" s="563"/>
    </row>
    <row r="1399" spans="22:25" x14ac:dyDescent="0.2">
      <c r="V1399" s="563"/>
      <c r="X1399" s="563"/>
      <c r="Y1399" s="563"/>
    </row>
    <row r="1400" spans="22:25" x14ac:dyDescent="0.2">
      <c r="V1400" s="563"/>
      <c r="X1400" s="563"/>
      <c r="Y1400" s="563"/>
    </row>
    <row r="1401" spans="22:25" x14ac:dyDescent="0.2">
      <c r="V1401" s="563"/>
      <c r="X1401" s="563"/>
      <c r="Y1401" s="563"/>
    </row>
    <row r="1402" spans="22:25" x14ac:dyDescent="0.2">
      <c r="V1402" s="563"/>
      <c r="X1402" s="563"/>
      <c r="Y1402" s="563"/>
    </row>
    <row r="1403" spans="22:25" x14ac:dyDescent="0.2">
      <c r="V1403" s="563"/>
      <c r="X1403" s="563"/>
      <c r="Y1403" s="563"/>
    </row>
    <row r="1404" spans="22:25" x14ac:dyDescent="0.2">
      <c r="V1404" s="563"/>
      <c r="X1404" s="563"/>
      <c r="Y1404" s="563"/>
    </row>
    <row r="1405" spans="22:25" x14ac:dyDescent="0.2">
      <c r="V1405" s="563"/>
      <c r="X1405" s="563"/>
      <c r="Y1405" s="563"/>
    </row>
    <row r="1406" spans="22:25" x14ac:dyDescent="0.2">
      <c r="V1406" s="563"/>
      <c r="X1406" s="563"/>
      <c r="Y1406" s="563"/>
    </row>
    <row r="1407" spans="22:25" x14ac:dyDescent="0.2">
      <c r="V1407" s="563"/>
      <c r="X1407" s="563"/>
      <c r="Y1407" s="563"/>
    </row>
    <row r="1408" spans="22:25" x14ac:dyDescent="0.2">
      <c r="V1408" s="563"/>
      <c r="X1408" s="563"/>
      <c r="Y1408" s="563"/>
    </row>
    <row r="1409" spans="22:25" x14ac:dyDescent="0.2">
      <c r="V1409" s="563"/>
      <c r="X1409" s="563"/>
      <c r="Y1409" s="563"/>
    </row>
    <row r="1410" spans="22:25" x14ac:dyDescent="0.2">
      <c r="V1410" s="563"/>
      <c r="X1410" s="563"/>
      <c r="Y1410" s="563"/>
    </row>
    <row r="1411" spans="22:25" x14ac:dyDescent="0.2">
      <c r="V1411" s="563"/>
      <c r="X1411" s="563"/>
      <c r="Y1411" s="563"/>
    </row>
    <row r="1412" spans="22:25" x14ac:dyDescent="0.2">
      <c r="V1412" s="563"/>
      <c r="X1412" s="563"/>
      <c r="Y1412" s="563"/>
    </row>
    <row r="1413" spans="22:25" x14ac:dyDescent="0.2">
      <c r="V1413" s="563"/>
      <c r="X1413" s="563"/>
      <c r="Y1413" s="563"/>
    </row>
    <row r="1414" spans="22:25" x14ac:dyDescent="0.2">
      <c r="V1414" s="563"/>
      <c r="X1414" s="563"/>
      <c r="Y1414" s="563"/>
    </row>
    <row r="1415" spans="22:25" x14ac:dyDescent="0.2">
      <c r="V1415" s="563"/>
      <c r="X1415" s="563"/>
      <c r="Y1415" s="563"/>
    </row>
    <row r="1416" spans="22:25" x14ac:dyDescent="0.2">
      <c r="V1416" s="563"/>
      <c r="X1416" s="563"/>
      <c r="Y1416" s="563"/>
    </row>
    <row r="1417" spans="22:25" x14ac:dyDescent="0.2">
      <c r="V1417" s="563"/>
      <c r="X1417" s="563"/>
      <c r="Y1417" s="563"/>
    </row>
    <row r="1418" spans="22:25" x14ac:dyDescent="0.2">
      <c r="V1418" s="563"/>
      <c r="X1418" s="563"/>
      <c r="Y1418" s="563"/>
    </row>
    <row r="1419" spans="22:25" x14ac:dyDescent="0.2">
      <c r="V1419" s="563"/>
      <c r="X1419" s="563"/>
      <c r="Y1419" s="563"/>
    </row>
    <row r="1420" spans="22:25" x14ac:dyDescent="0.2">
      <c r="V1420" s="563"/>
      <c r="X1420" s="563"/>
      <c r="Y1420" s="563"/>
    </row>
    <row r="1421" spans="22:25" x14ac:dyDescent="0.2">
      <c r="V1421" s="563"/>
      <c r="X1421" s="563"/>
      <c r="Y1421" s="563"/>
    </row>
    <row r="1422" spans="22:25" x14ac:dyDescent="0.2">
      <c r="V1422" s="563"/>
      <c r="X1422" s="563"/>
      <c r="Y1422" s="563"/>
    </row>
    <row r="1423" spans="22:25" x14ac:dyDescent="0.2">
      <c r="V1423" s="563"/>
      <c r="X1423" s="563"/>
      <c r="Y1423" s="563"/>
    </row>
    <row r="1424" spans="22:25" x14ac:dyDescent="0.2">
      <c r="V1424" s="563"/>
      <c r="X1424" s="563"/>
      <c r="Y1424" s="563"/>
    </row>
    <row r="1425" spans="22:25" x14ac:dyDescent="0.2">
      <c r="V1425" s="563"/>
      <c r="X1425" s="563"/>
      <c r="Y1425" s="563"/>
    </row>
    <row r="1426" spans="22:25" x14ac:dyDescent="0.2">
      <c r="V1426" s="563"/>
      <c r="X1426" s="563"/>
      <c r="Y1426" s="563"/>
    </row>
    <row r="1427" spans="22:25" x14ac:dyDescent="0.2">
      <c r="V1427" s="563"/>
      <c r="X1427" s="563"/>
      <c r="Y1427" s="563"/>
    </row>
    <row r="1428" spans="22:25" x14ac:dyDescent="0.2">
      <c r="V1428" s="563"/>
      <c r="X1428" s="563"/>
      <c r="Y1428" s="563"/>
    </row>
    <row r="1429" spans="22:25" x14ac:dyDescent="0.2">
      <c r="V1429" s="563"/>
      <c r="X1429" s="563"/>
      <c r="Y1429" s="563"/>
    </row>
    <row r="1430" spans="22:25" x14ac:dyDescent="0.2">
      <c r="V1430" s="563"/>
      <c r="X1430" s="563"/>
      <c r="Y1430" s="563"/>
    </row>
    <row r="1431" spans="22:25" x14ac:dyDescent="0.2">
      <c r="V1431" s="563"/>
      <c r="X1431" s="563"/>
      <c r="Y1431" s="563"/>
    </row>
    <row r="1432" spans="22:25" x14ac:dyDescent="0.2">
      <c r="V1432" s="563"/>
      <c r="X1432" s="563"/>
      <c r="Y1432" s="563"/>
    </row>
    <row r="1433" spans="22:25" x14ac:dyDescent="0.2">
      <c r="V1433" s="563"/>
      <c r="X1433" s="563"/>
      <c r="Y1433" s="563"/>
    </row>
    <row r="1434" spans="22:25" x14ac:dyDescent="0.2">
      <c r="V1434" s="563"/>
      <c r="X1434" s="563"/>
      <c r="Y1434" s="563"/>
    </row>
    <row r="1435" spans="22:25" x14ac:dyDescent="0.2">
      <c r="V1435" s="563"/>
      <c r="X1435" s="563"/>
      <c r="Y1435" s="563"/>
    </row>
    <row r="1436" spans="22:25" x14ac:dyDescent="0.2">
      <c r="V1436" s="563"/>
      <c r="X1436" s="563"/>
      <c r="Y1436" s="563"/>
    </row>
    <row r="1437" spans="22:25" x14ac:dyDescent="0.2">
      <c r="V1437" s="563"/>
      <c r="X1437" s="563"/>
      <c r="Y1437" s="563"/>
    </row>
    <row r="1438" spans="22:25" x14ac:dyDescent="0.2">
      <c r="V1438" s="563"/>
      <c r="X1438" s="563"/>
      <c r="Y1438" s="563"/>
    </row>
    <row r="1439" spans="22:25" x14ac:dyDescent="0.2">
      <c r="V1439" s="563"/>
      <c r="X1439" s="563"/>
      <c r="Y1439" s="563"/>
    </row>
    <row r="1440" spans="22:25" x14ac:dyDescent="0.2">
      <c r="V1440" s="563"/>
      <c r="X1440" s="563"/>
      <c r="Y1440" s="563"/>
    </row>
    <row r="1441" spans="22:25" x14ac:dyDescent="0.2">
      <c r="V1441" s="563"/>
      <c r="X1441" s="563"/>
      <c r="Y1441" s="563"/>
    </row>
    <row r="1442" spans="22:25" x14ac:dyDescent="0.2">
      <c r="V1442" s="563"/>
      <c r="X1442" s="563"/>
      <c r="Y1442" s="563"/>
    </row>
    <row r="1443" spans="22:25" x14ac:dyDescent="0.2">
      <c r="V1443" s="563"/>
      <c r="X1443" s="563"/>
      <c r="Y1443" s="563"/>
    </row>
    <row r="1444" spans="22:25" x14ac:dyDescent="0.2">
      <c r="V1444" s="563"/>
      <c r="X1444" s="563"/>
      <c r="Y1444" s="563"/>
    </row>
    <row r="1445" spans="22:25" x14ac:dyDescent="0.2">
      <c r="V1445" s="563"/>
      <c r="X1445" s="563"/>
      <c r="Y1445" s="563"/>
    </row>
    <row r="1446" spans="22:25" x14ac:dyDescent="0.2">
      <c r="V1446" s="563"/>
      <c r="X1446" s="563"/>
      <c r="Y1446" s="563"/>
    </row>
    <row r="1447" spans="22:25" x14ac:dyDescent="0.2">
      <c r="V1447" s="563"/>
      <c r="X1447" s="563"/>
      <c r="Y1447" s="563"/>
    </row>
    <row r="1448" spans="22:25" x14ac:dyDescent="0.2">
      <c r="V1448" s="563"/>
      <c r="X1448" s="563"/>
      <c r="Y1448" s="563"/>
    </row>
    <row r="1449" spans="22:25" x14ac:dyDescent="0.2">
      <c r="V1449" s="563"/>
      <c r="X1449" s="563"/>
      <c r="Y1449" s="563"/>
    </row>
    <row r="1450" spans="22:25" x14ac:dyDescent="0.2">
      <c r="V1450" s="563"/>
      <c r="X1450" s="563"/>
      <c r="Y1450" s="563"/>
    </row>
    <row r="1451" spans="22:25" x14ac:dyDescent="0.2">
      <c r="V1451" s="563"/>
      <c r="X1451" s="563"/>
      <c r="Y1451" s="563"/>
    </row>
    <row r="1452" spans="22:25" x14ac:dyDescent="0.2">
      <c r="V1452" s="563"/>
      <c r="X1452" s="563"/>
      <c r="Y1452" s="563"/>
    </row>
    <row r="1453" spans="22:25" x14ac:dyDescent="0.2">
      <c r="V1453" s="563"/>
      <c r="X1453" s="563"/>
      <c r="Y1453" s="563"/>
    </row>
    <row r="1454" spans="22:25" x14ac:dyDescent="0.2">
      <c r="V1454" s="563"/>
      <c r="X1454" s="563"/>
      <c r="Y1454" s="563"/>
    </row>
    <row r="1455" spans="22:25" x14ac:dyDescent="0.2">
      <c r="V1455" s="563"/>
      <c r="X1455" s="563"/>
      <c r="Y1455" s="563"/>
    </row>
    <row r="1456" spans="22:25" x14ac:dyDescent="0.2">
      <c r="V1456" s="563"/>
      <c r="X1456" s="563"/>
      <c r="Y1456" s="563"/>
    </row>
    <row r="1457" spans="22:25" x14ac:dyDescent="0.2">
      <c r="V1457" s="563"/>
      <c r="X1457" s="563"/>
      <c r="Y1457" s="563"/>
    </row>
    <row r="1458" spans="22:25" x14ac:dyDescent="0.2">
      <c r="V1458" s="563"/>
      <c r="X1458" s="563"/>
      <c r="Y1458" s="563"/>
    </row>
    <row r="1459" spans="22:25" x14ac:dyDescent="0.2">
      <c r="V1459" s="563"/>
      <c r="X1459" s="563"/>
      <c r="Y1459" s="563"/>
    </row>
    <row r="1460" spans="22:25" x14ac:dyDescent="0.2">
      <c r="V1460" s="563"/>
      <c r="X1460" s="563"/>
      <c r="Y1460" s="563"/>
    </row>
    <row r="1461" spans="22:25" x14ac:dyDescent="0.2">
      <c r="V1461" s="563"/>
      <c r="X1461" s="563"/>
      <c r="Y1461" s="563"/>
    </row>
    <row r="1462" spans="22:25" x14ac:dyDescent="0.2">
      <c r="V1462" s="563"/>
      <c r="X1462" s="563"/>
      <c r="Y1462" s="563"/>
    </row>
    <row r="1463" spans="22:25" x14ac:dyDescent="0.2">
      <c r="V1463" s="563"/>
      <c r="X1463" s="563"/>
      <c r="Y1463" s="563"/>
    </row>
    <row r="1464" spans="22:25" x14ac:dyDescent="0.2">
      <c r="V1464" s="563"/>
      <c r="X1464" s="563"/>
      <c r="Y1464" s="563"/>
    </row>
    <row r="1465" spans="22:25" x14ac:dyDescent="0.2">
      <c r="V1465" s="563"/>
      <c r="X1465" s="563"/>
      <c r="Y1465" s="563"/>
    </row>
    <row r="1466" spans="22:25" x14ac:dyDescent="0.2">
      <c r="V1466" s="563"/>
      <c r="X1466" s="563"/>
      <c r="Y1466" s="563"/>
    </row>
    <row r="1467" spans="22:25" x14ac:dyDescent="0.2">
      <c r="V1467" s="563"/>
      <c r="X1467" s="563"/>
      <c r="Y1467" s="563"/>
    </row>
    <row r="1468" spans="22:25" x14ac:dyDescent="0.2">
      <c r="V1468" s="563"/>
      <c r="X1468" s="563"/>
      <c r="Y1468" s="563"/>
    </row>
    <row r="1469" spans="22:25" x14ac:dyDescent="0.2">
      <c r="V1469" s="563"/>
      <c r="X1469" s="563"/>
      <c r="Y1469" s="563"/>
    </row>
    <row r="1470" spans="22:25" x14ac:dyDescent="0.2">
      <c r="V1470" s="563"/>
      <c r="X1470" s="563"/>
      <c r="Y1470" s="563"/>
    </row>
    <row r="1471" spans="22:25" x14ac:dyDescent="0.2">
      <c r="V1471" s="563"/>
      <c r="X1471" s="563"/>
      <c r="Y1471" s="563"/>
    </row>
    <row r="1472" spans="22:25" x14ac:dyDescent="0.2">
      <c r="V1472" s="563"/>
      <c r="X1472" s="563"/>
      <c r="Y1472" s="563"/>
    </row>
    <row r="1473" spans="22:25" x14ac:dyDescent="0.2">
      <c r="V1473" s="563"/>
      <c r="X1473" s="563"/>
      <c r="Y1473" s="563"/>
    </row>
    <row r="1474" spans="22:25" x14ac:dyDescent="0.2">
      <c r="V1474" s="563"/>
      <c r="X1474" s="563"/>
      <c r="Y1474" s="563"/>
    </row>
    <row r="1475" spans="22:25" x14ac:dyDescent="0.2">
      <c r="V1475" s="563"/>
      <c r="X1475" s="563"/>
      <c r="Y1475" s="563"/>
    </row>
    <row r="1476" spans="22:25" x14ac:dyDescent="0.2">
      <c r="V1476" s="563"/>
      <c r="X1476" s="563"/>
      <c r="Y1476" s="563"/>
    </row>
    <row r="1477" spans="22:25" x14ac:dyDescent="0.2">
      <c r="V1477" s="563"/>
      <c r="X1477" s="563"/>
      <c r="Y1477" s="563"/>
    </row>
    <row r="1478" spans="22:25" x14ac:dyDescent="0.2">
      <c r="V1478" s="563"/>
      <c r="X1478" s="563"/>
      <c r="Y1478" s="563"/>
    </row>
    <row r="1479" spans="22:25" x14ac:dyDescent="0.2">
      <c r="V1479" s="563"/>
      <c r="X1479" s="563"/>
      <c r="Y1479" s="563"/>
    </row>
    <row r="1480" spans="22:25" x14ac:dyDescent="0.2">
      <c r="V1480" s="563"/>
      <c r="X1480" s="563"/>
      <c r="Y1480" s="563"/>
    </row>
    <row r="1481" spans="22:25" x14ac:dyDescent="0.2">
      <c r="V1481" s="563"/>
      <c r="X1481" s="563"/>
      <c r="Y1481" s="563"/>
    </row>
    <row r="1482" spans="22:25" x14ac:dyDescent="0.2">
      <c r="V1482" s="563"/>
      <c r="X1482" s="563"/>
      <c r="Y1482" s="563"/>
    </row>
    <row r="1483" spans="22:25" x14ac:dyDescent="0.2">
      <c r="V1483" s="563"/>
      <c r="X1483" s="563"/>
      <c r="Y1483" s="563"/>
    </row>
    <row r="1484" spans="22:25" x14ac:dyDescent="0.2">
      <c r="V1484" s="563"/>
      <c r="X1484" s="563"/>
      <c r="Y1484" s="563"/>
    </row>
    <row r="1485" spans="22:25" x14ac:dyDescent="0.2">
      <c r="V1485" s="563"/>
      <c r="X1485" s="563"/>
      <c r="Y1485" s="563"/>
    </row>
    <row r="1486" spans="22:25" x14ac:dyDescent="0.2">
      <c r="V1486" s="563"/>
      <c r="X1486" s="563"/>
      <c r="Y1486" s="563"/>
    </row>
    <row r="1487" spans="22:25" x14ac:dyDescent="0.2">
      <c r="V1487" s="563"/>
      <c r="X1487" s="563"/>
      <c r="Y1487" s="563"/>
    </row>
    <row r="1488" spans="22:25" x14ac:dyDescent="0.2">
      <c r="V1488" s="563"/>
      <c r="X1488" s="563"/>
      <c r="Y1488" s="563"/>
    </row>
    <row r="1489" spans="22:25" x14ac:dyDescent="0.2">
      <c r="V1489" s="563"/>
      <c r="X1489" s="563"/>
      <c r="Y1489" s="563"/>
    </row>
    <row r="1490" spans="22:25" x14ac:dyDescent="0.2">
      <c r="V1490" s="563"/>
      <c r="X1490" s="563"/>
      <c r="Y1490" s="563"/>
    </row>
    <row r="1491" spans="22:25" x14ac:dyDescent="0.2">
      <c r="V1491" s="563"/>
      <c r="X1491" s="563"/>
      <c r="Y1491" s="563"/>
    </row>
    <row r="1492" spans="22:25" x14ac:dyDescent="0.2">
      <c r="V1492" s="563"/>
      <c r="X1492" s="563"/>
      <c r="Y1492" s="563"/>
    </row>
    <row r="1493" spans="22:25" x14ac:dyDescent="0.2">
      <c r="V1493" s="563"/>
      <c r="X1493" s="563"/>
      <c r="Y1493" s="563"/>
    </row>
    <row r="1494" spans="22:25" x14ac:dyDescent="0.2">
      <c r="V1494" s="563"/>
      <c r="X1494" s="563"/>
      <c r="Y1494" s="563"/>
    </row>
    <row r="1495" spans="22:25" x14ac:dyDescent="0.2">
      <c r="V1495" s="563"/>
      <c r="X1495" s="563"/>
      <c r="Y1495" s="563"/>
    </row>
    <row r="1496" spans="22:25" x14ac:dyDescent="0.2">
      <c r="V1496" s="563"/>
      <c r="X1496" s="563"/>
      <c r="Y1496" s="563"/>
    </row>
    <row r="1497" spans="22:25" x14ac:dyDescent="0.2">
      <c r="V1497" s="563"/>
      <c r="X1497" s="563"/>
      <c r="Y1497" s="563"/>
    </row>
    <row r="1498" spans="22:25" x14ac:dyDescent="0.2">
      <c r="V1498" s="563"/>
      <c r="X1498" s="563"/>
      <c r="Y1498" s="563"/>
    </row>
    <row r="1499" spans="22:25" x14ac:dyDescent="0.2">
      <c r="V1499" s="563"/>
      <c r="X1499" s="563"/>
      <c r="Y1499" s="563"/>
    </row>
    <row r="1500" spans="22:25" x14ac:dyDescent="0.2">
      <c r="V1500" s="563"/>
      <c r="X1500" s="563"/>
      <c r="Y1500" s="563"/>
    </row>
    <row r="1501" spans="22:25" x14ac:dyDescent="0.2">
      <c r="V1501" s="563"/>
      <c r="X1501" s="563"/>
      <c r="Y1501" s="563"/>
    </row>
    <row r="1502" spans="22:25" x14ac:dyDescent="0.2">
      <c r="V1502" s="563"/>
      <c r="X1502" s="563"/>
      <c r="Y1502" s="563"/>
    </row>
    <row r="1503" spans="22:25" x14ac:dyDescent="0.2">
      <c r="V1503" s="563"/>
      <c r="X1503" s="563"/>
      <c r="Y1503" s="563"/>
    </row>
    <row r="1504" spans="22:25" x14ac:dyDescent="0.2">
      <c r="V1504" s="563"/>
      <c r="X1504" s="563"/>
      <c r="Y1504" s="563"/>
    </row>
    <row r="1505" spans="22:25" x14ac:dyDescent="0.2">
      <c r="V1505" s="563"/>
      <c r="X1505" s="563"/>
      <c r="Y1505" s="563"/>
    </row>
    <row r="1506" spans="22:25" x14ac:dyDescent="0.2">
      <c r="V1506" s="563"/>
      <c r="X1506" s="563"/>
      <c r="Y1506" s="563"/>
    </row>
    <row r="1507" spans="22:25" x14ac:dyDescent="0.2">
      <c r="V1507" s="563"/>
      <c r="X1507" s="563"/>
      <c r="Y1507" s="563"/>
    </row>
    <row r="1508" spans="22:25" x14ac:dyDescent="0.2">
      <c r="V1508" s="563"/>
      <c r="X1508" s="563"/>
      <c r="Y1508" s="563"/>
    </row>
    <row r="1509" spans="22:25" x14ac:dyDescent="0.2">
      <c r="V1509" s="563"/>
      <c r="X1509" s="563"/>
      <c r="Y1509" s="563"/>
    </row>
    <row r="1510" spans="22:25" x14ac:dyDescent="0.2">
      <c r="V1510" s="563"/>
      <c r="X1510" s="563"/>
      <c r="Y1510" s="563"/>
    </row>
    <row r="1511" spans="22:25" x14ac:dyDescent="0.2">
      <c r="V1511" s="563"/>
      <c r="X1511" s="563"/>
      <c r="Y1511" s="563"/>
    </row>
    <row r="1512" spans="22:25" x14ac:dyDescent="0.2">
      <c r="V1512" s="563"/>
      <c r="X1512" s="563"/>
      <c r="Y1512" s="563"/>
    </row>
    <row r="1513" spans="22:25" x14ac:dyDescent="0.2">
      <c r="V1513" s="563"/>
      <c r="X1513" s="563"/>
      <c r="Y1513" s="563"/>
    </row>
    <row r="1514" spans="22:25" x14ac:dyDescent="0.2">
      <c r="V1514" s="563"/>
      <c r="X1514" s="563"/>
      <c r="Y1514" s="563"/>
    </row>
    <row r="1515" spans="22:25" x14ac:dyDescent="0.2">
      <c r="V1515" s="563"/>
      <c r="X1515" s="563"/>
      <c r="Y1515" s="563"/>
    </row>
    <row r="1516" spans="22:25" x14ac:dyDescent="0.2">
      <c r="V1516" s="563"/>
      <c r="X1516" s="563"/>
      <c r="Y1516" s="563"/>
    </row>
    <row r="1517" spans="22:25" x14ac:dyDescent="0.2">
      <c r="V1517" s="563"/>
      <c r="X1517" s="563"/>
      <c r="Y1517" s="563"/>
    </row>
    <row r="1518" spans="22:25" x14ac:dyDescent="0.2">
      <c r="V1518" s="563"/>
      <c r="X1518" s="563"/>
      <c r="Y1518" s="563"/>
    </row>
    <row r="1519" spans="22:25" x14ac:dyDescent="0.2">
      <c r="V1519" s="563"/>
      <c r="X1519" s="563"/>
      <c r="Y1519" s="563"/>
    </row>
    <row r="1520" spans="22:25" x14ac:dyDescent="0.2">
      <c r="V1520" s="563"/>
      <c r="X1520" s="563"/>
      <c r="Y1520" s="563"/>
    </row>
    <row r="1521" spans="22:25" x14ac:dyDescent="0.2">
      <c r="V1521" s="563"/>
      <c r="X1521" s="563"/>
      <c r="Y1521" s="563"/>
    </row>
    <row r="1522" spans="22:25" x14ac:dyDescent="0.2">
      <c r="V1522" s="563"/>
      <c r="X1522" s="563"/>
      <c r="Y1522" s="563"/>
    </row>
    <row r="1523" spans="22:25" x14ac:dyDescent="0.2">
      <c r="V1523" s="563"/>
      <c r="X1523" s="563"/>
      <c r="Y1523" s="563"/>
    </row>
    <row r="1524" spans="22:25" x14ac:dyDescent="0.2">
      <c r="V1524" s="563"/>
      <c r="X1524" s="563"/>
      <c r="Y1524" s="563"/>
    </row>
    <row r="1525" spans="22:25" x14ac:dyDescent="0.2">
      <c r="V1525" s="563"/>
      <c r="X1525" s="563"/>
      <c r="Y1525" s="563"/>
    </row>
    <row r="1526" spans="22:25" x14ac:dyDescent="0.2">
      <c r="V1526" s="563"/>
      <c r="X1526" s="563"/>
      <c r="Y1526" s="563"/>
    </row>
    <row r="1527" spans="22:25" x14ac:dyDescent="0.2">
      <c r="V1527" s="563"/>
      <c r="X1527" s="563"/>
      <c r="Y1527" s="563"/>
    </row>
    <row r="1528" spans="22:25" x14ac:dyDescent="0.2">
      <c r="V1528" s="563"/>
      <c r="X1528" s="563"/>
      <c r="Y1528" s="563"/>
    </row>
    <row r="1529" spans="22:25" x14ac:dyDescent="0.2">
      <c r="V1529" s="563"/>
      <c r="X1529" s="563"/>
      <c r="Y1529" s="563"/>
    </row>
    <row r="1530" spans="22:25" x14ac:dyDescent="0.2">
      <c r="V1530" s="563"/>
      <c r="X1530" s="563"/>
      <c r="Y1530" s="563"/>
    </row>
    <row r="1531" spans="22:25" x14ac:dyDescent="0.2">
      <c r="V1531" s="563"/>
      <c r="X1531" s="563"/>
      <c r="Y1531" s="563"/>
    </row>
    <row r="1532" spans="22:25" x14ac:dyDescent="0.2">
      <c r="V1532" s="563"/>
      <c r="X1532" s="563"/>
      <c r="Y1532" s="563"/>
    </row>
    <row r="1533" spans="22:25" x14ac:dyDescent="0.2">
      <c r="V1533" s="563"/>
      <c r="X1533" s="563"/>
      <c r="Y1533" s="563"/>
    </row>
    <row r="1534" spans="22:25" x14ac:dyDescent="0.2">
      <c r="V1534" s="563"/>
      <c r="X1534" s="563"/>
      <c r="Y1534" s="563"/>
    </row>
    <row r="1535" spans="22:25" x14ac:dyDescent="0.2">
      <c r="V1535" s="563"/>
      <c r="X1535" s="563"/>
      <c r="Y1535" s="563"/>
    </row>
    <row r="1536" spans="22:25" x14ac:dyDescent="0.2">
      <c r="V1536" s="563"/>
      <c r="X1536" s="563"/>
      <c r="Y1536" s="563"/>
    </row>
    <row r="1537" spans="22:25" x14ac:dyDescent="0.2">
      <c r="V1537" s="563"/>
      <c r="X1537" s="563"/>
      <c r="Y1537" s="563"/>
    </row>
    <row r="1538" spans="22:25" x14ac:dyDescent="0.2">
      <c r="V1538" s="563"/>
      <c r="X1538" s="563"/>
      <c r="Y1538" s="563"/>
    </row>
    <row r="1539" spans="22:25" x14ac:dyDescent="0.2">
      <c r="V1539" s="563"/>
      <c r="X1539" s="563"/>
      <c r="Y1539" s="563"/>
    </row>
    <row r="1540" spans="22:25" x14ac:dyDescent="0.2">
      <c r="V1540" s="563"/>
      <c r="X1540" s="563"/>
      <c r="Y1540" s="563"/>
    </row>
    <row r="1541" spans="22:25" x14ac:dyDescent="0.2">
      <c r="V1541" s="563"/>
      <c r="X1541" s="563"/>
      <c r="Y1541" s="563"/>
    </row>
    <row r="1542" spans="22:25" x14ac:dyDescent="0.2">
      <c r="V1542" s="563"/>
      <c r="X1542" s="563"/>
      <c r="Y1542" s="563"/>
    </row>
    <row r="1543" spans="22:25" x14ac:dyDescent="0.2">
      <c r="V1543" s="563"/>
      <c r="X1543" s="563"/>
      <c r="Y1543" s="563"/>
    </row>
    <row r="1544" spans="22:25" x14ac:dyDescent="0.2">
      <c r="V1544" s="563"/>
      <c r="X1544" s="563"/>
      <c r="Y1544" s="563"/>
    </row>
    <row r="1545" spans="22:25" x14ac:dyDescent="0.2">
      <c r="V1545" s="563"/>
      <c r="X1545" s="563"/>
      <c r="Y1545" s="563"/>
    </row>
    <row r="1546" spans="22:25" x14ac:dyDescent="0.2">
      <c r="V1546" s="563"/>
      <c r="X1546" s="563"/>
      <c r="Y1546" s="563"/>
    </row>
    <row r="1547" spans="22:25" x14ac:dyDescent="0.2">
      <c r="V1547" s="563"/>
      <c r="X1547" s="563"/>
      <c r="Y1547" s="563"/>
    </row>
    <row r="1548" spans="22:25" x14ac:dyDescent="0.2">
      <c r="V1548" s="563"/>
      <c r="X1548" s="563"/>
      <c r="Y1548" s="563"/>
    </row>
    <row r="1549" spans="22:25" x14ac:dyDescent="0.2">
      <c r="V1549" s="563"/>
      <c r="X1549" s="563"/>
      <c r="Y1549" s="563"/>
    </row>
    <row r="1550" spans="22:25" x14ac:dyDescent="0.2">
      <c r="V1550" s="563"/>
      <c r="X1550" s="563"/>
      <c r="Y1550" s="563"/>
    </row>
    <row r="1551" spans="22:25" x14ac:dyDescent="0.2">
      <c r="V1551" s="563"/>
      <c r="X1551" s="563"/>
      <c r="Y1551" s="563"/>
    </row>
    <row r="1552" spans="22:25" x14ac:dyDescent="0.2">
      <c r="V1552" s="563"/>
      <c r="X1552" s="563"/>
      <c r="Y1552" s="563"/>
    </row>
    <row r="1553" spans="22:25" x14ac:dyDescent="0.2">
      <c r="V1553" s="563"/>
      <c r="X1553" s="563"/>
      <c r="Y1553" s="563"/>
    </row>
    <row r="1554" spans="22:25" x14ac:dyDescent="0.2">
      <c r="V1554" s="563"/>
      <c r="X1554" s="563"/>
      <c r="Y1554" s="563"/>
    </row>
    <row r="1555" spans="22:25" x14ac:dyDescent="0.2">
      <c r="V1555" s="563"/>
      <c r="X1555" s="563"/>
      <c r="Y1555" s="563"/>
    </row>
    <row r="1556" spans="22:25" x14ac:dyDescent="0.2">
      <c r="V1556" s="563"/>
      <c r="X1556" s="563"/>
      <c r="Y1556" s="563"/>
    </row>
    <row r="1557" spans="22:25" x14ac:dyDescent="0.2">
      <c r="V1557" s="563"/>
      <c r="X1557" s="563"/>
      <c r="Y1557" s="563"/>
    </row>
    <row r="1558" spans="22:25" x14ac:dyDescent="0.2">
      <c r="V1558" s="563"/>
      <c r="X1558" s="563"/>
      <c r="Y1558" s="563"/>
    </row>
    <row r="1559" spans="22:25" x14ac:dyDescent="0.2">
      <c r="V1559" s="563"/>
      <c r="X1559" s="563"/>
      <c r="Y1559" s="563"/>
    </row>
    <row r="1560" spans="22:25" x14ac:dyDescent="0.2">
      <c r="V1560" s="563"/>
      <c r="X1560" s="563"/>
      <c r="Y1560" s="563"/>
    </row>
    <row r="1561" spans="22:25" x14ac:dyDescent="0.2">
      <c r="V1561" s="563"/>
      <c r="X1561" s="563"/>
      <c r="Y1561" s="563"/>
    </row>
    <row r="1562" spans="22:25" x14ac:dyDescent="0.2">
      <c r="V1562" s="563"/>
      <c r="X1562" s="563"/>
      <c r="Y1562" s="563"/>
    </row>
    <row r="1563" spans="22:25" x14ac:dyDescent="0.2">
      <c r="V1563" s="563"/>
      <c r="X1563" s="563"/>
      <c r="Y1563" s="563"/>
    </row>
    <row r="1564" spans="22:25" x14ac:dyDescent="0.2">
      <c r="V1564" s="563"/>
      <c r="X1564" s="563"/>
      <c r="Y1564" s="563"/>
    </row>
    <row r="1565" spans="22:25" x14ac:dyDescent="0.2">
      <c r="V1565" s="563"/>
      <c r="X1565" s="563"/>
      <c r="Y1565" s="563"/>
    </row>
    <row r="1566" spans="22:25" x14ac:dyDescent="0.2">
      <c r="V1566" s="563"/>
      <c r="X1566" s="563"/>
      <c r="Y1566" s="563"/>
    </row>
    <row r="1567" spans="22:25" x14ac:dyDescent="0.2">
      <c r="V1567" s="563"/>
      <c r="X1567" s="563"/>
      <c r="Y1567" s="563"/>
    </row>
    <row r="1568" spans="22:25" x14ac:dyDescent="0.2">
      <c r="V1568" s="563"/>
      <c r="X1568" s="563"/>
      <c r="Y1568" s="563"/>
    </row>
    <row r="1569" spans="22:25" x14ac:dyDescent="0.2">
      <c r="V1569" s="563"/>
      <c r="X1569" s="563"/>
      <c r="Y1569" s="563"/>
    </row>
    <row r="1570" spans="22:25" x14ac:dyDescent="0.2">
      <c r="V1570" s="563"/>
      <c r="X1570" s="563"/>
      <c r="Y1570" s="563"/>
    </row>
    <row r="1571" spans="22:25" x14ac:dyDescent="0.2">
      <c r="V1571" s="563"/>
      <c r="X1571" s="563"/>
      <c r="Y1571" s="563"/>
    </row>
    <row r="1572" spans="22:25" x14ac:dyDescent="0.2">
      <c r="V1572" s="563"/>
      <c r="X1572" s="563"/>
      <c r="Y1572" s="563"/>
    </row>
    <row r="1573" spans="22:25" x14ac:dyDescent="0.2">
      <c r="V1573" s="563"/>
      <c r="X1573" s="563"/>
      <c r="Y1573" s="563"/>
    </row>
    <row r="1574" spans="22:25" x14ac:dyDescent="0.2">
      <c r="V1574" s="563"/>
      <c r="X1574" s="563"/>
      <c r="Y1574" s="563"/>
    </row>
    <row r="1575" spans="22:25" x14ac:dyDescent="0.2">
      <c r="V1575" s="563"/>
      <c r="X1575" s="563"/>
      <c r="Y1575" s="563"/>
    </row>
    <row r="1576" spans="22:25" x14ac:dyDescent="0.2">
      <c r="V1576" s="563"/>
      <c r="X1576" s="563"/>
      <c r="Y1576" s="563"/>
    </row>
    <row r="1577" spans="22:25" x14ac:dyDescent="0.2">
      <c r="V1577" s="563"/>
      <c r="X1577" s="563"/>
      <c r="Y1577" s="563"/>
    </row>
    <row r="1578" spans="22:25" x14ac:dyDescent="0.2">
      <c r="V1578" s="563"/>
      <c r="X1578" s="563"/>
      <c r="Y1578" s="563"/>
    </row>
    <row r="1579" spans="22:25" x14ac:dyDescent="0.2">
      <c r="V1579" s="563"/>
      <c r="X1579" s="563"/>
      <c r="Y1579" s="563"/>
    </row>
    <row r="1580" spans="22:25" x14ac:dyDescent="0.2">
      <c r="V1580" s="563"/>
      <c r="X1580" s="563"/>
      <c r="Y1580" s="563"/>
    </row>
    <row r="1581" spans="22:25" x14ac:dyDescent="0.2">
      <c r="V1581" s="563"/>
      <c r="X1581" s="563"/>
      <c r="Y1581" s="563"/>
    </row>
    <row r="1582" spans="22:25" x14ac:dyDescent="0.2">
      <c r="V1582" s="563"/>
      <c r="X1582" s="563"/>
      <c r="Y1582" s="563"/>
    </row>
    <row r="1583" spans="22:25" x14ac:dyDescent="0.2">
      <c r="V1583" s="563"/>
      <c r="X1583" s="563"/>
      <c r="Y1583" s="563"/>
    </row>
    <row r="1584" spans="22:25" x14ac:dyDescent="0.2">
      <c r="V1584" s="563"/>
      <c r="X1584" s="563"/>
      <c r="Y1584" s="563"/>
    </row>
    <row r="1585" spans="22:25" x14ac:dyDescent="0.2">
      <c r="V1585" s="563"/>
      <c r="X1585" s="563"/>
      <c r="Y1585" s="563"/>
    </row>
    <row r="1586" spans="22:25" x14ac:dyDescent="0.2">
      <c r="V1586" s="563"/>
      <c r="X1586" s="563"/>
      <c r="Y1586" s="563"/>
    </row>
    <row r="1587" spans="22:25" x14ac:dyDescent="0.2">
      <c r="V1587" s="563"/>
      <c r="X1587" s="563"/>
      <c r="Y1587" s="563"/>
    </row>
    <row r="1588" spans="22:25" x14ac:dyDescent="0.2">
      <c r="V1588" s="563"/>
      <c r="X1588" s="563"/>
      <c r="Y1588" s="563"/>
    </row>
    <row r="1589" spans="22:25" x14ac:dyDescent="0.2">
      <c r="V1589" s="563"/>
      <c r="X1589" s="563"/>
      <c r="Y1589" s="563"/>
    </row>
    <row r="1590" spans="22:25" x14ac:dyDescent="0.2">
      <c r="V1590" s="563"/>
      <c r="X1590" s="563"/>
      <c r="Y1590" s="563"/>
    </row>
    <row r="1591" spans="22:25" x14ac:dyDescent="0.2">
      <c r="V1591" s="563"/>
      <c r="X1591" s="563"/>
      <c r="Y1591" s="563"/>
    </row>
    <row r="1592" spans="22:25" x14ac:dyDescent="0.2">
      <c r="V1592" s="563"/>
      <c r="X1592" s="563"/>
      <c r="Y1592" s="563"/>
    </row>
    <row r="1593" spans="22:25" x14ac:dyDescent="0.2">
      <c r="V1593" s="563"/>
      <c r="X1593" s="563"/>
      <c r="Y1593" s="563"/>
    </row>
    <row r="1594" spans="22:25" x14ac:dyDescent="0.2">
      <c r="V1594" s="563"/>
      <c r="X1594" s="563"/>
      <c r="Y1594" s="563"/>
    </row>
    <row r="1595" spans="22:25" x14ac:dyDescent="0.2">
      <c r="V1595" s="563"/>
      <c r="X1595" s="563"/>
      <c r="Y1595" s="563"/>
    </row>
    <row r="1596" spans="22:25" x14ac:dyDescent="0.2">
      <c r="V1596" s="563"/>
      <c r="X1596" s="563"/>
      <c r="Y1596" s="563"/>
    </row>
    <row r="1597" spans="22:25" x14ac:dyDescent="0.2">
      <c r="V1597" s="563"/>
      <c r="X1597" s="563"/>
      <c r="Y1597" s="563"/>
    </row>
    <row r="1598" spans="22:25" x14ac:dyDescent="0.2">
      <c r="V1598" s="563"/>
      <c r="X1598" s="563"/>
      <c r="Y1598" s="563"/>
    </row>
    <row r="1599" spans="22:25" x14ac:dyDescent="0.2">
      <c r="V1599" s="563"/>
      <c r="X1599" s="563"/>
      <c r="Y1599" s="563"/>
    </row>
    <row r="1600" spans="22:25" x14ac:dyDescent="0.2">
      <c r="V1600" s="563"/>
      <c r="X1600" s="563"/>
      <c r="Y1600" s="563"/>
    </row>
    <row r="1601" spans="22:25" x14ac:dyDescent="0.2">
      <c r="V1601" s="563"/>
      <c r="X1601" s="563"/>
      <c r="Y1601" s="563"/>
    </row>
    <row r="1602" spans="22:25" x14ac:dyDescent="0.2">
      <c r="V1602" s="563"/>
      <c r="X1602" s="563"/>
      <c r="Y1602" s="563"/>
    </row>
    <row r="1603" spans="22:25" x14ac:dyDescent="0.2">
      <c r="V1603" s="563"/>
      <c r="X1603" s="563"/>
      <c r="Y1603" s="563"/>
    </row>
    <row r="1604" spans="22:25" x14ac:dyDescent="0.2">
      <c r="V1604" s="563"/>
      <c r="X1604" s="563"/>
      <c r="Y1604" s="563"/>
    </row>
    <row r="1605" spans="22:25" x14ac:dyDescent="0.2">
      <c r="V1605" s="563"/>
      <c r="X1605" s="563"/>
      <c r="Y1605" s="563"/>
    </row>
    <row r="1606" spans="22:25" x14ac:dyDescent="0.2">
      <c r="V1606" s="563"/>
      <c r="X1606" s="563"/>
      <c r="Y1606" s="563"/>
    </row>
    <row r="1607" spans="22:25" x14ac:dyDescent="0.2">
      <c r="V1607" s="563"/>
      <c r="X1607" s="563"/>
      <c r="Y1607" s="563"/>
    </row>
    <row r="1608" spans="22:25" x14ac:dyDescent="0.2">
      <c r="V1608" s="563"/>
      <c r="X1608" s="563"/>
      <c r="Y1608" s="563"/>
    </row>
    <row r="1609" spans="22:25" x14ac:dyDescent="0.2">
      <c r="V1609" s="563"/>
      <c r="X1609" s="563"/>
      <c r="Y1609" s="563"/>
    </row>
    <row r="1610" spans="22:25" x14ac:dyDescent="0.2">
      <c r="V1610" s="563"/>
      <c r="X1610" s="563"/>
      <c r="Y1610" s="563"/>
    </row>
    <row r="1611" spans="22:25" x14ac:dyDescent="0.2">
      <c r="V1611" s="563"/>
      <c r="X1611" s="563"/>
      <c r="Y1611" s="563"/>
    </row>
    <row r="1612" spans="22:25" x14ac:dyDescent="0.2">
      <c r="V1612" s="563"/>
      <c r="X1612" s="563"/>
      <c r="Y1612" s="563"/>
    </row>
    <row r="1613" spans="22:25" x14ac:dyDescent="0.2">
      <c r="V1613" s="563"/>
      <c r="X1613" s="563"/>
      <c r="Y1613" s="563"/>
    </row>
    <row r="1614" spans="22:25" x14ac:dyDescent="0.2">
      <c r="V1614" s="563"/>
      <c r="X1614" s="563"/>
      <c r="Y1614" s="563"/>
    </row>
    <row r="1615" spans="22:25" x14ac:dyDescent="0.2">
      <c r="V1615" s="563"/>
      <c r="X1615" s="563"/>
      <c r="Y1615" s="563"/>
    </row>
    <row r="1616" spans="22:25" x14ac:dyDescent="0.2">
      <c r="V1616" s="563"/>
      <c r="X1616" s="563"/>
      <c r="Y1616" s="563"/>
    </row>
    <row r="1617" spans="22:25" x14ac:dyDescent="0.2">
      <c r="V1617" s="563"/>
      <c r="X1617" s="563"/>
      <c r="Y1617" s="563"/>
    </row>
    <row r="1618" spans="22:25" x14ac:dyDescent="0.2">
      <c r="V1618" s="563"/>
      <c r="X1618" s="563"/>
      <c r="Y1618" s="563"/>
    </row>
    <row r="1619" spans="22:25" x14ac:dyDescent="0.2">
      <c r="V1619" s="563"/>
      <c r="X1619" s="563"/>
      <c r="Y1619" s="563"/>
    </row>
    <row r="1620" spans="22:25" x14ac:dyDescent="0.2">
      <c r="V1620" s="563"/>
      <c r="X1620" s="563"/>
      <c r="Y1620" s="563"/>
    </row>
    <row r="1621" spans="22:25" x14ac:dyDescent="0.2">
      <c r="V1621" s="563"/>
      <c r="X1621" s="563"/>
      <c r="Y1621" s="563"/>
    </row>
    <row r="1622" spans="22:25" x14ac:dyDescent="0.2">
      <c r="V1622" s="563"/>
      <c r="X1622" s="563"/>
      <c r="Y1622" s="563"/>
    </row>
    <row r="1623" spans="22:25" x14ac:dyDescent="0.2">
      <c r="V1623" s="563"/>
      <c r="X1623" s="563"/>
      <c r="Y1623" s="563"/>
    </row>
    <row r="1624" spans="22:25" x14ac:dyDescent="0.2">
      <c r="V1624" s="563"/>
      <c r="X1624" s="563"/>
      <c r="Y1624" s="563"/>
    </row>
    <row r="1625" spans="22:25" x14ac:dyDescent="0.2">
      <c r="V1625" s="563"/>
      <c r="X1625" s="563"/>
      <c r="Y1625" s="563"/>
    </row>
    <row r="1626" spans="22:25" x14ac:dyDescent="0.2">
      <c r="V1626" s="563"/>
      <c r="X1626" s="563"/>
      <c r="Y1626" s="563"/>
    </row>
    <row r="1627" spans="22:25" x14ac:dyDescent="0.2">
      <c r="V1627" s="563"/>
      <c r="X1627" s="563"/>
      <c r="Y1627" s="563"/>
    </row>
    <row r="1628" spans="22:25" x14ac:dyDescent="0.2">
      <c r="V1628" s="563"/>
      <c r="X1628" s="563"/>
      <c r="Y1628" s="563"/>
    </row>
    <row r="1629" spans="22:25" x14ac:dyDescent="0.2">
      <c r="V1629" s="563"/>
      <c r="X1629" s="563"/>
      <c r="Y1629" s="563"/>
    </row>
    <row r="1630" spans="22:25" x14ac:dyDescent="0.2">
      <c r="V1630" s="563"/>
      <c r="X1630" s="563"/>
      <c r="Y1630" s="563"/>
    </row>
    <row r="1631" spans="22:25" x14ac:dyDescent="0.2">
      <c r="V1631" s="563"/>
      <c r="X1631" s="563"/>
      <c r="Y1631" s="563"/>
    </row>
    <row r="1632" spans="22:25" x14ac:dyDescent="0.2">
      <c r="V1632" s="563"/>
      <c r="X1632" s="563"/>
      <c r="Y1632" s="563"/>
    </row>
    <row r="1633" spans="22:25" x14ac:dyDescent="0.2">
      <c r="V1633" s="563"/>
      <c r="X1633" s="563"/>
      <c r="Y1633" s="563"/>
    </row>
    <row r="1634" spans="22:25" x14ac:dyDescent="0.2">
      <c r="V1634" s="563"/>
      <c r="X1634" s="563"/>
      <c r="Y1634" s="563"/>
    </row>
    <row r="1635" spans="22:25" x14ac:dyDescent="0.2">
      <c r="V1635" s="563"/>
      <c r="X1635" s="563"/>
      <c r="Y1635" s="563"/>
    </row>
    <row r="1636" spans="22:25" x14ac:dyDescent="0.2">
      <c r="V1636" s="563"/>
      <c r="X1636" s="563"/>
      <c r="Y1636" s="563"/>
    </row>
    <row r="1637" spans="22:25" x14ac:dyDescent="0.2">
      <c r="V1637" s="563"/>
      <c r="X1637" s="563"/>
      <c r="Y1637" s="563"/>
    </row>
    <row r="1638" spans="22:25" x14ac:dyDescent="0.2">
      <c r="V1638" s="563"/>
      <c r="X1638" s="563"/>
      <c r="Y1638" s="563"/>
    </row>
    <row r="1639" spans="22:25" x14ac:dyDescent="0.2">
      <c r="V1639" s="563"/>
      <c r="X1639" s="563"/>
      <c r="Y1639" s="563"/>
    </row>
    <row r="1640" spans="22:25" x14ac:dyDescent="0.2">
      <c r="V1640" s="563"/>
      <c r="X1640" s="563"/>
      <c r="Y1640" s="563"/>
    </row>
    <row r="1641" spans="22:25" x14ac:dyDescent="0.2">
      <c r="V1641" s="563"/>
      <c r="X1641" s="563"/>
      <c r="Y1641" s="563"/>
    </row>
    <row r="1642" spans="22:25" x14ac:dyDescent="0.2">
      <c r="V1642" s="563"/>
      <c r="X1642" s="563"/>
      <c r="Y1642" s="563"/>
    </row>
    <row r="1643" spans="22:25" x14ac:dyDescent="0.2">
      <c r="V1643" s="563"/>
      <c r="X1643" s="563"/>
      <c r="Y1643" s="563"/>
    </row>
    <row r="1644" spans="22:25" x14ac:dyDescent="0.2">
      <c r="V1644" s="563"/>
      <c r="X1644" s="563"/>
      <c r="Y1644" s="563"/>
    </row>
    <row r="1645" spans="22:25" x14ac:dyDescent="0.2">
      <c r="V1645" s="563"/>
      <c r="X1645" s="563"/>
      <c r="Y1645" s="563"/>
    </row>
    <row r="1646" spans="22:25" x14ac:dyDescent="0.2">
      <c r="V1646" s="563"/>
      <c r="X1646" s="563"/>
      <c r="Y1646" s="563"/>
    </row>
    <row r="1647" spans="22:25" x14ac:dyDescent="0.2">
      <c r="V1647" s="563"/>
      <c r="X1647" s="563"/>
      <c r="Y1647" s="563"/>
    </row>
    <row r="1648" spans="22:25" x14ac:dyDescent="0.2">
      <c r="V1648" s="563"/>
      <c r="X1648" s="563"/>
      <c r="Y1648" s="563"/>
    </row>
    <row r="1649" spans="22:25" x14ac:dyDescent="0.2">
      <c r="V1649" s="563"/>
      <c r="X1649" s="563"/>
      <c r="Y1649" s="563"/>
    </row>
    <row r="1650" spans="22:25" x14ac:dyDescent="0.2">
      <c r="V1650" s="563"/>
      <c r="X1650" s="563"/>
      <c r="Y1650" s="563"/>
    </row>
    <row r="1651" spans="22:25" x14ac:dyDescent="0.2">
      <c r="V1651" s="563"/>
      <c r="X1651" s="563"/>
      <c r="Y1651" s="563"/>
    </row>
    <row r="1652" spans="22:25" x14ac:dyDescent="0.2">
      <c r="V1652" s="563"/>
      <c r="X1652" s="563"/>
      <c r="Y1652" s="563"/>
    </row>
    <row r="1653" spans="22:25" x14ac:dyDescent="0.2">
      <c r="V1653" s="563"/>
      <c r="X1653" s="563"/>
      <c r="Y1653" s="563"/>
    </row>
    <row r="1654" spans="22:25" x14ac:dyDescent="0.2">
      <c r="V1654" s="563"/>
      <c r="X1654" s="563"/>
      <c r="Y1654" s="563"/>
    </row>
    <row r="1655" spans="22:25" x14ac:dyDescent="0.2">
      <c r="V1655" s="563"/>
      <c r="X1655" s="563"/>
      <c r="Y1655" s="563"/>
    </row>
    <row r="1656" spans="22:25" x14ac:dyDescent="0.2">
      <c r="V1656" s="563"/>
      <c r="X1656" s="563"/>
      <c r="Y1656" s="563"/>
    </row>
    <row r="1657" spans="22:25" x14ac:dyDescent="0.2">
      <c r="V1657" s="563"/>
      <c r="X1657" s="563"/>
      <c r="Y1657" s="563"/>
    </row>
    <row r="1658" spans="22:25" x14ac:dyDescent="0.2">
      <c r="V1658" s="563"/>
      <c r="X1658" s="563"/>
      <c r="Y1658" s="563"/>
    </row>
    <row r="1659" spans="22:25" x14ac:dyDescent="0.2">
      <c r="V1659" s="563"/>
      <c r="X1659" s="563"/>
      <c r="Y1659" s="563"/>
    </row>
    <row r="1660" spans="22:25" x14ac:dyDescent="0.2">
      <c r="V1660" s="563"/>
      <c r="X1660" s="563"/>
      <c r="Y1660" s="563"/>
    </row>
    <row r="1661" spans="22:25" x14ac:dyDescent="0.2">
      <c r="V1661" s="563"/>
      <c r="X1661" s="563"/>
      <c r="Y1661" s="563"/>
    </row>
    <row r="1662" spans="22:25" x14ac:dyDescent="0.2">
      <c r="V1662" s="563"/>
      <c r="X1662" s="563"/>
      <c r="Y1662" s="563"/>
    </row>
    <row r="1663" spans="22:25" x14ac:dyDescent="0.2">
      <c r="V1663" s="563"/>
      <c r="X1663" s="563"/>
      <c r="Y1663" s="563"/>
    </row>
    <row r="1664" spans="22:25" x14ac:dyDescent="0.2">
      <c r="V1664" s="563"/>
      <c r="X1664" s="563"/>
      <c r="Y1664" s="563"/>
    </row>
    <row r="1665" spans="22:25" x14ac:dyDescent="0.2">
      <c r="V1665" s="563"/>
      <c r="X1665" s="563"/>
      <c r="Y1665" s="563"/>
    </row>
    <row r="1666" spans="22:25" x14ac:dyDescent="0.2">
      <c r="V1666" s="563"/>
      <c r="X1666" s="563"/>
      <c r="Y1666" s="563"/>
    </row>
    <row r="1667" spans="22:25" x14ac:dyDescent="0.2">
      <c r="V1667" s="563"/>
      <c r="X1667" s="563"/>
      <c r="Y1667" s="563"/>
    </row>
    <row r="1668" spans="22:25" x14ac:dyDescent="0.2">
      <c r="V1668" s="563"/>
      <c r="X1668" s="563"/>
      <c r="Y1668" s="563"/>
    </row>
    <row r="1669" spans="22:25" x14ac:dyDescent="0.2">
      <c r="V1669" s="563"/>
      <c r="X1669" s="563"/>
      <c r="Y1669" s="563"/>
    </row>
    <row r="1670" spans="22:25" x14ac:dyDescent="0.2">
      <c r="V1670" s="563"/>
      <c r="X1670" s="563"/>
      <c r="Y1670" s="563"/>
    </row>
    <row r="1671" spans="22:25" x14ac:dyDescent="0.2">
      <c r="V1671" s="563"/>
      <c r="X1671" s="563"/>
      <c r="Y1671" s="563"/>
    </row>
    <row r="1672" spans="22:25" x14ac:dyDescent="0.2">
      <c r="V1672" s="563"/>
      <c r="X1672" s="563"/>
      <c r="Y1672" s="563"/>
    </row>
    <row r="1673" spans="22:25" x14ac:dyDescent="0.2">
      <c r="V1673" s="563"/>
      <c r="X1673" s="563"/>
      <c r="Y1673" s="563"/>
    </row>
    <row r="1674" spans="22:25" x14ac:dyDescent="0.2">
      <c r="V1674" s="563"/>
      <c r="X1674" s="563"/>
      <c r="Y1674" s="563"/>
    </row>
    <row r="1675" spans="22:25" x14ac:dyDescent="0.2">
      <c r="V1675" s="563"/>
      <c r="X1675" s="563"/>
      <c r="Y1675" s="563"/>
    </row>
    <row r="1676" spans="22:25" x14ac:dyDescent="0.2">
      <c r="V1676" s="563"/>
      <c r="X1676" s="563"/>
      <c r="Y1676" s="563"/>
    </row>
    <row r="1677" spans="22:25" x14ac:dyDescent="0.2">
      <c r="V1677" s="563"/>
      <c r="X1677" s="563"/>
      <c r="Y1677" s="563"/>
    </row>
    <row r="1678" spans="22:25" x14ac:dyDescent="0.2">
      <c r="V1678" s="563"/>
      <c r="X1678" s="563"/>
      <c r="Y1678" s="563"/>
    </row>
    <row r="1679" spans="22:25" x14ac:dyDescent="0.2">
      <c r="V1679" s="563"/>
      <c r="X1679" s="563"/>
      <c r="Y1679" s="563"/>
    </row>
    <row r="1680" spans="22:25" x14ac:dyDescent="0.2">
      <c r="V1680" s="563"/>
      <c r="X1680" s="563"/>
      <c r="Y1680" s="563"/>
    </row>
    <row r="1681" spans="22:25" x14ac:dyDescent="0.2">
      <c r="V1681" s="563"/>
      <c r="X1681" s="563"/>
      <c r="Y1681" s="563"/>
    </row>
    <row r="1682" spans="22:25" x14ac:dyDescent="0.2">
      <c r="V1682" s="563"/>
      <c r="X1682" s="563"/>
      <c r="Y1682" s="563"/>
    </row>
    <row r="1683" spans="22:25" x14ac:dyDescent="0.2">
      <c r="V1683" s="563"/>
      <c r="X1683" s="563"/>
      <c r="Y1683" s="563"/>
    </row>
    <row r="1684" spans="22:25" x14ac:dyDescent="0.2">
      <c r="V1684" s="563"/>
      <c r="X1684" s="563"/>
      <c r="Y1684" s="563"/>
    </row>
    <row r="1685" spans="22:25" x14ac:dyDescent="0.2">
      <c r="V1685" s="563"/>
      <c r="X1685" s="563"/>
      <c r="Y1685" s="563"/>
    </row>
    <row r="1686" spans="22:25" x14ac:dyDescent="0.2">
      <c r="V1686" s="563"/>
      <c r="X1686" s="563"/>
      <c r="Y1686" s="563"/>
    </row>
    <row r="1687" spans="22:25" x14ac:dyDescent="0.2">
      <c r="V1687" s="563"/>
      <c r="X1687" s="563"/>
      <c r="Y1687" s="563"/>
    </row>
    <row r="1688" spans="22:25" x14ac:dyDescent="0.2">
      <c r="V1688" s="563"/>
      <c r="X1688" s="563"/>
      <c r="Y1688" s="563"/>
    </row>
    <row r="1689" spans="22:25" x14ac:dyDescent="0.2">
      <c r="V1689" s="563"/>
      <c r="X1689" s="563"/>
      <c r="Y1689" s="563"/>
    </row>
    <row r="1690" spans="22:25" x14ac:dyDescent="0.2">
      <c r="V1690" s="563"/>
      <c r="X1690" s="563"/>
      <c r="Y1690" s="563"/>
    </row>
    <row r="1691" spans="22:25" x14ac:dyDescent="0.2">
      <c r="V1691" s="563"/>
      <c r="X1691" s="563"/>
      <c r="Y1691" s="563"/>
    </row>
    <row r="1692" spans="22:25" x14ac:dyDescent="0.2">
      <c r="V1692" s="563"/>
      <c r="X1692" s="563"/>
      <c r="Y1692" s="563"/>
    </row>
    <row r="1693" spans="22:25" x14ac:dyDescent="0.2">
      <c r="V1693" s="563"/>
      <c r="X1693" s="563"/>
      <c r="Y1693" s="563"/>
    </row>
    <row r="1694" spans="22:25" x14ac:dyDescent="0.2">
      <c r="V1694" s="563"/>
      <c r="X1694" s="563"/>
      <c r="Y1694" s="563"/>
    </row>
    <row r="1695" spans="22:25" x14ac:dyDescent="0.2">
      <c r="V1695" s="563"/>
      <c r="X1695" s="563"/>
      <c r="Y1695" s="563"/>
    </row>
    <row r="1696" spans="22:25" x14ac:dyDescent="0.2">
      <c r="V1696" s="563"/>
      <c r="X1696" s="563"/>
      <c r="Y1696" s="563"/>
    </row>
    <row r="1697" spans="22:25" x14ac:dyDescent="0.2">
      <c r="V1697" s="563"/>
      <c r="X1697" s="563"/>
      <c r="Y1697" s="563"/>
    </row>
    <row r="1698" spans="22:25" x14ac:dyDescent="0.2">
      <c r="V1698" s="563"/>
      <c r="X1698" s="563"/>
      <c r="Y1698" s="563"/>
    </row>
    <row r="1699" spans="22:25" x14ac:dyDescent="0.2">
      <c r="V1699" s="563"/>
      <c r="X1699" s="563"/>
      <c r="Y1699" s="563"/>
    </row>
    <row r="1700" spans="22:25" x14ac:dyDescent="0.2">
      <c r="V1700" s="563"/>
      <c r="X1700" s="563"/>
      <c r="Y1700" s="563"/>
    </row>
    <row r="1701" spans="22:25" x14ac:dyDescent="0.2">
      <c r="V1701" s="563"/>
      <c r="X1701" s="563"/>
      <c r="Y1701" s="563"/>
    </row>
    <row r="1702" spans="22:25" x14ac:dyDescent="0.2">
      <c r="V1702" s="563"/>
      <c r="X1702" s="563"/>
      <c r="Y1702" s="563"/>
    </row>
    <row r="1703" spans="22:25" x14ac:dyDescent="0.2">
      <c r="V1703" s="563"/>
      <c r="X1703" s="563"/>
      <c r="Y1703" s="563"/>
    </row>
    <row r="1704" spans="22:25" x14ac:dyDescent="0.2">
      <c r="V1704" s="563"/>
      <c r="X1704" s="563"/>
      <c r="Y1704" s="563"/>
    </row>
    <row r="1705" spans="22:25" x14ac:dyDescent="0.2">
      <c r="V1705" s="563"/>
      <c r="X1705" s="563"/>
      <c r="Y1705" s="563"/>
    </row>
    <row r="1706" spans="22:25" x14ac:dyDescent="0.2">
      <c r="V1706" s="563"/>
      <c r="X1706" s="563"/>
      <c r="Y1706" s="563"/>
    </row>
    <row r="1707" spans="22:25" x14ac:dyDescent="0.2">
      <c r="V1707" s="563"/>
      <c r="X1707" s="563"/>
      <c r="Y1707" s="563"/>
    </row>
    <row r="1708" spans="22:25" x14ac:dyDescent="0.2">
      <c r="V1708" s="563"/>
      <c r="X1708" s="563"/>
      <c r="Y1708" s="563"/>
    </row>
    <row r="1709" spans="22:25" x14ac:dyDescent="0.2">
      <c r="V1709" s="563"/>
      <c r="X1709" s="563"/>
      <c r="Y1709" s="563"/>
    </row>
    <row r="1710" spans="22:25" x14ac:dyDescent="0.2">
      <c r="V1710" s="563"/>
      <c r="X1710" s="563"/>
      <c r="Y1710" s="563"/>
    </row>
    <row r="1711" spans="22:25" x14ac:dyDescent="0.2">
      <c r="V1711" s="563"/>
      <c r="X1711" s="563"/>
      <c r="Y1711" s="563"/>
    </row>
    <row r="1712" spans="22:25" x14ac:dyDescent="0.2">
      <c r="V1712" s="563"/>
      <c r="X1712" s="563"/>
      <c r="Y1712" s="563"/>
    </row>
    <row r="1713" spans="22:25" x14ac:dyDescent="0.2">
      <c r="V1713" s="563"/>
      <c r="X1713" s="563"/>
      <c r="Y1713" s="563"/>
    </row>
    <row r="1714" spans="22:25" x14ac:dyDescent="0.2">
      <c r="V1714" s="563"/>
      <c r="X1714" s="563"/>
      <c r="Y1714" s="563"/>
    </row>
    <row r="1715" spans="22:25" x14ac:dyDescent="0.2">
      <c r="V1715" s="563"/>
      <c r="X1715" s="563"/>
      <c r="Y1715" s="563"/>
    </row>
    <row r="1716" spans="22:25" x14ac:dyDescent="0.2">
      <c r="V1716" s="563"/>
      <c r="X1716" s="563"/>
      <c r="Y1716" s="563"/>
    </row>
    <row r="1717" spans="22:25" x14ac:dyDescent="0.2">
      <c r="V1717" s="563"/>
      <c r="X1717" s="563"/>
      <c r="Y1717" s="563"/>
    </row>
    <row r="1718" spans="22:25" x14ac:dyDescent="0.2">
      <c r="V1718" s="563"/>
      <c r="X1718" s="563"/>
      <c r="Y1718" s="563"/>
    </row>
    <row r="1719" spans="22:25" x14ac:dyDescent="0.2">
      <c r="V1719" s="563"/>
      <c r="X1719" s="563"/>
      <c r="Y1719" s="563"/>
    </row>
    <row r="1720" spans="22:25" x14ac:dyDescent="0.2">
      <c r="V1720" s="563"/>
      <c r="X1720" s="563"/>
      <c r="Y1720" s="563"/>
    </row>
    <row r="1721" spans="22:25" x14ac:dyDescent="0.2">
      <c r="V1721" s="563"/>
      <c r="X1721" s="563"/>
      <c r="Y1721" s="563"/>
    </row>
    <row r="1722" spans="22:25" x14ac:dyDescent="0.2">
      <c r="V1722" s="563"/>
      <c r="X1722" s="563"/>
      <c r="Y1722" s="563"/>
    </row>
    <row r="1723" spans="22:25" x14ac:dyDescent="0.2">
      <c r="V1723" s="563"/>
      <c r="X1723" s="563"/>
      <c r="Y1723" s="563"/>
    </row>
    <row r="1724" spans="22:25" x14ac:dyDescent="0.2">
      <c r="V1724" s="563"/>
      <c r="X1724" s="563"/>
      <c r="Y1724" s="563"/>
    </row>
    <row r="1725" spans="22:25" x14ac:dyDescent="0.2">
      <c r="V1725" s="563"/>
      <c r="X1725" s="563"/>
      <c r="Y1725" s="563"/>
    </row>
    <row r="1726" spans="22:25" x14ac:dyDescent="0.2">
      <c r="V1726" s="563"/>
      <c r="X1726" s="563"/>
      <c r="Y1726" s="563"/>
    </row>
    <row r="1727" spans="22:25" x14ac:dyDescent="0.2">
      <c r="V1727" s="563"/>
      <c r="X1727" s="563"/>
      <c r="Y1727" s="563"/>
    </row>
    <row r="1728" spans="22:25" x14ac:dyDescent="0.2">
      <c r="V1728" s="563"/>
      <c r="X1728" s="563"/>
      <c r="Y1728" s="563"/>
    </row>
    <row r="1729" spans="22:25" x14ac:dyDescent="0.2">
      <c r="V1729" s="563"/>
      <c r="X1729" s="563"/>
      <c r="Y1729" s="563"/>
    </row>
    <row r="1730" spans="22:25" x14ac:dyDescent="0.2">
      <c r="V1730" s="563"/>
      <c r="X1730" s="563"/>
      <c r="Y1730" s="563"/>
    </row>
    <row r="1731" spans="22:25" x14ac:dyDescent="0.2">
      <c r="V1731" s="563"/>
      <c r="X1731" s="563"/>
      <c r="Y1731" s="563"/>
    </row>
    <row r="1732" spans="22:25" x14ac:dyDescent="0.2">
      <c r="V1732" s="563"/>
      <c r="X1732" s="563"/>
      <c r="Y1732" s="563"/>
    </row>
    <row r="1733" spans="22:25" x14ac:dyDescent="0.2">
      <c r="V1733" s="563"/>
      <c r="X1733" s="563"/>
      <c r="Y1733" s="563"/>
    </row>
    <row r="1734" spans="22:25" x14ac:dyDescent="0.2">
      <c r="V1734" s="563"/>
      <c r="X1734" s="563"/>
      <c r="Y1734" s="563"/>
    </row>
    <row r="1735" spans="22:25" x14ac:dyDescent="0.2">
      <c r="V1735" s="563"/>
      <c r="X1735" s="563"/>
      <c r="Y1735" s="563"/>
    </row>
    <row r="1736" spans="22:25" x14ac:dyDescent="0.2">
      <c r="V1736" s="563"/>
      <c r="X1736" s="563"/>
      <c r="Y1736" s="563"/>
    </row>
    <row r="1737" spans="22:25" x14ac:dyDescent="0.2">
      <c r="V1737" s="563"/>
      <c r="X1737" s="563"/>
      <c r="Y1737" s="563"/>
    </row>
    <row r="1738" spans="22:25" x14ac:dyDescent="0.2">
      <c r="V1738" s="563"/>
      <c r="X1738" s="563"/>
      <c r="Y1738" s="563"/>
    </row>
    <row r="1739" spans="22:25" x14ac:dyDescent="0.2">
      <c r="V1739" s="563"/>
      <c r="X1739" s="563"/>
      <c r="Y1739" s="563"/>
    </row>
    <row r="1740" spans="22:25" x14ac:dyDescent="0.2">
      <c r="V1740" s="563"/>
      <c r="X1740" s="563"/>
      <c r="Y1740" s="563"/>
    </row>
    <row r="1741" spans="22:25" x14ac:dyDescent="0.2">
      <c r="V1741" s="563"/>
      <c r="X1741" s="563"/>
      <c r="Y1741" s="563"/>
    </row>
    <row r="1742" spans="22:25" x14ac:dyDescent="0.2">
      <c r="V1742" s="563"/>
      <c r="X1742" s="563"/>
      <c r="Y1742" s="563"/>
    </row>
    <row r="1743" spans="22:25" x14ac:dyDescent="0.2">
      <c r="V1743" s="563"/>
      <c r="X1743" s="563"/>
      <c r="Y1743" s="563"/>
    </row>
    <row r="1744" spans="22:25" x14ac:dyDescent="0.2">
      <c r="V1744" s="563"/>
      <c r="X1744" s="563"/>
      <c r="Y1744" s="563"/>
    </row>
    <row r="1745" spans="22:25" x14ac:dyDescent="0.2">
      <c r="V1745" s="563"/>
      <c r="X1745" s="563"/>
      <c r="Y1745" s="563"/>
    </row>
    <row r="1746" spans="22:25" x14ac:dyDescent="0.2">
      <c r="V1746" s="563"/>
      <c r="X1746" s="563"/>
      <c r="Y1746" s="563"/>
    </row>
    <row r="1747" spans="22:25" x14ac:dyDescent="0.2">
      <c r="V1747" s="563"/>
      <c r="X1747" s="563"/>
      <c r="Y1747" s="563"/>
    </row>
    <row r="1748" spans="22:25" x14ac:dyDescent="0.2">
      <c r="V1748" s="563"/>
      <c r="X1748" s="563"/>
      <c r="Y1748" s="563"/>
    </row>
    <row r="1749" spans="22:25" x14ac:dyDescent="0.2">
      <c r="V1749" s="563"/>
      <c r="X1749" s="563"/>
      <c r="Y1749" s="563"/>
    </row>
    <row r="1750" spans="22:25" x14ac:dyDescent="0.2">
      <c r="V1750" s="563"/>
      <c r="X1750" s="563"/>
      <c r="Y1750" s="563"/>
    </row>
    <row r="1751" spans="22:25" x14ac:dyDescent="0.2">
      <c r="V1751" s="563"/>
      <c r="X1751" s="563"/>
      <c r="Y1751" s="563"/>
    </row>
    <row r="1752" spans="22:25" x14ac:dyDescent="0.2">
      <c r="V1752" s="563"/>
      <c r="X1752" s="563"/>
      <c r="Y1752" s="563"/>
    </row>
    <row r="1753" spans="22:25" x14ac:dyDescent="0.2">
      <c r="V1753" s="563"/>
      <c r="X1753" s="563"/>
      <c r="Y1753" s="563"/>
    </row>
    <row r="1754" spans="22:25" x14ac:dyDescent="0.2">
      <c r="V1754" s="563"/>
      <c r="X1754" s="563"/>
      <c r="Y1754" s="563"/>
    </row>
    <row r="1755" spans="22:25" x14ac:dyDescent="0.2">
      <c r="V1755" s="563"/>
      <c r="X1755" s="563"/>
      <c r="Y1755" s="563"/>
    </row>
    <row r="1756" spans="22:25" x14ac:dyDescent="0.2">
      <c r="V1756" s="563"/>
      <c r="X1756" s="563"/>
      <c r="Y1756" s="563"/>
    </row>
    <row r="1757" spans="22:25" x14ac:dyDescent="0.2">
      <c r="V1757" s="563"/>
      <c r="X1757" s="563"/>
      <c r="Y1757" s="563"/>
    </row>
    <row r="1758" spans="22:25" x14ac:dyDescent="0.2">
      <c r="V1758" s="563"/>
      <c r="X1758" s="563"/>
      <c r="Y1758" s="563"/>
    </row>
    <row r="1759" spans="22:25" x14ac:dyDescent="0.2">
      <c r="V1759" s="563"/>
      <c r="X1759" s="563"/>
      <c r="Y1759" s="563"/>
    </row>
    <row r="1760" spans="22:25" x14ac:dyDescent="0.2">
      <c r="V1760" s="563"/>
      <c r="X1760" s="563"/>
      <c r="Y1760" s="563"/>
    </row>
    <row r="1761" spans="22:25" x14ac:dyDescent="0.2">
      <c r="V1761" s="563"/>
      <c r="X1761" s="563"/>
      <c r="Y1761" s="563"/>
    </row>
    <row r="1762" spans="22:25" x14ac:dyDescent="0.2">
      <c r="V1762" s="563"/>
      <c r="X1762" s="563"/>
      <c r="Y1762" s="563"/>
    </row>
    <row r="1763" spans="22:25" x14ac:dyDescent="0.2">
      <c r="V1763" s="563"/>
      <c r="X1763" s="563"/>
      <c r="Y1763" s="563"/>
    </row>
    <row r="1764" spans="22:25" x14ac:dyDescent="0.2">
      <c r="V1764" s="563"/>
      <c r="X1764" s="563"/>
      <c r="Y1764" s="563"/>
    </row>
    <row r="1765" spans="22:25" x14ac:dyDescent="0.2">
      <c r="V1765" s="563"/>
      <c r="X1765" s="563"/>
      <c r="Y1765" s="563"/>
    </row>
    <row r="1766" spans="22:25" x14ac:dyDescent="0.2">
      <c r="V1766" s="563"/>
      <c r="X1766" s="563"/>
      <c r="Y1766" s="563"/>
    </row>
    <row r="1767" spans="22:25" x14ac:dyDescent="0.2">
      <c r="V1767" s="563"/>
      <c r="X1767" s="563"/>
      <c r="Y1767" s="563"/>
    </row>
    <row r="1768" spans="22:25" x14ac:dyDescent="0.2">
      <c r="V1768" s="563"/>
      <c r="X1768" s="563"/>
      <c r="Y1768" s="563"/>
    </row>
    <row r="1769" spans="22:25" x14ac:dyDescent="0.2">
      <c r="V1769" s="563"/>
      <c r="X1769" s="563"/>
      <c r="Y1769" s="563"/>
    </row>
    <row r="1770" spans="22:25" x14ac:dyDescent="0.2">
      <c r="V1770" s="563"/>
      <c r="X1770" s="563"/>
      <c r="Y1770" s="563"/>
    </row>
    <row r="1771" spans="22:25" x14ac:dyDescent="0.2">
      <c r="V1771" s="563"/>
      <c r="X1771" s="563"/>
      <c r="Y1771" s="563"/>
    </row>
    <row r="1772" spans="22:25" x14ac:dyDescent="0.2">
      <c r="V1772" s="563"/>
      <c r="X1772" s="563"/>
      <c r="Y1772" s="563"/>
    </row>
    <row r="1773" spans="22:25" x14ac:dyDescent="0.2">
      <c r="V1773" s="563"/>
      <c r="X1773" s="563"/>
      <c r="Y1773" s="563"/>
    </row>
    <row r="1774" spans="22:25" x14ac:dyDescent="0.2">
      <c r="V1774" s="563"/>
      <c r="X1774" s="563"/>
      <c r="Y1774" s="563"/>
    </row>
    <row r="1775" spans="22:25" x14ac:dyDescent="0.2">
      <c r="V1775" s="563"/>
      <c r="X1775" s="563"/>
      <c r="Y1775" s="563"/>
    </row>
    <row r="1776" spans="22:25" x14ac:dyDescent="0.2">
      <c r="V1776" s="563"/>
      <c r="X1776" s="563"/>
      <c r="Y1776" s="563"/>
    </row>
    <row r="1777" spans="22:25" x14ac:dyDescent="0.2">
      <c r="V1777" s="563"/>
      <c r="X1777" s="563"/>
      <c r="Y1777" s="563"/>
    </row>
    <row r="1778" spans="22:25" x14ac:dyDescent="0.2">
      <c r="V1778" s="563"/>
      <c r="X1778" s="563"/>
      <c r="Y1778" s="563"/>
    </row>
    <row r="1779" spans="22:25" x14ac:dyDescent="0.2">
      <c r="V1779" s="563"/>
      <c r="X1779" s="563"/>
      <c r="Y1779" s="563"/>
    </row>
    <row r="1780" spans="22:25" x14ac:dyDescent="0.2">
      <c r="V1780" s="563"/>
      <c r="X1780" s="563"/>
      <c r="Y1780" s="563"/>
    </row>
    <row r="1781" spans="22:25" x14ac:dyDescent="0.2">
      <c r="V1781" s="563"/>
      <c r="X1781" s="563"/>
      <c r="Y1781" s="563"/>
    </row>
    <row r="1782" spans="22:25" x14ac:dyDescent="0.2">
      <c r="V1782" s="563"/>
      <c r="X1782" s="563"/>
      <c r="Y1782" s="563"/>
    </row>
    <row r="1783" spans="22:25" x14ac:dyDescent="0.2">
      <c r="V1783" s="563"/>
      <c r="X1783" s="563"/>
      <c r="Y1783" s="563"/>
    </row>
    <row r="1784" spans="22:25" x14ac:dyDescent="0.2">
      <c r="V1784" s="563"/>
      <c r="X1784" s="563"/>
      <c r="Y1784" s="563"/>
    </row>
    <row r="1785" spans="22:25" x14ac:dyDescent="0.2">
      <c r="V1785" s="563"/>
      <c r="X1785" s="563"/>
      <c r="Y1785" s="563"/>
    </row>
    <row r="1786" spans="22:25" x14ac:dyDescent="0.2">
      <c r="V1786" s="563"/>
      <c r="X1786" s="563"/>
      <c r="Y1786" s="563"/>
    </row>
    <row r="1787" spans="22:25" x14ac:dyDescent="0.2">
      <c r="V1787" s="563"/>
      <c r="X1787" s="563"/>
      <c r="Y1787" s="563"/>
    </row>
    <row r="1788" spans="22:25" x14ac:dyDescent="0.2">
      <c r="V1788" s="563"/>
      <c r="X1788" s="563"/>
      <c r="Y1788" s="563"/>
    </row>
    <row r="1789" spans="22:25" x14ac:dyDescent="0.2">
      <c r="V1789" s="563"/>
      <c r="X1789" s="563"/>
      <c r="Y1789" s="563"/>
    </row>
    <row r="1790" spans="22:25" x14ac:dyDescent="0.2">
      <c r="V1790" s="563"/>
      <c r="X1790" s="563"/>
      <c r="Y1790" s="563"/>
    </row>
    <row r="1791" spans="22:25" x14ac:dyDescent="0.2">
      <c r="V1791" s="563"/>
      <c r="X1791" s="563"/>
      <c r="Y1791" s="563"/>
    </row>
    <row r="1792" spans="22:25" x14ac:dyDescent="0.2">
      <c r="V1792" s="563"/>
      <c r="X1792" s="563"/>
      <c r="Y1792" s="563"/>
    </row>
    <row r="1793" spans="22:25" x14ac:dyDescent="0.2">
      <c r="V1793" s="563"/>
      <c r="X1793" s="563"/>
      <c r="Y1793" s="563"/>
    </row>
    <row r="1794" spans="22:25" x14ac:dyDescent="0.2">
      <c r="V1794" s="563"/>
      <c r="X1794" s="563"/>
      <c r="Y1794" s="563"/>
    </row>
    <row r="1795" spans="22:25" x14ac:dyDescent="0.2">
      <c r="V1795" s="563"/>
      <c r="X1795" s="563"/>
      <c r="Y1795" s="563"/>
    </row>
    <row r="1796" spans="22:25" x14ac:dyDescent="0.2">
      <c r="V1796" s="563"/>
      <c r="X1796" s="563"/>
      <c r="Y1796" s="563"/>
    </row>
    <row r="1797" spans="22:25" x14ac:dyDescent="0.2">
      <c r="V1797" s="563"/>
      <c r="X1797" s="563"/>
      <c r="Y1797" s="563"/>
    </row>
    <row r="1798" spans="22:25" x14ac:dyDescent="0.2">
      <c r="V1798" s="563"/>
      <c r="X1798" s="563"/>
      <c r="Y1798" s="563"/>
    </row>
    <row r="1799" spans="22:25" x14ac:dyDescent="0.2">
      <c r="V1799" s="563"/>
      <c r="X1799" s="563"/>
      <c r="Y1799" s="563"/>
    </row>
    <row r="1800" spans="22:25" x14ac:dyDescent="0.2">
      <c r="V1800" s="563"/>
      <c r="X1800" s="563"/>
      <c r="Y1800" s="563"/>
    </row>
    <row r="1801" spans="22:25" x14ac:dyDescent="0.2">
      <c r="V1801" s="563"/>
      <c r="X1801" s="563"/>
      <c r="Y1801" s="563"/>
    </row>
    <row r="1802" spans="22:25" x14ac:dyDescent="0.2">
      <c r="V1802" s="563"/>
      <c r="X1802" s="563"/>
      <c r="Y1802" s="563"/>
    </row>
    <row r="1803" spans="22:25" x14ac:dyDescent="0.2">
      <c r="V1803" s="563"/>
      <c r="X1803" s="563"/>
      <c r="Y1803" s="563"/>
    </row>
    <row r="1804" spans="22:25" x14ac:dyDescent="0.2">
      <c r="V1804" s="563"/>
      <c r="X1804" s="563"/>
      <c r="Y1804" s="563"/>
    </row>
    <row r="1805" spans="22:25" x14ac:dyDescent="0.2">
      <c r="V1805" s="563"/>
      <c r="X1805" s="563"/>
      <c r="Y1805" s="563"/>
    </row>
    <row r="1806" spans="22:25" x14ac:dyDescent="0.2">
      <c r="V1806" s="563"/>
      <c r="X1806" s="563"/>
      <c r="Y1806" s="563"/>
    </row>
    <row r="1807" spans="22:25" x14ac:dyDescent="0.2">
      <c r="V1807" s="563"/>
      <c r="X1807" s="563"/>
      <c r="Y1807" s="563"/>
    </row>
    <row r="1808" spans="22:25" x14ac:dyDescent="0.2">
      <c r="V1808" s="563"/>
      <c r="X1808" s="563"/>
      <c r="Y1808" s="563"/>
    </row>
    <row r="1809" spans="22:25" x14ac:dyDescent="0.2">
      <c r="V1809" s="563"/>
      <c r="X1809" s="563"/>
      <c r="Y1809" s="563"/>
    </row>
    <row r="1810" spans="22:25" x14ac:dyDescent="0.2">
      <c r="V1810" s="563"/>
      <c r="X1810" s="563"/>
      <c r="Y1810" s="563"/>
    </row>
    <row r="1811" spans="22:25" x14ac:dyDescent="0.2">
      <c r="V1811" s="563"/>
      <c r="X1811" s="563"/>
      <c r="Y1811" s="563"/>
    </row>
    <row r="1812" spans="22:25" x14ac:dyDescent="0.2">
      <c r="V1812" s="563"/>
      <c r="X1812" s="563"/>
      <c r="Y1812" s="563"/>
    </row>
    <row r="1813" spans="22:25" x14ac:dyDescent="0.2">
      <c r="V1813" s="563"/>
      <c r="X1813" s="563"/>
      <c r="Y1813" s="563"/>
    </row>
    <row r="1814" spans="22:25" x14ac:dyDescent="0.2">
      <c r="V1814" s="563"/>
      <c r="X1814" s="563"/>
      <c r="Y1814" s="563"/>
    </row>
    <row r="1815" spans="22:25" x14ac:dyDescent="0.2">
      <c r="V1815" s="563"/>
      <c r="X1815" s="563"/>
      <c r="Y1815" s="563"/>
    </row>
    <row r="1816" spans="22:25" x14ac:dyDescent="0.2">
      <c r="V1816" s="563"/>
      <c r="X1816" s="563"/>
      <c r="Y1816" s="563"/>
    </row>
    <row r="1817" spans="22:25" x14ac:dyDescent="0.2">
      <c r="V1817" s="563"/>
      <c r="X1817" s="563"/>
      <c r="Y1817" s="563"/>
    </row>
    <row r="1818" spans="22:25" x14ac:dyDescent="0.2">
      <c r="V1818" s="563"/>
      <c r="X1818" s="563"/>
      <c r="Y1818" s="563"/>
    </row>
    <row r="1819" spans="22:25" x14ac:dyDescent="0.2">
      <c r="V1819" s="563"/>
      <c r="X1819" s="563"/>
      <c r="Y1819" s="563"/>
    </row>
    <row r="1820" spans="22:25" x14ac:dyDescent="0.2">
      <c r="V1820" s="563"/>
      <c r="X1820" s="563"/>
      <c r="Y1820" s="563"/>
    </row>
    <row r="1821" spans="22:25" x14ac:dyDescent="0.2">
      <c r="V1821" s="563"/>
      <c r="X1821" s="563"/>
      <c r="Y1821" s="563"/>
    </row>
    <row r="1822" spans="22:25" x14ac:dyDescent="0.2">
      <c r="V1822" s="563"/>
      <c r="X1822" s="563"/>
      <c r="Y1822" s="563"/>
    </row>
    <row r="1823" spans="22:25" x14ac:dyDescent="0.2">
      <c r="V1823" s="563"/>
      <c r="X1823" s="563"/>
      <c r="Y1823" s="563"/>
    </row>
    <row r="1824" spans="22:25" x14ac:dyDescent="0.2">
      <c r="V1824" s="563"/>
      <c r="X1824" s="563"/>
      <c r="Y1824" s="563"/>
    </row>
    <row r="1825" spans="22:25" x14ac:dyDescent="0.2">
      <c r="V1825" s="563"/>
      <c r="X1825" s="563"/>
      <c r="Y1825" s="563"/>
    </row>
    <row r="1826" spans="22:25" x14ac:dyDescent="0.2">
      <c r="V1826" s="563"/>
      <c r="X1826" s="563"/>
      <c r="Y1826" s="563"/>
    </row>
    <row r="1827" spans="22:25" x14ac:dyDescent="0.2">
      <c r="V1827" s="563"/>
      <c r="X1827" s="563"/>
      <c r="Y1827" s="563"/>
    </row>
    <row r="1828" spans="22:25" x14ac:dyDescent="0.2">
      <c r="V1828" s="563"/>
      <c r="X1828" s="563"/>
      <c r="Y1828" s="563"/>
    </row>
    <row r="1829" spans="22:25" x14ac:dyDescent="0.2">
      <c r="V1829" s="563"/>
      <c r="X1829" s="563"/>
      <c r="Y1829" s="563"/>
    </row>
    <row r="1830" spans="22:25" x14ac:dyDescent="0.2">
      <c r="V1830" s="563"/>
      <c r="X1830" s="563"/>
      <c r="Y1830" s="563"/>
    </row>
    <row r="1831" spans="22:25" x14ac:dyDescent="0.2">
      <c r="V1831" s="563"/>
      <c r="X1831" s="563"/>
      <c r="Y1831" s="563"/>
    </row>
    <row r="1832" spans="22:25" x14ac:dyDescent="0.2">
      <c r="V1832" s="563"/>
      <c r="X1832" s="563"/>
      <c r="Y1832" s="563"/>
    </row>
    <row r="1833" spans="22:25" x14ac:dyDescent="0.2">
      <c r="V1833" s="563"/>
      <c r="X1833" s="563"/>
      <c r="Y1833" s="563"/>
    </row>
    <row r="1834" spans="22:25" x14ac:dyDescent="0.2">
      <c r="V1834" s="563"/>
      <c r="X1834" s="563"/>
      <c r="Y1834" s="563"/>
    </row>
    <row r="1835" spans="22:25" x14ac:dyDescent="0.2">
      <c r="V1835" s="563"/>
      <c r="X1835" s="563"/>
      <c r="Y1835" s="563"/>
    </row>
    <row r="1836" spans="22:25" x14ac:dyDescent="0.2">
      <c r="V1836" s="563"/>
      <c r="X1836" s="563"/>
      <c r="Y1836" s="563"/>
    </row>
    <row r="1837" spans="22:25" x14ac:dyDescent="0.2">
      <c r="V1837" s="563"/>
      <c r="X1837" s="563"/>
      <c r="Y1837" s="563"/>
    </row>
    <row r="1838" spans="22:25" x14ac:dyDescent="0.2">
      <c r="V1838" s="563"/>
      <c r="X1838" s="563"/>
      <c r="Y1838" s="563"/>
    </row>
    <row r="1839" spans="22:25" x14ac:dyDescent="0.2">
      <c r="V1839" s="563"/>
      <c r="X1839" s="563"/>
      <c r="Y1839" s="563"/>
    </row>
    <row r="1840" spans="22:25" x14ac:dyDescent="0.2">
      <c r="V1840" s="563"/>
      <c r="X1840" s="563"/>
      <c r="Y1840" s="563"/>
    </row>
    <row r="1841" spans="22:25" x14ac:dyDescent="0.2">
      <c r="V1841" s="563"/>
      <c r="X1841" s="563"/>
      <c r="Y1841" s="563"/>
    </row>
    <row r="1842" spans="22:25" x14ac:dyDescent="0.2">
      <c r="V1842" s="563"/>
      <c r="X1842" s="563"/>
      <c r="Y1842" s="563"/>
    </row>
    <row r="1843" spans="22:25" x14ac:dyDescent="0.2">
      <c r="V1843" s="563"/>
      <c r="X1843" s="563"/>
      <c r="Y1843" s="563"/>
    </row>
    <row r="1844" spans="22:25" x14ac:dyDescent="0.2">
      <c r="V1844" s="563"/>
      <c r="X1844" s="563"/>
      <c r="Y1844" s="563"/>
    </row>
    <row r="1845" spans="22:25" x14ac:dyDescent="0.2">
      <c r="V1845" s="563"/>
      <c r="X1845" s="563"/>
      <c r="Y1845" s="563"/>
    </row>
    <row r="1846" spans="22:25" x14ac:dyDescent="0.2">
      <c r="V1846" s="563"/>
      <c r="X1846" s="563"/>
      <c r="Y1846" s="563"/>
    </row>
    <row r="1847" spans="22:25" x14ac:dyDescent="0.2">
      <c r="V1847" s="563"/>
      <c r="X1847" s="563"/>
      <c r="Y1847" s="563"/>
    </row>
    <row r="1848" spans="22:25" x14ac:dyDescent="0.2">
      <c r="V1848" s="563"/>
      <c r="X1848" s="563"/>
      <c r="Y1848" s="563"/>
    </row>
    <row r="1849" spans="22:25" x14ac:dyDescent="0.2">
      <c r="V1849" s="563"/>
      <c r="X1849" s="563"/>
      <c r="Y1849" s="563"/>
    </row>
    <row r="1850" spans="22:25" x14ac:dyDescent="0.2">
      <c r="V1850" s="563"/>
      <c r="X1850" s="563"/>
      <c r="Y1850" s="563"/>
    </row>
    <row r="1851" spans="22:25" x14ac:dyDescent="0.2">
      <c r="V1851" s="563"/>
      <c r="X1851" s="563"/>
      <c r="Y1851" s="563"/>
    </row>
    <row r="1852" spans="22:25" x14ac:dyDescent="0.2">
      <c r="V1852" s="563"/>
      <c r="X1852" s="563"/>
      <c r="Y1852" s="563"/>
    </row>
    <row r="1853" spans="22:25" x14ac:dyDescent="0.2">
      <c r="V1853" s="563"/>
      <c r="X1853" s="563"/>
      <c r="Y1853" s="563"/>
    </row>
    <row r="1854" spans="22:25" x14ac:dyDescent="0.2">
      <c r="V1854" s="563"/>
      <c r="X1854" s="563"/>
      <c r="Y1854" s="563"/>
    </row>
    <row r="1855" spans="22:25" x14ac:dyDescent="0.2">
      <c r="V1855" s="563"/>
      <c r="X1855" s="563"/>
      <c r="Y1855" s="563"/>
    </row>
    <row r="1856" spans="22:25" x14ac:dyDescent="0.2">
      <c r="V1856" s="563"/>
      <c r="X1856" s="563"/>
      <c r="Y1856" s="563"/>
    </row>
    <row r="1857" spans="22:25" x14ac:dyDescent="0.2">
      <c r="V1857" s="563"/>
      <c r="X1857" s="563"/>
      <c r="Y1857" s="563"/>
    </row>
    <row r="1858" spans="22:25" x14ac:dyDescent="0.2">
      <c r="V1858" s="563"/>
      <c r="X1858" s="563"/>
      <c r="Y1858" s="563"/>
    </row>
    <row r="1859" spans="22:25" x14ac:dyDescent="0.2">
      <c r="V1859" s="563"/>
      <c r="X1859" s="563"/>
      <c r="Y1859" s="563"/>
    </row>
    <row r="1860" spans="22:25" x14ac:dyDescent="0.2">
      <c r="V1860" s="563"/>
      <c r="X1860" s="563"/>
      <c r="Y1860" s="563"/>
    </row>
    <row r="1861" spans="22:25" x14ac:dyDescent="0.2">
      <c r="V1861" s="563"/>
      <c r="X1861" s="563"/>
      <c r="Y1861" s="563"/>
    </row>
    <row r="1862" spans="22:25" x14ac:dyDescent="0.2">
      <c r="V1862" s="563"/>
      <c r="X1862" s="563"/>
      <c r="Y1862" s="563"/>
    </row>
    <row r="1863" spans="22:25" x14ac:dyDescent="0.2">
      <c r="V1863" s="563"/>
      <c r="X1863" s="563"/>
      <c r="Y1863" s="563"/>
    </row>
    <row r="1864" spans="22:25" x14ac:dyDescent="0.2">
      <c r="V1864" s="563"/>
      <c r="X1864" s="563"/>
      <c r="Y1864" s="563"/>
    </row>
    <row r="1865" spans="22:25" x14ac:dyDescent="0.2">
      <c r="V1865" s="563"/>
      <c r="X1865" s="563"/>
      <c r="Y1865" s="563"/>
    </row>
    <row r="1866" spans="22:25" x14ac:dyDescent="0.2">
      <c r="V1866" s="563"/>
      <c r="X1866" s="563"/>
      <c r="Y1866" s="563"/>
    </row>
    <row r="1867" spans="22:25" x14ac:dyDescent="0.2">
      <c r="V1867" s="563"/>
      <c r="X1867" s="563"/>
      <c r="Y1867" s="563"/>
    </row>
    <row r="1868" spans="22:25" x14ac:dyDescent="0.2">
      <c r="V1868" s="563"/>
      <c r="X1868" s="563"/>
      <c r="Y1868" s="563"/>
    </row>
    <row r="1869" spans="22:25" x14ac:dyDescent="0.2">
      <c r="V1869" s="563"/>
      <c r="X1869" s="563"/>
      <c r="Y1869" s="563"/>
    </row>
    <row r="1870" spans="22:25" x14ac:dyDescent="0.2">
      <c r="V1870" s="563"/>
      <c r="X1870" s="563"/>
      <c r="Y1870" s="563"/>
    </row>
    <row r="1871" spans="22:25" x14ac:dyDescent="0.2">
      <c r="V1871" s="563"/>
      <c r="X1871" s="563"/>
      <c r="Y1871" s="563"/>
    </row>
    <row r="1872" spans="22:25" x14ac:dyDescent="0.2">
      <c r="V1872" s="563"/>
      <c r="X1872" s="563"/>
      <c r="Y1872" s="563"/>
    </row>
    <row r="1873" spans="22:25" x14ac:dyDescent="0.2">
      <c r="V1873" s="563"/>
      <c r="X1873" s="563"/>
      <c r="Y1873" s="563"/>
    </row>
    <row r="1874" spans="22:25" x14ac:dyDescent="0.2">
      <c r="V1874" s="563"/>
      <c r="X1874" s="563"/>
      <c r="Y1874" s="563"/>
    </row>
    <row r="1875" spans="22:25" x14ac:dyDescent="0.2">
      <c r="V1875" s="563"/>
      <c r="X1875" s="563"/>
      <c r="Y1875" s="563"/>
    </row>
    <row r="1876" spans="22:25" x14ac:dyDescent="0.2">
      <c r="V1876" s="563"/>
      <c r="X1876" s="563"/>
      <c r="Y1876" s="563"/>
    </row>
    <row r="1877" spans="22:25" x14ac:dyDescent="0.2">
      <c r="V1877" s="563"/>
      <c r="X1877" s="563"/>
      <c r="Y1877" s="563"/>
    </row>
    <row r="1878" spans="22:25" x14ac:dyDescent="0.2">
      <c r="V1878" s="563"/>
      <c r="X1878" s="563"/>
      <c r="Y1878" s="563"/>
    </row>
    <row r="1879" spans="22:25" x14ac:dyDescent="0.2">
      <c r="V1879" s="563"/>
      <c r="X1879" s="563"/>
      <c r="Y1879" s="563"/>
    </row>
    <row r="1880" spans="22:25" x14ac:dyDescent="0.2">
      <c r="V1880" s="563"/>
      <c r="X1880" s="563"/>
      <c r="Y1880" s="563"/>
    </row>
    <row r="1881" spans="22:25" x14ac:dyDescent="0.2">
      <c r="V1881" s="563"/>
      <c r="X1881" s="563"/>
      <c r="Y1881" s="563"/>
    </row>
    <row r="1882" spans="22:25" x14ac:dyDescent="0.2">
      <c r="V1882" s="563"/>
      <c r="X1882" s="563"/>
      <c r="Y1882" s="563"/>
    </row>
    <row r="1883" spans="22:25" x14ac:dyDescent="0.2">
      <c r="V1883" s="563"/>
      <c r="X1883" s="563"/>
      <c r="Y1883" s="563"/>
    </row>
    <row r="1884" spans="22:25" x14ac:dyDescent="0.2">
      <c r="V1884" s="563"/>
      <c r="X1884" s="563"/>
      <c r="Y1884" s="563"/>
    </row>
    <row r="1885" spans="22:25" x14ac:dyDescent="0.2">
      <c r="V1885" s="563"/>
      <c r="X1885" s="563"/>
      <c r="Y1885" s="563"/>
    </row>
    <row r="1886" spans="22:25" x14ac:dyDescent="0.2">
      <c r="V1886" s="563"/>
      <c r="X1886" s="563"/>
      <c r="Y1886" s="563"/>
    </row>
    <row r="1887" spans="22:25" x14ac:dyDescent="0.2">
      <c r="V1887" s="563"/>
      <c r="X1887" s="563"/>
      <c r="Y1887" s="563"/>
    </row>
    <row r="1888" spans="22:25" x14ac:dyDescent="0.2">
      <c r="V1888" s="563"/>
      <c r="X1888" s="563"/>
      <c r="Y1888" s="563"/>
    </row>
    <row r="1889" spans="22:25" x14ac:dyDescent="0.2">
      <c r="V1889" s="563"/>
      <c r="X1889" s="563"/>
      <c r="Y1889" s="563"/>
    </row>
    <row r="1890" spans="22:25" x14ac:dyDescent="0.2">
      <c r="V1890" s="563"/>
      <c r="X1890" s="563"/>
      <c r="Y1890" s="563"/>
    </row>
    <row r="1891" spans="22:25" x14ac:dyDescent="0.2">
      <c r="V1891" s="563"/>
      <c r="X1891" s="563"/>
      <c r="Y1891" s="563"/>
    </row>
    <row r="1892" spans="22:25" x14ac:dyDescent="0.2">
      <c r="V1892" s="563"/>
      <c r="X1892" s="563"/>
      <c r="Y1892" s="563"/>
    </row>
    <row r="1893" spans="22:25" x14ac:dyDescent="0.2">
      <c r="V1893" s="563"/>
      <c r="X1893" s="563"/>
      <c r="Y1893" s="563"/>
    </row>
    <row r="1894" spans="22:25" x14ac:dyDescent="0.2">
      <c r="V1894" s="563"/>
      <c r="X1894" s="563"/>
      <c r="Y1894" s="563"/>
    </row>
    <row r="1895" spans="22:25" x14ac:dyDescent="0.2">
      <c r="V1895" s="563"/>
      <c r="X1895" s="563"/>
      <c r="Y1895" s="563"/>
    </row>
    <row r="1896" spans="22:25" x14ac:dyDescent="0.2">
      <c r="V1896" s="563"/>
      <c r="X1896" s="563"/>
      <c r="Y1896" s="563"/>
    </row>
    <row r="1897" spans="22:25" x14ac:dyDescent="0.2">
      <c r="V1897" s="563"/>
      <c r="X1897" s="563"/>
      <c r="Y1897" s="563"/>
    </row>
    <row r="1898" spans="22:25" x14ac:dyDescent="0.2">
      <c r="V1898" s="563"/>
      <c r="X1898" s="563"/>
      <c r="Y1898" s="563"/>
    </row>
    <row r="1899" spans="22:25" x14ac:dyDescent="0.2">
      <c r="V1899" s="563"/>
      <c r="X1899" s="563"/>
      <c r="Y1899" s="563"/>
    </row>
    <row r="1900" spans="22:25" x14ac:dyDescent="0.2">
      <c r="V1900" s="563"/>
      <c r="X1900" s="563"/>
      <c r="Y1900" s="563"/>
    </row>
    <row r="1901" spans="22:25" x14ac:dyDescent="0.2">
      <c r="V1901" s="563"/>
      <c r="X1901" s="563"/>
      <c r="Y1901" s="563"/>
    </row>
    <row r="1902" spans="22:25" x14ac:dyDescent="0.2">
      <c r="V1902" s="563"/>
      <c r="X1902" s="563"/>
      <c r="Y1902" s="563"/>
    </row>
    <row r="1903" spans="22:25" x14ac:dyDescent="0.2">
      <c r="V1903" s="563"/>
      <c r="X1903" s="563"/>
      <c r="Y1903" s="563"/>
    </row>
    <row r="1904" spans="22:25" x14ac:dyDescent="0.2">
      <c r="V1904" s="563"/>
      <c r="X1904" s="563"/>
      <c r="Y1904" s="563"/>
    </row>
    <row r="1905" spans="22:25" x14ac:dyDescent="0.2">
      <c r="V1905" s="563"/>
      <c r="X1905" s="563"/>
      <c r="Y1905" s="563"/>
    </row>
    <row r="1906" spans="22:25" x14ac:dyDescent="0.2">
      <c r="V1906" s="563"/>
      <c r="X1906" s="563"/>
      <c r="Y1906" s="563"/>
    </row>
    <row r="1907" spans="22:25" x14ac:dyDescent="0.2">
      <c r="V1907" s="563"/>
      <c r="X1907" s="563"/>
      <c r="Y1907" s="563"/>
    </row>
    <row r="1908" spans="22:25" x14ac:dyDescent="0.2">
      <c r="V1908" s="563"/>
      <c r="X1908" s="563"/>
      <c r="Y1908" s="563"/>
    </row>
    <row r="1909" spans="22:25" x14ac:dyDescent="0.2">
      <c r="V1909" s="563"/>
      <c r="X1909" s="563"/>
      <c r="Y1909" s="563"/>
    </row>
    <row r="1910" spans="22:25" x14ac:dyDescent="0.2">
      <c r="V1910" s="563"/>
      <c r="X1910" s="563"/>
      <c r="Y1910" s="563"/>
    </row>
    <row r="1911" spans="22:25" x14ac:dyDescent="0.2">
      <c r="V1911" s="563"/>
      <c r="X1911" s="563"/>
      <c r="Y1911" s="563"/>
    </row>
    <row r="1912" spans="22:25" x14ac:dyDescent="0.2">
      <c r="V1912" s="563"/>
      <c r="X1912" s="563"/>
      <c r="Y1912" s="563"/>
    </row>
    <row r="1913" spans="22:25" x14ac:dyDescent="0.2">
      <c r="V1913" s="563"/>
      <c r="X1913" s="563"/>
      <c r="Y1913" s="563"/>
    </row>
    <row r="1914" spans="22:25" x14ac:dyDescent="0.2">
      <c r="V1914" s="563"/>
      <c r="X1914" s="563"/>
      <c r="Y1914" s="563"/>
    </row>
    <row r="1915" spans="22:25" x14ac:dyDescent="0.2">
      <c r="V1915" s="563"/>
      <c r="X1915" s="563"/>
      <c r="Y1915" s="563"/>
    </row>
    <row r="1916" spans="22:25" x14ac:dyDescent="0.2">
      <c r="V1916" s="563"/>
      <c r="X1916" s="563"/>
      <c r="Y1916" s="563"/>
    </row>
    <row r="1917" spans="22:25" x14ac:dyDescent="0.2">
      <c r="V1917" s="563"/>
      <c r="X1917" s="563"/>
      <c r="Y1917" s="563"/>
    </row>
    <row r="1918" spans="22:25" x14ac:dyDescent="0.2">
      <c r="V1918" s="563"/>
      <c r="X1918" s="563"/>
      <c r="Y1918" s="563"/>
    </row>
    <row r="1919" spans="22:25" x14ac:dyDescent="0.2">
      <c r="V1919" s="563"/>
      <c r="X1919" s="563"/>
      <c r="Y1919" s="563"/>
    </row>
    <row r="1920" spans="22:25" x14ac:dyDescent="0.2">
      <c r="V1920" s="563"/>
      <c r="X1920" s="563"/>
      <c r="Y1920" s="563"/>
    </row>
    <row r="1921" spans="22:25" x14ac:dyDescent="0.2">
      <c r="V1921" s="563"/>
      <c r="X1921" s="563"/>
      <c r="Y1921" s="563"/>
    </row>
    <row r="1922" spans="22:25" x14ac:dyDescent="0.2">
      <c r="V1922" s="563"/>
      <c r="X1922" s="563"/>
      <c r="Y1922" s="563"/>
    </row>
    <row r="1923" spans="22:25" x14ac:dyDescent="0.2">
      <c r="V1923" s="563"/>
      <c r="X1923" s="563"/>
      <c r="Y1923" s="563"/>
    </row>
    <row r="1924" spans="22:25" x14ac:dyDescent="0.2">
      <c r="V1924" s="563"/>
      <c r="X1924" s="563"/>
      <c r="Y1924" s="563"/>
    </row>
    <row r="1925" spans="22:25" x14ac:dyDescent="0.2">
      <c r="V1925" s="563"/>
      <c r="X1925" s="563"/>
      <c r="Y1925" s="563"/>
    </row>
    <row r="1926" spans="22:25" x14ac:dyDescent="0.2">
      <c r="V1926" s="563"/>
      <c r="X1926" s="563"/>
      <c r="Y1926" s="563"/>
    </row>
    <row r="1927" spans="22:25" x14ac:dyDescent="0.2">
      <c r="V1927" s="563"/>
      <c r="X1927" s="563"/>
      <c r="Y1927" s="563"/>
    </row>
    <row r="1928" spans="22:25" x14ac:dyDescent="0.2">
      <c r="V1928" s="563"/>
      <c r="X1928" s="563"/>
      <c r="Y1928" s="563"/>
    </row>
    <row r="1929" spans="22:25" x14ac:dyDescent="0.2">
      <c r="V1929" s="563"/>
      <c r="X1929" s="563"/>
      <c r="Y1929" s="563"/>
    </row>
    <row r="1930" spans="22:25" x14ac:dyDescent="0.2">
      <c r="V1930" s="563"/>
      <c r="X1930" s="563"/>
      <c r="Y1930" s="563"/>
    </row>
    <row r="1931" spans="22:25" x14ac:dyDescent="0.2">
      <c r="V1931" s="563"/>
      <c r="X1931" s="563"/>
      <c r="Y1931" s="563"/>
    </row>
    <row r="1932" spans="22:25" x14ac:dyDescent="0.2">
      <c r="V1932" s="563"/>
      <c r="X1932" s="563"/>
      <c r="Y1932" s="563"/>
    </row>
    <row r="1933" spans="22:25" x14ac:dyDescent="0.2">
      <c r="V1933" s="563"/>
      <c r="X1933" s="563"/>
      <c r="Y1933" s="563"/>
    </row>
    <row r="1934" spans="22:25" x14ac:dyDescent="0.2">
      <c r="V1934" s="563"/>
      <c r="X1934" s="563"/>
      <c r="Y1934" s="563"/>
    </row>
    <row r="1935" spans="22:25" x14ac:dyDescent="0.2">
      <c r="V1935" s="563"/>
      <c r="X1935" s="563"/>
      <c r="Y1935" s="563"/>
    </row>
    <row r="1936" spans="22:25" x14ac:dyDescent="0.2">
      <c r="V1936" s="563"/>
      <c r="X1936" s="563"/>
      <c r="Y1936" s="563"/>
    </row>
    <row r="1937" spans="22:25" x14ac:dyDescent="0.2">
      <c r="V1937" s="563"/>
      <c r="X1937" s="563"/>
      <c r="Y1937" s="563"/>
    </row>
    <row r="1938" spans="22:25" x14ac:dyDescent="0.2">
      <c r="V1938" s="563"/>
      <c r="X1938" s="563"/>
      <c r="Y1938" s="563"/>
    </row>
    <row r="1939" spans="22:25" x14ac:dyDescent="0.2">
      <c r="V1939" s="563"/>
      <c r="X1939" s="563"/>
      <c r="Y1939" s="563"/>
    </row>
    <row r="1940" spans="22:25" x14ac:dyDescent="0.2">
      <c r="V1940" s="563"/>
      <c r="X1940" s="563"/>
      <c r="Y1940" s="563"/>
    </row>
    <row r="1941" spans="22:25" x14ac:dyDescent="0.2">
      <c r="V1941" s="563"/>
      <c r="X1941" s="563"/>
      <c r="Y1941" s="563"/>
    </row>
    <row r="1942" spans="22:25" x14ac:dyDescent="0.2">
      <c r="V1942" s="563"/>
      <c r="X1942" s="563"/>
      <c r="Y1942" s="563"/>
    </row>
    <row r="1943" spans="22:25" x14ac:dyDescent="0.2">
      <c r="V1943" s="563"/>
      <c r="X1943" s="563"/>
      <c r="Y1943" s="563"/>
    </row>
    <row r="1944" spans="22:25" x14ac:dyDescent="0.2">
      <c r="V1944" s="563"/>
      <c r="X1944" s="563"/>
      <c r="Y1944" s="563"/>
    </row>
    <row r="1945" spans="22:25" x14ac:dyDescent="0.2">
      <c r="V1945" s="563"/>
      <c r="X1945" s="563"/>
      <c r="Y1945" s="563"/>
    </row>
    <row r="1946" spans="22:25" x14ac:dyDescent="0.2">
      <c r="V1946" s="563"/>
      <c r="X1946" s="563"/>
      <c r="Y1946" s="563"/>
    </row>
    <row r="1947" spans="22:25" x14ac:dyDescent="0.2">
      <c r="V1947" s="563"/>
      <c r="X1947" s="563"/>
      <c r="Y1947" s="563"/>
    </row>
    <row r="1948" spans="22:25" x14ac:dyDescent="0.2">
      <c r="V1948" s="563"/>
      <c r="X1948" s="563"/>
      <c r="Y1948" s="563"/>
    </row>
    <row r="1949" spans="22:25" x14ac:dyDescent="0.2">
      <c r="V1949" s="563"/>
      <c r="X1949" s="563"/>
      <c r="Y1949" s="563"/>
    </row>
    <row r="1950" spans="22:25" x14ac:dyDescent="0.2">
      <c r="V1950" s="563"/>
      <c r="X1950" s="563"/>
      <c r="Y1950" s="563"/>
    </row>
    <row r="1951" spans="22:25" x14ac:dyDescent="0.2">
      <c r="V1951" s="563"/>
      <c r="X1951" s="563"/>
      <c r="Y1951" s="563"/>
    </row>
    <row r="1952" spans="22:25" x14ac:dyDescent="0.2">
      <c r="V1952" s="563"/>
      <c r="X1952" s="563"/>
      <c r="Y1952" s="563"/>
    </row>
    <row r="1953" spans="22:25" x14ac:dyDescent="0.2">
      <c r="V1953" s="563"/>
      <c r="X1953" s="563"/>
      <c r="Y1953" s="563"/>
    </row>
    <row r="1954" spans="22:25" x14ac:dyDescent="0.2">
      <c r="V1954" s="563"/>
      <c r="X1954" s="563"/>
      <c r="Y1954" s="563"/>
    </row>
    <row r="1955" spans="22:25" x14ac:dyDescent="0.2">
      <c r="V1955" s="563"/>
      <c r="X1955" s="563"/>
      <c r="Y1955" s="563"/>
    </row>
    <row r="1956" spans="22:25" x14ac:dyDescent="0.2">
      <c r="V1956" s="563"/>
      <c r="X1956" s="563"/>
      <c r="Y1956" s="563"/>
    </row>
    <row r="1957" spans="22:25" x14ac:dyDescent="0.2">
      <c r="V1957" s="563"/>
      <c r="X1957" s="563"/>
      <c r="Y1957" s="563"/>
    </row>
    <row r="1958" spans="22:25" x14ac:dyDescent="0.2">
      <c r="V1958" s="563"/>
      <c r="X1958" s="563"/>
      <c r="Y1958" s="563"/>
    </row>
    <row r="1959" spans="22:25" x14ac:dyDescent="0.2">
      <c r="V1959" s="563"/>
      <c r="X1959" s="563"/>
      <c r="Y1959" s="563"/>
    </row>
    <row r="1960" spans="22:25" x14ac:dyDescent="0.2">
      <c r="V1960" s="563"/>
      <c r="X1960" s="563"/>
      <c r="Y1960" s="563"/>
    </row>
    <row r="1961" spans="22:25" x14ac:dyDescent="0.2">
      <c r="V1961" s="563"/>
      <c r="X1961" s="563"/>
      <c r="Y1961" s="563"/>
    </row>
    <row r="1962" spans="22:25" x14ac:dyDescent="0.2">
      <c r="V1962" s="563"/>
      <c r="X1962" s="563"/>
      <c r="Y1962" s="563"/>
    </row>
    <row r="1963" spans="22:25" x14ac:dyDescent="0.2">
      <c r="V1963" s="563"/>
      <c r="X1963" s="563"/>
      <c r="Y1963" s="563"/>
    </row>
    <row r="1964" spans="22:25" x14ac:dyDescent="0.2">
      <c r="V1964" s="563"/>
      <c r="X1964" s="563"/>
      <c r="Y1964" s="563"/>
    </row>
    <row r="1965" spans="22:25" x14ac:dyDescent="0.2">
      <c r="V1965" s="563"/>
      <c r="X1965" s="563"/>
      <c r="Y1965" s="563"/>
    </row>
    <row r="1966" spans="22:25" x14ac:dyDescent="0.2">
      <c r="V1966" s="563"/>
      <c r="X1966" s="563"/>
      <c r="Y1966" s="563"/>
    </row>
    <row r="1967" spans="22:25" x14ac:dyDescent="0.2">
      <c r="V1967" s="563"/>
      <c r="X1967" s="563"/>
      <c r="Y1967" s="563"/>
    </row>
    <row r="1968" spans="22:25" x14ac:dyDescent="0.2">
      <c r="V1968" s="563"/>
      <c r="X1968" s="563"/>
      <c r="Y1968" s="563"/>
    </row>
    <row r="1969" spans="22:25" x14ac:dyDescent="0.2">
      <c r="V1969" s="563"/>
      <c r="X1969" s="563"/>
      <c r="Y1969" s="563"/>
    </row>
    <row r="1970" spans="22:25" x14ac:dyDescent="0.2">
      <c r="V1970" s="563"/>
      <c r="X1970" s="563"/>
      <c r="Y1970" s="563"/>
    </row>
    <row r="1971" spans="22:25" x14ac:dyDescent="0.2">
      <c r="V1971" s="563"/>
      <c r="X1971" s="563"/>
      <c r="Y1971" s="563"/>
    </row>
    <row r="1972" spans="22:25" x14ac:dyDescent="0.2">
      <c r="V1972" s="563"/>
      <c r="X1972" s="563"/>
      <c r="Y1972" s="563"/>
    </row>
    <row r="1973" spans="22:25" x14ac:dyDescent="0.2">
      <c r="V1973" s="563"/>
      <c r="X1973" s="563"/>
      <c r="Y1973" s="563"/>
    </row>
    <row r="1974" spans="22:25" x14ac:dyDescent="0.2">
      <c r="V1974" s="563"/>
      <c r="X1974" s="563"/>
      <c r="Y1974" s="563"/>
    </row>
    <row r="1975" spans="22:25" x14ac:dyDescent="0.2">
      <c r="V1975" s="563"/>
      <c r="X1975" s="563"/>
      <c r="Y1975" s="563"/>
    </row>
    <row r="1976" spans="22:25" x14ac:dyDescent="0.2">
      <c r="V1976" s="563"/>
      <c r="X1976" s="563"/>
      <c r="Y1976" s="563"/>
    </row>
    <row r="1977" spans="22:25" x14ac:dyDescent="0.2">
      <c r="V1977" s="563"/>
      <c r="X1977" s="563"/>
      <c r="Y1977" s="563"/>
    </row>
    <row r="1978" spans="22:25" x14ac:dyDescent="0.2">
      <c r="V1978" s="563"/>
      <c r="X1978" s="563"/>
      <c r="Y1978" s="563"/>
    </row>
    <row r="1979" spans="22:25" x14ac:dyDescent="0.2">
      <c r="V1979" s="563"/>
      <c r="X1979" s="563"/>
      <c r="Y1979" s="563"/>
    </row>
    <row r="1980" spans="22:25" x14ac:dyDescent="0.2">
      <c r="V1980" s="563"/>
      <c r="X1980" s="563"/>
      <c r="Y1980" s="563"/>
    </row>
    <row r="1981" spans="22:25" x14ac:dyDescent="0.2">
      <c r="V1981" s="563"/>
      <c r="X1981" s="563"/>
      <c r="Y1981" s="563"/>
    </row>
    <row r="1982" spans="22:25" x14ac:dyDescent="0.2">
      <c r="V1982" s="563"/>
      <c r="X1982" s="563"/>
      <c r="Y1982" s="563"/>
    </row>
    <row r="1983" spans="22:25" x14ac:dyDescent="0.2">
      <c r="V1983" s="563"/>
      <c r="X1983" s="563"/>
      <c r="Y1983" s="563"/>
    </row>
    <row r="1984" spans="22:25" x14ac:dyDescent="0.2">
      <c r="V1984" s="563"/>
      <c r="X1984" s="563"/>
      <c r="Y1984" s="563"/>
    </row>
    <row r="1985" spans="22:25" x14ac:dyDescent="0.2">
      <c r="V1985" s="563"/>
      <c r="X1985" s="563"/>
      <c r="Y1985" s="563"/>
    </row>
    <row r="1986" spans="22:25" x14ac:dyDescent="0.2">
      <c r="V1986" s="563"/>
      <c r="X1986" s="563"/>
      <c r="Y1986" s="563"/>
    </row>
    <row r="1987" spans="22:25" x14ac:dyDescent="0.2">
      <c r="V1987" s="563"/>
      <c r="X1987" s="563"/>
      <c r="Y1987" s="563"/>
    </row>
    <row r="1988" spans="22:25" x14ac:dyDescent="0.2">
      <c r="V1988" s="563"/>
      <c r="X1988" s="563"/>
      <c r="Y1988" s="563"/>
    </row>
    <row r="1989" spans="22:25" x14ac:dyDescent="0.2">
      <c r="V1989" s="563"/>
      <c r="X1989" s="563"/>
      <c r="Y1989" s="563"/>
    </row>
    <row r="1990" spans="22:25" x14ac:dyDescent="0.2">
      <c r="V1990" s="563"/>
      <c r="X1990" s="563"/>
      <c r="Y1990" s="563"/>
    </row>
    <row r="1991" spans="22:25" x14ac:dyDescent="0.2">
      <c r="V1991" s="563"/>
      <c r="X1991" s="563"/>
      <c r="Y1991" s="563"/>
    </row>
    <row r="1992" spans="22:25" x14ac:dyDescent="0.2">
      <c r="V1992" s="563"/>
      <c r="X1992" s="563"/>
      <c r="Y1992" s="563"/>
    </row>
    <row r="1993" spans="22:25" x14ac:dyDescent="0.2">
      <c r="V1993" s="563"/>
      <c r="X1993" s="563"/>
      <c r="Y1993" s="563"/>
    </row>
    <row r="1994" spans="22:25" x14ac:dyDescent="0.2">
      <c r="V1994" s="563"/>
      <c r="X1994" s="563"/>
      <c r="Y1994" s="563"/>
    </row>
    <row r="1995" spans="22:25" x14ac:dyDescent="0.2">
      <c r="V1995" s="563"/>
      <c r="X1995" s="563"/>
      <c r="Y1995" s="563"/>
    </row>
    <row r="1996" spans="22:25" x14ac:dyDescent="0.2">
      <c r="V1996" s="563"/>
      <c r="X1996" s="563"/>
      <c r="Y1996" s="563"/>
    </row>
    <row r="1997" spans="22:25" x14ac:dyDescent="0.2">
      <c r="V1997" s="563"/>
      <c r="X1997" s="563"/>
      <c r="Y1997" s="563"/>
    </row>
    <row r="1998" spans="22:25" x14ac:dyDescent="0.2">
      <c r="V1998" s="563"/>
      <c r="X1998" s="563"/>
      <c r="Y1998" s="563"/>
    </row>
    <row r="1999" spans="22:25" x14ac:dyDescent="0.2">
      <c r="V1999" s="563"/>
      <c r="X1999" s="563"/>
      <c r="Y1999" s="563"/>
    </row>
    <row r="2000" spans="22:25" x14ac:dyDescent="0.2">
      <c r="V2000" s="563"/>
      <c r="X2000" s="563"/>
      <c r="Y2000" s="563"/>
    </row>
    <row r="2001" spans="22:25" x14ac:dyDescent="0.2">
      <c r="V2001" s="563"/>
      <c r="X2001" s="563"/>
      <c r="Y2001" s="563"/>
    </row>
    <row r="2002" spans="22:25" x14ac:dyDescent="0.2">
      <c r="V2002" s="563"/>
      <c r="X2002" s="563"/>
      <c r="Y2002" s="563"/>
    </row>
    <row r="2003" spans="22:25" x14ac:dyDescent="0.2">
      <c r="V2003" s="563"/>
      <c r="X2003" s="563"/>
      <c r="Y2003" s="563"/>
    </row>
    <row r="2004" spans="22:25" x14ac:dyDescent="0.2">
      <c r="V2004" s="563"/>
      <c r="X2004" s="563"/>
      <c r="Y2004" s="563"/>
    </row>
    <row r="2005" spans="22:25" x14ac:dyDescent="0.2">
      <c r="V2005" s="563"/>
      <c r="X2005" s="563"/>
      <c r="Y2005" s="563"/>
    </row>
    <row r="2006" spans="22:25" x14ac:dyDescent="0.2">
      <c r="V2006" s="563"/>
      <c r="X2006" s="563"/>
      <c r="Y2006" s="563"/>
    </row>
    <row r="2007" spans="22:25" x14ac:dyDescent="0.2">
      <c r="V2007" s="563"/>
      <c r="X2007" s="563"/>
      <c r="Y2007" s="563"/>
    </row>
    <row r="2008" spans="22:25" x14ac:dyDescent="0.2">
      <c r="V2008" s="563"/>
      <c r="X2008" s="563"/>
      <c r="Y2008" s="563"/>
    </row>
    <row r="2009" spans="22:25" x14ac:dyDescent="0.2">
      <c r="V2009" s="563"/>
      <c r="X2009" s="563"/>
      <c r="Y2009" s="563"/>
    </row>
    <row r="2010" spans="22:25" x14ac:dyDescent="0.2">
      <c r="V2010" s="563"/>
      <c r="X2010" s="563"/>
      <c r="Y2010" s="563"/>
    </row>
    <row r="2011" spans="22:25" x14ac:dyDescent="0.2">
      <c r="V2011" s="563"/>
      <c r="X2011" s="563"/>
      <c r="Y2011" s="563"/>
    </row>
    <row r="2012" spans="22:25" x14ac:dyDescent="0.2">
      <c r="V2012" s="563"/>
      <c r="X2012" s="563"/>
      <c r="Y2012" s="563"/>
    </row>
    <row r="2013" spans="22:25" x14ac:dyDescent="0.2">
      <c r="V2013" s="563"/>
      <c r="X2013" s="563"/>
      <c r="Y2013" s="563"/>
    </row>
    <row r="2014" spans="22:25" x14ac:dyDescent="0.2">
      <c r="V2014" s="563"/>
      <c r="X2014" s="563"/>
      <c r="Y2014" s="563"/>
    </row>
    <row r="2015" spans="22:25" x14ac:dyDescent="0.2">
      <c r="V2015" s="563"/>
      <c r="X2015" s="563"/>
      <c r="Y2015" s="563"/>
    </row>
    <row r="2016" spans="22:25" x14ac:dyDescent="0.2">
      <c r="V2016" s="563"/>
      <c r="X2016" s="563"/>
      <c r="Y2016" s="563"/>
    </row>
    <row r="2017" spans="22:25" x14ac:dyDescent="0.2">
      <c r="V2017" s="563"/>
      <c r="X2017" s="563"/>
      <c r="Y2017" s="563"/>
    </row>
    <row r="2018" spans="22:25" x14ac:dyDescent="0.2">
      <c r="V2018" s="563"/>
      <c r="X2018" s="563"/>
      <c r="Y2018" s="563"/>
    </row>
    <row r="2019" spans="22:25" x14ac:dyDescent="0.2">
      <c r="V2019" s="563"/>
      <c r="X2019" s="563"/>
      <c r="Y2019" s="563"/>
    </row>
    <row r="2020" spans="22:25" x14ac:dyDescent="0.2">
      <c r="V2020" s="563"/>
      <c r="X2020" s="563"/>
      <c r="Y2020" s="563"/>
    </row>
    <row r="2021" spans="22:25" x14ac:dyDescent="0.2">
      <c r="V2021" s="563"/>
      <c r="X2021" s="563"/>
      <c r="Y2021" s="563"/>
    </row>
    <row r="2022" spans="22:25" x14ac:dyDescent="0.2">
      <c r="V2022" s="563"/>
      <c r="X2022" s="563"/>
      <c r="Y2022" s="563"/>
    </row>
    <row r="2023" spans="22:25" x14ac:dyDescent="0.2">
      <c r="V2023" s="563"/>
      <c r="X2023" s="563"/>
      <c r="Y2023" s="563"/>
    </row>
    <row r="2024" spans="22:25" x14ac:dyDescent="0.2">
      <c r="V2024" s="563"/>
      <c r="X2024" s="563"/>
      <c r="Y2024" s="563"/>
    </row>
    <row r="2025" spans="22:25" x14ac:dyDescent="0.2">
      <c r="V2025" s="563"/>
      <c r="X2025" s="563"/>
      <c r="Y2025" s="563"/>
    </row>
    <row r="2026" spans="22:25" x14ac:dyDescent="0.2">
      <c r="V2026" s="563"/>
      <c r="X2026" s="563"/>
      <c r="Y2026" s="563"/>
    </row>
    <row r="2027" spans="22:25" x14ac:dyDescent="0.2">
      <c r="V2027" s="563"/>
      <c r="X2027" s="563"/>
      <c r="Y2027" s="563"/>
    </row>
    <row r="2028" spans="22:25" x14ac:dyDescent="0.2">
      <c r="V2028" s="563"/>
      <c r="X2028" s="563"/>
      <c r="Y2028" s="563"/>
    </row>
    <row r="2029" spans="22:25" x14ac:dyDescent="0.2">
      <c r="V2029" s="563"/>
      <c r="X2029" s="563"/>
      <c r="Y2029" s="563"/>
    </row>
    <row r="2030" spans="22:25" x14ac:dyDescent="0.2">
      <c r="V2030" s="563"/>
      <c r="X2030" s="563"/>
      <c r="Y2030" s="563"/>
    </row>
    <row r="2031" spans="22:25" x14ac:dyDescent="0.2">
      <c r="V2031" s="563"/>
      <c r="X2031" s="563"/>
      <c r="Y2031" s="563"/>
    </row>
    <row r="2032" spans="22:25" x14ac:dyDescent="0.2">
      <c r="V2032" s="563"/>
      <c r="X2032" s="563"/>
      <c r="Y2032" s="563"/>
    </row>
    <row r="2033" spans="22:25" x14ac:dyDescent="0.2">
      <c r="V2033" s="563"/>
      <c r="X2033" s="563"/>
      <c r="Y2033" s="563"/>
    </row>
    <row r="2034" spans="22:25" x14ac:dyDescent="0.2">
      <c r="V2034" s="563"/>
      <c r="X2034" s="563"/>
      <c r="Y2034" s="563"/>
    </row>
    <row r="2035" spans="22:25" x14ac:dyDescent="0.2">
      <c r="V2035" s="563"/>
      <c r="X2035" s="563"/>
      <c r="Y2035" s="563"/>
    </row>
    <row r="2036" spans="22:25" x14ac:dyDescent="0.2">
      <c r="V2036" s="563"/>
      <c r="X2036" s="563"/>
      <c r="Y2036" s="563"/>
    </row>
    <row r="2037" spans="22:25" x14ac:dyDescent="0.2">
      <c r="V2037" s="563"/>
      <c r="X2037" s="563"/>
      <c r="Y2037" s="563"/>
    </row>
    <row r="2038" spans="22:25" x14ac:dyDescent="0.2">
      <c r="V2038" s="563"/>
      <c r="X2038" s="563"/>
      <c r="Y2038" s="563"/>
    </row>
    <row r="2039" spans="22:25" x14ac:dyDescent="0.2">
      <c r="V2039" s="563"/>
      <c r="X2039" s="563"/>
      <c r="Y2039" s="563"/>
    </row>
    <row r="2040" spans="22:25" x14ac:dyDescent="0.2">
      <c r="V2040" s="563"/>
      <c r="X2040" s="563"/>
      <c r="Y2040" s="563"/>
    </row>
    <row r="2041" spans="22:25" x14ac:dyDescent="0.2">
      <c r="V2041" s="563"/>
      <c r="X2041" s="563"/>
      <c r="Y2041" s="563"/>
    </row>
    <row r="2042" spans="22:25" x14ac:dyDescent="0.2">
      <c r="V2042" s="563"/>
      <c r="X2042" s="563"/>
      <c r="Y2042" s="563"/>
    </row>
    <row r="2043" spans="22:25" x14ac:dyDescent="0.2">
      <c r="V2043" s="563"/>
      <c r="X2043" s="563"/>
      <c r="Y2043" s="563"/>
    </row>
    <row r="2044" spans="22:25" x14ac:dyDescent="0.2">
      <c r="V2044" s="563"/>
      <c r="X2044" s="563"/>
      <c r="Y2044" s="563"/>
    </row>
    <row r="2045" spans="22:25" x14ac:dyDescent="0.2">
      <c r="V2045" s="563"/>
      <c r="X2045" s="563"/>
      <c r="Y2045" s="563"/>
    </row>
    <row r="2046" spans="22:25" x14ac:dyDescent="0.2">
      <c r="V2046" s="563"/>
      <c r="X2046" s="563"/>
      <c r="Y2046" s="563"/>
    </row>
    <row r="2047" spans="22:25" x14ac:dyDescent="0.2">
      <c r="V2047" s="563"/>
      <c r="X2047" s="563"/>
      <c r="Y2047" s="563"/>
    </row>
    <row r="2048" spans="22:25" x14ac:dyDescent="0.2">
      <c r="V2048" s="563"/>
      <c r="X2048" s="563"/>
      <c r="Y2048" s="563"/>
    </row>
    <row r="2049" spans="22:25" x14ac:dyDescent="0.2">
      <c r="V2049" s="563"/>
      <c r="X2049" s="563"/>
      <c r="Y2049" s="563"/>
    </row>
    <row r="2050" spans="22:25" x14ac:dyDescent="0.2">
      <c r="V2050" s="563"/>
      <c r="X2050" s="563"/>
      <c r="Y2050" s="563"/>
    </row>
    <row r="2051" spans="22:25" x14ac:dyDescent="0.2">
      <c r="V2051" s="563"/>
      <c r="X2051" s="563"/>
      <c r="Y2051" s="563"/>
    </row>
    <row r="2052" spans="22:25" x14ac:dyDescent="0.2">
      <c r="V2052" s="563"/>
      <c r="X2052" s="563"/>
      <c r="Y2052" s="563"/>
    </row>
    <row r="2053" spans="22:25" x14ac:dyDescent="0.2">
      <c r="V2053" s="563"/>
      <c r="X2053" s="563"/>
      <c r="Y2053" s="563"/>
    </row>
    <row r="2054" spans="22:25" x14ac:dyDescent="0.2">
      <c r="V2054" s="563"/>
      <c r="X2054" s="563"/>
      <c r="Y2054" s="563"/>
    </row>
    <row r="2055" spans="22:25" x14ac:dyDescent="0.2">
      <c r="V2055" s="563"/>
      <c r="X2055" s="563"/>
      <c r="Y2055" s="563"/>
    </row>
    <row r="2056" spans="22:25" x14ac:dyDescent="0.2">
      <c r="V2056" s="563"/>
      <c r="X2056" s="563"/>
      <c r="Y2056" s="563"/>
    </row>
    <row r="2057" spans="22:25" x14ac:dyDescent="0.2">
      <c r="V2057" s="563"/>
      <c r="X2057" s="563"/>
      <c r="Y2057" s="563"/>
    </row>
    <row r="2058" spans="22:25" x14ac:dyDescent="0.2">
      <c r="V2058" s="563"/>
      <c r="X2058" s="563"/>
      <c r="Y2058" s="563"/>
    </row>
    <row r="2059" spans="22:25" x14ac:dyDescent="0.2">
      <c r="V2059" s="563"/>
      <c r="X2059" s="563"/>
      <c r="Y2059" s="563"/>
    </row>
    <row r="2060" spans="22:25" x14ac:dyDescent="0.2">
      <c r="V2060" s="563"/>
      <c r="X2060" s="563"/>
      <c r="Y2060" s="563"/>
    </row>
    <row r="2061" spans="22:25" x14ac:dyDescent="0.2">
      <c r="V2061" s="563"/>
      <c r="X2061" s="563"/>
      <c r="Y2061" s="563"/>
    </row>
    <row r="2062" spans="22:25" x14ac:dyDescent="0.2">
      <c r="V2062" s="563"/>
      <c r="X2062" s="563"/>
      <c r="Y2062" s="563"/>
    </row>
    <row r="2063" spans="22:25" x14ac:dyDescent="0.2">
      <c r="V2063" s="563"/>
      <c r="X2063" s="563"/>
      <c r="Y2063" s="563"/>
    </row>
    <row r="2064" spans="22:25" x14ac:dyDescent="0.2">
      <c r="V2064" s="563"/>
      <c r="X2064" s="563"/>
      <c r="Y2064" s="563"/>
    </row>
    <row r="2065" spans="22:25" x14ac:dyDescent="0.2">
      <c r="V2065" s="563"/>
      <c r="X2065" s="563"/>
      <c r="Y2065" s="563"/>
    </row>
    <row r="2066" spans="22:25" x14ac:dyDescent="0.2">
      <c r="V2066" s="563"/>
      <c r="X2066" s="563"/>
      <c r="Y2066" s="563"/>
    </row>
    <row r="2067" spans="22:25" x14ac:dyDescent="0.2">
      <c r="V2067" s="563"/>
      <c r="X2067" s="563"/>
      <c r="Y2067" s="563"/>
    </row>
    <row r="2068" spans="22:25" x14ac:dyDescent="0.2">
      <c r="V2068" s="563"/>
      <c r="X2068" s="563"/>
      <c r="Y2068" s="563"/>
    </row>
    <row r="2069" spans="22:25" x14ac:dyDescent="0.2">
      <c r="V2069" s="563"/>
      <c r="X2069" s="563"/>
      <c r="Y2069" s="563"/>
    </row>
    <row r="2070" spans="22:25" x14ac:dyDescent="0.2">
      <c r="V2070" s="563"/>
      <c r="X2070" s="563"/>
      <c r="Y2070" s="563"/>
    </row>
    <row r="2071" spans="22:25" x14ac:dyDescent="0.2">
      <c r="V2071" s="563"/>
      <c r="X2071" s="563"/>
      <c r="Y2071" s="563"/>
    </row>
    <row r="2072" spans="22:25" x14ac:dyDescent="0.2">
      <c r="V2072" s="563"/>
      <c r="X2072" s="563"/>
      <c r="Y2072" s="563"/>
    </row>
    <row r="2073" spans="22:25" x14ac:dyDescent="0.2">
      <c r="V2073" s="563"/>
      <c r="X2073" s="563"/>
      <c r="Y2073" s="563"/>
    </row>
    <row r="2074" spans="22:25" x14ac:dyDescent="0.2">
      <c r="V2074" s="563"/>
      <c r="X2074" s="563"/>
      <c r="Y2074" s="563"/>
    </row>
    <row r="2075" spans="22:25" x14ac:dyDescent="0.2">
      <c r="V2075" s="563"/>
      <c r="X2075" s="563"/>
      <c r="Y2075" s="563"/>
    </row>
    <row r="2076" spans="22:25" x14ac:dyDescent="0.2">
      <c r="V2076" s="563"/>
      <c r="X2076" s="563"/>
      <c r="Y2076" s="563"/>
    </row>
    <row r="2077" spans="22:25" x14ac:dyDescent="0.2">
      <c r="V2077" s="563"/>
      <c r="X2077" s="563"/>
      <c r="Y2077" s="563"/>
    </row>
    <row r="2078" spans="22:25" x14ac:dyDescent="0.2">
      <c r="V2078" s="563"/>
      <c r="X2078" s="563"/>
      <c r="Y2078" s="563"/>
    </row>
    <row r="2079" spans="22:25" x14ac:dyDescent="0.2">
      <c r="V2079" s="563"/>
      <c r="X2079" s="563"/>
      <c r="Y2079" s="563"/>
    </row>
    <row r="2080" spans="22:25" x14ac:dyDescent="0.2">
      <c r="V2080" s="563"/>
      <c r="X2080" s="563"/>
      <c r="Y2080" s="563"/>
    </row>
    <row r="2081" spans="22:25" x14ac:dyDescent="0.2">
      <c r="V2081" s="563"/>
      <c r="X2081" s="563"/>
      <c r="Y2081" s="563"/>
    </row>
    <row r="2082" spans="22:25" x14ac:dyDescent="0.2">
      <c r="V2082" s="563"/>
      <c r="X2082" s="563"/>
      <c r="Y2082" s="563"/>
    </row>
    <row r="2083" spans="22:25" x14ac:dyDescent="0.2">
      <c r="V2083" s="563"/>
      <c r="X2083" s="563"/>
      <c r="Y2083" s="563"/>
    </row>
    <row r="2084" spans="22:25" x14ac:dyDescent="0.2">
      <c r="V2084" s="563"/>
      <c r="X2084" s="563"/>
      <c r="Y2084" s="563"/>
    </row>
    <row r="2085" spans="22:25" x14ac:dyDescent="0.2">
      <c r="V2085" s="563"/>
      <c r="X2085" s="563"/>
      <c r="Y2085" s="563"/>
    </row>
    <row r="2086" spans="22:25" x14ac:dyDescent="0.2">
      <c r="V2086" s="563"/>
      <c r="X2086" s="563"/>
      <c r="Y2086" s="563"/>
    </row>
    <row r="2087" spans="22:25" x14ac:dyDescent="0.2">
      <c r="V2087" s="563"/>
      <c r="X2087" s="563"/>
      <c r="Y2087" s="563"/>
    </row>
    <row r="2088" spans="22:25" x14ac:dyDescent="0.2">
      <c r="V2088" s="563"/>
      <c r="X2088" s="563"/>
      <c r="Y2088" s="563"/>
    </row>
    <row r="2089" spans="22:25" x14ac:dyDescent="0.2">
      <c r="V2089" s="563"/>
      <c r="X2089" s="563"/>
      <c r="Y2089" s="563"/>
    </row>
    <row r="2090" spans="22:25" x14ac:dyDescent="0.2">
      <c r="V2090" s="563"/>
      <c r="X2090" s="563"/>
      <c r="Y2090" s="563"/>
    </row>
    <row r="2091" spans="22:25" x14ac:dyDescent="0.2">
      <c r="V2091" s="563"/>
      <c r="X2091" s="563"/>
      <c r="Y2091" s="563"/>
    </row>
    <row r="2092" spans="22:25" x14ac:dyDescent="0.2">
      <c r="V2092" s="563"/>
      <c r="X2092" s="563"/>
      <c r="Y2092" s="563"/>
    </row>
    <row r="2093" spans="22:25" x14ac:dyDescent="0.2">
      <c r="V2093" s="563"/>
      <c r="X2093" s="563"/>
      <c r="Y2093" s="563"/>
    </row>
    <row r="2094" spans="22:25" x14ac:dyDescent="0.2">
      <c r="V2094" s="563"/>
      <c r="X2094" s="563"/>
      <c r="Y2094" s="563"/>
    </row>
    <row r="2095" spans="22:25" x14ac:dyDescent="0.2">
      <c r="V2095" s="563"/>
      <c r="X2095" s="563"/>
      <c r="Y2095" s="563"/>
    </row>
    <row r="2096" spans="22:25" x14ac:dyDescent="0.2">
      <c r="V2096" s="563"/>
      <c r="X2096" s="563"/>
      <c r="Y2096" s="563"/>
    </row>
    <row r="2097" spans="22:25" x14ac:dyDescent="0.2">
      <c r="V2097" s="563"/>
      <c r="X2097" s="563"/>
      <c r="Y2097" s="563"/>
    </row>
    <row r="2098" spans="22:25" x14ac:dyDescent="0.2">
      <c r="V2098" s="563"/>
      <c r="X2098" s="563"/>
      <c r="Y2098" s="563"/>
    </row>
    <row r="2099" spans="22:25" x14ac:dyDescent="0.2">
      <c r="V2099" s="563"/>
      <c r="X2099" s="563"/>
      <c r="Y2099" s="563"/>
    </row>
    <row r="2100" spans="22:25" x14ac:dyDescent="0.2">
      <c r="V2100" s="563"/>
      <c r="X2100" s="563"/>
      <c r="Y2100" s="563"/>
    </row>
    <row r="2101" spans="22:25" x14ac:dyDescent="0.2">
      <c r="V2101" s="563"/>
      <c r="X2101" s="563"/>
      <c r="Y2101" s="563"/>
    </row>
    <row r="2102" spans="22:25" x14ac:dyDescent="0.2">
      <c r="V2102" s="563"/>
      <c r="X2102" s="563"/>
      <c r="Y2102" s="563"/>
    </row>
    <row r="2103" spans="22:25" x14ac:dyDescent="0.2">
      <c r="V2103" s="563"/>
      <c r="X2103" s="563"/>
      <c r="Y2103" s="563"/>
    </row>
    <row r="2104" spans="22:25" x14ac:dyDescent="0.2">
      <c r="V2104" s="563"/>
      <c r="X2104" s="563"/>
      <c r="Y2104" s="563"/>
    </row>
    <row r="2105" spans="22:25" x14ac:dyDescent="0.2">
      <c r="V2105" s="563"/>
      <c r="X2105" s="563"/>
      <c r="Y2105" s="563"/>
    </row>
    <row r="2106" spans="22:25" x14ac:dyDescent="0.2">
      <c r="V2106" s="563"/>
      <c r="X2106" s="563"/>
      <c r="Y2106" s="563"/>
    </row>
    <row r="2107" spans="22:25" x14ac:dyDescent="0.2">
      <c r="V2107" s="563"/>
      <c r="X2107" s="563"/>
      <c r="Y2107" s="563"/>
    </row>
    <row r="2108" spans="22:25" x14ac:dyDescent="0.2">
      <c r="V2108" s="563"/>
      <c r="X2108" s="563"/>
      <c r="Y2108" s="563"/>
    </row>
    <row r="2109" spans="22:25" x14ac:dyDescent="0.2">
      <c r="V2109" s="563"/>
      <c r="X2109" s="563"/>
      <c r="Y2109" s="563"/>
    </row>
    <row r="2110" spans="22:25" x14ac:dyDescent="0.2">
      <c r="V2110" s="563"/>
      <c r="X2110" s="563"/>
      <c r="Y2110" s="563"/>
    </row>
    <row r="2111" spans="22:25" x14ac:dyDescent="0.2">
      <c r="V2111" s="563"/>
      <c r="X2111" s="563"/>
      <c r="Y2111" s="563"/>
    </row>
    <row r="2112" spans="22:25" x14ac:dyDescent="0.2">
      <c r="V2112" s="563"/>
      <c r="X2112" s="563"/>
      <c r="Y2112" s="563"/>
    </row>
    <row r="2113" spans="22:25" x14ac:dyDescent="0.2">
      <c r="V2113" s="563"/>
      <c r="X2113" s="563"/>
      <c r="Y2113" s="563"/>
    </row>
    <row r="2114" spans="22:25" x14ac:dyDescent="0.2">
      <c r="V2114" s="563"/>
      <c r="X2114" s="563"/>
      <c r="Y2114" s="563"/>
    </row>
    <row r="2115" spans="22:25" x14ac:dyDescent="0.2">
      <c r="V2115" s="563"/>
      <c r="X2115" s="563"/>
      <c r="Y2115" s="563"/>
    </row>
    <row r="2116" spans="22:25" x14ac:dyDescent="0.2">
      <c r="V2116" s="563"/>
      <c r="X2116" s="563"/>
      <c r="Y2116" s="563"/>
    </row>
    <row r="2117" spans="22:25" x14ac:dyDescent="0.2">
      <c r="V2117" s="563"/>
      <c r="X2117" s="563"/>
      <c r="Y2117" s="563"/>
    </row>
    <row r="2118" spans="22:25" x14ac:dyDescent="0.2">
      <c r="V2118" s="563"/>
      <c r="X2118" s="563"/>
      <c r="Y2118" s="563"/>
    </row>
    <row r="2119" spans="22:25" x14ac:dyDescent="0.2">
      <c r="V2119" s="563"/>
      <c r="X2119" s="563"/>
      <c r="Y2119" s="563"/>
    </row>
    <row r="2120" spans="22:25" x14ac:dyDescent="0.2">
      <c r="V2120" s="563"/>
      <c r="X2120" s="563"/>
      <c r="Y2120" s="563"/>
    </row>
    <row r="2121" spans="22:25" x14ac:dyDescent="0.2">
      <c r="V2121" s="563"/>
      <c r="X2121" s="563"/>
      <c r="Y2121" s="563"/>
    </row>
    <row r="2122" spans="22:25" x14ac:dyDescent="0.2">
      <c r="V2122" s="563"/>
      <c r="X2122" s="563"/>
      <c r="Y2122" s="563"/>
    </row>
    <row r="2123" spans="22:25" x14ac:dyDescent="0.2">
      <c r="V2123" s="563"/>
      <c r="X2123" s="563"/>
      <c r="Y2123" s="563"/>
    </row>
    <row r="2124" spans="22:25" x14ac:dyDescent="0.2">
      <c r="V2124" s="563"/>
      <c r="X2124" s="563"/>
      <c r="Y2124" s="563"/>
    </row>
    <row r="2125" spans="22:25" x14ac:dyDescent="0.2">
      <c r="V2125" s="563"/>
      <c r="X2125" s="563"/>
      <c r="Y2125" s="563"/>
    </row>
    <row r="2126" spans="22:25" x14ac:dyDescent="0.2">
      <c r="V2126" s="563"/>
      <c r="X2126" s="563"/>
      <c r="Y2126" s="563"/>
    </row>
    <row r="2127" spans="22:25" x14ac:dyDescent="0.2">
      <c r="V2127" s="563"/>
      <c r="X2127" s="563"/>
      <c r="Y2127" s="563"/>
    </row>
    <row r="2128" spans="22:25" x14ac:dyDescent="0.2">
      <c r="V2128" s="563"/>
      <c r="X2128" s="563"/>
      <c r="Y2128" s="563"/>
    </row>
    <row r="2129" spans="22:25" x14ac:dyDescent="0.2">
      <c r="V2129" s="563"/>
      <c r="X2129" s="563"/>
      <c r="Y2129" s="563"/>
    </row>
    <row r="2130" spans="22:25" x14ac:dyDescent="0.2">
      <c r="V2130" s="563"/>
      <c r="X2130" s="563"/>
      <c r="Y2130" s="563"/>
    </row>
    <row r="2131" spans="22:25" x14ac:dyDescent="0.2">
      <c r="V2131" s="563"/>
      <c r="X2131" s="563"/>
      <c r="Y2131" s="563"/>
    </row>
    <row r="2132" spans="22:25" x14ac:dyDescent="0.2">
      <c r="V2132" s="563"/>
      <c r="X2132" s="563"/>
      <c r="Y2132" s="563"/>
    </row>
    <row r="2133" spans="22:25" x14ac:dyDescent="0.2">
      <c r="V2133" s="563"/>
      <c r="X2133" s="563"/>
      <c r="Y2133" s="563"/>
    </row>
    <row r="2134" spans="22:25" x14ac:dyDescent="0.2">
      <c r="V2134" s="563"/>
      <c r="X2134" s="563"/>
      <c r="Y2134" s="563"/>
    </row>
    <row r="2135" spans="22:25" x14ac:dyDescent="0.2">
      <c r="V2135" s="563"/>
      <c r="X2135" s="563"/>
      <c r="Y2135" s="563"/>
    </row>
    <row r="2136" spans="22:25" x14ac:dyDescent="0.2">
      <c r="V2136" s="563"/>
      <c r="X2136" s="563"/>
      <c r="Y2136" s="563"/>
    </row>
    <row r="2137" spans="22:25" x14ac:dyDescent="0.2">
      <c r="V2137" s="563"/>
      <c r="X2137" s="563"/>
      <c r="Y2137" s="563"/>
    </row>
    <row r="2138" spans="22:25" x14ac:dyDescent="0.2">
      <c r="V2138" s="563"/>
      <c r="X2138" s="563"/>
      <c r="Y2138" s="563"/>
    </row>
    <row r="2139" spans="22:25" x14ac:dyDescent="0.2">
      <c r="V2139" s="563"/>
      <c r="X2139" s="563"/>
      <c r="Y2139" s="563"/>
    </row>
    <row r="2140" spans="22:25" x14ac:dyDescent="0.2">
      <c r="V2140" s="563"/>
      <c r="X2140" s="563"/>
      <c r="Y2140" s="563"/>
    </row>
    <row r="2141" spans="22:25" x14ac:dyDescent="0.2">
      <c r="V2141" s="563"/>
      <c r="X2141" s="563"/>
      <c r="Y2141" s="563"/>
    </row>
    <row r="2142" spans="22:25" x14ac:dyDescent="0.2">
      <c r="V2142" s="563"/>
      <c r="X2142" s="563"/>
      <c r="Y2142" s="563"/>
    </row>
    <row r="2143" spans="22:25" x14ac:dyDescent="0.2">
      <c r="V2143" s="563"/>
      <c r="X2143" s="563"/>
      <c r="Y2143" s="563"/>
    </row>
    <row r="2144" spans="22:25" x14ac:dyDescent="0.2">
      <c r="V2144" s="563"/>
      <c r="X2144" s="563"/>
      <c r="Y2144" s="563"/>
    </row>
    <row r="2145" spans="22:25" x14ac:dyDescent="0.2">
      <c r="V2145" s="563"/>
      <c r="X2145" s="563"/>
      <c r="Y2145" s="563"/>
    </row>
    <row r="2146" spans="22:25" x14ac:dyDescent="0.2">
      <c r="V2146" s="563"/>
      <c r="X2146" s="563"/>
      <c r="Y2146" s="563"/>
    </row>
    <row r="2147" spans="22:25" x14ac:dyDescent="0.2">
      <c r="V2147" s="563"/>
      <c r="X2147" s="563"/>
      <c r="Y2147" s="563"/>
    </row>
    <row r="2148" spans="22:25" x14ac:dyDescent="0.2">
      <c r="V2148" s="563"/>
      <c r="X2148" s="563"/>
      <c r="Y2148" s="563"/>
    </row>
    <row r="2149" spans="22:25" x14ac:dyDescent="0.2">
      <c r="V2149" s="563"/>
      <c r="X2149" s="563"/>
      <c r="Y2149" s="563"/>
    </row>
    <row r="2150" spans="22:25" x14ac:dyDescent="0.2">
      <c r="V2150" s="563"/>
      <c r="X2150" s="563"/>
      <c r="Y2150" s="563"/>
    </row>
    <row r="2151" spans="22:25" x14ac:dyDescent="0.2">
      <c r="V2151" s="563"/>
      <c r="X2151" s="563"/>
      <c r="Y2151" s="563"/>
    </row>
    <row r="2152" spans="22:25" x14ac:dyDescent="0.2">
      <c r="V2152" s="563"/>
      <c r="X2152" s="563"/>
      <c r="Y2152" s="563"/>
    </row>
    <row r="2153" spans="22:25" x14ac:dyDescent="0.2">
      <c r="V2153" s="563"/>
      <c r="X2153" s="563"/>
      <c r="Y2153" s="563"/>
    </row>
    <row r="2154" spans="22:25" x14ac:dyDescent="0.2">
      <c r="V2154" s="563"/>
      <c r="X2154" s="563"/>
      <c r="Y2154" s="563"/>
    </row>
    <row r="2155" spans="22:25" x14ac:dyDescent="0.2">
      <c r="V2155" s="563"/>
      <c r="X2155" s="563"/>
      <c r="Y2155" s="563"/>
    </row>
    <row r="2156" spans="22:25" x14ac:dyDescent="0.2">
      <c r="V2156" s="563"/>
      <c r="X2156" s="563"/>
      <c r="Y2156" s="563"/>
    </row>
    <row r="2157" spans="22:25" x14ac:dyDescent="0.2">
      <c r="V2157" s="563"/>
      <c r="X2157" s="563"/>
      <c r="Y2157" s="563"/>
    </row>
    <row r="2158" spans="22:25" x14ac:dyDescent="0.2">
      <c r="V2158" s="563"/>
      <c r="X2158" s="563"/>
      <c r="Y2158" s="563"/>
    </row>
    <row r="2159" spans="22:25" x14ac:dyDescent="0.2">
      <c r="V2159" s="563"/>
      <c r="X2159" s="563"/>
      <c r="Y2159" s="563"/>
    </row>
    <row r="2160" spans="22:25" x14ac:dyDescent="0.2">
      <c r="V2160" s="563"/>
      <c r="X2160" s="563"/>
      <c r="Y2160" s="563"/>
    </row>
    <row r="2161" spans="22:25" x14ac:dyDescent="0.2">
      <c r="V2161" s="563"/>
      <c r="X2161" s="563"/>
      <c r="Y2161" s="563"/>
    </row>
    <row r="2162" spans="22:25" x14ac:dyDescent="0.2">
      <c r="V2162" s="563"/>
      <c r="X2162" s="563"/>
      <c r="Y2162" s="563"/>
    </row>
    <row r="2163" spans="22:25" x14ac:dyDescent="0.2">
      <c r="V2163" s="563"/>
      <c r="X2163" s="563"/>
      <c r="Y2163" s="563"/>
    </row>
    <row r="2164" spans="22:25" x14ac:dyDescent="0.2">
      <c r="V2164" s="563"/>
      <c r="X2164" s="563"/>
      <c r="Y2164" s="563"/>
    </row>
    <row r="2165" spans="22:25" x14ac:dyDescent="0.2">
      <c r="V2165" s="563"/>
      <c r="X2165" s="563"/>
      <c r="Y2165" s="563"/>
    </row>
    <row r="2166" spans="22:25" x14ac:dyDescent="0.2">
      <c r="V2166" s="563"/>
      <c r="X2166" s="563"/>
      <c r="Y2166" s="563"/>
    </row>
    <row r="2167" spans="22:25" x14ac:dyDescent="0.2">
      <c r="V2167" s="563"/>
      <c r="X2167" s="563"/>
      <c r="Y2167" s="563"/>
    </row>
    <row r="2168" spans="22:25" x14ac:dyDescent="0.2">
      <c r="V2168" s="563"/>
      <c r="X2168" s="563"/>
      <c r="Y2168" s="563"/>
    </row>
    <row r="2169" spans="22:25" x14ac:dyDescent="0.2">
      <c r="V2169" s="563"/>
      <c r="X2169" s="563"/>
      <c r="Y2169" s="563"/>
    </row>
    <row r="2170" spans="22:25" x14ac:dyDescent="0.2">
      <c r="V2170" s="563"/>
      <c r="X2170" s="563"/>
      <c r="Y2170" s="563"/>
    </row>
    <row r="2171" spans="22:25" x14ac:dyDescent="0.2">
      <c r="V2171" s="563"/>
      <c r="X2171" s="563"/>
      <c r="Y2171" s="563"/>
    </row>
    <row r="2172" spans="22:25" x14ac:dyDescent="0.2">
      <c r="V2172" s="563"/>
      <c r="X2172" s="563"/>
      <c r="Y2172" s="563"/>
    </row>
    <row r="2173" spans="22:25" x14ac:dyDescent="0.2">
      <c r="V2173" s="563"/>
      <c r="X2173" s="563"/>
      <c r="Y2173" s="563"/>
    </row>
    <row r="2174" spans="22:25" x14ac:dyDescent="0.2">
      <c r="V2174" s="563"/>
      <c r="X2174" s="563"/>
      <c r="Y2174" s="563"/>
    </row>
    <row r="2175" spans="22:25" x14ac:dyDescent="0.2">
      <c r="V2175" s="563"/>
      <c r="X2175" s="563"/>
      <c r="Y2175" s="563"/>
    </row>
    <row r="2176" spans="22:25" x14ac:dyDescent="0.2">
      <c r="V2176" s="563"/>
      <c r="X2176" s="563"/>
      <c r="Y2176" s="563"/>
    </row>
    <row r="2177" spans="22:25" x14ac:dyDescent="0.2">
      <c r="V2177" s="563"/>
      <c r="X2177" s="563"/>
      <c r="Y2177" s="563"/>
    </row>
    <row r="2178" spans="22:25" x14ac:dyDescent="0.2">
      <c r="V2178" s="563"/>
      <c r="X2178" s="563"/>
      <c r="Y2178" s="563"/>
    </row>
    <row r="2179" spans="22:25" x14ac:dyDescent="0.2">
      <c r="V2179" s="563"/>
      <c r="X2179" s="563"/>
      <c r="Y2179" s="563"/>
    </row>
    <row r="2180" spans="22:25" x14ac:dyDescent="0.2">
      <c r="V2180" s="563"/>
      <c r="X2180" s="563"/>
      <c r="Y2180" s="563"/>
    </row>
    <row r="2181" spans="22:25" x14ac:dyDescent="0.2">
      <c r="V2181" s="563"/>
      <c r="X2181" s="563"/>
      <c r="Y2181" s="563"/>
    </row>
    <row r="2182" spans="22:25" x14ac:dyDescent="0.2">
      <c r="V2182" s="563"/>
      <c r="X2182" s="563"/>
      <c r="Y2182" s="563"/>
    </row>
    <row r="2183" spans="22:25" x14ac:dyDescent="0.2">
      <c r="V2183" s="563"/>
      <c r="X2183" s="563"/>
      <c r="Y2183" s="563"/>
    </row>
    <row r="2184" spans="22:25" x14ac:dyDescent="0.2">
      <c r="V2184" s="563"/>
      <c r="X2184" s="563"/>
      <c r="Y2184" s="563"/>
    </row>
    <row r="2185" spans="22:25" x14ac:dyDescent="0.2">
      <c r="V2185" s="563"/>
      <c r="X2185" s="563"/>
      <c r="Y2185" s="563"/>
    </row>
    <row r="2186" spans="22:25" x14ac:dyDescent="0.2">
      <c r="V2186" s="563"/>
      <c r="X2186" s="563"/>
      <c r="Y2186" s="563"/>
    </row>
    <row r="2187" spans="22:25" x14ac:dyDescent="0.2">
      <c r="V2187" s="563"/>
      <c r="X2187" s="563"/>
      <c r="Y2187" s="563"/>
    </row>
    <row r="2188" spans="22:25" x14ac:dyDescent="0.2">
      <c r="V2188" s="563"/>
      <c r="X2188" s="563"/>
      <c r="Y2188" s="563"/>
    </row>
    <row r="2189" spans="22:25" x14ac:dyDescent="0.2">
      <c r="V2189" s="563"/>
      <c r="X2189" s="563"/>
      <c r="Y2189" s="563"/>
    </row>
    <row r="2190" spans="22:25" x14ac:dyDescent="0.2">
      <c r="V2190" s="563"/>
      <c r="X2190" s="563"/>
      <c r="Y2190" s="563"/>
    </row>
    <row r="2191" spans="22:25" x14ac:dyDescent="0.2">
      <c r="V2191" s="563"/>
      <c r="X2191" s="563"/>
      <c r="Y2191" s="563"/>
    </row>
    <row r="2192" spans="22:25" x14ac:dyDescent="0.2">
      <c r="V2192" s="563"/>
      <c r="X2192" s="563"/>
      <c r="Y2192" s="563"/>
    </row>
    <row r="2193" spans="22:25" x14ac:dyDescent="0.2">
      <c r="V2193" s="563"/>
      <c r="X2193" s="563"/>
      <c r="Y2193" s="563"/>
    </row>
    <row r="2194" spans="22:25" x14ac:dyDescent="0.2">
      <c r="V2194" s="563"/>
      <c r="X2194" s="563"/>
      <c r="Y2194" s="563"/>
    </row>
    <row r="2195" spans="22:25" x14ac:dyDescent="0.2">
      <c r="V2195" s="563"/>
      <c r="X2195" s="563"/>
      <c r="Y2195" s="563"/>
    </row>
    <row r="2196" spans="22:25" x14ac:dyDescent="0.2">
      <c r="V2196" s="563"/>
      <c r="X2196" s="563"/>
      <c r="Y2196" s="563"/>
    </row>
    <row r="2197" spans="22:25" x14ac:dyDescent="0.2">
      <c r="V2197" s="563"/>
      <c r="X2197" s="563"/>
      <c r="Y2197" s="563"/>
    </row>
    <row r="2198" spans="22:25" x14ac:dyDescent="0.2">
      <c r="V2198" s="563"/>
      <c r="X2198" s="563"/>
      <c r="Y2198" s="563"/>
    </row>
    <row r="2199" spans="22:25" x14ac:dyDescent="0.2">
      <c r="V2199" s="563"/>
      <c r="X2199" s="563"/>
      <c r="Y2199" s="563"/>
    </row>
    <row r="2200" spans="22:25" x14ac:dyDescent="0.2">
      <c r="V2200" s="563"/>
      <c r="X2200" s="563"/>
      <c r="Y2200" s="563"/>
    </row>
    <row r="2201" spans="22:25" x14ac:dyDescent="0.2">
      <c r="V2201" s="563"/>
      <c r="X2201" s="563"/>
      <c r="Y2201" s="563"/>
    </row>
    <row r="2202" spans="22:25" x14ac:dyDescent="0.2">
      <c r="V2202" s="563"/>
      <c r="X2202" s="563"/>
      <c r="Y2202" s="563"/>
    </row>
    <row r="2203" spans="22:25" x14ac:dyDescent="0.2">
      <c r="V2203" s="563"/>
      <c r="X2203" s="563"/>
      <c r="Y2203" s="563"/>
    </row>
    <row r="2204" spans="22:25" x14ac:dyDescent="0.2">
      <c r="V2204" s="563"/>
      <c r="X2204" s="563"/>
      <c r="Y2204" s="563"/>
    </row>
    <row r="2205" spans="22:25" x14ac:dyDescent="0.2">
      <c r="V2205" s="563"/>
      <c r="X2205" s="563"/>
      <c r="Y2205" s="563"/>
    </row>
    <row r="2206" spans="22:25" x14ac:dyDescent="0.2">
      <c r="V2206" s="563"/>
      <c r="X2206" s="563"/>
      <c r="Y2206" s="563"/>
    </row>
    <row r="2207" spans="22:25" x14ac:dyDescent="0.2">
      <c r="V2207" s="563"/>
      <c r="X2207" s="563"/>
      <c r="Y2207" s="563"/>
    </row>
    <row r="2208" spans="22:25" x14ac:dyDescent="0.2">
      <c r="V2208" s="563"/>
      <c r="X2208" s="563"/>
      <c r="Y2208" s="563"/>
    </row>
    <row r="2209" spans="22:25" x14ac:dyDescent="0.2">
      <c r="V2209" s="563"/>
      <c r="X2209" s="563"/>
      <c r="Y2209" s="563"/>
    </row>
    <row r="2210" spans="22:25" x14ac:dyDescent="0.2">
      <c r="V2210" s="563"/>
      <c r="X2210" s="563"/>
      <c r="Y2210" s="563"/>
    </row>
    <row r="2211" spans="22:25" x14ac:dyDescent="0.2">
      <c r="V2211" s="563"/>
      <c r="X2211" s="563"/>
      <c r="Y2211" s="563"/>
    </row>
    <row r="2212" spans="22:25" x14ac:dyDescent="0.2">
      <c r="V2212" s="563"/>
      <c r="X2212" s="563"/>
      <c r="Y2212" s="563"/>
    </row>
    <row r="2213" spans="22:25" x14ac:dyDescent="0.2">
      <c r="V2213" s="563"/>
      <c r="X2213" s="563"/>
      <c r="Y2213" s="563"/>
    </row>
    <row r="2214" spans="22:25" x14ac:dyDescent="0.2">
      <c r="V2214" s="563"/>
      <c r="X2214" s="563"/>
      <c r="Y2214" s="563"/>
    </row>
    <row r="2215" spans="22:25" x14ac:dyDescent="0.2">
      <c r="V2215" s="563"/>
      <c r="X2215" s="563"/>
      <c r="Y2215" s="563"/>
    </row>
    <row r="2216" spans="22:25" x14ac:dyDescent="0.2">
      <c r="V2216" s="563"/>
      <c r="X2216" s="563"/>
      <c r="Y2216" s="563"/>
    </row>
    <row r="2217" spans="22:25" x14ac:dyDescent="0.2">
      <c r="V2217" s="563"/>
      <c r="X2217" s="563"/>
      <c r="Y2217" s="563"/>
    </row>
    <row r="2218" spans="22:25" x14ac:dyDescent="0.2">
      <c r="V2218" s="563"/>
      <c r="X2218" s="563"/>
      <c r="Y2218" s="563"/>
    </row>
    <row r="2219" spans="22:25" x14ac:dyDescent="0.2">
      <c r="V2219" s="563"/>
      <c r="X2219" s="563"/>
      <c r="Y2219" s="563"/>
    </row>
    <row r="2220" spans="22:25" x14ac:dyDescent="0.2">
      <c r="V2220" s="563"/>
      <c r="X2220" s="563"/>
      <c r="Y2220" s="563"/>
    </row>
    <row r="2221" spans="22:25" x14ac:dyDescent="0.2">
      <c r="V2221" s="563"/>
      <c r="X2221" s="563"/>
      <c r="Y2221" s="563"/>
    </row>
    <row r="2222" spans="22:25" x14ac:dyDescent="0.2">
      <c r="V2222" s="563"/>
      <c r="X2222" s="563"/>
      <c r="Y2222" s="563"/>
    </row>
    <row r="2223" spans="22:25" x14ac:dyDescent="0.2">
      <c r="V2223" s="563"/>
      <c r="X2223" s="563"/>
      <c r="Y2223" s="563"/>
    </row>
    <row r="2224" spans="22:25" x14ac:dyDescent="0.2">
      <c r="V2224" s="563"/>
      <c r="X2224" s="563"/>
      <c r="Y2224" s="563"/>
    </row>
    <row r="2225" spans="22:25" x14ac:dyDescent="0.2">
      <c r="V2225" s="563"/>
      <c r="X2225" s="563"/>
      <c r="Y2225" s="563"/>
    </row>
    <row r="2226" spans="22:25" x14ac:dyDescent="0.2">
      <c r="V2226" s="563"/>
      <c r="X2226" s="563"/>
      <c r="Y2226" s="563"/>
    </row>
    <row r="2227" spans="22:25" x14ac:dyDescent="0.2">
      <c r="V2227" s="563"/>
      <c r="X2227" s="563"/>
      <c r="Y2227" s="563"/>
    </row>
    <row r="2228" spans="22:25" x14ac:dyDescent="0.2">
      <c r="V2228" s="563"/>
      <c r="X2228" s="563"/>
      <c r="Y2228" s="563"/>
    </row>
    <row r="2229" spans="22:25" x14ac:dyDescent="0.2">
      <c r="V2229" s="563"/>
      <c r="X2229" s="563"/>
      <c r="Y2229" s="563"/>
    </row>
    <row r="2230" spans="22:25" x14ac:dyDescent="0.2">
      <c r="V2230" s="563"/>
      <c r="X2230" s="563"/>
      <c r="Y2230" s="563"/>
    </row>
    <row r="2231" spans="22:25" x14ac:dyDescent="0.2">
      <c r="V2231" s="563"/>
      <c r="X2231" s="563"/>
      <c r="Y2231" s="563"/>
    </row>
    <row r="2232" spans="22:25" x14ac:dyDescent="0.2">
      <c r="V2232" s="563"/>
      <c r="X2232" s="563"/>
      <c r="Y2232" s="563"/>
    </row>
    <row r="2233" spans="22:25" x14ac:dyDescent="0.2">
      <c r="V2233" s="563"/>
      <c r="X2233" s="563"/>
      <c r="Y2233" s="563"/>
    </row>
    <row r="2234" spans="22:25" x14ac:dyDescent="0.2">
      <c r="V2234" s="563"/>
      <c r="X2234" s="563"/>
      <c r="Y2234" s="563"/>
    </row>
    <row r="2235" spans="22:25" x14ac:dyDescent="0.2">
      <c r="V2235" s="563"/>
      <c r="X2235" s="563"/>
      <c r="Y2235" s="563"/>
    </row>
    <row r="2236" spans="22:25" x14ac:dyDescent="0.2">
      <c r="V2236" s="563"/>
      <c r="X2236" s="563"/>
      <c r="Y2236" s="563"/>
    </row>
    <row r="2237" spans="22:25" x14ac:dyDescent="0.2">
      <c r="V2237" s="563"/>
      <c r="X2237" s="563"/>
      <c r="Y2237" s="563"/>
    </row>
    <row r="2238" spans="22:25" x14ac:dyDescent="0.2">
      <c r="V2238" s="563"/>
      <c r="X2238" s="563"/>
      <c r="Y2238" s="563"/>
    </row>
    <row r="2239" spans="22:25" x14ac:dyDescent="0.2">
      <c r="V2239" s="563"/>
      <c r="X2239" s="563"/>
      <c r="Y2239" s="563"/>
    </row>
    <row r="2240" spans="22:25" x14ac:dyDescent="0.2">
      <c r="V2240" s="563"/>
      <c r="X2240" s="563"/>
      <c r="Y2240" s="563"/>
    </row>
    <row r="2241" spans="22:25" x14ac:dyDescent="0.2">
      <c r="V2241" s="563"/>
      <c r="X2241" s="563"/>
      <c r="Y2241" s="563"/>
    </row>
    <row r="2242" spans="22:25" x14ac:dyDescent="0.2">
      <c r="V2242" s="563"/>
      <c r="X2242" s="563"/>
      <c r="Y2242" s="563"/>
    </row>
    <row r="2243" spans="22:25" x14ac:dyDescent="0.2">
      <c r="V2243" s="563"/>
      <c r="X2243" s="563"/>
      <c r="Y2243" s="563"/>
    </row>
    <row r="2244" spans="22:25" x14ac:dyDescent="0.2">
      <c r="V2244" s="563"/>
      <c r="X2244" s="563"/>
      <c r="Y2244" s="563"/>
    </row>
    <row r="2245" spans="22:25" x14ac:dyDescent="0.2">
      <c r="V2245" s="563"/>
      <c r="X2245" s="563"/>
      <c r="Y2245" s="563"/>
    </row>
    <row r="2246" spans="22:25" x14ac:dyDescent="0.2">
      <c r="V2246" s="563"/>
      <c r="X2246" s="563"/>
      <c r="Y2246" s="563"/>
    </row>
    <row r="2247" spans="22:25" x14ac:dyDescent="0.2">
      <c r="V2247" s="563"/>
      <c r="X2247" s="563"/>
      <c r="Y2247" s="563"/>
    </row>
    <row r="2248" spans="22:25" x14ac:dyDescent="0.2">
      <c r="V2248" s="563"/>
      <c r="X2248" s="563"/>
      <c r="Y2248" s="563"/>
    </row>
    <row r="2249" spans="22:25" x14ac:dyDescent="0.2">
      <c r="V2249" s="563"/>
      <c r="X2249" s="563"/>
      <c r="Y2249" s="563"/>
    </row>
    <row r="2250" spans="22:25" x14ac:dyDescent="0.2">
      <c r="V2250" s="563"/>
      <c r="X2250" s="563"/>
      <c r="Y2250" s="563"/>
    </row>
    <row r="2251" spans="22:25" x14ac:dyDescent="0.2">
      <c r="V2251" s="563"/>
      <c r="X2251" s="563"/>
      <c r="Y2251" s="563"/>
    </row>
    <row r="2252" spans="22:25" x14ac:dyDescent="0.2">
      <c r="V2252" s="563"/>
      <c r="X2252" s="563"/>
      <c r="Y2252" s="563"/>
    </row>
    <row r="2253" spans="22:25" x14ac:dyDescent="0.2">
      <c r="V2253" s="563"/>
      <c r="X2253" s="563"/>
      <c r="Y2253" s="563"/>
    </row>
    <row r="2254" spans="22:25" x14ac:dyDescent="0.2">
      <c r="V2254" s="563"/>
      <c r="X2254" s="563"/>
      <c r="Y2254" s="563"/>
    </row>
    <row r="2255" spans="22:25" x14ac:dyDescent="0.2">
      <c r="V2255" s="563"/>
      <c r="X2255" s="563"/>
      <c r="Y2255" s="563"/>
    </row>
    <row r="2256" spans="22:25" x14ac:dyDescent="0.2">
      <c r="V2256" s="563"/>
      <c r="X2256" s="563"/>
      <c r="Y2256" s="563"/>
    </row>
    <row r="2257" spans="22:25" x14ac:dyDescent="0.2">
      <c r="V2257" s="563"/>
      <c r="X2257" s="563"/>
      <c r="Y2257" s="563"/>
    </row>
    <row r="2258" spans="22:25" x14ac:dyDescent="0.2">
      <c r="V2258" s="563"/>
      <c r="X2258" s="563"/>
      <c r="Y2258" s="563"/>
    </row>
    <row r="2259" spans="22:25" x14ac:dyDescent="0.2">
      <c r="V2259" s="563"/>
      <c r="X2259" s="563"/>
      <c r="Y2259" s="563"/>
    </row>
    <row r="2260" spans="22:25" x14ac:dyDescent="0.2">
      <c r="V2260" s="563"/>
      <c r="X2260" s="563"/>
      <c r="Y2260" s="563"/>
    </row>
    <row r="2261" spans="22:25" x14ac:dyDescent="0.2">
      <c r="V2261" s="563"/>
      <c r="X2261" s="563"/>
      <c r="Y2261" s="563"/>
    </row>
    <row r="2262" spans="22:25" x14ac:dyDescent="0.2">
      <c r="V2262" s="563"/>
      <c r="X2262" s="563"/>
      <c r="Y2262" s="563"/>
    </row>
    <row r="2263" spans="22:25" x14ac:dyDescent="0.2">
      <c r="V2263" s="563"/>
      <c r="X2263" s="563"/>
      <c r="Y2263" s="563"/>
    </row>
    <row r="2264" spans="22:25" x14ac:dyDescent="0.2">
      <c r="V2264" s="563"/>
      <c r="X2264" s="563"/>
      <c r="Y2264" s="563"/>
    </row>
    <row r="2265" spans="22:25" x14ac:dyDescent="0.2">
      <c r="V2265" s="563"/>
      <c r="X2265" s="563"/>
      <c r="Y2265" s="563"/>
    </row>
    <row r="2266" spans="22:25" x14ac:dyDescent="0.2">
      <c r="V2266" s="563"/>
      <c r="X2266" s="563"/>
      <c r="Y2266" s="563"/>
    </row>
    <row r="2267" spans="22:25" x14ac:dyDescent="0.2">
      <c r="V2267" s="563"/>
      <c r="X2267" s="563"/>
      <c r="Y2267" s="563"/>
    </row>
    <row r="2268" spans="22:25" x14ac:dyDescent="0.2">
      <c r="V2268" s="563"/>
      <c r="X2268" s="563"/>
      <c r="Y2268" s="563"/>
    </row>
    <row r="2269" spans="22:25" x14ac:dyDescent="0.2">
      <c r="V2269" s="563"/>
      <c r="X2269" s="563"/>
      <c r="Y2269" s="563"/>
    </row>
    <row r="2270" spans="22:25" x14ac:dyDescent="0.2">
      <c r="V2270" s="563"/>
      <c r="X2270" s="563"/>
      <c r="Y2270" s="563"/>
    </row>
    <row r="2271" spans="22:25" x14ac:dyDescent="0.2">
      <c r="V2271" s="563"/>
      <c r="X2271" s="563"/>
      <c r="Y2271" s="563"/>
    </row>
    <row r="2272" spans="22:25" x14ac:dyDescent="0.2">
      <c r="V2272" s="563"/>
      <c r="X2272" s="563"/>
      <c r="Y2272" s="563"/>
    </row>
    <row r="2273" spans="22:25" x14ac:dyDescent="0.2">
      <c r="V2273" s="563"/>
      <c r="X2273" s="563"/>
      <c r="Y2273" s="563"/>
    </row>
    <row r="2274" spans="22:25" x14ac:dyDescent="0.2">
      <c r="V2274" s="563"/>
      <c r="X2274" s="563"/>
      <c r="Y2274" s="563"/>
    </row>
    <row r="2275" spans="22:25" x14ac:dyDescent="0.2">
      <c r="V2275" s="563"/>
      <c r="X2275" s="563"/>
      <c r="Y2275" s="563"/>
    </row>
    <row r="2276" spans="22:25" x14ac:dyDescent="0.2">
      <c r="V2276" s="563"/>
      <c r="X2276" s="563"/>
      <c r="Y2276" s="563"/>
    </row>
    <row r="2277" spans="22:25" x14ac:dyDescent="0.2">
      <c r="V2277" s="563"/>
      <c r="X2277" s="563"/>
      <c r="Y2277" s="563"/>
    </row>
    <row r="2278" spans="22:25" x14ac:dyDescent="0.2">
      <c r="V2278" s="563"/>
      <c r="X2278" s="563"/>
      <c r="Y2278" s="563"/>
    </row>
    <row r="2279" spans="22:25" x14ac:dyDescent="0.2">
      <c r="V2279" s="563"/>
      <c r="X2279" s="563"/>
      <c r="Y2279" s="563"/>
    </row>
    <row r="2280" spans="22:25" x14ac:dyDescent="0.2">
      <c r="V2280" s="563"/>
      <c r="X2280" s="563"/>
      <c r="Y2280" s="563"/>
    </row>
    <row r="2281" spans="22:25" x14ac:dyDescent="0.2">
      <c r="V2281" s="563"/>
      <c r="X2281" s="563"/>
      <c r="Y2281" s="563"/>
    </row>
    <row r="2282" spans="22:25" x14ac:dyDescent="0.2">
      <c r="V2282" s="563"/>
      <c r="X2282" s="563"/>
      <c r="Y2282" s="563"/>
    </row>
    <row r="2283" spans="22:25" x14ac:dyDescent="0.2">
      <c r="V2283" s="563"/>
      <c r="X2283" s="563"/>
      <c r="Y2283" s="563"/>
    </row>
    <row r="2284" spans="22:25" x14ac:dyDescent="0.2">
      <c r="V2284" s="563"/>
      <c r="X2284" s="563"/>
      <c r="Y2284" s="563"/>
    </row>
    <row r="2285" spans="22:25" x14ac:dyDescent="0.2">
      <c r="V2285" s="563"/>
      <c r="X2285" s="563"/>
      <c r="Y2285" s="563"/>
    </row>
    <row r="2286" spans="22:25" x14ac:dyDescent="0.2">
      <c r="V2286" s="563"/>
      <c r="X2286" s="563"/>
      <c r="Y2286" s="563"/>
    </row>
    <row r="2287" spans="22:25" x14ac:dyDescent="0.2">
      <c r="V2287" s="563"/>
      <c r="X2287" s="563"/>
      <c r="Y2287" s="563"/>
    </row>
    <row r="2288" spans="22:25" x14ac:dyDescent="0.2">
      <c r="V2288" s="563"/>
      <c r="X2288" s="563"/>
      <c r="Y2288" s="563"/>
    </row>
    <row r="2289" spans="22:25" x14ac:dyDescent="0.2">
      <c r="V2289" s="563"/>
      <c r="X2289" s="563"/>
      <c r="Y2289" s="563"/>
    </row>
    <row r="2290" spans="22:25" x14ac:dyDescent="0.2">
      <c r="V2290" s="563"/>
      <c r="X2290" s="563"/>
      <c r="Y2290" s="563"/>
    </row>
    <row r="2291" spans="22:25" x14ac:dyDescent="0.2">
      <c r="V2291" s="563"/>
      <c r="X2291" s="563"/>
      <c r="Y2291" s="563"/>
    </row>
    <row r="2292" spans="22:25" x14ac:dyDescent="0.2">
      <c r="V2292" s="563"/>
      <c r="X2292" s="563"/>
      <c r="Y2292" s="563"/>
    </row>
    <row r="2293" spans="22:25" x14ac:dyDescent="0.2">
      <c r="V2293" s="563"/>
      <c r="X2293" s="563"/>
      <c r="Y2293" s="563"/>
    </row>
    <row r="2294" spans="22:25" x14ac:dyDescent="0.2">
      <c r="V2294" s="563"/>
      <c r="X2294" s="563"/>
      <c r="Y2294" s="563"/>
    </row>
    <row r="2295" spans="22:25" x14ac:dyDescent="0.2">
      <c r="V2295" s="563"/>
      <c r="X2295" s="563"/>
      <c r="Y2295" s="563"/>
    </row>
    <row r="2296" spans="22:25" x14ac:dyDescent="0.2">
      <c r="V2296" s="563"/>
      <c r="X2296" s="563"/>
      <c r="Y2296" s="563"/>
    </row>
    <row r="2297" spans="22:25" x14ac:dyDescent="0.2">
      <c r="V2297" s="563"/>
      <c r="X2297" s="563"/>
      <c r="Y2297" s="563"/>
    </row>
    <row r="2298" spans="22:25" x14ac:dyDescent="0.2">
      <c r="V2298" s="563"/>
      <c r="X2298" s="563"/>
      <c r="Y2298" s="563"/>
    </row>
    <row r="2299" spans="22:25" x14ac:dyDescent="0.2">
      <c r="V2299" s="563"/>
      <c r="X2299" s="563"/>
      <c r="Y2299" s="563"/>
    </row>
    <row r="2300" spans="22:25" x14ac:dyDescent="0.2">
      <c r="V2300" s="563"/>
      <c r="X2300" s="563"/>
      <c r="Y2300" s="563"/>
    </row>
    <row r="2301" spans="22:25" x14ac:dyDescent="0.2">
      <c r="V2301" s="563"/>
      <c r="X2301" s="563"/>
      <c r="Y2301" s="563"/>
    </row>
    <row r="2302" spans="22:25" x14ac:dyDescent="0.2">
      <c r="V2302" s="563"/>
      <c r="X2302" s="563"/>
      <c r="Y2302" s="563"/>
    </row>
    <row r="2303" spans="22:25" x14ac:dyDescent="0.2">
      <c r="V2303" s="563"/>
      <c r="X2303" s="563"/>
      <c r="Y2303" s="563"/>
    </row>
    <row r="2304" spans="22:25" x14ac:dyDescent="0.2">
      <c r="V2304" s="563"/>
      <c r="X2304" s="563"/>
      <c r="Y2304" s="563"/>
    </row>
    <row r="2305" spans="22:25" x14ac:dyDescent="0.2">
      <c r="V2305" s="563"/>
      <c r="X2305" s="563"/>
      <c r="Y2305" s="563"/>
    </row>
    <row r="2306" spans="22:25" x14ac:dyDescent="0.2">
      <c r="V2306" s="563"/>
      <c r="X2306" s="563"/>
      <c r="Y2306" s="563"/>
    </row>
    <row r="2307" spans="22:25" x14ac:dyDescent="0.2">
      <c r="V2307" s="563"/>
      <c r="X2307" s="563"/>
      <c r="Y2307" s="563"/>
    </row>
    <row r="2308" spans="22:25" x14ac:dyDescent="0.2">
      <c r="V2308" s="563"/>
      <c r="X2308" s="563"/>
      <c r="Y2308" s="563"/>
    </row>
    <row r="2309" spans="22:25" x14ac:dyDescent="0.2">
      <c r="V2309" s="563"/>
      <c r="X2309" s="563"/>
      <c r="Y2309" s="563"/>
    </row>
    <row r="2310" spans="22:25" x14ac:dyDescent="0.2">
      <c r="V2310" s="563"/>
      <c r="X2310" s="563"/>
      <c r="Y2310" s="563"/>
    </row>
    <row r="2311" spans="22:25" x14ac:dyDescent="0.2">
      <c r="V2311" s="563"/>
      <c r="X2311" s="563"/>
      <c r="Y2311" s="563"/>
    </row>
    <row r="2312" spans="22:25" x14ac:dyDescent="0.2">
      <c r="V2312" s="563"/>
      <c r="X2312" s="563"/>
      <c r="Y2312" s="563"/>
    </row>
    <row r="2313" spans="22:25" x14ac:dyDescent="0.2">
      <c r="V2313" s="563"/>
      <c r="X2313" s="563"/>
      <c r="Y2313" s="563"/>
    </row>
    <row r="2314" spans="22:25" x14ac:dyDescent="0.2">
      <c r="V2314" s="563"/>
      <c r="X2314" s="563"/>
      <c r="Y2314" s="563"/>
    </row>
    <row r="2315" spans="22:25" x14ac:dyDescent="0.2">
      <c r="V2315" s="563"/>
      <c r="X2315" s="563"/>
      <c r="Y2315" s="563"/>
    </row>
    <row r="2316" spans="22:25" x14ac:dyDescent="0.2">
      <c r="V2316" s="563"/>
      <c r="X2316" s="563"/>
      <c r="Y2316" s="563"/>
    </row>
    <row r="2317" spans="22:25" x14ac:dyDescent="0.2">
      <c r="V2317" s="563"/>
      <c r="X2317" s="563"/>
      <c r="Y2317" s="563"/>
    </row>
    <row r="2318" spans="22:25" x14ac:dyDescent="0.2">
      <c r="V2318" s="563"/>
      <c r="X2318" s="563"/>
      <c r="Y2318" s="563"/>
    </row>
    <row r="2319" spans="22:25" x14ac:dyDescent="0.2">
      <c r="V2319" s="563"/>
      <c r="X2319" s="563"/>
      <c r="Y2319" s="563"/>
    </row>
    <row r="2320" spans="22:25" x14ac:dyDescent="0.2">
      <c r="V2320" s="563"/>
      <c r="X2320" s="563"/>
      <c r="Y2320" s="563"/>
    </row>
    <row r="2321" spans="22:25" x14ac:dyDescent="0.2">
      <c r="V2321" s="563"/>
      <c r="X2321" s="563"/>
      <c r="Y2321" s="563"/>
    </row>
    <row r="2322" spans="22:25" x14ac:dyDescent="0.2">
      <c r="V2322" s="563"/>
      <c r="X2322" s="563"/>
      <c r="Y2322" s="563"/>
    </row>
    <row r="2323" spans="22:25" x14ac:dyDescent="0.2">
      <c r="V2323" s="563"/>
      <c r="X2323" s="563"/>
      <c r="Y2323" s="563"/>
    </row>
    <row r="2324" spans="22:25" x14ac:dyDescent="0.2">
      <c r="V2324" s="563"/>
      <c r="X2324" s="563"/>
      <c r="Y2324" s="563"/>
    </row>
    <row r="2325" spans="22:25" x14ac:dyDescent="0.2">
      <c r="V2325" s="563"/>
      <c r="X2325" s="563"/>
      <c r="Y2325" s="563"/>
    </row>
    <row r="2326" spans="22:25" x14ac:dyDescent="0.2">
      <c r="V2326" s="563"/>
      <c r="X2326" s="563"/>
      <c r="Y2326" s="563"/>
    </row>
    <row r="2327" spans="22:25" x14ac:dyDescent="0.2">
      <c r="V2327" s="563"/>
      <c r="X2327" s="563"/>
      <c r="Y2327" s="563"/>
    </row>
    <row r="2328" spans="22:25" x14ac:dyDescent="0.2">
      <c r="V2328" s="563"/>
      <c r="X2328" s="563"/>
      <c r="Y2328" s="563"/>
    </row>
    <row r="2329" spans="22:25" x14ac:dyDescent="0.2">
      <c r="V2329" s="563"/>
      <c r="X2329" s="563"/>
      <c r="Y2329" s="563"/>
    </row>
    <row r="2330" spans="22:25" x14ac:dyDescent="0.2">
      <c r="V2330" s="563"/>
      <c r="X2330" s="563"/>
      <c r="Y2330" s="563"/>
    </row>
    <row r="2331" spans="22:25" x14ac:dyDescent="0.2">
      <c r="V2331" s="563"/>
      <c r="X2331" s="563"/>
      <c r="Y2331" s="563"/>
    </row>
    <row r="2332" spans="22:25" x14ac:dyDescent="0.2">
      <c r="V2332" s="563"/>
      <c r="X2332" s="563"/>
      <c r="Y2332" s="563"/>
    </row>
    <row r="2333" spans="22:25" x14ac:dyDescent="0.2">
      <c r="V2333" s="563"/>
      <c r="X2333" s="563"/>
      <c r="Y2333" s="563"/>
    </row>
    <row r="2334" spans="22:25" x14ac:dyDescent="0.2">
      <c r="V2334" s="563"/>
      <c r="X2334" s="563"/>
      <c r="Y2334" s="563"/>
    </row>
    <row r="2335" spans="22:25" x14ac:dyDescent="0.2">
      <c r="V2335" s="563"/>
      <c r="X2335" s="563"/>
      <c r="Y2335" s="563"/>
    </row>
    <row r="2336" spans="22:25" x14ac:dyDescent="0.2">
      <c r="V2336" s="563"/>
      <c r="X2336" s="563"/>
      <c r="Y2336" s="563"/>
    </row>
    <row r="2337" spans="22:25" x14ac:dyDescent="0.2">
      <c r="V2337" s="563"/>
      <c r="X2337" s="563"/>
      <c r="Y2337" s="563"/>
    </row>
    <row r="2338" spans="22:25" x14ac:dyDescent="0.2">
      <c r="V2338" s="563"/>
      <c r="X2338" s="563"/>
      <c r="Y2338" s="563"/>
    </row>
    <row r="2339" spans="22:25" x14ac:dyDescent="0.2">
      <c r="V2339" s="563"/>
      <c r="X2339" s="563"/>
      <c r="Y2339" s="563"/>
    </row>
    <row r="2340" spans="22:25" x14ac:dyDescent="0.2">
      <c r="V2340" s="563"/>
      <c r="X2340" s="563"/>
      <c r="Y2340" s="563"/>
    </row>
    <row r="2341" spans="22:25" x14ac:dyDescent="0.2">
      <c r="V2341" s="563"/>
      <c r="X2341" s="563"/>
      <c r="Y2341" s="563"/>
    </row>
    <row r="2342" spans="22:25" x14ac:dyDescent="0.2">
      <c r="V2342" s="563"/>
      <c r="X2342" s="563"/>
      <c r="Y2342" s="563"/>
    </row>
    <row r="2343" spans="22:25" x14ac:dyDescent="0.2">
      <c r="V2343" s="563"/>
      <c r="X2343" s="563"/>
      <c r="Y2343" s="563"/>
    </row>
    <row r="2344" spans="22:25" x14ac:dyDescent="0.2">
      <c r="V2344" s="563"/>
      <c r="X2344" s="563"/>
      <c r="Y2344" s="563"/>
    </row>
    <row r="2345" spans="22:25" x14ac:dyDescent="0.2">
      <c r="V2345" s="563"/>
      <c r="X2345" s="563"/>
      <c r="Y2345" s="563"/>
    </row>
    <row r="2346" spans="22:25" x14ac:dyDescent="0.2">
      <c r="V2346" s="563"/>
      <c r="X2346" s="563"/>
      <c r="Y2346" s="563"/>
    </row>
    <row r="2347" spans="22:25" x14ac:dyDescent="0.2">
      <c r="V2347" s="563"/>
      <c r="X2347" s="563"/>
      <c r="Y2347" s="563"/>
    </row>
    <row r="2348" spans="22:25" x14ac:dyDescent="0.2">
      <c r="V2348" s="563"/>
      <c r="X2348" s="563"/>
      <c r="Y2348" s="563"/>
    </row>
    <row r="2349" spans="22:25" x14ac:dyDescent="0.2">
      <c r="V2349" s="563"/>
      <c r="X2349" s="563"/>
      <c r="Y2349" s="563"/>
    </row>
    <row r="2350" spans="22:25" x14ac:dyDescent="0.2">
      <c r="V2350" s="563"/>
      <c r="X2350" s="563"/>
      <c r="Y2350" s="563"/>
    </row>
    <row r="2351" spans="22:25" x14ac:dyDescent="0.2">
      <c r="V2351" s="563"/>
      <c r="X2351" s="563"/>
      <c r="Y2351" s="563"/>
    </row>
    <row r="2352" spans="22:25" x14ac:dyDescent="0.2">
      <c r="V2352" s="563"/>
      <c r="X2352" s="563"/>
      <c r="Y2352" s="563"/>
    </row>
    <row r="2353" spans="22:25" x14ac:dyDescent="0.2">
      <c r="V2353" s="563"/>
      <c r="X2353" s="563"/>
      <c r="Y2353" s="563"/>
    </row>
    <row r="2354" spans="22:25" x14ac:dyDescent="0.2">
      <c r="V2354" s="563"/>
      <c r="X2354" s="563"/>
      <c r="Y2354" s="563"/>
    </row>
    <row r="2355" spans="22:25" x14ac:dyDescent="0.2">
      <c r="V2355" s="563"/>
      <c r="X2355" s="563"/>
      <c r="Y2355" s="563"/>
    </row>
    <row r="2356" spans="22:25" x14ac:dyDescent="0.2">
      <c r="V2356" s="563"/>
      <c r="X2356" s="563"/>
      <c r="Y2356" s="563"/>
    </row>
    <row r="2357" spans="22:25" x14ac:dyDescent="0.2">
      <c r="V2357" s="563"/>
      <c r="X2357" s="563"/>
      <c r="Y2357" s="563"/>
    </row>
    <row r="2358" spans="22:25" x14ac:dyDescent="0.2">
      <c r="V2358" s="563"/>
      <c r="X2358" s="563"/>
      <c r="Y2358" s="563"/>
    </row>
    <row r="2359" spans="22:25" x14ac:dyDescent="0.2">
      <c r="V2359" s="563"/>
      <c r="X2359" s="563"/>
      <c r="Y2359" s="563"/>
    </row>
    <row r="2360" spans="22:25" x14ac:dyDescent="0.2">
      <c r="V2360" s="563"/>
      <c r="X2360" s="563"/>
      <c r="Y2360" s="563"/>
    </row>
    <row r="2361" spans="22:25" x14ac:dyDescent="0.2">
      <c r="V2361" s="563"/>
      <c r="X2361" s="563"/>
      <c r="Y2361" s="563"/>
    </row>
    <row r="2362" spans="22:25" x14ac:dyDescent="0.2">
      <c r="V2362" s="563"/>
      <c r="X2362" s="563"/>
      <c r="Y2362" s="563"/>
    </row>
    <row r="2363" spans="22:25" x14ac:dyDescent="0.2">
      <c r="V2363" s="563"/>
      <c r="X2363" s="563"/>
      <c r="Y2363" s="563"/>
    </row>
    <row r="2364" spans="22:25" x14ac:dyDescent="0.2">
      <c r="V2364" s="563"/>
      <c r="X2364" s="563"/>
      <c r="Y2364" s="563"/>
    </row>
    <row r="2365" spans="22:25" x14ac:dyDescent="0.2">
      <c r="V2365" s="563"/>
      <c r="X2365" s="563"/>
      <c r="Y2365" s="563"/>
    </row>
    <row r="2366" spans="22:25" x14ac:dyDescent="0.2">
      <c r="V2366" s="563"/>
      <c r="X2366" s="563"/>
      <c r="Y2366" s="563"/>
    </row>
    <row r="2367" spans="22:25" x14ac:dyDescent="0.2">
      <c r="V2367" s="563"/>
      <c r="X2367" s="563"/>
      <c r="Y2367" s="563"/>
    </row>
    <row r="2368" spans="22:25" x14ac:dyDescent="0.2">
      <c r="V2368" s="563"/>
      <c r="X2368" s="563"/>
      <c r="Y2368" s="563"/>
    </row>
    <row r="2369" spans="22:25" x14ac:dyDescent="0.2">
      <c r="V2369" s="563"/>
      <c r="X2369" s="563"/>
      <c r="Y2369" s="563"/>
    </row>
    <row r="2370" spans="22:25" x14ac:dyDescent="0.2">
      <c r="V2370" s="563"/>
      <c r="X2370" s="563"/>
      <c r="Y2370" s="563"/>
    </row>
    <row r="2371" spans="22:25" x14ac:dyDescent="0.2">
      <c r="V2371" s="563"/>
      <c r="X2371" s="563"/>
      <c r="Y2371" s="563"/>
    </row>
    <row r="2372" spans="22:25" x14ac:dyDescent="0.2">
      <c r="V2372" s="563"/>
      <c r="X2372" s="563"/>
      <c r="Y2372" s="563"/>
    </row>
    <row r="2373" spans="22:25" x14ac:dyDescent="0.2">
      <c r="V2373" s="563"/>
      <c r="X2373" s="563"/>
      <c r="Y2373" s="563"/>
    </row>
    <row r="2374" spans="22:25" x14ac:dyDescent="0.2">
      <c r="V2374" s="563"/>
      <c r="X2374" s="563"/>
      <c r="Y2374" s="563"/>
    </row>
    <row r="2375" spans="22:25" x14ac:dyDescent="0.2">
      <c r="V2375" s="563"/>
      <c r="X2375" s="563"/>
      <c r="Y2375" s="563"/>
    </row>
    <row r="2376" spans="22:25" x14ac:dyDescent="0.2">
      <c r="V2376" s="563"/>
      <c r="X2376" s="563"/>
      <c r="Y2376" s="563"/>
    </row>
    <row r="2377" spans="22:25" x14ac:dyDescent="0.2">
      <c r="V2377" s="563"/>
      <c r="X2377" s="563"/>
      <c r="Y2377" s="563"/>
    </row>
    <row r="2378" spans="22:25" x14ac:dyDescent="0.2">
      <c r="V2378" s="563"/>
      <c r="X2378" s="563"/>
      <c r="Y2378" s="563"/>
    </row>
    <row r="2379" spans="22:25" x14ac:dyDescent="0.2">
      <c r="V2379" s="563"/>
      <c r="X2379" s="563"/>
      <c r="Y2379" s="563"/>
    </row>
    <row r="2380" spans="22:25" x14ac:dyDescent="0.2">
      <c r="V2380" s="563"/>
      <c r="X2380" s="563"/>
      <c r="Y2380" s="563"/>
    </row>
    <row r="2381" spans="22:25" x14ac:dyDescent="0.2">
      <c r="V2381" s="563"/>
      <c r="X2381" s="563"/>
      <c r="Y2381" s="563"/>
    </row>
    <row r="2382" spans="22:25" x14ac:dyDescent="0.2">
      <c r="V2382" s="563"/>
      <c r="X2382" s="563"/>
      <c r="Y2382" s="563"/>
    </row>
    <row r="2383" spans="22:25" x14ac:dyDescent="0.2">
      <c r="V2383" s="563"/>
      <c r="X2383" s="563"/>
      <c r="Y2383" s="563"/>
    </row>
    <row r="2384" spans="22:25" x14ac:dyDescent="0.2">
      <c r="V2384" s="563"/>
      <c r="X2384" s="563"/>
      <c r="Y2384" s="563"/>
    </row>
    <row r="2385" spans="22:25" x14ac:dyDescent="0.2">
      <c r="V2385" s="563"/>
      <c r="X2385" s="563"/>
      <c r="Y2385" s="563"/>
    </row>
    <row r="2386" spans="22:25" x14ac:dyDescent="0.2">
      <c r="V2386" s="563"/>
      <c r="X2386" s="563"/>
      <c r="Y2386" s="563"/>
    </row>
    <row r="2387" spans="22:25" x14ac:dyDescent="0.2">
      <c r="V2387" s="563"/>
      <c r="X2387" s="563"/>
      <c r="Y2387" s="563"/>
    </row>
    <row r="2388" spans="22:25" x14ac:dyDescent="0.2">
      <c r="V2388" s="563"/>
      <c r="X2388" s="563"/>
      <c r="Y2388" s="563"/>
    </row>
    <row r="2389" spans="22:25" x14ac:dyDescent="0.2">
      <c r="V2389" s="563"/>
      <c r="X2389" s="563"/>
      <c r="Y2389" s="563"/>
    </row>
    <row r="2390" spans="22:25" x14ac:dyDescent="0.2">
      <c r="V2390" s="563"/>
      <c r="X2390" s="563"/>
      <c r="Y2390" s="563"/>
    </row>
    <row r="2391" spans="22:25" x14ac:dyDescent="0.2">
      <c r="V2391" s="563"/>
      <c r="X2391" s="563"/>
      <c r="Y2391" s="563"/>
    </row>
    <row r="2392" spans="22:25" x14ac:dyDescent="0.2">
      <c r="V2392" s="563"/>
      <c r="X2392" s="563"/>
      <c r="Y2392" s="563"/>
    </row>
    <row r="2393" spans="22:25" x14ac:dyDescent="0.2">
      <c r="V2393" s="563"/>
      <c r="X2393" s="563"/>
      <c r="Y2393" s="563"/>
    </row>
    <row r="2394" spans="22:25" x14ac:dyDescent="0.2">
      <c r="V2394" s="563"/>
      <c r="X2394" s="563"/>
      <c r="Y2394" s="563"/>
    </row>
    <row r="2395" spans="22:25" x14ac:dyDescent="0.2">
      <c r="V2395" s="563"/>
      <c r="X2395" s="563"/>
      <c r="Y2395" s="563"/>
    </row>
    <row r="2396" spans="22:25" x14ac:dyDescent="0.2">
      <c r="V2396" s="563"/>
      <c r="X2396" s="563"/>
      <c r="Y2396" s="563"/>
    </row>
    <row r="2397" spans="22:25" x14ac:dyDescent="0.2">
      <c r="V2397" s="563"/>
      <c r="X2397" s="563"/>
      <c r="Y2397" s="563"/>
    </row>
    <row r="2398" spans="22:25" x14ac:dyDescent="0.2">
      <c r="V2398" s="563"/>
      <c r="X2398" s="563"/>
      <c r="Y2398" s="563"/>
    </row>
    <row r="2399" spans="22:25" x14ac:dyDescent="0.2">
      <c r="V2399" s="563"/>
      <c r="X2399" s="563"/>
      <c r="Y2399" s="563"/>
    </row>
    <row r="2400" spans="22:25" x14ac:dyDescent="0.2">
      <c r="V2400" s="563"/>
      <c r="X2400" s="563"/>
      <c r="Y2400" s="563"/>
    </row>
    <row r="2401" spans="22:25" x14ac:dyDescent="0.2">
      <c r="V2401" s="563"/>
      <c r="X2401" s="563"/>
      <c r="Y2401" s="563"/>
    </row>
    <row r="2402" spans="22:25" x14ac:dyDescent="0.2">
      <c r="V2402" s="563"/>
      <c r="X2402" s="563"/>
      <c r="Y2402" s="563"/>
    </row>
    <row r="2403" spans="22:25" x14ac:dyDescent="0.2">
      <c r="V2403" s="563"/>
      <c r="X2403" s="563"/>
      <c r="Y2403" s="563"/>
    </row>
    <row r="2404" spans="22:25" x14ac:dyDescent="0.2">
      <c r="V2404" s="563"/>
      <c r="X2404" s="563"/>
      <c r="Y2404" s="563"/>
    </row>
    <row r="2405" spans="22:25" x14ac:dyDescent="0.2">
      <c r="V2405" s="563"/>
      <c r="X2405" s="563"/>
      <c r="Y2405" s="563"/>
    </row>
    <row r="2406" spans="22:25" x14ac:dyDescent="0.2">
      <c r="V2406" s="563"/>
      <c r="X2406" s="563"/>
      <c r="Y2406" s="563"/>
    </row>
    <row r="2407" spans="22:25" x14ac:dyDescent="0.2">
      <c r="V2407" s="563"/>
      <c r="X2407" s="563"/>
      <c r="Y2407" s="563"/>
    </row>
    <row r="2408" spans="22:25" x14ac:dyDescent="0.2">
      <c r="V2408" s="563"/>
      <c r="X2408" s="563"/>
      <c r="Y2408" s="563"/>
    </row>
    <row r="2409" spans="22:25" x14ac:dyDescent="0.2">
      <c r="V2409" s="563"/>
      <c r="X2409" s="563"/>
      <c r="Y2409" s="563"/>
    </row>
    <row r="2410" spans="22:25" x14ac:dyDescent="0.2">
      <c r="V2410" s="563"/>
      <c r="X2410" s="563"/>
      <c r="Y2410" s="563"/>
    </row>
    <row r="2411" spans="22:25" x14ac:dyDescent="0.2">
      <c r="V2411" s="563"/>
      <c r="X2411" s="563"/>
      <c r="Y2411" s="563"/>
    </row>
    <row r="2412" spans="22:25" x14ac:dyDescent="0.2">
      <c r="V2412" s="563"/>
      <c r="X2412" s="563"/>
      <c r="Y2412" s="563"/>
    </row>
    <row r="2413" spans="22:25" x14ac:dyDescent="0.2">
      <c r="V2413" s="563"/>
      <c r="X2413" s="563"/>
      <c r="Y2413" s="563"/>
    </row>
    <row r="2414" spans="22:25" x14ac:dyDescent="0.2">
      <c r="V2414" s="563"/>
      <c r="X2414" s="563"/>
      <c r="Y2414" s="563"/>
    </row>
    <row r="2415" spans="22:25" x14ac:dyDescent="0.2">
      <c r="V2415" s="563"/>
      <c r="X2415" s="563"/>
      <c r="Y2415" s="563"/>
    </row>
    <row r="2416" spans="22:25" x14ac:dyDescent="0.2">
      <c r="V2416" s="563"/>
      <c r="X2416" s="563"/>
      <c r="Y2416" s="563"/>
    </row>
    <row r="2417" spans="22:25" x14ac:dyDescent="0.2">
      <c r="V2417" s="563"/>
      <c r="X2417" s="563"/>
      <c r="Y2417" s="563"/>
    </row>
    <row r="2418" spans="22:25" x14ac:dyDescent="0.2">
      <c r="V2418" s="563"/>
      <c r="X2418" s="563"/>
      <c r="Y2418" s="563"/>
    </row>
    <row r="2419" spans="22:25" x14ac:dyDescent="0.2">
      <c r="V2419" s="563"/>
      <c r="X2419" s="563"/>
      <c r="Y2419" s="563"/>
    </row>
    <row r="2420" spans="22:25" x14ac:dyDescent="0.2">
      <c r="V2420" s="563"/>
      <c r="X2420" s="563"/>
      <c r="Y2420" s="563"/>
    </row>
    <row r="2421" spans="22:25" x14ac:dyDescent="0.2">
      <c r="V2421" s="563"/>
      <c r="X2421" s="563"/>
      <c r="Y2421" s="563"/>
    </row>
    <row r="2422" spans="22:25" x14ac:dyDescent="0.2">
      <c r="V2422" s="563"/>
      <c r="X2422" s="563"/>
      <c r="Y2422" s="563"/>
    </row>
    <row r="2423" spans="22:25" x14ac:dyDescent="0.2">
      <c r="V2423" s="563"/>
      <c r="X2423" s="563"/>
      <c r="Y2423" s="563"/>
    </row>
    <row r="2424" spans="22:25" x14ac:dyDescent="0.2">
      <c r="V2424" s="563"/>
      <c r="X2424" s="563"/>
      <c r="Y2424" s="563"/>
    </row>
    <row r="2425" spans="22:25" x14ac:dyDescent="0.2">
      <c r="V2425" s="563"/>
      <c r="X2425" s="563"/>
      <c r="Y2425" s="563"/>
    </row>
    <row r="2426" spans="22:25" x14ac:dyDescent="0.2">
      <c r="V2426" s="563"/>
      <c r="X2426" s="563"/>
      <c r="Y2426" s="563"/>
    </row>
    <row r="2427" spans="22:25" x14ac:dyDescent="0.2">
      <c r="V2427" s="563"/>
      <c r="X2427" s="563"/>
      <c r="Y2427" s="563"/>
    </row>
    <row r="2428" spans="22:25" x14ac:dyDescent="0.2">
      <c r="V2428" s="563"/>
      <c r="X2428" s="563"/>
      <c r="Y2428" s="563"/>
    </row>
    <row r="2429" spans="22:25" x14ac:dyDescent="0.2">
      <c r="V2429" s="563"/>
      <c r="X2429" s="563"/>
      <c r="Y2429" s="563"/>
    </row>
    <row r="2430" spans="22:25" x14ac:dyDescent="0.2">
      <c r="V2430" s="563"/>
      <c r="X2430" s="563"/>
      <c r="Y2430" s="563"/>
    </row>
    <row r="2431" spans="22:25" x14ac:dyDescent="0.2">
      <c r="V2431" s="563"/>
      <c r="X2431" s="563"/>
      <c r="Y2431" s="563"/>
    </row>
    <row r="2432" spans="22:25" x14ac:dyDescent="0.2">
      <c r="V2432" s="563"/>
      <c r="X2432" s="563"/>
      <c r="Y2432" s="563"/>
    </row>
    <row r="2433" spans="22:25" x14ac:dyDescent="0.2">
      <c r="V2433" s="563"/>
      <c r="X2433" s="563"/>
      <c r="Y2433" s="563"/>
    </row>
    <row r="2434" spans="22:25" x14ac:dyDescent="0.2">
      <c r="V2434" s="563"/>
      <c r="X2434" s="563"/>
      <c r="Y2434" s="563"/>
    </row>
    <row r="2435" spans="22:25" x14ac:dyDescent="0.2">
      <c r="V2435" s="563"/>
      <c r="X2435" s="563"/>
      <c r="Y2435" s="563"/>
    </row>
    <row r="2436" spans="22:25" x14ac:dyDescent="0.2">
      <c r="V2436" s="563"/>
      <c r="X2436" s="563"/>
      <c r="Y2436" s="563"/>
    </row>
    <row r="2437" spans="22:25" x14ac:dyDescent="0.2">
      <c r="V2437" s="563"/>
      <c r="X2437" s="563"/>
      <c r="Y2437" s="563"/>
    </row>
    <row r="2438" spans="22:25" x14ac:dyDescent="0.2">
      <c r="V2438" s="563"/>
      <c r="X2438" s="563"/>
      <c r="Y2438" s="563"/>
    </row>
    <row r="2439" spans="22:25" x14ac:dyDescent="0.2">
      <c r="V2439" s="563"/>
      <c r="X2439" s="563"/>
      <c r="Y2439" s="563"/>
    </row>
    <row r="2440" spans="22:25" x14ac:dyDescent="0.2">
      <c r="V2440" s="563"/>
      <c r="X2440" s="563"/>
      <c r="Y2440" s="563"/>
    </row>
    <row r="2441" spans="22:25" x14ac:dyDescent="0.2">
      <c r="V2441" s="563"/>
      <c r="X2441" s="563"/>
      <c r="Y2441" s="563"/>
    </row>
    <row r="2442" spans="22:25" x14ac:dyDescent="0.2">
      <c r="V2442" s="563"/>
      <c r="X2442" s="563"/>
      <c r="Y2442" s="563"/>
    </row>
    <row r="2443" spans="22:25" x14ac:dyDescent="0.2">
      <c r="V2443" s="563"/>
      <c r="X2443" s="563"/>
      <c r="Y2443" s="563"/>
    </row>
    <row r="2444" spans="22:25" x14ac:dyDescent="0.2">
      <c r="V2444" s="563"/>
      <c r="X2444" s="563"/>
      <c r="Y2444" s="563"/>
    </row>
    <row r="2445" spans="22:25" x14ac:dyDescent="0.2">
      <c r="V2445" s="563"/>
      <c r="X2445" s="563"/>
      <c r="Y2445" s="563"/>
    </row>
    <row r="2446" spans="22:25" x14ac:dyDescent="0.2">
      <c r="V2446" s="563"/>
      <c r="X2446" s="563"/>
      <c r="Y2446" s="563"/>
    </row>
    <row r="2447" spans="22:25" x14ac:dyDescent="0.2">
      <c r="V2447" s="563"/>
      <c r="X2447" s="563"/>
      <c r="Y2447" s="563"/>
    </row>
    <row r="2448" spans="22:25" x14ac:dyDescent="0.2">
      <c r="V2448" s="563"/>
      <c r="X2448" s="563"/>
      <c r="Y2448" s="563"/>
    </row>
    <row r="2449" spans="22:25" x14ac:dyDescent="0.2">
      <c r="V2449" s="563"/>
      <c r="X2449" s="563"/>
      <c r="Y2449" s="563"/>
    </row>
    <row r="2450" spans="22:25" x14ac:dyDescent="0.2">
      <c r="V2450" s="563"/>
      <c r="X2450" s="563"/>
      <c r="Y2450" s="563"/>
    </row>
    <row r="2451" spans="22:25" x14ac:dyDescent="0.2">
      <c r="V2451" s="563"/>
      <c r="X2451" s="563"/>
      <c r="Y2451" s="563"/>
    </row>
    <row r="2452" spans="22:25" x14ac:dyDescent="0.2">
      <c r="V2452" s="563"/>
      <c r="X2452" s="563"/>
      <c r="Y2452" s="563"/>
    </row>
    <row r="2453" spans="22:25" x14ac:dyDescent="0.2">
      <c r="V2453" s="563"/>
      <c r="X2453" s="563"/>
      <c r="Y2453" s="563"/>
    </row>
    <row r="2454" spans="22:25" x14ac:dyDescent="0.2">
      <c r="V2454" s="563"/>
      <c r="X2454" s="563"/>
      <c r="Y2454" s="563"/>
    </row>
    <row r="2455" spans="22:25" x14ac:dyDescent="0.2">
      <c r="V2455" s="563"/>
      <c r="X2455" s="563"/>
      <c r="Y2455" s="563"/>
    </row>
    <row r="2456" spans="22:25" x14ac:dyDescent="0.2">
      <c r="V2456" s="563"/>
      <c r="X2456" s="563"/>
      <c r="Y2456" s="563"/>
    </row>
    <row r="2457" spans="22:25" x14ac:dyDescent="0.2">
      <c r="V2457" s="563"/>
      <c r="X2457" s="563"/>
      <c r="Y2457" s="563"/>
    </row>
    <row r="2458" spans="22:25" x14ac:dyDescent="0.2">
      <c r="V2458" s="563"/>
      <c r="X2458" s="563"/>
      <c r="Y2458" s="563"/>
    </row>
    <row r="2459" spans="22:25" x14ac:dyDescent="0.2">
      <c r="V2459" s="563"/>
      <c r="X2459" s="563"/>
      <c r="Y2459" s="563"/>
    </row>
    <row r="2460" spans="22:25" x14ac:dyDescent="0.2">
      <c r="V2460" s="563"/>
      <c r="X2460" s="563"/>
      <c r="Y2460" s="563"/>
    </row>
    <row r="2461" spans="22:25" x14ac:dyDescent="0.2">
      <c r="V2461" s="563"/>
      <c r="X2461" s="563"/>
      <c r="Y2461" s="563"/>
    </row>
    <row r="2462" spans="22:25" x14ac:dyDescent="0.2">
      <c r="V2462" s="563"/>
      <c r="X2462" s="563"/>
      <c r="Y2462" s="563"/>
    </row>
    <row r="2463" spans="22:25" x14ac:dyDescent="0.2">
      <c r="V2463" s="563"/>
      <c r="X2463" s="563"/>
      <c r="Y2463" s="563"/>
    </row>
    <row r="2464" spans="22:25" x14ac:dyDescent="0.2">
      <c r="V2464" s="563"/>
      <c r="X2464" s="563"/>
      <c r="Y2464" s="563"/>
    </row>
    <row r="2465" spans="22:25" x14ac:dyDescent="0.2">
      <c r="V2465" s="563"/>
      <c r="X2465" s="563"/>
      <c r="Y2465" s="563"/>
    </row>
    <row r="2466" spans="22:25" x14ac:dyDescent="0.2">
      <c r="V2466" s="563"/>
      <c r="X2466" s="563"/>
      <c r="Y2466" s="563"/>
    </row>
    <row r="2467" spans="22:25" x14ac:dyDescent="0.2">
      <c r="V2467" s="563"/>
      <c r="X2467" s="563"/>
      <c r="Y2467" s="563"/>
    </row>
    <row r="2468" spans="22:25" x14ac:dyDescent="0.2">
      <c r="V2468" s="563"/>
      <c r="X2468" s="563"/>
      <c r="Y2468" s="563"/>
    </row>
    <row r="2469" spans="22:25" x14ac:dyDescent="0.2">
      <c r="V2469" s="563"/>
      <c r="X2469" s="563"/>
      <c r="Y2469" s="563"/>
    </row>
    <row r="2470" spans="22:25" x14ac:dyDescent="0.2">
      <c r="V2470" s="563"/>
      <c r="X2470" s="563"/>
      <c r="Y2470" s="563"/>
    </row>
    <row r="2471" spans="22:25" x14ac:dyDescent="0.2">
      <c r="V2471" s="563"/>
      <c r="X2471" s="563"/>
      <c r="Y2471" s="563"/>
    </row>
    <row r="2472" spans="22:25" x14ac:dyDescent="0.2">
      <c r="V2472" s="563"/>
      <c r="X2472" s="563"/>
      <c r="Y2472" s="563"/>
    </row>
    <row r="2473" spans="22:25" x14ac:dyDescent="0.2">
      <c r="V2473" s="563"/>
      <c r="X2473" s="563"/>
      <c r="Y2473" s="563"/>
    </row>
    <row r="2474" spans="22:25" x14ac:dyDescent="0.2">
      <c r="V2474" s="563"/>
      <c r="X2474" s="563"/>
      <c r="Y2474" s="563"/>
    </row>
    <row r="2475" spans="22:25" x14ac:dyDescent="0.2">
      <c r="V2475" s="563"/>
      <c r="X2475" s="563"/>
      <c r="Y2475" s="563"/>
    </row>
    <row r="2476" spans="22:25" x14ac:dyDescent="0.2">
      <c r="V2476" s="563"/>
      <c r="X2476" s="563"/>
      <c r="Y2476" s="563"/>
    </row>
    <row r="2477" spans="22:25" x14ac:dyDescent="0.2">
      <c r="V2477" s="563"/>
      <c r="X2477" s="563"/>
      <c r="Y2477" s="563"/>
    </row>
    <row r="2478" spans="22:25" x14ac:dyDescent="0.2">
      <c r="V2478" s="563"/>
      <c r="X2478" s="563"/>
      <c r="Y2478" s="563"/>
    </row>
    <row r="2479" spans="22:25" x14ac:dyDescent="0.2">
      <c r="V2479" s="563"/>
      <c r="X2479" s="563"/>
      <c r="Y2479" s="563"/>
    </row>
    <row r="2480" spans="22:25" x14ac:dyDescent="0.2">
      <c r="V2480" s="563"/>
      <c r="X2480" s="563"/>
      <c r="Y2480" s="563"/>
    </row>
    <row r="2481" spans="22:25" x14ac:dyDescent="0.2">
      <c r="V2481" s="563"/>
      <c r="X2481" s="563"/>
      <c r="Y2481" s="563"/>
    </row>
    <row r="2482" spans="22:25" x14ac:dyDescent="0.2">
      <c r="V2482" s="563"/>
      <c r="X2482" s="563"/>
      <c r="Y2482" s="563"/>
    </row>
    <row r="2483" spans="22:25" x14ac:dyDescent="0.2">
      <c r="V2483" s="563"/>
      <c r="X2483" s="563"/>
      <c r="Y2483" s="563"/>
    </row>
    <row r="2484" spans="22:25" x14ac:dyDescent="0.2">
      <c r="V2484" s="563"/>
      <c r="X2484" s="563"/>
      <c r="Y2484" s="563"/>
    </row>
    <row r="2485" spans="22:25" x14ac:dyDescent="0.2">
      <c r="V2485" s="563"/>
      <c r="X2485" s="563"/>
      <c r="Y2485" s="563"/>
    </row>
    <row r="2486" spans="22:25" x14ac:dyDescent="0.2">
      <c r="V2486" s="563"/>
      <c r="X2486" s="563"/>
      <c r="Y2486" s="563"/>
    </row>
    <row r="2487" spans="22:25" x14ac:dyDescent="0.2">
      <c r="V2487" s="563"/>
      <c r="X2487" s="563"/>
      <c r="Y2487" s="563"/>
    </row>
    <row r="2488" spans="22:25" x14ac:dyDescent="0.2">
      <c r="V2488" s="563"/>
      <c r="X2488" s="563"/>
      <c r="Y2488" s="563"/>
    </row>
    <row r="2489" spans="22:25" x14ac:dyDescent="0.2">
      <c r="V2489" s="563"/>
      <c r="X2489" s="563"/>
      <c r="Y2489" s="563"/>
    </row>
    <row r="2490" spans="22:25" x14ac:dyDescent="0.2">
      <c r="V2490" s="563"/>
      <c r="X2490" s="563"/>
      <c r="Y2490" s="563"/>
    </row>
    <row r="2491" spans="22:25" x14ac:dyDescent="0.2">
      <c r="V2491" s="563"/>
      <c r="X2491" s="563"/>
      <c r="Y2491" s="563"/>
    </row>
    <row r="2492" spans="22:25" x14ac:dyDescent="0.2">
      <c r="V2492" s="563"/>
      <c r="X2492" s="563"/>
      <c r="Y2492" s="563"/>
    </row>
    <row r="2493" spans="22:25" x14ac:dyDescent="0.2">
      <c r="V2493" s="563"/>
      <c r="X2493" s="563"/>
      <c r="Y2493" s="563"/>
    </row>
    <row r="2494" spans="22:25" x14ac:dyDescent="0.2">
      <c r="V2494" s="563"/>
      <c r="X2494" s="563"/>
      <c r="Y2494" s="563"/>
    </row>
    <row r="2495" spans="22:25" x14ac:dyDescent="0.2">
      <c r="V2495" s="563"/>
      <c r="X2495" s="563"/>
      <c r="Y2495" s="563"/>
    </row>
    <row r="2496" spans="22:25" x14ac:dyDescent="0.2">
      <c r="V2496" s="563"/>
      <c r="X2496" s="563"/>
      <c r="Y2496" s="563"/>
    </row>
    <row r="2497" spans="22:25" x14ac:dyDescent="0.2">
      <c r="V2497" s="563"/>
      <c r="X2497" s="563"/>
      <c r="Y2497" s="563"/>
    </row>
    <row r="2498" spans="22:25" x14ac:dyDescent="0.2">
      <c r="V2498" s="563"/>
      <c r="X2498" s="563"/>
      <c r="Y2498" s="563"/>
    </row>
    <row r="2499" spans="22:25" x14ac:dyDescent="0.2">
      <c r="V2499" s="563"/>
      <c r="X2499" s="563"/>
      <c r="Y2499" s="563"/>
    </row>
    <row r="2500" spans="22:25" x14ac:dyDescent="0.2">
      <c r="V2500" s="563"/>
      <c r="X2500" s="563"/>
      <c r="Y2500" s="563"/>
    </row>
    <row r="2501" spans="22:25" x14ac:dyDescent="0.2">
      <c r="V2501" s="563"/>
      <c r="X2501" s="563"/>
      <c r="Y2501" s="563"/>
    </row>
    <row r="2502" spans="22:25" x14ac:dyDescent="0.2">
      <c r="V2502" s="563"/>
      <c r="X2502" s="563"/>
      <c r="Y2502" s="563"/>
    </row>
    <row r="2503" spans="22:25" x14ac:dyDescent="0.2">
      <c r="V2503" s="563"/>
      <c r="X2503" s="563"/>
      <c r="Y2503" s="563"/>
    </row>
    <row r="2504" spans="22:25" x14ac:dyDescent="0.2">
      <c r="V2504" s="563"/>
      <c r="X2504" s="563"/>
      <c r="Y2504" s="563"/>
    </row>
    <row r="2505" spans="22:25" x14ac:dyDescent="0.2">
      <c r="V2505" s="563"/>
      <c r="X2505" s="563"/>
      <c r="Y2505" s="563"/>
    </row>
    <row r="2506" spans="22:25" x14ac:dyDescent="0.2">
      <c r="V2506" s="563"/>
      <c r="X2506" s="563"/>
      <c r="Y2506" s="563"/>
    </row>
    <row r="2507" spans="22:25" x14ac:dyDescent="0.2">
      <c r="V2507" s="563"/>
      <c r="X2507" s="563"/>
      <c r="Y2507" s="563"/>
    </row>
    <row r="2508" spans="22:25" x14ac:dyDescent="0.2">
      <c r="V2508" s="563"/>
      <c r="X2508" s="563"/>
      <c r="Y2508" s="563"/>
    </row>
    <row r="2509" spans="22:25" x14ac:dyDescent="0.2">
      <c r="V2509" s="563"/>
      <c r="X2509" s="563"/>
      <c r="Y2509" s="563"/>
    </row>
    <row r="2510" spans="22:25" x14ac:dyDescent="0.2">
      <c r="V2510" s="563"/>
      <c r="X2510" s="563"/>
      <c r="Y2510" s="563"/>
    </row>
    <row r="2511" spans="22:25" x14ac:dyDescent="0.2">
      <c r="V2511" s="563"/>
      <c r="X2511" s="563"/>
      <c r="Y2511" s="563"/>
    </row>
    <row r="2512" spans="22:25" x14ac:dyDescent="0.2">
      <c r="V2512" s="563"/>
      <c r="X2512" s="563"/>
      <c r="Y2512" s="563"/>
    </row>
    <row r="2513" spans="22:25" x14ac:dyDescent="0.2">
      <c r="V2513" s="563"/>
      <c r="X2513" s="563"/>
      <c r="Y2513" s="563"/>
    </row>
    <row r="2514" spans="22:25" x14ac:dyDescent="0.2">
      <c r="V2514" s="563"/>
      <c r="X2514" s="563"/>
      <c r="Y2514" s="563"/>
    </row>
    <row r="2515" spans="22:25" x14ac:dyDescent="0.2">
      <c r="V2515" s="563"/>
      <c r="X2515" s="563"/>
      <c r="Y2515" s="563"/>
    </row>
    <row r="2516" spans="22:25" x14ac:dyDescent="0.2">
      <c r="V2516" s="563"/>
      <c r="X2516" s="563"/>
      <c r="Y2516" s="563"/>
    </row>
    <row r="2517" spans="22:25" x14ac:dyDescent="0.2">
      <c r="V2517" s="563"/>
      <c r="X2517" s="563"/>
      <c r="Y2517" s="563"/>
    </row>
    <row r="2518" spans="22:25" x14ac:dyDescent="0.2">
      <c r="V2518" s="563"/>
      <c r="X2518" s="563"/>
      <c r="Y2518" s="563"/>
    </row>
    <row r="2519" spans="22:25" x14ac:dyDescent="0.2">
      <c r="V2519" s="563"/>
      <c r="X2519" s="563"/>
      <c r="Y2519" s="563"/>
    </row>
    <row r="2520" spans="22:25" x14ac:dyDescent="0.2">
      <c r="V2520" s="563"/>
      <c r="X2520" s="563"/>
      <c r="Y2520" s="563"/>
    </row>
    <row r="2521" spans="22:25" x14ac:dyDescent="0.2">
      <c r="V2521" s="563"/>
      <c r="X2521" s="563"/>
      <c r="Y2521" s="563"/>
    </row>
    <row r="2522" spans="22:25" x14ac:dyDescent="0.2">
      <c r="V2522" s="563"/>
      <c r="X2522" s="563"/>
      <c r="Y2522" s="563"/>
    </row>
    <row r="2523" spans="22:25" x14ac:dyDescent="0.2">
      <c r="V2523" s="563"/>
      <c r="X2523" s="563"/>
      <c r="Y2523" s="563"/>
    </row>
    <row r="2524" spans="22:25" x14ac:dyDescent="0.2">
      <c r="V2524" s="563"/>
      <c r="X2524" s="563"/>
      <c r="Y2524" s="563"/>
    </row>
    <row r="2525" spans="22:25" x14ac:dyDescent="0.2">
      <c r="V2525" s="563"/>
      <c r="X2525" s="563"/>
      <c r="Y2525" s="563"/>
    </row>
    <row r="2526" spans="22:25" x14ac:dyDescent="0.2">
      <c r="V2526" s="563"/>
      <c r="X2526" s="563"/>
      <c r="Y2526" s="563"/>
    </row>
    <row r="2527" spans="22:25" x14ac:dyDescent="0.2">
      <c r="V2527" s="563"/>
      <c r="X2527" s="563"/>
      <c r="Y2527" s="563"/>
    </row>
    <row r="2528" spans="22:25" x14ac:dyDescent="0.2">
      <c r="V2528" s="563"/>
      <c r="X2528" s="563"/>
      <c r="Y2528" s="563"/>
    </row>
    <row r="2529" spans="22:25" x14ac:dyDescent="0.2">
      <c r="V2529" s="563"/>
      <c r="X2529" s="563"/>
      <c r="Y2529" s="563"/>
    </row>
    <row r="2530" spans="22:25" x14ac:dyDescent="0.2">
      <c r="V2530" s="563"/>
      <c r="X2530" s="563"/>
      <c r="Y2530" s="563"/>
    </row>
    <row r="2531" spans="22:25" x14ac:dyDescent="0.2">
      <c r="V2531" s="563"/>
      <c r="X2531" s="563"/>
      <c r="Y2531" s="563"/>
    </row>
    <row r="2532" spans="22:25" x14ac:dyDescent="0.2">
      <c r="V2532" s="563"/>
      <c r="X2532" s="563"/>
      <c r="Y2532" s="563"/>
    </row>
    <row r="2533" spans="22:25" x14ac:dyDescent="0.2">
      <c r="V2533" s="563"/>
      <c r="X2533" s="563"/>
      <c r="Y2533" s="563"/>
    </row>
    <row r="2534" spans="22:25" x14ac:dyDescent="0.2">
      <c r="V2534" s="563"/>
      <c r="X2534" s="563"/>
      <c r="Y2534" s="563"/>
    </row>
    <row r="2535" spans="22:25" x14ac:dyDescent="0.2">
      <c r="V2535" s="563"/>
      <c r="X2535" s="563"/>
      <c r="Y2535" s="563"/>
    </row>
    <row r="2536" spans="22:25" x14ac:dyDescent="0.2">
      <c r="V2536" s="563"/>
      <c r="X2536" s="563"/>
      <c r="Y2536" s="563"/>
    </row>
    <row r="2537" spans="22:25" x14ac:dyDescent="0.2">
      <c r="V2537" s="563"/>
      <c r="X2537" s="563"/>
      <c r="Y2537" s="563"/>
    </row>
    <row r="2538" spans="22:25" x14ac:dyDescent="0.2">
      <c r="V2538" s="563"/>
      <c r="X2538" s="563"/>
      <c r="Y2538" s="563"/>
    </row>
    <row r="2539" spans="22:25" x14ac:dyDescent="0.2">
      <c r="V2539" s="563"/>
      <c r="X2539" s="563"/>
      <c r="Y2539" s="563"/>
    </row>
    <row r="2540" spans="22:25" x14ac:dyDescent="0.2">
      <c r="V2540" s="563"/>
      <c r="X2540" s="563"/>
      <c r="Y2540" s="563"/>
    </row>
    <row r="2541" spans="22:25" x14ac:dyDescent="0.2">
      <c r="V2541" s="563"/>
      <c r="X2541" s="563"/>
      <c r="Y2541" s="563"/>
    </row>
    <row r="2542" spans="22:25" x14ac:dyDescent="0.2">
      <c r="V2542" s="563"/>
      <c r="X2542" s="563"/>
      <c r="Y2542" s="563"/>
    </row>
    <row r="2543" spans="22:25" x14ac:dyDescent="0.2">
      <c r="V2543" s="563"/>
      <c r="X2543" s="563"/>
      <c r="Y2543" s="563"/>
    </row>
    <row r="2544" spans="22:25" x14ac:dyDescent="0.2">
      <c r="V2544" s="563"/>
      <c r="X2544" s="563"/>
      <c r="Y2544" s="563"/>
    </row>
    <row r="2545" spans="22:25" x14ac:dyDescent="0.2">
      <c r="V2545" s="563"/>
      <c r="X2545" s="563"/>
      <c r="Y2545" s="563"/>
    </row>
    <row r="2546" spans="22:25" x14ac:dyDescent="0.2">
      <c r="V2546" s="563"/>
      <c r="X2546" s="563"/>
      <c r="Y2546" s="563"/>
    </row>
    <row r="2547" spans="22:25" x14ac:dyDescent="0.2">
      <c r="V2547" s="563"/>
      <c r="X2547" s="563"/>
      <c r="Y2547" s="563"/>
    </row>
    <row r="2548" spans="22:25" x14ac:dyDescent="0.2">
      <c r="V2548" s="563"/>
      <c r="X2548" s="563"/>
      <c r="Y2548" s="563"/>
    </row>
    <row r="2549" spans="22:25" x14ac:dyDescent="0.2">
      <c r="V2549" s="563"/>
      <c r="X2549" s="563"/>
      <c r="Y2549" s="563"/>
    </row>
    <row r="2550" spans="22:25" x14ac:dyDescent="0.2">
      <c r="V2550" s="563"/>
      <c r="X2550" s="563"/>
      <c r="Y2550" s="563"/>
    </row>
    <row r="2551" spans="22:25" x14ac:dyDescent="0.2">
      <c r="V2551" s="563"/>
      <c r="X2551" s="563"/>
      <c r="Y2551" s="563"/>
    </row>
    <row r="2552" spans="22:25" x14ac:dyDescent="0.2">
      <c r="V2552" s="563"/>
      <c r="X2552" s="563"/>
      <c r="Y2552" s="563"/>
    </row>
    <row r="2553" spans="22:25" x14ac:dyDescent="0.2">
      <c r="V2553" s="563"/>
      <c r="X2553" s="563"/>
      <c r="Y2553" s="563"/>
    </row>
    <row r="2554" spans="22:25" x14ac:dyDescent="0.2">
      <c r="V2554" s="563"/>
      <c r="X2554" s="563"/>
      <c r="Y2554" s="563"/>
    </row>
    <row r="2555" spans="22:25" x14ac:dyDescent="0.2">
      <c r="V2555" s="563"/>
      <c r="X2555" s="563"/>
      <c r="Y2555" s="563"/>
    </row>
    <row r="2556" spans="22:25" x14ac:dyDescent="0.2">
      <c r="V2556" s="563"/>
      <c r="X2556" s="563"/>
      <c r="Y2556" s="563"/>
    </row>
    <row r="2557" spans="22:25" x14ac:dyDescent="0.2">
      <c r="V2557" s="563"/>
      <c r="X2557" s="563"/>
      <c r="Y2557" s="563"/>
    </row>
    <row r="2558" spans="22:25" x14ac:dyDescent="0.2">
      <c r="V2558" s="563"/>
      <c r="X2558" s="563"/>
      <c r="Y2558" s="563"/>
    </row>
    <row r="2559" spans="22:25" x14ac:dyDescent="0.2">
      <c r="V2559" s="563"/>
      <c r="X2559" s="563"/>
      <c r="Y2559" s="563"/>
    </row>
    <row r="2560" spans="22:25" x14ac:dyDescent="0.2">
      <c r="V2560" s="563"/>
      <c r="X2560" s="563"/>
      <c r="Y2560" s="563"/>
    </row>
    <row r="2561" spans="22:25" x14ac:dyDescent="0.2">
      <c r="V2561" s="563"/>
      <c r="X2561" s="563"/>
      <c r="Y2561" s="563"/>
    </row>
    <row r="2562" spans="22:25" x14ac:dyDescent="0.2">
      <c r="V2562" s="563"/>
      <c r="X2562" s="563"/>
      <c r="Y2562" s="563"/>
    </row>
    <row r="2563" spans="22:25" x14ac:dyDescent="0.2">
      <c r="V2563" s="563"/>
      <c r="X2563" s="563"/>
      <c r="Y2563" s="563"/>
    </row>
    <row r="2564" spans="22:25" x14ac:dyDescent="0.2">
      <c r="V2564" s="563"/>
      <c r="X2564" s="563"/>
      <c r="Y2564" s="563"/>
    </row>
    <row r="2565" spans="22:25" x14ac:dyDescent="0.2">
      <c r="V2565" s="563"/>
      <c r="X2565" s="563"/>
      <c r="Y2565" s="563"/>
    </row>
    <row r="2566" spans="22:25" x14ac:dyDescent="0.2">
      <c r="V2566" s="563"/>
      <c r="X2566" s="563"/>
      <c r="Y2566" s="563"/>
    </row>
    <row r="2567" spans="22:25" x14ac:dyDescent="0.2">
      <c r="V2567" s="563"/>
      <c r="X2567" s="563"/>
      <c r="Y2567" s="563"/>
    </row>
    <row r="2568" spans="22:25" x14ac:dyDescent="0.2">
      <c r="V2568" s="563"/>
      <c r="X2568" s="563"/>
      <c r="Y2568" s="563"/>
    </row>
    <row r="2569" spans="22:25" x14ac:dyDescent="0.2">
      <c r="V2569" s="563"/>
      <c r="X2569" s="563"/>
      <c r="Y2569" s="563"/>
    </row>
    <row r="2570" spans="22:25" x14ac:dyDescent="0.2">
      <c r="V2570" s="563"/>
      <c r="X2570" s="563"/>
      <c r="Y2570" s="563"/>
    </row>
    <row r="2571" spans="22:25" x14ac:dyDescent="0.2">
      <c r="V2571" s="563"/>
      <c r="X2571" s="563"/>
      <c r="Y2571" s="563"/>
    </row>
    <row r="2572" spans="22:25" x14ac:dyDescent="0.2">
      <c r="V2572" s="563"/>
      <c r="X2572" s="563"/>
      <c r="Y2572" s="563"/>
    </row>
    <row r="2573" spans="22:25" x14ac:dyDescent="0.2">
      <c r="V2573" s="563"/>
      <c r="X2573" s="563"/>
      <c r="Y2573" s="563"/>
    </row>
    <row r="2574" spans="22:25" x14ac:dyDescent="0.2">
      <c r="V2574" s="563"/>
      <c r="X2574" s="563"/>
      <c r="Y2574" s="563"/>
    </row>
    <row r="2575" spans="22:25" x14ac:dyDescent="0.2">
      <c r="V2575" s="563"/>
      <c r="X2575" s="563"/>
      <c r="Y2575" s="563"/>
    </row>
    <row r="2576" spans="22:25" x14ac:dyDescent="0.2">
      <c r="V2576" s="563"/>
      <c r="X2576" s="563"/>
      <c r="Y2576" s="563"/>
    </row>
    <row r="2577" spans="22:25" x14ac:dyDescent="0.2">
      <c r="V2577" s="563"/>
      <c r="X2577" s="563"/>
      <c r="Y2577" s="563"/>
    </row>
    <row r="2578" spans="22:25" x14ac:dyDescent="0.2">
      <c r="V2578" s="563"/>
      <c r="X2578" s="563"/>
      <c r="Y2578" s="563"/>
    </row>
    <row r="2579" spans="22:25" x14ac:dyDescent="0.2">
      <c r="V2579" s="563"/>
      <c r="X2579" s="563"/>
      <c r="Y2579" s="563"/>
    </row>
    <row r="2580" spans="22:25" x14ac:dyDescent="0.2">
      <c r="V2580" s="563"/>
      <c r="X2580" s="563"/>
      <c r="Y2580" s="563"/>
    </row>
    <row r="2581" spans="22:25" x14ac:dyDescent="0.2">
      <c r="V2581" s="563"/>
      <c r="X2581" s="563"/>
      <c r="Y2581" s="563"/>
    </row>
    <row r="2582" spans="22:25" x14ac:dyDescent="0.2">
      <c r="V2582" s="563"/>
      <c r="X2582" s="563"/>
      <c r="Y2582" s="563"/>
    </row>
    <row r="2583" spans="22:25" x14ac:dyDescent="0.2">
      <c r="V2583" s="563"/>
      <c r="X2583" s="563"/>
      <c r="Y2583" s="563"/>
    </row>
    <row r="2584" spans="22:25" x14ac:dyDescent="0.2">
      <c r="V2584" s="563"/>
      <c r="X2584" s="563"/>
      <c r="Y2584" s="563"/>
    </row>
    <row r="2585" spans="22:25" x14ac:dyDescent="0.2">
      <c r="V2585" s="563"/>
      <c r="X2585" s="563"/>
      <c r="Y2585" s="563"/>
    </row>
    <row r="2586" spans="22:25" x14ac:dyDescent="0.2">
      <c r="V2586" s="563"/>
      <c r="X2586" s="563"/>
      <c r="Y2586" s="563"/>
    </row>
    <row r="2587" spans="22:25" x14ac:dyDescent="0.2">
      <c r="V2587" s="563"/>
      <c r="X2587" s="563"/>
      <c r="Y2587" s="563"/>
    </row>
    <row r="2588" spans="22:25" x14ac:dyDescent="0.2">
      <c r="V2588" s="563"/>
      <c r="X2588" s="563"/>
      <c r="Y2588" s="563"/>
    </row>
    <row r="2589" spans="22:25" x14ac:dyDescent="0.2">
      <c r="V2589" s="563"/>
      <c r="X2589" s="563"/>
      <c r="Y2589" s="563"/>
    </row>
    <row r="2590" spans="22:25" x14ac:dyDescent="0.2">
      <c r="V2590" s="563"/>
      <c r="X2590" s="563"/>
      <c r="Y2590" s="563"/>
    </row>
    <row r="2591" spans="22:25" x14ac:dyDescent="0.2">
      <c r="V2591" s="563"/>
      <c r="X2591" s="563"/>
      <c r="Y2591" s="563"/>
    </row>
    <row r="2592" spans="22:25" x14ac:dyDescent="0.2">
      <c r="V2592" s="563"/>
      <c r="X2592" s="563"/>
      <c r="Y2592" s="563"/>
    </row>
    <row r="2593" spans="22:25" x14ac:dyDescent="0.2">
      <c r="V2593" s="563"/>
      <c r="X2593" s="563"/>
      <c r="Y2593" s="563"/>
    </row>
    <row r="2594" spans="22:25" x14ac:dyDescent="0.2">
      <c r="V2594" s="563"/>
      <c r="X2594" s="563"/>
      <c r="Y2594" s="563"/>
    </row>
    <row r="2595" spans="22:25" x14ac:dyDescent="0.2">
      <c r="V2595" s="563"/>
      <c r="X2595" s="563"/>
      <c r="Y2595" s="563"/>
    </row>
    <row r="2596" spans="22:25" x14ac:dyDescent="0.2">
      <c r="V2596" s="563"/>
      <c r="X2596" s="563"/>
      <c r="Y2596" s="563"/>
    </row>
    <row r="2597" spans="22:25" x14ac:dyDescent="0.2">
      <c r="V2597" s="563"/>
      <c r="X2597" s="563"/>
      <c r="Y2597" s="563"/>
    </row>
    <row r="2598" spans="22:25" x14ac:dyDescent="0.2">
      <c r="V2598" s="563"/>
      <c r="X2598" s="563"/>
      <c r="Y2598" s="563"/>
    </row>
    <row r="2599" spans="22:25" x14ac:dyDescent="0.2">
      <c r="V2599" s="563"/>
      <c r="X2599" s="563"/>
      <c r="Y2599" s="563"/>
    </row>
    <row r="2600" spans="22:25" x14ac:dyDescent="0.2">
      <c r="V2600" s="563"/>
      <c r="X2600" s="563"/>
      <c r="Y2600" s="563"/>
    </row>
    <row r="2601" spans="22:25" x14ac:dyDescent="0.2">
      <c r="V2601" s="563"/>
      <c r="X2601" s="563"/>
      <c r="Y2601" s="563"/>
    </row>
    <row r="2602" spans="22:25" x14ac:dyDescent="0.2">
      <c r="V2602" s="563"/>
      <c r="X2602" s="563"/>
      <c r="Y2602" s="563"/>
    </row>
    <row r="2603" spans="22:25" x14ac:dyDescent="0.2">
      <c r="V2603" s="563"/>
      <c r="X2603" s="563"/>
      <c r="Y2603" s="563"/>
    </row>
    <row r="2604" spans="22:25" x14ac:dyDescent="0.2">
      <c r="V2604" s="563"/>
      <c r="X2604" s="563"/>
      <c r="Y2604" s="563"/>
    </row>
    <row r="2605" spans="22:25" x14ac:dyDescent="0.2">
      <c r="V2605" s="563"/>
      <c r="X2605" s="563"/>
      <c r="Y2605" s="563"/>
    </row>
    <row r="2606" spans="22:25" x14ac:dyDescent="0.2">
      <c r="V2606" s="563"/>
      <c r="X2606" s="563"/>
      <c r="Y2606" s="563"/>
    </row>
    <row r="2607" spans="22:25" x14ac:dyDescent="0.2">
      <c r="V2607" s="563"/>
      <c r="X2607" s="563"/>
      <c r="Y2607" s="563"/>
    </row>
    <row r="2608" spans="22:25" x14ac:dyDescent="0.2">
      <c r="V2608" s="563"/>
      <c r="X2608" s="563"/>
      <c r="Y2608" s="563"/>
    </row>
    <row r="2609" spans="22:25" x14ac:dyDescent="0.2">
      <c r="V2609" s="563"/>
      <c r="X2609" s="563"/>
      <c r="Y2609" s="563"/>
    </row>
    <row r="2610" spans="22:25" x14ac:dyDescent="0.2">
      <c r="V2610" s="563"/>
      <c r="X2610" s="563"/>
      <c r="Y2610" s="563"/>
    </row>
    <row r="2611" spans="22:25" x14ac:dyDescent="0.2">
      <c r="V2611" s="563"/>
      <c r="X2611" s="563"/>
      <c r="Y2611" s="563"/>
    </row>
    <row r="2612" spans="22:25" x14ac:dyDescent="0.2">
      <c r="V2612" s="563"/>
      <c r="X2612" s="563"/>
      <c r="Y2612" s="563"/>
    </row>
    <row r="2613" spans="22:25" x14ac:dyDescent="0.2">
      <c r="V2613" s="563"/>
      <c r="X2613" s="563"/>
      <c r="Y2613" s="563"/>
    </row>
    <row r="2614" spans="22:25" x14ac:dyDescent="0.2">
      <c r="V2614" s="563"/>
      <c r="X2614" s="563"/>
      <c r="Y2614" s="563"/>
    </row>
    <row r="2615" spans="22:25" x14ac:dyDescent="0.2">
      <c r="V2615" s="563"/>
      <c r="X2615" s="563"/>
      <c r="Y2615" s="563"/>
    </row>
    <row r="2616" spans="22:25" x14ac:dyDescent="0.2">
      <c r="V2616" s="563"/>
      <c r="X2616" s="563"/>
      <c r="Y2616" s="563"/>
    </row>
    <row r="2617" spans="22:25" x14ac:dyDescent="0.2">
      <c r="V2617" s="563"/>
      <c r="X2617" s="563"/>
      <c r="Y2617" s="563"/>
    </row>
    <row r="2618" spans="22:25" x14ac:dyDescent="0.2">
      <c r="V2618" s="563"/>
      <c r="X2618" s="563"/>
      <c r="Y2618" s="563"/>
    </row>
    <row r="2619" spans="22:25" x14ac:dyDescent="0.2">
      <c r="V2619" s="563"/>
      <c r="X2619" s="563"/>
      <c r="Y2619" s="563"/>
    </row>
    <row r="2620" spans="22:25" x14ac:dyDescent="0.2">
      <c r="V2620" s="563"/>
      <c r="X2620" s="563"/>
      <c r="Y2620" s="563"/>
    </row>
    <row r="2621" spans="22:25" x14ac:dyDescent="0.2">
      <c r="V2621" s="563"/>
      <c r="X2621" s="563"/>
      <c r="Y2621" s="563"/>
    </row>
    <row r="2622" spans="22:25" x14ac:dyDescent="0.2">
      <c r="V2622" s="563"/>
      <c r="X2622" s="563"/>
      <c r="Y2622" s="563"/>
    </row>
    <row r="2623" spans="22:25" x14ac:dyDescent="0.2">
      <c r="V2623" s="563"/>
      <c r="X2623" s="563"/>
      <c r="Y2623" s="563"/>
    </row>
    <row r="2624" spans="22:25" x14ac:dyDescent="0.2">
      <c r="V2624" s="563"/>
      <c r="X2624" s="563"/>
      <c r="Y2624" s="563"/>
    </row>
    <row r="2625" spans="22:25" x14ac:dyDescent="0.2">
      <c r="V2625" s="563"/>
      <c r="X2625" s="563"/>
      <c r="Y2625" s="563"/>
    </row>
    <row r="2626" spans="22:25" x14ac:dyDescent="0.2">
      <c r="V2626" s="563"/>
      <c r="X2626" s="563"/>
      <c r="Y2626" s="563"/>
    </row>
    <row r="2627" spans="22:25" x14ac:dyDescent="0.2">
      <c r="V2627" s="563"/>
      <c r="X2627" s="563"/>
      <c r="Y2627" s="563"/>
    </row>
    <row r="2628" spans="22:25" x14ac:dyDescent="0.2">
      <c r="V2628" s="563"/>
      <c r="X2628" s="563"/>
      <c r="Y2628" s="563"/>
    </row>
    <row r="2629" spans="22:25" x14ac:dyDescent="0.2">
      <c r="V2629" s="563"/>
      <c r="X2629" s="563"/>
      <c r="Y2629" s="563"/>
    </row>
    <row r="2630" spans="22:25" x14ac:dyDescent="0.2">
      <c r="V2630" s="563"/>
      <c r="X2630" s="563"/>
      <c r="Y2630" s="563"/>
    </row>
    <row r="2631" spans="22:25" x14ac:dyDescent="0.2">
      <c r="V2631" s="563"/>
      <c r="X2631" s="563"/>
      <c r="Y2631" s="563"/>
    </row>
    <row r="2632" spans="22:25" x14ac:dyDescent="0.2">
      <c r="V2632" s="563"/>
      <c r="X2632" s="563"/>
      <c r="Y2632" s="563"/>
    </row>
    <row r="2633" spans="22:25" x14ac:dyDescent="0.2">
      <c r="V2633" s="563"/>
      <c r="X2633" s="563"/>
      <c r="Y2633" s="563"/>
    </row>
    <row r="2634" spans="22:25" x14ac:dyDescent="0.2">
      <c r="V2634" s="563"/>
      <c r="X2634" s="563"/>
      <c r="Y2634" s="563"/>
    </row>
    <row r="2635" spans="22:25" x14ac:dyDescent="0.2">
      <c r="V2635" s="563"/>
      <c r="X2635" s="563"/>
      <c r="Y2635" s="563"/>
    </row>
    <row r="2636" spans="22:25" x14ac:dyDescent="0.2">
      <c r="V2636" s="563"/>
      <c r="X2636" s="563"/>
      <c r="Y2636" s="563"/>
    </row>
    <row r="2637" spans="22:25" x14ac:dyDescent="0.2">
      <c r="V2637" s="563"/>
      <c r="X2637" s="563"/>
      <c r="Y2637" s="563"/>
    </row>
    <row r="2638" spans="22:25" x14ac:dyDescent="0.2">
      <c r="V2638" s="563"/>
      <c r="X2638" s="563"/>
      <c r="Y2638" s="563"/>
    </row>
    <row r="2639" spans="22:25" x14ac:dyDescent="0.2">
      <c r="V2639" s="563"/>
      <c r="X2639" s="563"/>
      <c r="Y2639" s="563"/>
    </row>
    <row r="2640" spans="22:25" x14ac:dyDescent="0.2">
      <c r="V2640" s="563"/>
      <c r="X2640" s="563"/>
      <c r="Y2640" s="563"/>
    </row>
    <row r="2641" spans="22:25" x14ac:dyDescent="0.2">
      <c r="V2641" s="563"/>
      <c r="X2641" s="563"/>
      <c r="Y2641" s="563"/>
    </row>
    <row r="2642" spans="22:25" x14ac:dyDescent="0.2">
      <c r="V2642" s="563"/>
      <c r="X2642" s="563"/>
      <c r="Y2642" s="563"/>
    </row>
    <row r="2643" spans="22:25" x14ac:dyDescent="0.2">
      <c r="V2643" s="563"/>
      <c r="X2643" s="563"/>
      <c r="Y2643" s="563"/>
    </row>
    <row r="2644" spans="22:25" x14ac:dyDescent="0.2">
      <c r="V2644" s="563"/>
      <c r="X2644" s="563"/>
      <c r="Y2644" s="563"/>
    </row>
    <row r="2645" spans="22:25" x14ac:dyDescent="0.2">
      <c r="V2645" s="563"/>
      <c r="X2645" s="563"/>
      <c r="Y2645" s="563"/>
    </row>
    <row r="2646" spans="22:25" x14ac:dyDescent="0.2">
      <c r="V2646" s="563"/>
      <c r="X2646" s="563"/>
      <c r="Y2646" s="563"/>
    </row>
    <row r="2647" spans="22:25" x14ac:dyDescent="0.2">
      <c r="V2647" s="563"/>
      <c r="X2647" s="563"/>
      <c r="Y2647" s="563"/>
    </row>
    <row r="2648" spans="22:25" x14ac:dyDescent="0.2">
      <c r="V2648" s="563"/>
      <c r="X2648" s="563"/>
      <c r="Y2648" s="563"/>
    </row>
    <row r="2649" spans="22:25" x14ac:dyDescent="0.2">
      <c r="V2649" s="563"/>
      <c r="X2649" s="563"/>
      <c r="Y2649" s="563"/>
    </row>
    <row r="2650" spans="22:25" x14ac:dyDescent="0.2">
      <c r="V2650" s="563"/>
      <c r="X2650" s="563"/>
      <c r="Y2650" s="563"/>
    </row>
    <row r="2651" spans="22:25" x14ac:dyDescent="0.2">
      <c r="V2651" s="563"/>
      <c r="X2651" s="563"/>
      <c r="Y2651" s="563"/>
    </row>
    <row r="2652" spans="22:25" x14ac:dyDescent="0.2">
      <c r="V2652" s="563"/>
      <c r="X2652" s="563"/>
      <c r="Y2652" s="563"/>
    </row>
    <row r="2653" spans="22:25" x14ac:dyDescent="0.2">
      <c r="V2653" s="563"/>
      <c r="X2653" s="563"/>
      <c r="Y2653" s="563"/>
    </row>
    <row r="2654" spans="22:25" x14ac:dyDescent="0.2">
      <c r="V2654" s="563"/>
      <c r="X2654" s="563"/>
      <c r="Y2654" s="563"/>
    </row>
    <row r="2655" spans="22:25" x14ac:dyDescent="0.2">
      <c r="V2655" s="563"/>
      <c r="X2655" s="563"/>
      <c r="Y2655" s="563"/>
    </row>
    <row r="2656" spans="22:25" x14ac:dyDescent="0.2">
      <c r="V2656" s="563"/>
      <c r="X2656" s="563"/>
      <c r="Y2656" s="563"/>
    </row>
    <row r="2657" spans="22:25" x14ac:dyDescent="0.2">
      <c r="V2657" s="563"/>
      <c r="X2657" s="563"/>
      <c r="Y2657" s="563"/>
    </row>
    <row r="2658" spans="22:25" x14ac:dyDescent="0.2">
      <c r="V2658" s="563"/>
      <c r="X2658" s="563"/>
      <c r="Y2658" s="563"/>
    </row>
    <row r="2659" spans="22:25" x14ac:dyDescent="0.2">
      <c r="V2659" s="563"/>
      <c r="X2659" s="563"/>
      <c r="Y2659" s="563"/>
    </row>
    <row r="2660" spans="22:25" x14ac:dyDescent="0.2">
      <c r="V2660" s="563"/>
      <c r="X2660" s="563"/>
      <c r="Y2660" s="563"/>
    </row>
    <row r="2661" spans="22:25" x14ac:dyDescent="0.2">
      <c r="V2661" s="563"/>
      <c r="X2661" s="563"/>
      <c r="Y2661" s="563"/>
    </row>
    <row r="2662" spans="22:25" x14ac:dyDescent="0.2">
      <c r="V2662" s="563"/>
      <c r="X2662" s="563"/>
      <c r="Y2662" s="563"/>
    </row>
    <row r="2663" spans="22:25" x14ac:dyDescent="0.2">
      <c r="V2663" s="563"/>
      <c r="X2663" s="563"/>
      <c r="Y2663" s="563"/>
    </row>
    <row r="2664" spans="22:25" x14ac:dyDescent="0.2">
      <c r="V2664" s="563"/>
      <c r="X2664" s="563"/>
      <c r="Y2664" s="563"/>
    </row>
    <row r="2665" spans="22:25" x14ac:dyDescent="0.2">
      <c r="V2665" s="563"/>
      <c r="X2665" s="563"/>
      <c r="Y2665" s="563"/>
    </row>
    <row r="2666" spans="22:25" x14ac:dyDescent="0.2">
      <c r="V2666" s="563"/>
      <c r="X2666" s="563"/>
      <c r="Y2666" s="563"/>
    </row>
    <row r="2667" spans="22:25" x14ac:dyDescent="0.2">
      <c r="V2667" s="563"/>
      <c r="X2667" s="563"/>
      <c r="Y2667" s="563"/>
    </row>
    <row r="2668" spans="22:25" x14ac:dyDescent="0.2">
      <c r="V2668" s="563"/>
      <c r="X2668" s="563"/>
      <c r="Y2668" s="563"/>
    </row>
    <row r="2669" spans="22:25" x14ac:dyDescent="0.2">
      <c r="V2669" s="563"/>
      <c r="X2669" s="563"/>
      <c r="Y2669" s="563"/>
    </row>
    <row r="2670" spans="22:25" x14ac:dyDescent="0.2">
      <c r="V2670" s="563"/>
      <c r="X2670" s="563"/>
      <c r="Y2670" s="563"/>
    </row>
    <row r="2671" spans="22:25" x14ac:dyDescent="0.2">
      <c r="V2671" s="563"/>
      <c r="X2671" s="563"/>
      <c r="Y2671" s="563"/>
    </row>
    <row r="2672" spans="22:25" x14ac:dyDescent="0.2">
      <c r="V2672" s="563"/>
      <c r="X2672" s="563"/>
      <c r="Y2672" s="563"/>
    </row>
    <row r="2673" spans="22:25" x14ac:dyDescent="0.2">
      <c r="V2673" s="563"/>
      <c r="X2673" s="563"/>
      <c r="Y2673" s="563"/>
    </row>
    <row r="2674" spans="22:25" x14ac:dyDescent="0.2">
      <c r="V2674" s="563"/>
      <c r="X2674" s="563"/>
      <c r="Y2674" s="563"/>
    </row>
    <row r="2675" spans="22:25" x14ac:dyDescent="0.2">
      <c r="V2675" s="563"/>
      <c r="X2675" s="563"/>
      <c r="Y2675" s="563"/>
    </row>
    <row r="2676" spans="22:25" x14ac:dyDescent="0.2">
      <c r="V2676" s="563"/>
      <c r="X2676" s="563"/>
      <c r="Y2676" s="563"/>
    </row>
    <row r="2677" spans="22:25" x14ac:dyDescent="0.2">
      <c r="V2677" s="563"/>
      <c r="X2677" s="563"/>
      <c r="Y2677" s="563"/>
    </row>
    <row r="2678" spans="22:25" x14ac:dyDescent="0.2">
      <c r="V2678" s="563"/>
      <c r="X2678" s="563"/>
      <c r="Y2678" s="563"/>
    </row>
    <row r="2679" spans="22:25" x14ac:dyDescent="0.2">
      <c r="V2679" s="563"/>
      <c r="X2679" s="563"/>
      <c r="Y2679" s="563"/>
    </row>
    <row r="2680" spans="22:25" x14ac:dyDescent="0.2">
      <c r="V2680" s="563"/>
      <c r="X2680" s="563"/>
      <c r="Y2680" s="563"/>
    </row>
    <row r="2681" spans="22:25" x14ac:dyDescent="0.2">
      <c r="V2681" s="563"/>
      <c r="X2681" s="563"/>
      <c r="Y2681" s="563"/>
    </row>
    <row r="2682" spans="22:25" x14ac:dyDescent="0.2">
      <c r="V2682" s="563"/>
      <c r="X2682" s="563"/>
      <c r="Y2682" s="563"/>
    </row>
    <row r="2683" spans="22:25" x14ac:dyDescent="0.2">
      <c r="V2683" s="563"/>
      <c r="X2683" s="563"/>
      <c r="Y2683" s="563"/>
    </row>
    <row r="2684" spans="22:25" x14ac:dyDescent="0.2">
      <c r="V2684" s="563"/>
      <c r="X2684" s="563"/>
      <c r="Y2684" s="563"/>
    </row>
    <row r="2685" spans="22:25" x14ac:dyDescent="0.2">
      <c r="V2685" s="563"/>
      <c r="X2685" s="563"/>
      <c r="Y2685" s="563"/>
    </row>
    <row r="2686" spans="22:25" x14ac:dyDescent="0.2">
      <c r="V2686" s="563"/>
      <c r="X2686" s="563"/>
      <c r="Y2686" s="563"/>
    </row>
    <row r="2687" spans="22:25" x14ac:dyDescent="0.2">
      <c r="V2687" s="563"/>
      <c r="X2687" s="563"/>
      <c r="Y2687" s="563"/>
    </row>
    <row r="2688" spans="22:25" x14ac:dyDescent="0.2">
      <c r="V2688" s="563"/>
      <c r="X2688" s="563"/>
      <c r="Y2688" s="563"/>
    </row>
    <row r="2689" spans="22:25" x14ac:dyDescent="0.2">
      <c r="V2689" s="563"/>
      <c r="X2689" s="563"/>
      <c r="Y2689" s="563"/>
    </row>
    <row r="2690" spans="22:25" x14ac:dyDescent="0.2">
      <c r="V2690" s="563"/>
      <c r="X2690" s="563"/>
      <c r="Y2690" s="563"/>
    </row>
    <row r="2691" spans="22:25" x14ac:dyDescent="0.2">
      <c r="V2691" s="563"/>
      <c r="X2691" s="563"/>
      <c r="Y2691" s="563"/>
    </row>
    <row r="2692" spans="22:25" x14ac:dyDescent="0.2">
      <c r="V2692" s="563"/>
      <c r="X2692" s="563"/>
      <c r="Y2692" s="563"/>
    </row>
    <row r="2693" spans="22:25" x14ac:dyDescent="0.2">
      <c r="V2693" s="563"/>
      <c r="X2693" s="563"/>
      <c r="Y2693" s="563"/>
    </row>
    <row r="2694" spans="22:25" x14ac:dyDescent="0.2">
      <c r="V2694" s="563"/>
      <c r="X2694" s="563"/>
      <c r="Y2694" s="563"/>
    </row>
    <row r="2695" spans="22:25" x14ac:dyDescent="0.2">
      <c r="V2695" s="563"/>
      <c r="X2695" s="563"/>
      <c r="Y2695" s="563"/>
    </row>
    <row r="2696" spans="22:25" x14ac:dyDescent="0.2">
      <c r="V2696" s="563"/>
      <c r="X2696" s="563"/>
      <c r="Y2696" s="563"/>
    </row>
    <row r="2697" spans="22:25" x14ac:dyDescent="0.2">
      <c r="V2697" s="563"/>
      <c r="X2697" s="563"/>
      <c r="Y2697" s="563"/>
    </row>
    <row r="2698" spans="22:25" x14ac:dyDescent="0.2">
      <c r="V2698" s="563"/>
      <c r="X2698" s="563"/>
      <c r="Y2698" s="563"/>
    </row>
    <row r="2699" spans="22:25" x14ac:dyDescent="0.2">
      <c r="V2699" s="563"/>
      <c r="X2699" s="563"/>
      <c r="Y2699" s="563"/>
    </row>
    <row r="2700" spans="22:25" x14ac:dyDescent="0.2">
      <c r="V2700" s="563"/>
      <c r="X2700" s="563"/>
      <c r="Y2700" s="563"/>
    </row>
    <row r="2701" spans="22:25" x14ac:dyDescent="0.2">
      <c r="V2701" s="563"/>
      <c r="X2701" s="563"/>
      <c r="Y2701" s="563"/>
    </row>
    <row r="2702" spans="22:25" x14ac:dyDescent="0.2">
      <c r="V2702" s="563"/>
      <c r="X2702" s="563"/>
      <c r="Y2702" s="563"/>
    </row>
    <row r="2703" spans="22:25" x14ac:dyDescent="0.2">
      <c r="V2703" s="563"/>
      <c r="X2703" s="563"/>
      <c r="Y2703" s="563"/>
    </row>
    <row r="2704" spans="22:25" x14ac:dyDescent="0.2">
      <c r="V2704" s="563"/>
      <c r="X2704" s="563"/>
      <c r="Y2704" s="563"/>
    </row>
    <row r="2705" spans="22:25" x14ac:dyDescent="0.2">
      <c r="V2705" s="563"/>
      <c r="X2705" s="563"/>
      <c r="Y2705" s="563"/>
    </row>
    <row r="2706" spans="22:25" x14ac:dyDescent="0.2">
      <c r="V2706" s="563"/>
      <c r="X2706" s="563"/>
      <c r="Y2706" s="563"/>
    </row>
    <row r="2707" spans="22:25" x14ac:dyDescent="0.2">
      <c r="V2707" s="563"/>
      <c r="X2707" s="563"/>
      <c r="Y2707" s="563"/>
    </row>
    <row r="2708" spans="22:25" x14ac:dyDescent="0.2">
      <c r="V2708" s="563"/>
      <c r="X2708" s="563"/>
      <c r="Y2708" s="563"/>
    </row>
    <row r="2709" spans="22:25" x14ac:dyDescent="0.2">
      <c r="V2709" s="563"/>
      <c r="X2709" s="563"/>
      <c r="Y2709" s="563"/>
    </row>
    <row r="2710" spans="22:25" x14ac:dyDescent="0.2">
      <c r="V2710" s="563"/>
      <c r="X2710" s="563"/>
      <c r="Y2710" s="563"/>
    </row>
    <row r="2711" spans="22:25" x14ac:dyDescent="0.2">
      <c r="V2711" s="563"/>
      <c r="X2711" s="563"/>
      <c r="Y2711" s="563"/>
    </row>
    <row r="2712" spans="22:25" x14ac:dyDescent="0.2">
      <c r="V2712" s="563"/>
      <c r="X2712" s="563"/>
      <c r="Y2712" s="563"/>
    </row>
    <row r="2713" spans="22:25" x14ac:dyDescent="0.2">
      <c r="V2713" s="563"/>
      <c r="X2713" s="563"/>
      <c r="Y2713" s="563"/>
    </row>
    <row r="2714" spans="22:25" x14ac:dyDescent="0.2">
      <c r="V2714" s="563"/>
      <c r="X2714" s="563"/>
      <c r="Y2714" s="563"/>
    </row>
    <row r="2715" spans="22:25" x14ac:dyDescent="0.2">
      <c r="V2715" s="563"/>
      <c r="X2715" s="563"/>
      <c r="Y2715" s="563"/>
    </row>
    <row r="2716" spans="22:25" x14ac:dyDescent="0.2">
      <c r="V2716" s="563"/>
      <c r="X2716" s="563"/>
      <c r="Y2716" s="563"/>
    </row>
    <row r="2717" spans="22:25" x14ac:dyDescent="0.2">
      <c r="V2717" s="563"/>
      <c r="X2717" s="563"/>
      <c r="Y2717" s="563"/>
    </row>
    <row r="2718" spans="22:25" x14ac:dyDescent="0.2">
      <c r="V2718" s="563"/>
      <c r="X2718" s="563"/>
      <c r="Y2718" s="563"/>
    </row>
    <row r="2719" spans="22:25" x14ac:dyDescent="0.2">
      <c r="V2719" s="563"/>
      <c r="X2719" s="563"/>
      <c r="Y2719" s="563"/>
    </row>
    <row r="2720" spans="22:25" x14ac:dyDescent="0.2">
      <c r="V2720" s="563"/>
      <c r="X2720" s="563"/>
      <c r="Y2720" s="563"/>
    </row>
    <row r="2721" spans="22:25" x14ac:dyDescent="0.2">
      <c r="V2721" s="563"/>
      <c r="X2721" s="563"/>
      <c r="Y2721" s="563"/>
    </row>
    <row r="2722" spans="22:25" x14ac:dyDescent="0.2">
      <c r="V2722" s="563"/>
      <c r="X2722" s="563"/>
      <c r="Y2722" s="563"/>
    </row>
    <row r="2723" spans="22:25" x14ac:dyDescent="0.2">
      <c r="V2723" s="563"/>
      <c r="X2723" s="563"/>
      <c r="Y2723" s="563"/>
    </row>
    <row r="2724" spans="22:25" x14ac:dyDescent="0.2">
      <c r="V2724" s="563"/>
      <c r="X2724" s="563"/>
      <c r="Y2724" s="563"/>
    </row>
    <row r="2725" spans="22:25" x14ac:dyDescent="0.2">
      <c r="V2725" s="563"/>
      <c r="X2725" s="563"/>
      <c r="Y2725" s="563"/>
    </row>
    <row r="2726" spans="22:25" x14ac:dyDescent="0.2">
      <c r="V2726" s="563"/>
      <c r="X2726" s="563"/>
      <c r="Y2726" s="563"/>
    </row>
    <row r="2727" spans="22:25" x14ac:dyDescent="0.2">
      <c r="V2727" s="563"/>
      <c r="X2727" s="563"/>
      <c r="Y2727" s="563"/>
    </row>
    <row r="2728" spans="22:25" x14ac:dyDescent="0.2">
      <c r="V2728" s="563"/>
      <c r="X2728" s="563"/>
      <c r="Y2728" s="563"/>
    </row>
    <row r="2729" spans="22:25" x14ac:dyDescent="0.2">
      <c r="V2729" s="563"/>
      <c r="X2729" s="563"/>
      <c r="Y2729" s="563"/>
    </row>
    <row r="2730" spans="22:25" x14ac:dyDescent="0.2">
      <c r="V2730" s="563"/>
      <c r="X2730" s="563"/>
      <c r="Y2730" s="563"/>
    </row>
    <row r="2731" spans="22:25" x14ac:dyDescent="0.2">
      <c r="V2731" s="563"/>
      <c r="X2731" s="563"/>
      <c r="Y2731" s="563"/>
    </row>
    <row r="2732" spans="22:25" x14ac:dyDescent="0.2">
      <c r="V2732" s="563"/>
      <c r="X2732" s="563"/>
      <c r="Y2732" s="563"/>
    </row>
    <row r="2733" spans="22:25" x14ac:dyDescent="0.2">
      <c r="V2733" s="563"/>
      <c r="X2733" s="563"/>
      <c r="Y2733" s="563"/>
    </row>
    <row r="2734" spans="22:25" x14ac:dyDescent="0.2">
      <c r="V2734" s="563"/>
      <c r="X2734" s="563"/>
      <c r="Y2734" s="563"/>
    </row>
    <row r="2735" spans="22:25" x14ac:dyDescent="0.2">
      <c r="V2735" s="563"/>
      <c r="X2735" s="563"/>
      <c r="Y2735" s="563"/>
    </row>
    <row r="2736" spans="22:25" x14ac:dyDescent="0.2">
      <c r="V2736" s="563"/>
      <c r="X2736" s="563"/>
      <c r="Y2736" s="563"/>
    </row>
    <row r="2737" spans="22:25" x14ac:dyDescent="0.2">
      <c r="V2737" s="563"/>
      <c r="X2737" s="563"/>
      <c r="Y2737" s="563"/>
    </row>
    <row r="2738" spans="22:25" x14ac:dyDescent="0.2">
      <c r="V2738" s="563"/>
      <c r="X2738" s="563"/>
      <c r="Y2738" s="563"/>
    </row>
    <row r="2739" spans="22:25" x14ac:dyDescent="0.2">
      <c r="V2739" s="563"/>
      <c r="X2739" s="563"/>
      <c r="Y2739" s="563"/>
    </row>
    <row r="2740" spans="22:25" x14ac:dyDescent="0.2">
      <c r="V2740" s="563"/>
      <c r="X2740" s="563"/>
      <c r="Y2740" s="563"/>
    </row>
    <row r="2741" spans="22:25" x14ac:dyDescent="0.2">
      <c r="V2741" s="563"/>
      <c r="X2741" s="563"/>
      <c r="Y2741" s="563"/>
    </row>
    <row r="2742" spans="22:25" x14ac:dyDescent="0.2">
      <c r="V2742" s="563"/>
      <c r="X2742" s="563"/>
      <c r="Y2742" s="563"/>
    </row>
    <row r="2743" spans="22:25" x14ac:dyDescent="0.2">
      <c r="V2743" s="563"/>
      <c r="X2743" s="563"/>
      <c r="Y2743" s="563"/>
    </row>
    <row r="2744" spans="22:25" x14ac:dyDescent="0.2">
      <c r="V2744" s="563"/>
      <c r="X2744" s="563"/>
      <c r="Y2744" s="563"/>
    </row>
    <row r="2745" spans="22:25" x14ac:dyDescent="0.2">
      <c r="V2745" s="563"/>
      <c r="X2745" s="563"/>
      <c r="Y2745" s="563"/>
    </row>
    <row r="2746" spans="22:25" x14ac:dyDescent="0.2">
      <c r="V2746" s="563"/>
      <c r="X2746" s="563"/>
      <c r="Y2746" s="563"/>
    </row>
    <row r="2747" spans="22:25" x14ac:dyDescent="0.2">
      <c r="V2747" s="563"/>
      <c r="X2747" s="563"/>
      <c r="Y2747" s="563"/>
    </row>
    <row r="2748" spans="22:25" x14ac:dyDescent="0.2">
      <c r="V2748" s="563"/>
      <c r="X2748" s="563"/>
      <c r="Y2748" s="563"/>
    </row>
    <row r="2749" spans="22:25" x14ac:dyDescent="0.2">
      <c r="V2749" s="563"/>
      <c r="X2749" s="563"/>
      <c r="Y2749" s="563"/>
    </row>
    <row r="2750" spans="22:25" x14ac:dyDescent="0.2">
      <c r="V2750" s="563"/>
      <c r="X2750" s="563"/>
      <c r="Y2750" s="563"/>
    </row>
    <row r="2751" spans="22:25" x14ac:dyDescent="0.2">
      <c r="V2751" s="563"/>
      <c r="X2751" s="563"/>
      <c r="Y2751" s="563"/>
    </row>
    <row r="2752" spans="22:25" x14ac:dyDescent="0.2">
      <c r="V2752" s="563"/>
      <c r="X2752" s="563"/>
      <c r="Y2752" s="563"/>
    </row>
    <row r="2753" spans="22:25" x14ac:dyDescent="0.2">
      <c r="V2753" s="563"/>
      <c r="X2753" s="563"/>
      <c r="Y2753" s="563"/>
    </row>
    <row r="2754" spans="22:25" x14ac:dyDescent="0.2">
      <c r="V2754" s="563"/>
      <c r="X2754" s="563"/>
      <c r="Y2754" s="563"/>
    </row>
    <row r="2755" spans="22:25" x14ac:dyDescent="0.2">
      <c r="V2755" s="563"/>
      <c r="X2755" s="563"/>
      <c r="Y2755" s="563"/>
    </row>
    <row r="2756" spans="22:25" x14ac:dyDescent="0.2">
      <c r="V2756" s="563"/>
      <c r="X2756" s="563"/>
      <c r="Y2756" s="563"/>
    </row>
    <row r="2757" spans="22:25" x14ac:dyDescent="0.2">
      <c r="V2757" s="563"/>
      <c r="X2757" s="563"/>
      <c r="Y2757" s="563"/>
    </row>
    <row r="2758" spans="22:25" x14ac:dyDescent="0.2">
      <c r="V2758" s="563"/>
      <c r="X2758" s="563"/>
      <c r="Y2758" s="563"/>
    </row>
    <row r="2759" spans="22:25" x14ac:dyDescent="0.2">
      <c r="V2759" s="563"/>
      <c r="X2759" s="563"/>
      <c r="Y2759" s="563"/>
    </row>
    <row r="2760" spans="22:25" x14ac:dyDescent="0.2">
      <c r="V2760" s="563"/>
      <c r="X2760" s="563"/>
      <c r="Y2760" s="563"/>
    </row>
    <row r="2761" spans="22:25" x14ac:dyDescent="0.2">
      <c r="V2761" s="563"/>
      <c r="X2761" s="563"/>
      <c r="Y2761" s="563"/>
    </row>
    <row r="2762" spans="22:25" x14ac:dyDescent="0.2">
      <c r="V2762" s="563"/>
      <c r="X2762" s="563"/>
      <c r="Y2762" s="563"/>
    </row>
    <row r="2763" spans="22:25" x14ac:dyDescent="0.2">
      <c r="V2763" s="563"/>
      <c r="X2763" s="563"/>
      <c r="Y2763" s="563"/>
    </row>
    <row r="2764" spans="22:25" x14ac:dyDescent="0.2">
      <c r="V2764" s="563"/>
      <c r="X2764" s="563"/>
      <c r="Y2764" s="563"/>
    </row>
    <row r="2765" spans="22:25" x14ac:dyDescent="0.2">
      <c r="V2765" s="563"/>
      <c r="X2765" s="563"/>
      <c r="Y2765" s="563"/>
    </row>
    <row r="2766" spans="22:25" x14ac:dyDescent="0.2">
      <c r="V2766" s="563"/>
      <c r="X2766" s="563"/>
      <c r="Y2766" s="563"/>
    </row>
    <row r="2767" spans="22:25" x14ac:dyDescent="0.2">
      <c r="V2767" s="563"/>
      <c r="X2767" s="563"/>
      <c r="Y2767" s="563"/>
    </row>
    <row r="2768" spans="22:25" x14ac:dyDescent="0.2">
      <c r="V2768" s="563"/>
      <c r="X2768" s="563"/>
      <c r="Y2768" s="563"/>
    </row>
    <row r="2769" spans="22:25" x14ac:dyDescent="0.2">
      <c r="V2769" s="563"/>
      <c r="X2769" s="563"/>
      <c r="Y2769" s="563"/>
    </row>
    <row r="2770" spans="22:25" x14ac:dyDescent="0.2">
      <c r="V2770" s="563"/>
      <c r="X2770" s="563"/>
      <c r="Y2770" s="563"/>
    </row>
    <row r="2771" spans="22:25" x14ac:dyDescent="0.2">
      <c r="V2771" s="563"/>
      <c r="X2771" s="563"/>
      <c r="Y2771" s="563"/>
    </row>
    <row r="2772" spans="22:25" x14ac:dyDescent="0.2">
      <c r="V2772" s="563"/>
      <c r="X2772" s="563"/>
      <c r="Y2772" s="563"/>
    </row>
    <row r="2773" spans="22:25" x14ac:dyDescent="0.2">
      <c r="V2773" s="563"/>
      <c r="X2773" s="563"/>
      <c r="Y2773" s="563"/>
    </row>
    <row r="2774" spans="22:25" x14ac:dyDescent="0.2">
      <c r="V2774" s="563"/>
      <c r="X2774" s="563"/>
      <c r="Y2774" s="563"/>
    </row>
    <row r="2775" spans="22:25" x14ac:dyDescent="0.2">
      <c r="V2775" s="563"/>
      <c r="X2775" s="563"/>
      <c r="Y2775" s="563"/>
    </row>
    <row r="2776" spans="22:25" x14ac:dyDescent="0.2">
      <c r="V2776" s="563"/>
      <c r="X2776" s="563"/>
      <c r="Y2776" s="563"/>
    </row>
    <row r="2777" spans="22:25" x14ac:dyDescent="0.2">
      <c r="V2777" s="563"/>
      <c r="X2777" s="563"/>
      <c r="Y2777" s="563"/>
    </row>
    <row r="2778" spans="22:25" x14ac:dyDescent="0.2">
      <c r="V2778" s="563"/>
      <c r="X2778" s="563"/>
      <c r="Y2778" s="563"/>
    </row>
    <row r="2779" spans="22:25" x14ac:dyDescent="0.2">
      <c r="V2779" s="563"/>
      <c r="X2779" s="563"/>
      <c r="Y2779" s="563"/>
    </row>
    <row r="2780" spans="22:25" x14ac:dyDescent="0.2">
      <c r="V2780" s="563"/>
      <c r="X2780" s="563"/>
      <c r="Y2780" s="563"/>
    </row>
    <row r="2781" spans="22:25" x14ac:dyDescent="0.2">
      <c r="V2781" s="563"/>
      <c r="X2781" s="563"/>
      <c r="Y2781" s="563"/>
    </row>
    <row r="2782" spans="22:25" x14ac:dyDescent="0.2">
      <c r="V2782" s="563"/>
      <c r="X2782" s="563"/>
      <c r="Y2782" s="563"/>
    </row>
    <row r="2783" spans="22:25" x14ac:dyDescent="0.2">
      <c r="V2783" s="563"/>
      <c r="X2783" s="563"/>
      <c r="Y2783" s="563"/>
    </row>
    <row r="2784" spans="22:25" x14ac:dyDescent="0.2">
      <c r="V2784" s="563"/>
      <c r="X2784" s="563"/>
      <c r="Y2784" s="563"/>
    </row>
    <row r="2785" spans="22:25" x14ac:dyDescent="0.2">
      <c r="V2785" s="563"/>
      <c r="X2785" s="563"/>
      <c r="Y2785" s="563"/>
    </row>
    <row r="2786" spans="22:25" x14ac:dyDescent="0.2">
      <c r="V2786" s="563"/>
      <c r="X2786" s="563"/>
      <c r="Y2786" s="563"/>
    </row>
    <row r="2787" spans="22:25" x14ac:dyDescent="0.2">
      <c r="V2787" s="563"/>
      <c r="X2787" s="563"/>
      <c r="Y2787" s="563"/>
    </row>
    <row r="2788" spans="22:25" x14ac:dyDescent="0.2">
      <c r="V2788" s="563"/>
      <c r="X2788" s="563"/>
      <c r="Y2788" s="563"/>
    </row>
    <row r="2789" spans="22:25" x14ac:dyDescent="0.2">
      <c r="V2789" s="563"/>
      <c r="X2789" s="563"/>
      <c r="Y2789" s="563"/>
    </row>
    <row r="2790" spans="22:25" x14ac:dyDescent="0.2">
      <c r="V2790" s="563"/>
      <c r="X2790" s="563"/>
      <c r="Y2790" s="563"/>
    </row>
    <row r="2791" spans="22:25" x14ac:dyDescent="0.2">
      <c r="V2791" s="563"/>
      <c r="X2791" s="563"/>
      <c r="Y2791" s="563"/>
    </row>
    <row r="2792" spans="22:25" x14ac:dyDescent="0.2">
      <c r="V2792" s="563"/>
      <c r="X2792" s="563"/>
      <c r="Y2792" s="563"/>
    </row>
    <row r="2793" spans="22:25" x14ac:dyDescent="0.2">
      <c r="V2793" s="563"/>
      <c r="X2793" s="563"/>
      <c r="Y2793" s="563"/>
    </row>
    <row r="2794" spans="22:25" x14ac:dyDescent="0.2">
      <c r="V2794" s="563"/>
      <c r="X2794" s="563"/>
      <c r="Y2794" s="563"/>
    </row>
    <row r="2795" spans="22:25" x14ac:dyDescent="0.2">
      <c r="V2795" s="563"/>
      <c r="X2795" s="563"/>
      <c r="Y2795" s="563"/>
    </row>
    <row r="2796" spans="22:25" x14ac:dyDescent="0.2">
      <c r="V2796" s="563"/>
      <c r="X2796" s="563"/>
      <c r="Y2796" s="563"/>
    </row>
    <row r="2797" spans="22:25" x14ac:dyDescent="0.2">
      <c r="V2797" s="563"/>
      <c r="X2797" s="563"/>
      <c r="Y2797" s="563"/>
    </row>
    <row r="2798" spans="22:25" x14ac:dyDescent="0.2">
      <c r="V2798" s="563"/>
      <c r="X2798" s="563"/>
      <c r="Y2798" s="563"/>
    </row>
    <row r="2799" spans="22:25" x14ac:dyDescent="0.2">
      <c r="V2799" s="563"/>
      <c r="X2799" s="563"/>
      <c r="Y2799" s="563"/>
    </row>
    <row r="2800" spans="22:25" x14ac:dyDescent="0.2">
      <c r="V2800" s="563"/>
      <c r="X2800" s="563"/>
      <c r="Y2800" s="563"/>
    </row>
    <row r="2801" spans="22:25" x14ac:dyDescent="0.2">
      <c r="V2801" s="563"/>
      <c r="X2801" s="563"/>
      <c r="Y2801" s="563"/>
    </row>
    <row r="2802" spans="22:25" x14ac:dyDescent="0.2">
      <c r="V2802" s="563"/>
      <c r="X2802" s="563"/>
      <c r="Y2802" s="563"/>
    </row>
    <row r="2803" spans="22:25" x14ac:dyDescent="0.2">
      <c r="V2803" s="563"/>
      <c r="X2803" s="563"/>
      <c r="Y2803" s="563"/>
    </row>
    <row r="2804" spans="22:25" x14ac:dyDescent="0.2">
      <c r="V2804" s="563"/>
      <c r="X2804" s="563"/>
      <c r="Y2804" s="563"/>
    </row>
    <row r="2805" spans="22:25" x14ac:dyDescent="0.2">
      <c r="V2805" s="563"/>
      <c r="X2805" s="563"/>
      <c r="Y2805" s="563"/>
    </row>
    <row r="2806" spans="22:25" x14ac:dyDescent="0.2">
      <c r="V2806" s="563"/>
      <c r="X2806" s="563"/>
      <c r="Y2806" s="563"/>
    </row>
    <row r="2807" spans="22:25" x14ac:dyDescent="0.2">
      <c r="V2807" s="563"/>
      <c r="X2807" s="563"/>
      <c r="Y2807" s="563"/>
    </row>
    <row r="2808" spans="22:25" x14ac:dyDescent="0.2">
      <c r="V2808" s="563"/>
      <c r="X2808" s="563"/>
      <c r="Y2808" s="563"/>
    </row>
    <row r="2809" spans="22:25" x14ac:dyDescent="0.2">
      <c r="V2809" s="563"/>
      <c r="X2809" s="563"/>
      <c r="Y2809" s="563"/>
    </row>
    <row r="2810" spans="22:25" x14ac:dyDescent="0.2">
      <c r="V2810" s="563"/>
      <c r="X2810" s="563"/>
      <c r="Y2810" s="563"/>
    </row>
    <row r="2811" spans="22:25" x14ac:dyDescent="0.2">
      <c r="V2811" s="563"/>
      <c r="X2811" s="563"/>
      <c r="Y2811" s="563"/>
    </row>
    <row r="2812" spans="22:25" x14ac:dyDescent="0.2">
      <c r="V2812" s="563"/>
      <c r="X2812" s="563"/>
      <c r="Y2812" s="563"/>
    </row>
    <row r="2813" spans="22:25" x14ac:dyDescent="0.2">
      <c r="V2813" s="563"/>
      <c r="X2813" s="563"/>
      <c r="Y2813" s="563"/>
    </row>
    <row r="2814" spans="22:25" x14ac:dyDescent="0.2">
      <c r="V2814" s="563"/>
      <c r="X2814" s="563"/>
      <c r="Y2814" s="563"/>
    </row>
    <row r="2815" spans="22:25" x14ac:dyDescent="0.2">
      <c r="V2815" s="563"/>
      <c r="X2815" s="563"/>
      <c r="Y2815" s="563"/>
    </row>
    <row r="2816" spans="22:25" x14ac:dyDescent="0.2">
      <c r="V2816" s="563"/>
      <c r="X2816" s="563"/>
      <c r="Y2816" s="563"/>
    </row>
    <row r="2817" spans="22:25" x14ac:dyDescent="0.2">
      <c r="V2817" s="563"/>
      <c r="X2817" s="563"/>
      <c r="Y2817" s="563"/>
    </row>
    <row r="2818" spans="22:25" x14ac:dyDescent="0.2">
      <c r="V2818" s="563"/>
      <c r="X2818" s="563"/>
      <c r="Y2818" s="563"/>
    </row>
    <row r="2819" spans="22:25" x14ac:dyDescent="0.2">
      <c r="V2819" s="563"/>
      <c r="X2819" s="563"/>
      <c r="Y2819" s="563"/>
    </row>
    <row r="2820" spans="22:25" x14ac:dyDescent="0.2">
      <c r="V2820" s="563"/>
      <c r="X2820" s="563"/>
      <c r="Y2820" s="563"/>
    </row>
    <row r="2821" spans="22:25" x14ac:dyDescent="0.2">
      <c r="V2821" s="563"/>
      <c r="X2821" s="563"/>
      <c r="Y2821" s="563"/>
    </row>
    <row r="2822" spans="22:25" x14ac:dyDescent="0.2">
      <c r="V2822" s="563"/>
      <c r="X2822" s="563"/>
      <c r="Y2822" s="563"/>
    </row>
    <row r="2823" spans="22:25" x14ac:dyDescent="0.2">
      <c r="V2823" s="563"/>
      <c r="X2823" s="563"/>
      <c r="Y2823" s="563"/>
    </row>
    <row r="2824" spans="22:25" x14ac:dyDescent="0.2">
      <c r="V2824" s="563"/>
      <c r="X2824" s="563"/>
      <c r="Y2824" s="563"/>
    </row>
    <row r="2825" spans="22:25" x14ac:dyDescent="0.2">
      <c r="V2825" s="563"/>
      <c r="X2825" s="563"/>
      <c r="Y2825" s="563"/>
    </row>
    <row r="2826" spans="22:25" x14ac:dyDescent="0.2">
      <c r="V2826" s="563"/>
      <c r="X2826" s="563"/>
      <c r="Y2826" s="563"/>
    </row>
    <row r="2827" spans="22:25" x14ac:dyDescent="0.2">
      <c r="V2827" s="563"/>
      <c r="X2827" s="563"/>
      <c r="Y2827" s="563"/>
    </row>
    <row r="2828" spans="22:25" x14ac:dyDescent="0.2">
      <c r="V2828" s="563"/>
      <c r="X2828" s="563"/>
      <c r="Y2828" s="563"/>
    </row>
    <row r="2829" spans="22:25" x14ac:dyDescent="0.2">
      <c r="V2829" s="563"/>
      <c r="X2829" s="563"/>
      <c r="Y2829" s="563"/>
    </row>
    <row r="2830" spans="22:25" x14ac:dyDescent="0.2">
      <c r="V2830" s="563"/>
      <c r="X2830" s="563"/>
      <c r="Y2830" s="563"/>
    </row>
    <row r="2831" spans="22:25" x14ac:dyDescent="0.2">
      <c r="V2831" s="563"/>
      <c r="X2831" s="563"/>
      <c r="Y2831" s="563"/>
    </row>
    <row r="2832" spans="22:25" x14ac:dyDescent="0.2">
      <c r="V2832" s="563"/>
      <c r="X2832" s="563"/>
      <c r="Y2832" s="563"/>
    </row>
    <row r="2833" spans="22:25" x14ac:dyDescent="0.2">
      <c r="V2833" s="563"/>
      <c r="X2833" s="563"/>
      <c r="Y2833" s="563"/>
    </row>
    <row r="2834" spans="22:25" x14ac:dyDescent="0.2">
      <c r="V2834" s="563"/>
      <c r="X2834" s="563"/>
      <c r="Y2834" s="563"/>
    </row>
    <row r="2835" spans="22:25" x14ac:dyDescent="0.2">
      <c r="V2835" s="563"/>
      <c r="X2835" s="563"/>
      <c r="Y2835" s="563"/>
    </row>
    <row r="2836" spans="22:25" x14ac:dyDescent="0.2">
      <c r="V2836" s="563"/>
      <c r="X2836" s="563"/>
      <c r="Y2836" s="563"/>
    </row>
    <row r="2837" spans="22:25" x14ac:dyDescent="0.2">
      <c r="V2837" s="563"/>
      <c r="X2837" s="563"/>
      <c r="Y2837" s="563"/>
    </row>
    <row r="2838" spans="22:25" x14ac:dyDescent="0.2">
      <c r="V2838" s="563"/>
      <c r="X2838" s="563"/>
      <c r="Y2838" s="563"/>
    </row>
    <row r="2839" spans="22:25" x14ac:dyDescent="0.2">
      <c r="V2839" s="563"/>
      <c r="X2839" s="563"/>
      <c r="Y2839" s="563"/>
    </row>
    <row r="2840" spans="22:25" x14ac:dyDescent="0.2">
      <c r="V2840" s="563"/>
      <c r="X2840" s="563"/>
      <c r="Y2840" s="563"/>
    </row>
    <row r="2841" spans="22:25" x14ac:dyDescent="0.2">
      <c r="V2841" s="563"/>
      <c r="X2841" s="563"/>
      <c r="Y2841" s="563"/>
    </row>
    <row r="2842" spans="22:25" x14ac:dyDescent="0.2">
      <c r="V2842" s="563"/>
      <c r="X2842" s="563"/>
      <c r="Y2842" s="563"/>
    </row>
    <row r="2843" spans="22:25" x14ac:dyDescent="0.2">
      <c r="V2843" s="563"/>
      <c r="X2843" s="563"/>
      <c r="Y2843" s="563"/>
    </row>
    <row r="2844" spans="22:25" x14ac:dyDescent="0.2">
      <c r="V2844" s="563"/>
      <c r="X2844" s="563"/>
      <c r="Y2844" s="563"/>
    </row>
    <row r="2845" spans="22:25" x14ac:dyDescent="0.2">
      <c r="V2845" s="563"/>
      <c r="X2845" s="563"/>
      <c r="Y2845" s="563"/>
    </row>
    <row r="2846" spans="22:25" x14ac:dyDescent="0.2">
      <c r="V2846" s="563"/>
      <c r="X2846" s="563"/>
      <c r="Y2846" s="563"/>
    </row>
    <row r="2847" spans="22:25" x14ac:dyDescent="0.2">
      <c r="V2847" s="563"/>
      <c r="X2847" s="563"/>
      <c r="Y2847" s="563"/>
    </row>
    <row r="2848" spans="22:25" x14ac:dyDescent="0.2">
      <c r="V2848" s="563"/>
      <c r="X2848" s="563"/>
      <c r="Y2848" s="563"/>
    </row>
    <row r="2849" spans="22:25" x14ac:dyDescent="0.2">
      <c r="V2849" s="563"/>
      <c r="X2849" s="563"/>
      <c r="Y2849" s="563"/>
    </row>
    <row r="2850" spans="22:25" x14ac:dyDescent="0.2">
      <c r="V2850" s="563"/>
      <c r="X2850" s="563"/>
      <c r="Y2850" s="563"/>
    </row>
    <row r="2851" spans="22:25" x14ac:dyDescent="0.2">
      <c r="V2851" s="563"/>
      <c r="X2851" s="563"/>
      <c r="Y2851" s="563"/>
    </row>
    <row r="2852" spans="22:25" x14ac:dyDescent="0.2">
      <c r="V2852" s="563"/>
      <c r="X2852" s="563"/>
      <c r="Y2852" s="563"/>
    </row>
    <row r="2853" spans="22:25" x14ac:dyDescent="0.2">
      <c r="V2853" s="563"/>
      <c r="X2853" s="563"/>
      <c r="Y2853" s="563"/>
    </row>
    <row r="2854" spans="22:25" x14ac:dyDescent="0.2">
      <c r="V2854" s="563"/>
      <c r="X2854" s="563"/>
      <c r="Y2854" s="563"/>
    </row>
    <row r="2855" spans="22:25" x14ac:dyDescent="0.2">
      <c r="V2855" s="563"/>
      <c r="X2855" s="563"/>
      <c r="Y2855" s="563"/>
    </row>
    <row r="2856" spans="22:25" x14ac:dyDescent="0.2">
      <c r="V2856" s="563"/>
      <c r="X2856" s="563"/>
      <c r="Y2856" s="563"/>
    </row>
    <row r="2857" spans="22:25" x14ac:dyDescent="0.2">
      <c r="V2857" s="563"/>
      <c r="X2857" s="563"/>
      <c r="Y2857" s="563"/>
    </row>
    <row r="2858" spans="22:25" x14ac:dyDescent="0.2">
      <c r="V2858" s="563"/>
      <c r="X2858" s="563"/>
      <c r="Y2858" s="563"/>
    </row>
    <row r="2859" spans="22:25" x14ac:dyDescent="0.2">
      <c r="V2859" s="563"/>
      <c r="X2859" s="563"/>
      <c r="Y2859" s="563"/>
    </row>
    <row r="2860" spans="22:25" x14ac:dyDescent="0.2">
      <c r="V2860" s="563"/>
      <c r="X2860" s="563"/>
      <c r="Y2860" s="563"/>
    </row>
    <row r="2861" spans="22:25" x14ac:dyDescent="0.2">
      <c r="V2861" s="563"/>
      <c r="X2861" s="563"/>
      <c r="Y2861" s="563"/>
    </row>
    <row r="2862" spans="22:25" x14ac:dyDescent="0.2">
      <c r="V2862" s="563"/>
      <c r="X2862" s="563"/>
      <c r="Y2862" s="563"/>
    </row>
    <row r="2863" spans="22:25" x14ac:dyDescent="0.2">
      <c r="V2863" s="563"/>
      <c r="X2863" s="563"/>
      <c r="Y2863" s="563"/>
    </row>
    <row r="2864" spans="22:25" x14ac:dyDescent="0.2">
      <c r="V2864" s="563"/>
      <c r="X2864" s="563"/>
      <c r="Y2864" s="563"/>
    </row>
    <row r="2865" spans="22:25" x14ac:dyDescent="0.2">
      <c r="V2865" s="563"/>
      <c r="X2865" s="563"/>
      <c r="Y2865" s="563"/>
    </row>
    <row r="2866" spans="22:25" x14ac:dyDescent="0.2">
      <c r="V2866" s="563"/>
      <c r="X2866" s="563"/>
      <c r="Y2866" s="563"/>
    </row>
    <row r="2867" spans="22:25" x14ac:dyDescent="0.2">
      <c r="V2867" s="563"/>
      <c r="X2867" s="563"/>
      <c r="Y2867" s="563"/>
    </row>
    <row r="2868" spans="22:25" x14ac:dyDescent="0.2">
      <c r="V2868" s="563"/>
      <c r="X2868" s="563"/>
      <c r="Y2868" s="563"/>
    </row>
    <row r="2869" spans="22:25" x14ac:dyDescent="0.2">
      <c r="V2869" s="563"/>
      <c r="X2869" s="563"/>
      <c r="Y2869" s="563"/>
    </row>
    <row r="2870" spans="22:25" x14ac:dyDescent="0.2">
      <c r="V2870" s="563"/>
      <c r="X2870" s="563"/>
      <c r="Y2870" s="563"/>
    </row>
    <row r="2871" spans="22:25" x14ac:dyDescent="0.2">
      <c r="V2871" s="563"/>
      <c r="X2871" s="563"/>
      <c r="Y2871" s="563"/>
    </row>
    <row r="2872" spans="22:25" x14ac:dyDescent="0.2">
      <c r="V2872" s="563"/>
      <c r="X2872" s="563"/>
      <c r="Y2872" s="563"/>
    </row>
    <row r="2873" spans="22:25" x14ac:dyDescent="0.2">
      <c r="V2873" s="563"/>
      <c r="X2873" s="563"/>
      <c r="Y2873" s="563"/>
    </row>
    <row r="2874" spans="22:25" x14ac:dyDescent="0.2">
      <c r="V2874" s="563"/>
      <c r="X2874" s="563"/>
      <c r="Y2874" s="563"/>
    </row>
    <row r="2875" spans="22:25" x14ac:dyDescent="0.2">
      <c r="V2875" s="563"/>
      <c r="X2875" s="563"/>
      <c r="Y2875" s="563"/>
    </row>
    <row r="2876" spans="22:25" x14ac:dyDescent="0.2">
      <c r="V2876" s="563"/>
      <c r="X2876" s="563"/>
      <c r="Y2876" s="563"/>
    </row>
    <row r="2877" spans="22:25" x14ac:dyDescent="0.2">
      <c r="V2877" s="563"/>
      <c r="X2877" s="563"/>
      <c r="Y2877" s="563"/>
    </row>
    <row r="2878" spans="22:25" x14ac:dyDescent="0.2">
      <c r="V2878" s="563"/>
      <c r="X2878" s="563"/>
      <c r="Y2878" s="563"/>
    </row>
    <row r="2879" spans="22:25" x14ac:dyDescent="0.2">
      <c r="V2879" s="563"/>
      <c r="X2879" s="563"/>
      <c r="Y2879" s="563"/>
    </row>
    <row r="2880" spans="22:25" x14ac:dyDescent="0.2">
      <c r="V2880" s="563"/>
      <c r="X2880" s="563"/>
      <c r="Y2880" s="563"/>
    </row>
    <row r="2881" spans="22:25" x14ac:dyDescent="0.2">
      <c r="V2881" s="563"/>
      <c r="X2881" s="563"/>
      <c r="Y2881" s="563"/>
    </row>
    <row r="2882" spans="22:25" x14ac:dyDescent="0.2">
      <c r="V2882" s="563"/>
      <c r="X2882" s="563"/>
      <c r="Y2882" s="563"/>
    </row>
    <row r="2883" spans="22:25" x14ac:dyDescent="0.2">
      <c r="V2883" s="563"/>
      <c r="X2883" s="563"/>
      <c r="Y2883" s="563"/>
    </row>
    <row r="2884" spans="22:25" x14ac:dyDescent="0.2">
      <c r="V2884" s="563"/>
      <c r="X2884" s="563"/>
      <c r="Y2884" s="563"/>
    </row>
    <row r="2885" spans="22:25" x14ac:dyDescent="0.2">
      <c r="V2885" s="563"/>
      <c r="X2885" s="563"/>
      <c r="Y2885" s="563"/>
    </row>
    <row r="2886" spans="22:25" x14ac:dyDescent="0.2">
      <c r="V2886" s="563"/>
      <c r="X2886" s="563"/>
      <c r="Y2886" s="563"/>
    </row>
    <row r="2887" spans="22:25" x14ac:dyDescent="0.2">
      <c r="V2887" s="563"/>
      <c r="X2887" s="563"/>
      <c r="Y2887" s="563"/>
    </row>
    <row r="2888" spans="22:25" x14ac:dyDescent="0.2">
      <c r="V2888" s="563"/>
      <c r="X2888" s="563"/>
      <c r="Y2888" s="563"/>
    </row>
    <row r="2889" spans="22:25" x14ac:dyDescent="0.2">
      <c r="V2889" s="563"/>
      <c r="X2889" s="563"/>
      <c r="Y2889" s="563"/>
    </row>
    <row r="2890" spans="22:25" x14ac:dyDescent="0.2">
      <c r="V2890" s="563"/>
      <c r="X2890" s="563"/>
      <c r="Y2890" s="563"/>
    </row>
    <row r="2891" spans="22:25" x14ac:dyDescent="0.2">
      <c r="V2891" s="563"/>
      <c r="X2891" s="563"/>
      <c r="Y2891" s="563"/>
    </row>
    <row r="2892" spans="22:25" x14ac:dyDescent="0.2">
      <c r="V2892" s="563"/>
      <c r="X2892" s="563"/>
      <c r="Y2892" s="563"/>
    </row>
    <row r="2893" spans="22:25" x14ac:dyDescent="0.2">
      <c r="V2893" s="563"/>
      <c r="X2893" s="563"/>
      <c r="Y2893" s="563"/>
    </row>
    <row r="2894" spans="22:25" x14ac:dyDescent="0.2">
      <c r="V2894" s="563"/>
      <c r="X2894" s="563"/>
      <c r="Y2894" s="563"/>
    </row>
    <row r="2895" spans="22:25" x14ac:dyDescent="0.2">
      <c r="V2895" s="563"/>
      <c r="X2895" s="563"/>
      <c r="Y2895" s="563"/>
    </row>
    <row r="2896" spans="22:25" x14ac:dyDescent="0.2">
      <c r="V2896" s="563"/>
      <c r="X2896" s="563"/>
      <c r="Y2896" s="563"/>
    </row>
    <row r="2897" spans="22:25" x14ac:dyDescent="0.2">
      <c r="V2897" s="563"/>
      <c r="X2897" s="563"/>
      <c r="Y2897" s="563"/>
    </row>
    <row r="2898" spans="22:25" x14ac:dyDescent="0.2">
      <c r="V2898" s="563"/>
      <c r="X2898" s="563"/>
      <c r="Y2898" s="563"/>
    </row>
    <row r="2899" spans="22:25" x14ac:dyDescent="0.2">
      <c r="V2899" s="563"/>
      <c r="X2899" s="563"/>
      <c r="Y2899" s="563"/>
    </row>
    <row r="2900" spans="22:25" x14ac:dyDescent="0.2">
      <c r="V2900" s="563"/>
      <c r="X2900" s="563"/>
      <c r="Y2900" s="563"/>
    </row>
    <row r="2901" spans="22:25" x14ac:dyDescent="0.2">
      <c r="V2901" s="563"/>
      <c r="X2901" s="563"/>
      <c r="Y2901" s="563"/>
    </row>
    <row r="2902" spans="22:25" x14ac:dyDescent="0.2">
      <c r="V2902" s="563"/>
      <c r="X2902" s="563"/>
      <c r="Y2902" s="563"/>
    </row>
    <row r="2903" spans="22:25" x14ac:dyDescent="0.2">
      <c r="V2903" s="563"/>
      <c r="X2903" s="563"/>
      <c r="Y2903" s="563"/>
    </row>
    <row r="2904" spans="22:25" x14ac:dyDescent="0.2">
      <c r="V2904" s="563"/>
      <c r="X2904" s="563"/>
      <c r="Y2904" s="563"/>
    </row>
    <row r="2905" spans="22:25" x14ac:dyDescent="0.2">
      <c r="V2905" s="563"/>
      <c r="X2905" s="563"/>
      <c r="Y2905" s="563"/>
    </row>
    <row r="2906" spans="22:25" x14ac:dyDescent="0.2">
      <c r="V2906" s="563"/>
      <c r="X2906" s="563"/>
      <c r="Y2906" s="563"/>
    </row>
    <row r="2907" spans="22:25" x14ac:dyDescent="0.2">
      <c r="V2907" s="563"/>
      <c r="X2907" s="563"/>
      <c r="Y2907" s="563"/>
    </row>
    <row r="2908" spans="22:25" x14ac:dyDescent="0.2">
      <c r="V2908" s="563"/>
      <c r="X2908" s="563"/>
      <c r="Y2908" s="563"/>
    </row>
    <row r="2909" spans="22:25" x14ac:dyDescent="0.2">
      <c r="V2909" s="563"/>
      <c r="X2909" s="563"/>
      <c r="Y2909" s="563"/>
    </row>
    <row r="2910" spans="22:25" x14ac:dyDescent="0.2">
      <c r="V2910" s="563"/>
      <c r="X2910" s="563"/>
      <c r="Y2910" s="563"/>
    </row>
    <row r="2911" spans="22:25" x14ac:dyDescent="0.2">
      <c r="V2911" s="563"/>
      <c r="X2911" s="563"/>
      <c r="Y2911" s="563"/>
    </row>
    <row r="2912" spans="22:25" x14ac:dyDescent="0.2">
      <c r="V2912" s="563"/>
      <c r="X2912" s="563"/>
      <c r="Y2912" s="563"/>
    </row>
    <row r="2913" spans="22:25" x14ac:dyDescent="0.2">
      <c r="V2913" s="563"/>
      <c r="X2913" s="563"/>
      <c r="Y2913" s="563"/>
    </row>
    <row r="2914" spans="22:25" x14ac:dyDescent="0.2">
      <c r="V2914" s="563"/>
      <c r="X2914" s="563"/>
      <c r="Y2914" s="563"/>
    </row>
    <row r="2915" spans="22:25" x14ac:dyDescent="0.2">
      <c r="V2915" s="563"/>
      <c r="X2915" s="563"/>
      <c r="Y2915" s="563"/>
    </row>
    <row r="2916" spans="22:25" x14ac:dyDescent="0.2">
      <c r="V2916" s="563"/>
      <c r="X2916" s="563"/>
      <c r="Y2916" s="563"/>
    </row>
    <row r="2917" spans="22:25" x14ac:dyDescent="0.2">
      <c r="V2917" s="563"/>
      <c r="X2917" s="563"/>
      <c r="Y2917" s="563"/>
    </row>
    <row r="2918" spans="22:25" x14ac:dyDescent="0.2">
      <c r="V2918" s="563"/>
      <c r="X2918" s="563"/>
      <c r="Y2918" s="563"/>
    </row>
    <row r="2919" spans="22:25" x14ac:dyDescent="0.2">
      <c r="V2919" s="563"/>
      <c r="X2919" s="563"/>
      <c r="Y2919" s="563"/>
    </row>
    <row r="2920" spans="22:25" x14ac:dyDescent="0.2">
      <c r="V2920" s="563"/>
      <c r="X2920" s="563"/>
      <c r="Y2920" s="563"/>
    </row>
    <row r="2921" spans="22:25" x14ac:dyDescent="0.2">
      <c r="V2921" s="563"/>
      <c r="X2921" s="563"/>
      <c r="Y2921" s="563"/>
    </row>
    <row r="2922" spans="22:25" x14ac:dyDescent="0.2">
      <c r="V2922" s="563"/>
      <c r="X2922" s="563"/>
      <c r="Y2922" s="563"/>
    </row>
    <row r="2923" spans="22:25" x14ac:dyDescent="0.2">
      <c r="V2923" s="563"/>
      <c r="X2923" s="563"/>
      <c r="Y2923" s="563"/>
    </row>
    <row r="2924" spans="22:25" x14ac:dyDescent="0.2">
      <c r="V2924" s="563"/>
      <c r="X2924" s="563"/>
      <c r="Y2924" s="563"/>
    </row>
    <row r="2925" spans="22:25" x14ac:dyDescent="0.2">
      <c r="V2925" s="563"/>
      <c r="X2925" s="563"/>
      <c r="Y2925" s="563"/>
    </row>
    <row r="2926" spans="22:25" x14ac:dyDescent="0.2">
      <c r="V2926" s="563"/>
      <c r="X2926" s="563"/>
      <c r="Y2926" s="563"/>
    </row>
    <row r="2927" spans="22:25" x14ac:dyDescent="0.2">
      <c r="V2927" s="563"/>
      <c r="X2927" s="563"/>
      <c r="Y2927" s="563"/>
    </row>
    <row r="2928" spans="22:25" x14ac:dyDescent="0.2">
      <c r="V2928" s="563"/>
      <c r="X2928" s="563"/>
      <c r="Y2928" s="563"/>
    </row>
    <row r="2929" spans="22:25" x14ac:dyDescent="0.2">
      <c r="V2929" s="563"/>
      <c r="X2929" s="563"/>
      <c r="Y2929" s="563"/>
    </row>
    <row r="2930" spans="22:25" x14ac:dyDescent="0.2">
      <c r="V2930" s="563"/>
      <c r="X2930" s="563"/>
      <c r="Y2930" s="563"/>
    </row>
    <row r="2931" spans="22:25" x14ac:dyDescent="0.2">
      <c r="V2931" s="563"/>
      <c r="X2931" s="563"/>
      <c r="Y2931" s="563"/>
    </row>
    <row r="2932" spans="22:25" x14ac:dyDescent="0.2">
      <c r="V2932" s="563"/>
      <c r="X2932" s="563"/>
      <c r="Y2932" s="563"/>
    </row>
    <row r="2933" spans="22:25" x14ac:dyDescent="0.2">
      <c r="V2933" s="563"/>
      <c r="X2933" s="563"/>
      <c r="Y2933" s="563"/>
    </row>
    <row r="2934" spans="22:25" x14ac:dyDescent="0.2">
      <c r="V2934" s="563"/>
      <c r="X2934" s="563"/>
      <c r="Y2934" s="563"/>
    </row>
    <row r="2935" spans="22:25" x14ac:dyDescent="0.2">
      <c r="V2935" s="563"/>
      <c r="X2935" s="563"/>
      <c r="Y2935" s="563"/>
    </row>
    <row r="2936" spans="22:25" x14ac:dyDescent="0.2">
      <c r="V2936" s="563"/>
      <c r="X2936" s="563"/>
      <c r="Y2936" s="563"/>
    </row>
    <row r="2937" spans="22:25" x14ac:dyDescent="0.2">
      <c r="V2937" s="563"/>
      <c r="X2937" s="563"/>
      <c r="Y2937" s="563"/>
    </row>
    <row r="2938" spans="22:25" x14ac:dyDescent="0.2">
      <c r="V2938" s="563"/>
      <c r="X2938" s="563"/>
      <c r="Y2938" s="563"/>
    </row>
    <row r="2939" spans="22:25" x14ac:dyDescent="0.2">
      <c r="V2939" s="563"/>
      <c r="X2939" s="563"/>
      <c r="Y2939" s="563"/>
    </row>
    <row r="2940" spans="22:25" x14ac:dyDescent="0.2">
      <c r="V2940" s="563"/>
      <c r="X2940" s="563"/>
      <c r="Y2940" s="563"/>
    </row>
    <row r="2941" spans="22:25" x14ac:dyDescent="0.2">
      <c r="V2941" s="563"/>
      <c r="X2941" s="563"/>
      <c r="Y2941" s="563"/>
    </row>
    <row r="2942" spans="22:25" x14ac:dyDescent="0.2">
      <c r="V2942" s="563"/>
      <c r="X2942" s="563"/>
      <c r="Y2942" s="563"/>
    </row>
    <row r="2943" spans="22:25" x14ac:dyDescent="0.2">
      <c r="V2943" s="563"/>
      <c r="X2943" s="563"/>
      <c r="Y2943" s="563"/>
    </row>
    <row r="2944" spans="22:25" x14ac:dyDescent="0.2">
      <c r="V2944" s="563"/>
      <c r="X2944" s="563"/>
      <c r="Y2944" s="563"/>
    </row>
    <row r="2945" spans="22:25" x14ac:dyDescent="0.2">
      <c r="V2945" s="563"/>
      <c r="X2945" s="563"/>
      <c r="Y2945" s="563"/>
    </row>
    <row r="2946" spans="22:25" x14ac:dyDescent="0.2">
      <c r="V2946" s="563"/>
      <c r="X2946" s="563"/>
      <c r="Y2946" s="563"/>
    </row>
    <row r="2947" spans="22:25" x14ac:dyDescent="0.2">
      <c r="V2947" s="563"/>
      <c r="X2947" s="563"/>
      <c r="Y2947" s="563"/>
    </row>
    <row r="2948" spans="22:25" x14ac:dyDescent="0.2">
      <c r="V2948" s="563"/>
      <c r="X2948" s="563"/>
      <c r="Y2948" s="563"/>
    </row>
    <row r="2949" spans="22:25" x14ac:dyDescent="0.2">
      <c r="V2949" s="563"/>
      <c r="X2949" s="563"/>
      <c r="Y2949" s="563"/>
    </row>
    <row r="2950" spans="22:25" x14ac:dyDescent="0.2">
      <c r="V2950" s="563"/>
      <c r="X2950" s="563"/>
      <c r="Y2950" s="563"/>
    </row>
    <row r="2951" spans="22:25" x14ac:dyDescent="0.2">
      <c r="V2951" s="563"/>
      <c r="X2951" s="563"/>
      <c r="Y2951" s="563"/>
    </row>
    <row r="2952" spans="22:25" x14ac:dyDescent="0.2">
      <c r="V2952" s="563"/>
      <c r="X2952" s="563"/>
      <c r="Y2952" s="563"/>
    </row>
    <row r="2953" spans="22:25" x14ac:dyDescent="0.2">
      <c r="V2953" s="563"/>
      <c r="X2953" s="563"/>
      <c r="Y2953" s="563"/>
    </row>
    <row r="2954" spans="22:25" x14ac:dyDescent="0.2">
      <c r="V2954" s="563"/>
      <c r="X2954" s="563"/>
      <c r="Y2954" s="563"/>
    </row>
    <row r="2955" spans="22:25" x14ac:dyDescent="0.2">
      <c r="V2955" s="563"/>
      <c r="X2955" s="563"/>
      <c r="Y2955" s="563"/>
    </row>
    <row r="2956" spans="22:25" x14ac:dyDescent="0.2">
      <c r="V2956" s="563"/>
      <c r="X2956" s="563"/>
      <c r="Y2956" s="563"/>
    </row>
    <row r="2957" spans="22:25" x14ac:dyDescent="0.2">
      <c r="V2957" s="563"/>
      <c r="X2957" s="563"/>
      <c r="Y2957" s="563"/>
    </row>
    <row r="2958" spans="22:25" x14ac:dyDescent="0.2">
      <c r="V2958" s="563"/>
      <c r="X2958" s="563"/>
      <c r="Y2958" s="563"/>
    </row>
    <row r="2959" spans="22:25" x14ac:dyDescent="0.2">
      <c r="V2959" s="563"/>
      <c r="X2959" s="563"/>
      <c r="Y2959" s="563"/>
    </row>
    <row r="2960" spans="22:25" x14ac:dyDescent="0.2">
      <c r="V2960" s="563"/>
      <c r="X2960" s="563"/>
      <c r="Y2960" s="563"/>
    </row>
    <row r="2961" spans="22:25" x14ac:dyDescent="0.2">
      <c r="V2961" s="563"/>
      <c r="X2961" s="563"/>
      <c r="Y2961" s="563"/>
    </row>
    <row r="2962" spans="22:25" x14ac:dyDescent="0.2">
      <c r="V2962" s="563"/>
      <c r="X2962" s="563"/>
      <c r="Y2962" s="563"/>
    </row>
    <row r="2963" spans="22:25" x14ac:dyDescent="0.2">
      <c r="V2963" s="563"/>
      <c r="X2963" s="563"/>
      <c r="Y2963" s="563"/>
    </row>
    <row r="2964" spans="22:25" x14ac:dyDescent="0.2">
      <c r="V2964" s="563"/>
      <c r="X2964" s="563"/>
      <c r="Y2964" s="563"/>
    </row>
    <row r="2965" spans="22:25" x14ac:dyDescent="0.2">
      <c r="V2965" s="563"/>
      <c r="X2965" s="563"/>
      <c r="Y2965" s="563"/>
    </row>
    <row r="2966" spans="22:25" x14ac:dyDescent="0.2">
      <c r="V2966" s="563"/>
      <c r="X2966" s="563"/>
      <c r="Y2966" s="563"/>
    </row>
    <row r="2967" spans="22:25" x14ac:dyDescent="0.2">
      <c r="V2967" s="563"/>
      <c r="X2967" s="563"/>
      <c r="Y2967" s="563"/>
    </row>
    <row r="2968" spans="22:25" x14ac:dyDescent="0.2">
      <c r="V2968" s="563"/>
      <c r="X2968" s="563"/>
      <c r="Y2968" s="563"/>
    </row>
    <row r="2969" spans="22:25" x14ac:dyDescent="0.2">
      <c r="V2969" s="563"/>
      <c r="X2969" s="563"/>
      <c r="Y2969" s="563"/>
    </row>
    <row r="2970" spans="22:25" x14ac:dyDescent="0.2">
      <c r="V2970" s="563"/>
      <c r="X2970" s="563"/>
      <c r="Y2970" s="563"/>
    </row>
    <row r="2971" spans="22:25" x14ac:dyDescent="0.2">
      <c r="V2971" s="563"/>
      <c r="X2971" s="563"/>
      <c r="Y2971" s="563"/>
    </row>
    <row r="2972" spans="22:25" x14ac:dyDescent="0.2">
      <c r="V2972" s="563"/>
      <c r="X2972" s="563"/>
      <c r="Y2972" s="563"/>
    </row>
    <row r="2973" spans="22:25" x14ac:dyDescent="0.2">
      <c r="V2973" s="563"/>
      <c r="X2973" s="563"/>
      <c r="Y2973" s="563"/>
    </row>
    <row r="2974" spans="22:25" x14ac:dyDescent="0.2">
      <c r="V2974" s="563"/>
      <c r="X2974" s="563"/>
      <c r="Y2974" s="563"/>
    </row>
    <row r="2975" spans="22:25" x14ac:dyDescent="0.2">
      <c r="V2975" s="563"/>
      <c r="X2975" s="563"/>
      <c r="Y2975" s="563"/>
    </row>
    <row r="2976" spans="22:25" x14ac:dyDescent="0.2">
      <c r="V2976" s="563"/>
      <c r="X2976" s="563"/>
      <c r="Y2976" s="563"/>
    </row>
    <row r="2977" spans="22:25" x14ac:dyDescent="0.2">
      <c r="V2977" s="563"/>
      <c r="X2977" s="563"/>
      <c r="Y2977" s="563"/>
    </row>
    <row r="2978" spans="22:25" x14ac:dyDescent="0.2">
      <c r="V2978" s="563"/>
      <c r="X2978" s="563"/>
      <c r="Y2978" s="563"/>
    </row>
    <row r="2979" spans="22:25" x14ac:dyDescent="0.2">
      <c r="V2979" s="563"/>
      <c r="X2979" s="563"/>
      <c r="Y2979" s="563"/>
    </row>
    <row r="2980" spans="22:25" x14ac:dyDescent="0.2">
      <c r="V2980" s="563"/>
      <c r="X2980" s="563"/>
      <c r="Y2980" s="563"/>
    </row>
    <row r="2981" spans="22:25" x14ac:dyDescent="0.2">
      <c r="V2981" s="563"/>
      <c r="X2981" s="563"/>
      <c r="Y2981" s="563"/>
    </row>
    <row r="2982" spans="22:25" x14ac:dyDescent="0.2">
      <c r="V2982" s="563"/>
      <c r="X2982" s="563"/>
      <c r="Y2982" s="563"/>
    </row>
    <row r="2983" spans="22:25" x14ac:dyDescent="0.2">
      <c r="V2983" s="563"/>
      <c r="X2983" s="563"/>
      <c r="Y2983" s="563"/>
    </row>
    <row r="2984" spans="22:25" x14ac:dyDescent="0.2">
      <c r="V2984" s="563"/>
      <c r="X2984" s="563"/>
      <c r="Y2984" s="563"/>
    </row>
    <row r="2985" spans="22:25" x14ac:dyDescent="0.2">
      <c r="V2985" s="563"/>
      <c r="X2985" s="563"/>
      <c r="Y2985" s="563"/>
    </row>
    <row r="2986" spans="22:25" x14ac:dyDescent="0.2">
      <c r="V2986" s="563"/>
      <c r="X2986" s="563"/>
      <c r="Y2986" s="563"/>
    </row>
    <row r="2987" spans="22:25" x14ac:dyDescent="0.2">
      <c r="V2987" s="563"/>
      <c r="X2987" s="563"/>
      <c r="Y2987" s="563"/>
    </row>
    <row r="2988" spans="22:25" x14ac:dyDescent="0.2">
      <c r="V2988" s="563"/>
      <c r="X2988" s="563"/>
      <c r="Y2988" s="563"/>
    </row>
    <row r="2989" spans="22:25" x14ac:dyDescent="0.2">
      <c r="V2989" s="563"/>
      <c r="X2989" s="563"/>
      <c r="Y2989" s="563"/>
    </row>
    <row r="2990" spans="22:25" x14ac:dyDescent="0.2">
      <c r="V2990" s="563"/>
      <c r="X2990" s="563"/>
      <c r="Y2990" s="563"/>
    </row>
    <row r="2991" spans="22:25" x14ac:dyDescent="0.2">
      <c r="V2991" s="563"/>
      <c r="X2991" s="563"/>
      <c r="Y2991" s="563"/>
    </row>
    <row r="2992" spans="22:25" x14ac:dyDescent="0.2">
      <c r="V2992" s="563"/>
      <c r="X2992" s="563"/>
      <c r="Y2992" s="563"/>
    </row>
    <row r="2993" spans="22:25" x14ac:dyDescent="0.2">
      <c r="V2993" s="563"/>
      <c r="X2993" s="563"/>
      <c r="Y2993" s="563"/>
    </row>
    <row r="2994" spans="22:25" x14ac:dyDescent="0.2">
      <c r="V2994" s="563"/>
      <c r="X2994" s="563"/>
      <c r="Y2994" s="563"/>
    </row>
    <row r="2995" spans="22:25" x14ac:dyDescent="0.2">
      <c r="V2995" s="563"/>
      <c r="X2995" s="563"/>
      <c r="Y2995" s="563"/>
    </row>
    <row r="2996" spans="22:25" x14ac:dyDescent="0.2">
      <c r="V2996" s="563"/>
      <c r="X2996" s="563"/>
      <c r="Y2996" s="563"/>
    </row>
    <row r="2997" spans="22:25" x14ac:dyDescent="0.2">
      <c r="V2997" s="563"/>
      <c r="X2997" s="563"/>
      <c r="Y2997" s="563"/>
    </row>
    <row r="2998" spans="22:25" x14ac:dyDescent="0.2">
      <c r="V2998" s="563"/>
      <c r="X2998" s="563"/>
      <c r="Y2998" s="563"/>
    </row>
    <row r="2999" spans="22:25" x14ac:dyDescent="0.2">
      <c r="V2999" s="563"/>
      <c r="X2999" s="563"/>
      <c r="Y2999" s="563"/>
    </row>
    <row r="3000" spans="22:25" x14ac:dyDescent="0.2">
      <c r="V3000" s="563"/>
      <c r="X3000" s="563"/>
      <c r="Y3000" s="563"/>
    </row>
    <row r="3001" spans="22:25" x14ac:dyDescent="0.2">
      <c r="V3001" s="563"/>
      <c r="X3001" s="563"/>
      <c r="Y3001" s="563"/>
    </row>
    <row r="3002" spans="22:25" x14ac:dyDescent="0.2">
      <c r="V3002" s="563"/>
      <c r="X3002" s="563"/>
      <c r="Y3002" s="563"/>
    </row>
    <row r="3003" spans="22:25" x14ac:dyDescent="0.2">
      <c r="V3003" s="563"/>
      <c r="X3003" s="563"/>
      <c r="Y3003" s="563"/>
    </row>
    <row r="3004" spans="22:25" x14ac:dyDescent="0.2">
      <c r="V3004" s="563"/>
      <c r="X3004" s="563"/>
      <c r="Y3004" s="563"/>
    </row>
    <row r="3005" spans="22:25" x14ac:dyDescent="0.2">
      <c r="V3005" s="563"/>
      <c r="X3005" s="563"/>
      <c r="Y3005" s="563"/>
    </row>
    <row r="3006" spans="22:25" x14ac:dyDescent="0.2">
      <c r="V3006" s="563"/>
      <c r="X3006" s="563"/>
      <c r="Y3006" s="563"/>
    </row>
    <row r="3007" spans="22:25" x14ac:dyDescent="0.2">
      <c r="V3007" s="563"/>
      <c r="X3007" s="563"/>
      <c r="Y3007" s="563"/>
    </row>
    <row r="3008" spans="22:25" x14ac:dyDescent="0.2">
      <c r="V3008" s="563"/>
      <c r="X3008" s="563"/>
      <c r="Y3008" s="563"/>
    </row>
    <row r="3009" spans="22:25" x14ac:dyDescent="0.2">
      <c r="V3009" s="563"/>
      <c r="X3009" s="563"/>
      <c r="Y3009" s="563"/>
    </row>
    <row r="3010" spans="22:25" x14ac:dyDescent="0.2">
      <c r="V3010" s="563"/>
      <c r="X3010" s="563"/>
      <c r="Y3010" s="563"/>
    </row>
    <row r="3011" spans="22:25" x14ac:dyDescent="0.2">
      <c r="V3011" s="563"/>
      <c r="X3011" s="563"/>
      <c r="Y3011" s="563"/>
    </row>
    <row r="3012" spans="22:25" x14ac:dyDescent="0.2">
      <c r="V3012" s="563"/>
      <c r="X3012" s="563"/>
      <c r="Y3012" s="563"/>
    </row>
    <row r="3013" spans="22:25" x14ac:dyDescent="0.2">
      <c r="V3013" s="563"/>
      <c r="X3013" s="563"/>
      <c r="Y3013" s="563"/>
    </row>
    <row r="3014" spans="22:25" x14ac:dyDescent="0.2">
      <c r="V3014" s="563"/>
      <c r="X3014" s="563"/>
      <c r="Y3014" s="563"/>
    </row>
    <row r="3015" spans="22:25" x14ac:dyDescent="0.2">
      <c r="V3015" s="563"/>
      <c r="X3015" s="563"/>
      <c r="Y3015" s="563"/>
    </row>
    <row r="3016" spans="22:25" x14ac:dyDescent="0.2">
      <c r="V3016" s="563"/>
      <c r="X3016" s="563"/>
      <c r="Y3016" s="563"/>
    </row>
    <row r="3017" spans="22:25" x14ac:dyDescent="0.2">
      <c r="V3017" s="563"/>
      <c r="X3017" s="563"/>
      <c r="Y3017" s="563"/>
    </row>
    <row r="3018" spans="22:25" x14ac:dyDescent="0.2">
      <c r="V3018" s="563"/>
      <c r="X3018" s="563"/>
      <c r="Y3018" s="563"/>
    </row>
    <row r="3019" spans="22:25" x14ac:dyDescent="0.2">
      <c r="V3019" s="563"/>
      <c r="X3019" s="563"/>
      <c r="Y3019" s="563"/>
    </row>
    <row r="3020" spans="22:25" x14ac:dyDescent="0.2">
      <c r="V3020" s="563"/>
      <c r="X3020" s="563"/>
      <c r="Y3020" s="563"/>
    </row>
    <row r="3021" spans="22:25" x14ac:dyDescent="0.2">
      <c r="V3021" s="563"/>
      <c r="X3021" s="563"/>
      <c r="Y3021" s="563"/>
    </row>
    <row r="3022" spans="22:25" x14ac:dyDescent="0.2">
      <c r="V3022" s="563"/>
      <c r="X3022" s="563"/>
      <c r="Y3022" s="563"/>
    </row>
    <row r="3023" spans="22:25" x14ac:dyDescent="0.2">
      <c r="V3023" s="563"/>
      <c r="X3023" s="563"/>
      <c r="Y3023" s="563"/>
    </row>
    <row r="3024" spans="22:25" x14ac:dyDescent="0.2">
      <c r="V3024" s="563"/>
      <c r="X3024" s="563"/>
      <c r="Y3024" s="563"/>
    </row>
    <row r="3025" spans="22:25" x14ac:dyDescent="0.2">
      <c r="V3025" s="563"/>
      <c r="X3025" s="563"/>
      <c r="Y3025" s="563"/>
    </row>
    <row r="3026" spans="22:25" x14ac:dyDescent="0.2">
      <c r="V3026" s="563"/>
      <c r="X3026" s="563"/>
      <c r="Y3026" s="563"/>
    </row>
    <row r="3027" spans="22:25" x14ac:dyDescent="0.2">
      <c r="V3027" s="563"/>
      <c r="X3027" s="563"/>
      <c r="Y3027" s="563"/>
    </row>
    <row r="3028" spans="22:25" x14ac:dyDescent="0.2">
      <c r="V3028" s="563"/>
      <c r="X3028" s="563"/>
      <c r="Y3028" s="563"/>
    </row>
    <row r="3029" spans="22:25" x14ac:dyDescent="0.2">
      <c r="V3029" s="563"/>
      <c r="X3029" s="563"/>
      <c r="Y3029" s="563"/>
    </row>
    <row r="3030" spans="22:25" x14ac:dyDescent="0.2">
      <c r="V3030" s="563"/>
      <c r="X3030" s="563"/>
      <c r="Y3030" s="563"/>
    </row>
    <row r="3031" spans="22:25" x14ac:dyDescent="0.2">
      <c r="V3031" s="563"/>
      <c r="X3031" s="563"/>
      <c r="Y3031" s="563"/>
    </row>
    <row r="3032" spans="22:25" x14ac:dyDescent="0.2">
      <c r="V3032" s="563"/>
      <c r="X3032" s="563"/>
      <c r="Y3032" s="563"/>
    </row>
    <row r="3033" spans="22:25" x14ac:dyDescent="0.2">
      <c r="V3033" s="563"/>
      <c r="X3033" s="563"/>
      <c r="Y3033" s="563"/>
    </row>
    <row r="3034" spans="22:25" x14ac:dyDescent="0.2">
      <c r="V3034" s="563"/>
      <c r="X3034" s="563"/>
      <c r="Y3034" s="563"/>
    </row>
    <row r="3035" spans="22:25" x14ac:dyDescent="0.2">
      <c r="V3035" s="563"/>
      <c r="X3035" s="563"/>
      <c r="Y3035" s="563"/>
    </row>
    <row r="3036" spans="22:25" x14ac:dyDescent="0.2">
      <c r="V3036" s="563"/>
      <c r="X3036" s="563"/>
      <c r="Y3036" s="563"/>
    </row>
    <row r="3037" spans="22:25" x14ac:dyDescent="0.2">
      <c r="V3037" s="563"/>
      <c r="X3037" s="563"/>
      <c r="Y3037" s="563"/>
    </row>
    <row r="3038" spans="22:25" x14ac:dyDescent="0.2">
      <c r="V3038" s="563"/>
      <c r="X3038" s="563"/>
      <c r="Y3038" s="563"/>
    </row>
    <row r="3039" spans="22:25" x14ac:dyDescent="0.2">
      <c r="V3039" s="563"/>
      <c r="X3039" s="563"/>
      <c r="Y3039" s="563"/>
    </row>
    <row r="3040" spans="22:25" x14ac:dyDescent="0.2">
      <c r="V3040" s="563"/>
      <c r="X3040" s="563"/>
      <c r="Y3040" s="563"/>
    </row>
    <row r="3041" spans="22:25" x14ac:dyDescent="0.2">
      <c r="V3041" s="563"/>
      <c r="X3041" s="563"/>
      <c r="Y3041" s="563"/>
    </row>
    <row r="3042" spans="22:25" x14ac:dyDescent="0.2">
      <c r="V3042" s="563"/>
      <c r="X3042" s="563"/>
      <c r="Y3042" s="563"/>
    </row>
    <row r="3043" spans="22:25" x14ac:dyDescent="0.2">
      <c r="V3043" s="563"/>
      <c r="X3043" s="563"/>
      <c r="Y3043" s="563"/>
    </row>
    <row r="3044" spans="22:25" x14ac:dyDescent="0.2">
      <c r="V3044" s="563"/>
      <c r="X3044" s="563"/>
      <c r="Y3044" s="563"/>
    </row>
    <row r="3045" spans="22:25" x14ac:dyDescent="0.2">
      <c r="V3045" s="563"/>
      <c r="X3045" s="563"/>
      <c r="Y3045" s="563"/>
    </row>
    <row r="3046" spans="22:25" x14ac:dyDescent="0.2">
      <c r="V3046" s="563"/>
      <c r="X3046" s="563"/>
      <c r="Y3046" s="563"/>
    </row>
    <row r="3047" spans="22:25" x14ac:dyDescent="0.2">
      <c r="V3047" s="563"/>
      <c r="X3047" s="563"/>
      <c r="Y3047" s="563"/>
    </row>
    <row r="3048" spans="22:25" x14ac:dyDescent="0.2">
      <c r="V3048" s="563"/>
      <c r="X3048" s="563"/>
      <c r="Y3048" s="563"/>
    </row>
    <row r="3049" spans="22:25" x14ac:dyDescent="0.2">
      <c r="V3049" s="563"/>
      <c r="X3049" s="563"/>
      <c r="Y3049" s="563"/>
    </row>
    <row r="3050" spans="22:25" x14ac:dyDescent="0.2">
      <c r="V3050" s="563"/>
      <c r="X3050" s="563"/>
      <c r="Y3050" s="563"/>
    </row>
    <row r="3051" spans="22:25" x14ac:dyDescent="0.2">
      <c r="V3051" s="563"/>
      <c r="X3051" s="563"/>
      <c r="Y3051" s="563"/>
    </row>
    <row r="3052" spans="22:25" x14ac:dyDescent="0.2">
      <c r="V3052" s="563"/>
      <c r="X3052" s="563"/>
      <c r="Y3052" s="563"/>
    </row>
    <row r="3053" spans="22:25" x14ac:dyDescent="0.2">
      <c r="V3053" s="563"/>
      <c r="X3053" s="563"/>
      <c r="Y3053" s="563"/>
    </row>
    <row r="3054" spans="22:25" x14ac:dyDescent="0.2">
      <c r="V3054" s="563"/>
      <c r="X3054" s="563"/>
      <c r="Y3054" s="563"/>
    </row>
    <row r="3055" spans="22:25" x14ac:dyDescent="0.2">
      <c r="V3055" s="563"/>
      <c r="X3055" s="563"/>
      <c r="Y3055" s="563"/>
    </row>
    <row r="3056" spans="22:25" x14ac:dyDescent="0.2">
      <c r="V3056" s="563"/>
      <c r="X3056" s="563"/>
      <c r="Y3056" s="563"/>
    </row>
    <row r="3057" spans="22:25" x14ac:dyDescent="0.2">
      <c r="V3057" s="563"/>
      <c r="X3057" s="563"/>
      <c r="Y3057" s="563"/>
    </row>
    <row r="3058" spans="22:25" x14ac:dyDescent="0.2">
      <c r="V3058" s="563"/>
      <c r="X3058" s="563"/>
      <c r="Y3058" s="563"/>
    </row>
    <row r="3059" spans="22:25" x14ac:dyDescent="0.2">
      <c r="V3059" s="563"/>
      <c r="X3059" s="563"/>
      <c r="Y3059" s="563"/>
    </row>
    <row r="3060" spans="22:25" x14ac:dyDescent="0.2">
      <c r="V3060" s="563"/>
      <c r="X3060" s="563"/>
      <c r="Y3060" s="563"/>
    </row>
    <row r="3061" spans="22:25" x14ac:dyDescent="0.2">
      <c r="V3061" s="563"/>
      <c r="X3061" s="563"/>
      <c r="Y3061" s="563"/>
    </row>
    <row r="3062" spans="22:25" x14ac:dyDescent="0.2">
      <c r="V3062" s="563"/>
      <c r="X3062" s="563"/>
      <c r="Y3062" s="563"/>
    </row>
    <row r="3063" spans="22:25" x14ac:dyDescent="0.2">
      <c r="V3063" s="563"/>
      <c r="X3063" s="563"/>
      <c r="Y3063" s="563"/>
    </row>
    <row r="3064" spans="22:25" x14ac:dyDescent="0.2">
      <c r="V3064" s="563"/>
      <c r="X3064" s="563"/>
      <c r="Y3064" s="563"/>
    </row>
    <row r="3065" spans="22:25" x14ac:dyDescent="0.2">
      <c r="V3065" s="563"/>
      <c r="X3065" s="563"/>
      <c r="Y3065" s="563"/>
    </row>
    <row r="3066" spans="22:25" x14ac:dyDescent="0.2">
      <c r="V3066" s="563"/>
      <c r="X3066" s="563"/>
      <c r="Y3066" s="563"/>
    </row>
    <row r="3067" spans="22:25" x14ac:dyDescent="0.2">
      <c r="V3067" s="563"/>
      <c r="X3067" s="563"/>
      <c r="Y3067" s="563"/>
    </row>
    <row r="3068" spans="22:25" x14ac:dyDescent="0.2">
      <c r="V3068" s="563"/>
      <c r="X3068" s="563"/>
      <c r="Y3068" s="563"/>
    </row>
    <row r="3069" spans="22:25" x14ac:dyDescent="0.2">
      <c r="V3069" s="563"/>
      <c r="X3069" s="563"/>
      <c r="Y3069" s="563"/>
    </row>
    <row r="3070" spans="22:25" x14ac:dyDescent="0.2">
      <c r="V3070" s="563"/>
      <c r="X3070" s="563"/>
      <c r="Y3070" s="563"/>
    </row>
    <row r="3071" spans="22:25" x14ac:dyDescent="0.2">
      <c r="V3071" s="563"/>
      <c r="X3071" s="563"/>
      <c r="Y3071" s="563"/>
    </row>
    <row r="3072" spans="22:25" x14ac:dyDescent="0.2">
      <c r="V3072" s="563"/>
      <c r="X3072" s="563"/>
      <c r="Y3072" s="563"/>
    </row>
    <row r="3073" spans="22:25" x14ac:dyDescent="0.2">
      <c r="V3073" s="563"/>
      <c r="X3073" s="563"/>
      <c r="Y3073" s="563"/>
    </row>
    <row r="3074" spans="22:25" x14ac:dyDescent="0.2">
      <c r="V3074" s="563"/>
      <c r="X3074" s="563"/>
      <c r="Y3074" s="563"/>
    </row>
    <row r="3075" spans="22:25" x14ac:dyDescent="0.2">
      <c r="V3075" s="563"/>
      <c r="X3075" s="563"/>
      <c r="Y3075" s="563"/>
    </row>
    <row r="3076" spans="22:25" x14ac:dyDescent="0.2">
      <c r="V3076" s="563"/>
      <c r="X3076" s="563"/>
      <c r="Y3076" s="563"/>
    </row>
    <row r="3077" spans="22:25" x14ac:dyDescent="0.2">
      <c r="V3077" s="563"/>
      <c r="X3077" s="563"/>
      <c r="Y3077" s="563"/>
    </row>
    <row r="3078" spans="22:25" x14ac:dyDescent="0.2">
      <c r="V3078" s="563"/>
      <c r="X3078" s="563"/>
      <c r="Y3078" s="563"/>
    </row>
    <row r="3079" spans="22:25" x14ac:dyDescent="0.2">
      <c r="V3079" s="563"/>
      <c r="X3079" s="563"/>
      <c r="Y3079" s="563"/>
    </row>
    <row r="3080" spans="22:25" x14ac:dyDescent="0.2">
      <c r="V3080" s="563"/>
      <c r="X3080" s="563"/>
      <c r="Y3080" s="563"/>
    </row>
    <row r="3081" spans="22:25" x14ac:dyDescent="0.2">
      <c r="V3081" s="563"/>
      <c r="X3081" s="563"/>
      <c r="Y3081" s="563"/>
    </row>
    <row r="3082" spans="22:25" x14ac:dyDescent="0.2">
      <c r="V3082" s="563"/>
      <c r="X3082" s="563"/>
      <c r="Y3082" s="563"/>
    </row>
    <row r="3083" spans="22:25" x14ac:dyDescent="0.2">
      <c r="V3083" s="563"/>
      <c r="X3083" s="563"/>
      <c r="Y3083" s="563"/>
    </row>
    <row r="3084" spans="22:25" x14ac:dyDescent="0.2">
      <c r="V3084" s="563"/>
      <c r="X3084" s="563"/>
      <c r="Y3084" s="563"/>
    </row>
    <row r="3085" spans="22:25" x14ac:dyDescent="0.2">
      <c r="V3085" s="563"/>
      <c r="X3085" s="563"/>
      <c r="Y3085" s="563"/>
    </row>
    <row r="3086" spans="22:25" x14ac:dyDescent="0.2">
      <c r="V3086" s="563"/>
      <c r="X3086" s="563"/>
      <c r="Y3086" s="563"/>
    </row>
    <row r="3087" spans="22:25" x14ac:dyDescent="0.2">
      <c r="V3087" s="563"/>
      <c r="X3087" s="563"/>
      <c r="Y3087" s="563"/>
    </row>
    <row r="3088" spans="22:25" x14ac:dyDescent="0.2">
      <c r="V3088" s="563"/>
      <c r="X3088" s="563"/>
      <c r="Y3088" s="563"/>
    </row>
    <row r="3089" spans="22:25" x14ac:dyDescent="0.2">
      <c r="V3089" s="563"/>
      <c r="X3089" s="563"/>
      <c r="Y3089" s="563"/>
    </row>
    <row r="3090" spans="22:25" x14ac:dyDescent="0.2">
      <c r="V3090" s="563"/>
      <c r="X3090" s="563"/>
      <c r="Y3090" s="563"/>
    </row>
    <row r="3091" spans="22:25" x14ac:dyDescent="0.2">
      <c r="V3091" s="563"/>
      <c r="X3091" s="563"/>
      <c r="Y3091" s="563"/>
    </row>
    <row r="3092" spans="22:25" x14ac:dyDescent="0.2">
      <c r="V3092" s="563"/>
      <c r="X3092" s="563"/>
      <c r="Y3092" s="563"/>
    </row>
    <row r="3093" spans="22:25" x14ac:dyDescent="0.2">
      <c r="V3093" s="563"/>
      <c r="X3093" s="563"/>
      <c r="Y3093" s="563"/>
    </row>
    <row r="3094" spans="22:25" x14ac:dyDescent="0.2">
      <c r="V3094" s="563"/>
      <c r="X3094" s="563"/>
      <c r="Y3094" s="563"/>
    </row>
    <row r="3095" spans="22:25" x14ac:dyDescent="0.2">
      <c r="V3095" s="563"/>
      <c r="X3095" s="563"/>
      <c r="Y3095" s="563"/>
    </row>
    <row r="3096" spans="22:25" x14ac:dyDescent="0.2">
      <c r="V3096" s="563"/>
      <c r="X3096" s="563"/>
      <c r="Y3096" s="563"/>
    </row>
    <row r="3097" spans="22:25" x14ac:dyDescent="0.2">
      <c r="V3097" s="563"/>
      <c r="X3097" s="563"/>
      <c r="Y3097" s="563"/>
    </row>
    <row r="3098" spans="22:25" x14ac:dyDescent="0.2">
      <c r="V3098" s="563"/>
      <c r="X3098" s="563"/>
      <c r="Y3098" s="563"/>
    </row>
    <row r="3099" spans="22:25" x14ac:dyDescent="0.2">
      <c r="V3099" s="563"/>
      <c r="X3099" s="563"/>
      <c r="Y3099" s="563"/>
    </row>
    <row r="3100" spans="22:25" x14ac:dyDescent="0.2">
      <c r="V3100" s="563"/>
      <c r="X3100" s="563"/>
      <c r="Y3100" s="563"/>
    </row>
    <row r="3101" spans="22:25" x14ac:dyDescent="0.2">
      <c r="V3101" s="563"/>
      <c r="X3101" s="563"/>
      <c r="Y3101" s="563"/>
    </row>
    <row r="3102" spans="22:25" x14ac:dyDescent="0.2">
      <c r="V3102" s="563"/>
      <c r="X3102" s="563"/>
      <c r="Y3102" s="563"/>
    </row>
    <row r="3103" spans="22:25" x14ac:dyDescent="0.2">
      <c r="V3103" s="563"/>
      <c r="X3103" s="563"/>
      <c r="Y3103" s="563"/>
    </row>
    <row r="3104" spans="22:25" x14ac:dyDescent="0.2">
      <c r="V3104" s="563"/>
      <c r="X3104" s="563"/>
      <c r="Y3104" s="563"/>
    </row>
    <row r="3105" spans="22:25" x14ac:dyDescent="0.2">
      <c r="V3105" s="563"/>
      <c r="X3105" s="563"/>
      <c r="Y3105" s="563"/>
    </row>
    <row r="3106" spans="22:25" x14ac:dyDescent="0.2">
      <c r="V3106" s="563"/>
      <c r="X3106" s="563"/>
      <c r="Y3106" s="563"/>
    </row>
    <row r="3107" spans="22:25" x14ac:dyDescent="0.2">
      <c r="V3107" s="563"/>
      <c r="X3107" s="563"/>
      <c r="Y3107" s="563"/>
    </row>
    <row r="3108" spans="22:25" x14ac:dyDescent="0.2">
      <c r="V3108" s="563"/>
      <c r="X3108" s="563"/>
      <c r="Y3108" s="563"/>
    </row>
    <row r="3109" spans="22:25" x14ac:dyDescent="0.2">
      <c r="V3109" s="563"/>
      <c r="X3109" s="563"/>
      <c r="Y3109" s="563"/>
    </row>
    <row r="3110" spans="22:25" x14ac:dyDescent="0.2">
      <c r="V3110" s="563"/>
      <c r="X3110" s="563"/>
      <c r="Y3110" s="563"/>
    </row>
    <row r="3111" spans="22:25" x14ac:dyDescent="0.2">
      <c r="V3111" s="563"/>
      <c r="X3111" s="563"/>
      <c r="Y3111" s="563"/>
    </row>
    <row r="3112" spans="22:25" x14ac:dyDescent="0.2">
      <c r="V3112" s="563"/>
      <c r="X3112" s="563"/>
      <c r="Y3112" s="563"/>
    </row>
    <row r="3113" spans="22:25" x14ac:dyDescent="0.2">
      <c r="V3113" s="563"/>
      <c r="X3113" s="563"/>
      <c r="Y3113" s="563"/>
    </row>
    <row r="3114" spans="22:25" x14ac:dyDescent="0.2">
      <c r="V3114" s="563"/>
      <c r="X3114" s="563"/>
      <c r="Y3114" s="563"/>
    </row>
    <row r="3115" spans="22:25" x14ac:dyDescent="0.2">
      <c r="V3115" s="563"/>
      <c r="X3115" s="563"/>
      <c r="Y3115" s="563"/>
    </row>
    <row r="3116" spans="22:25" x14ac:dyDescent="0.2">
      <c r="V3116" s="563"/>
      <c r="X3116" s="563"/>
      <c r="Y3116" s="563"/>
    </row>
    <row r="3117" spans="22:25" x14ac:dyDescent="0.2">
      <c r="V3117" s="563"/>
      <c r="X3117" s="563"/>
      <c r="Y3117" s="563"/>
    </row>
    <row r="3118" spans="22:25" x14ac:dyDescent="0.2">
      <c r="V3118" s="563"/>
      <c r="X3118" s="563"/>
      <c r="Y3118" s="563"/>
    </row>
    <row r="3119" spans="22:25" x14ac:dyDescent="0.2">
      <c r="V3119" s="563"/>
      <c r="X3119" s="563"/>
      <c r="Y3119" s="563"/>
    </row>
    <row r="3120" spans="22:25" x14ac:dyDescent="0.2">
      <c r="V3120" s="563"/>
      <c r="X3120" s="563"/>
      <c r="Y3120" s="563"/>
    </row>
    <row r="3121" spans="22:25" x14ac:dyDescent="0.2">
      <c r="V3121" s="563"/>
      <c r="X3121" s="563"/>
      <c r="Y3121" s="563"/>
    </row>
    <row r="3122" spans="22:25" x14ac:dyDescent="0.2">
      <c r="V3122" s="563"/>
      <c r="X3122" s="563"/>
      <c r="Y3122" s="563"/>
    </row>
    <row r="3123" spans="22:25" x14ac:dyDescent="0.2">
      <c r="V3123" s="563"/>
      <c r="X3123" s="563"/>
      <c r="Y3123" s="563"/>
    </row>
    <row r="3124" spans="22:25" x14ac:dyDescent="0.2">
      <c r="V3124" s="563"/>
      <c r="X3124" s="563"/>
      <c r="Y3124" s="563"/>
    </row>
    <row r="3125" spans="22:25" x14ac:dyDescent="0.2">
      <c r="V3125" s="563"/>
      <c r="X3125" s="563"/>
      <c r="Y3125" s="563"/>
    </row>
    <row r="3126" spans="22:25" x14ac:dyDescent="0.2">
      <c r="V3126" s="563"/>
      <c r="X3126" s="563"/>
      <c r="Y3126" s="563"/>
    </row>
    <row r="3127" spans="22:25" x14ac:dyDescent="0.2">
      <c r="V3127" s="563"/>
      <c r="X3127" s="563"/>
      <c r="Y3127" s="563"/>
    </row>
    <row r="3128" spans="22:25" x14ac:dyDescent="0.2">
      <c r="V3128" s="563"/>
      <c r="X3128" s="563"/>
      <c r="Y3128" s="563"/>
    </row>
    <row r="3129" spans="22:25" x14ac:dyDescent="0.2">
      <c r="V3129" s="563"/>
      <c r="X3129" s="563"/>
      <c r="Y3129" s="563"/>
    </row>
    <row r="3130" spans="22:25" x14ac:dyDescent="0.2">
      <c r="V3130" s="563"/>
      <c r="X3130" s="563"/>
      <c r="Y3130" s="563"/>
    </row>
    <row r="3131" spans="22:25" x14ac:dyDescent="0.2">
      <c r="V3131" s="563"/>
      <c r="X3131" s="563"/>
      <c r="Y3131" s="563"/>
    </row>
    <row r="3132" spans="22:25" x14ac:dyDescent="0.2">
      <c r="V3132" s="563"/>
      <c r="X3132" s="563"/>
      <c r="Y3132" s="563"/>
    </row>
    <row r="3133" spans="22:25" x14ac:dyDescent="0.2">
      <c r="V3133" s="563"/>
      <c r="X3133" s="563"/>
      <c r="Y3133" s="563"/>
    </row>
    <row r="3134" spans="22:25" x14ac:dyDescent="0.2">
      <c r="V3134" s="563"/>
      <c r="X3134" s="563"/>
      <c r="Y3134" s="563"/>
    </row>
    <row r="3135" spans="22:25" x14ac:dyDescent="0.2">
      <c r="V3135" s="563"/>
      <c r="X3135" s="563"/>
      <c r="Y3135" s="563"/>
    </row>
    <row r="3136" spans="22:25" x14ac:dyDescent="0.2">
      <c r="V3136" s="563"/>
      <c r="X3136" s="563"/>
      <c r="Y3136" s="563"/>
    </row>
    <row r="3137" spans="22:25" x14ac:dyDescent="0.2">
      <c r="V3137" s="563"/>
      <c r="X3137" s="563"/>
      <c r="Y3137" s="563"/>
    </row>
    <row r="3138" spans="22:25" x14ac:dyDescent="0.2">
      <c r="V3138" s="563"/>
      <c r="X3138" s="563"/>
      <c r="Y3138" s="563"/>
    </row>
    <row r="3139" spans="22:25" x14ac:dyDescent="0.2">
      <c r="V3139" s="563"/>
      <c r="X3139" s="563"/>
      <c r="Y3139" s="563"/>
    </row>
    <row r="3140" spans="22:25" x14ac:dyDescent="0.2">
      <c r="V3140" s="563"/>
      <c r="X3140" s="563"/>
      <c r="Y3140" s="563"/>
    </row>
    <row r="3141" spans="22:25" x14ac:dyDescent="0.2">
      <c r="V3141" s="563"/>
      <c r="X3141" s="563"/>
      <c r="Y3141" s="563"/>
    </row>
    <row r="3142" spans="22:25" x14ac:dyDescent="0.2">
      <c r="V3142" s="563"/>
      <c r="X3142" s="563"/>
      <c r="Y3142" s="563"/>
    </row>
    <row r="3143" spans="22:25" x14ac:dyDescent="0.2">
      <c r="V3143" s="563"/>
      <c r="X3143" s="563"/>
      <c r="Y3143" s="563"/>
    </row>
    <row r="3144" spans="22:25" x14ac:dyDescent="0.2">
      <c r="V3144" s="563"/>
      <c r="X3144" s="563"/>
      <c r="Y3144" s="563"/>
    </row>
    <row r="3145" spans="22:25" x14ac:dyDescent="0.2">
      <c r="V3145" s="563"/>
      <c r="X3145" s="563"/>
      <c r="Y3145" s="563"/>
    </row>
    <row r="3146" spans="22:25" x14ac:dyDescent="0.2">
      <c r="V3146" s="563"/>
      <c r="X3146" s="563"/>
      <c r="Y3146" s="563"/>
    </row>
    <row r="3147" spans="22:25" x14ac:dyDescent="0.2">
      <c r="V3147" s="563"/>
      <c r="X3147" s="563"/>
      <c r="Y3147" s="563"/>
    </row>
    <row r="3148" spans="22:25" x14ac:dyDescent="0.2">
      <c r="V3148" s="563"/>
      <c r="X3148" s="563"/>
      <c r="Y3148" s="563"/>
    </row>
    <row r="3149" spans="22:25" x14ac:dyDescent="0.2">
      <c r="V3149" s="563"/>
      <c r="X3149" s="563"/>
      <c r="Y3149" s="563"/>
    </row>
    <row r="3150" spans="22:25" x14ac:dyDescent="0.2">
      <c r="V3150" s="563"/>
      <c r="X3150" s="563"/>
      <c r="Y3150" s="563"/>
    </row>
    <row r="3151" spans="22:25" x14ac:dyDescent="0.2">
      <c r="V3151" s="563"/>
      <c r="X3151" s="563"/>
      <c r="Y3151" s="563"/>
    </row>
    <row r="3152" spans="22:25" x14ac:dyDescent="0.2">
      <c r="V3152" s="563"/>
      <c r="X3152" s="563"/>
      <c r="Y3152" s="563"/>
    </row>
    <row r="3153" spans="22:25" x14ac:dyDescent="0.2">
      <c r="V3153" s="563"/>
      <c r="X3153" s="563"/>
      <c r="Y3153" s="563"/>
    </row>
    <row r="3154" spans="22:25" x14ac:dyDescent="0.2">
      <c r="V3154" s="563"/>
      <c r="X3154" s="563"/>
      <c r="Y3154" s="563"/>
    </row>
    <row r="3155" spans="22:25" x14ac:dyDescent="0.2">
      <c r="V3155" s="563"/>
      <c r="X3155" s="563"/>
      <c r="Y3155" s="563"/>
    </row>
    <row r="3156" spans="22:25" x14ac:dyDescent="0.2">
      <c r="V3156" s="563"/>
      <c r="X3156" s="563"/>
      <c r="Y3156" s="563"/>
    </row>
    <row r="3157" spans="22:25" x14ac:dyDescent="0.2">
      <c r="V3157" s="563"/>
      <c r="X3157" s="563"/>
      <c r="Y3157" s="563"/>
    </row>
    <row r="3158" spans="22:25" x14ac:dyDescent="0.2">
      <c r="V3158" s="563"/>
      <c r="X3158" s="563"/>
      <c r="Y3158" s="563"/>
    </row>
    <row r="3159" spans="22:25" x14ac:dyDescent="0.2">
      <c r="V3159" s="563"/>
      <c r="X3159" s="563"/>
      <c r="Y3159" s="563"/>
    </row>
    <row r="3160" spans="22:25" x14ac:dyDescent="0.2">
      <c r="V3160" s="563"/>
      <c r="X3160" s="563"/>
      <c r="Y3160" s="563"/>
    </row>
    <row r="3161" spans="22:25" x14ac:dyDescent="0.2">
      <c r="V3161" s="563"/>
      <c r="X3161" s="563"/>
      <c r="Y3161" s="563"/>
    </row>
    <row r="3162" spans="22:25" x14ac:dyDescent="0.2">
      <c r="V3162" s="563"/>
      <c r="X3162" s="563"/>
      <c r="Y3162" s="563"/>
    </row>
    <row r="3163" spans="22:25" x14ac:dyDescent="0.2">
      <c r="V3163" s="563"/>
      <c r="X3163" s="563"/>
      <c r="Y3163" s="563"/>
    </row>
    <row r="3164" spans="22:25" x14ac:dyDescent="0.2">
      <c r="V3164" s="563"/>
      <c r="X3164" s="563"/>
      <c r="Y3164" s="563"/>
    </row>
    <row r="3165" spans="22:25" x14ac:dyDescent="0.2">
      <c r="V3165" s="563"/>
      <c r="X3165" s="563"/>
      <c r="Y3165" s="563"/>
    </row>
    <row r="3166" spans="22:25" x14ac:dyDescent="0.2">
      <c r="V3166" s="563"/>
      <c r="X3166" s="563"/>
      <c r="Y3166" s="563"/>
    </row>
    <row r="3167" spans="22:25" x14ac:dyDescent="0.2">
      <c r="V3167" s="563"/>
      <c r="X3167" s="563"/>
      <c r="Y3167" s="563"/>
    </row>
    <row r="3168" spans="22:25" x14ac:dyDescent="0.2">
      <c r="V3168" s="563"/>
      <c r="X3168" s="563"/>
      <c r="Y3168" s="563"/>
    </row>
    <row r="3169" spans="22:25" x14ac:dyDescent="0.2">
      <c r="V3169" s="563"/>
      <c r="X3169" s="563"/>
      <c r="Y3169" s="563"/>
    </row>
    <row r="3170" spans="22:25" x14ac:dyDescent="0.2">
      <c r="V3170" s="563"/>
      <c r="X3170" s="563"/>
      <c r="Y3170" s="563"/>
    </row>
    <row r="3171" spans="22:25" x14ac:dyDescent="0.2">
      <c r="V3171" s="563"/>
      <c r="X3171" s="563"/>
      <c r="Y3171" s="563"/>
    </row>
    <row r="3172" spans="22:25" x14ac:dyDescent="0.2">
      <c r="V3172" s="563"/>
      <c r="X3172" s="563"/>
      <c r="Y3172" s="563"/>
    </row>
    <row r="3173" spans="22:25" x14ac:dyDescent="0.2">
      <c r="V3173" s="563"/>
      <c r="X3173" s="563"/>
      <c r="Y3173" s="563"/>
    </row>
    <row r="3174" spans="22:25" x14ac:dyDescent="0.2">
      <c r="V3174" s="563"/>
      <c r="X3174" s="563"/>
      <c r="Y3174" s="563"/>
    </row>
    <row r="3175" spans="22:25" x14ac:dyDescent="0.2">
      <c r="V3175" s="563"/>
      <c r="X3175" s="563"/>
      <c r="Y3175" s="563"/>
    </row>
    <row r="3176" spans="22:25" x14ac:dyDescent="0.2">
      <c r="V3176" s="563"/>
      <c r="X3176" s="563"/>
      <c r="Y3176" s="563"/>
    </row>
    <row r="3177" spans="22:25" x14ac:dyDescent="0.2">
      <c r="V3177" s="563"/>
      <c r="X3177" s="563"/>
      <c r="Y3177" s="563"/>
    </row>
    <row r="3178" spans="22:25" x14ac:dyDescent="0.2">
      <c r="V3178" s="563"/>
      <c r="X3178" s="563"/>
      <c r="Y3178" s="563"/>
    </row>
    <row r="3179" spans="22:25" x14ac:dyDescent="0.2">
      <c r="V3179" s="563"/>
      <c r="X3179" s="563"/>
      <c r="Y3179" s="563"/>
    </row>
    <row r="3180" spans="22:25" x14ac:dyDescent="0.2">
      <c r="V3180" s="563"/>
      <c r="X3180" s="563"/>
      <c r="Y3180" s="563"/>
    </row>
    <row r="3181" spans="22:25" x14ac:dyDescent="0.2">
      <c r="V3181" s="563"/>
      <c r="X3181" s="563"/>
      <c r="Y3181" s="563"/>
    </row>
    <row r="3182" spans="22:25" x14ac:dyDescent="0.2">
      <c r="V3182" s="563"/>
      <c r="X3182" s="563"/>
      <c r="Y3182" s="563"/>
    </row>
    <row r="3183" spans="22:25" x14ac:dyDescent="0.2">
      <c r="V3183" s="563"/>
      <c r="X3183" s="563"/>
      <c r="Y3183" s="563"/>
    </row>
    <row r="3184" spans="22:25" x14ac:dyDescent="0.2">
      <c r="V3184" s="563"/>
      <c r="X3184" s="563"/>
      <c r="Y3184" s="563"/>
    </row>
    <row r="3185" spans="22:25" x14ac:dyDescent="0.2">
      <c r="V3185" s="563"/>
      <c r="X3185" s="563"/>
      <c r="Y3185" s="563"/>
    </row>
    <row r="3186" spans="22:25" x14ac:dyDescent="0.2">
      <c r="V3186" s="563"/>
      <c r="X3186" s="563"/>
      <c r="Y3186" s="563"/>
    </row>
    <row r="3187" spans="22:25" x14ac:dyDescent="0.2">
      <c r="V3187" s="563"/>
      <c r="X3187" s="563"/>
      <c r="Y3187" s="563"/>
    </row>
    <row r="3188" spans="22:25" x14ac:dyDescent="0.2">
      <c r="V3188" s="563"/>
      <c r="X3188" s="563"/>
      <c r="Y3188" s="563"/>
    </row>
    <row r="3189" spans="22:25" x14ac:dyDescent="0.2">
      <c r="V3189" s="563"/>
      <c r="X3189" s="563"/>
      <c r="Y3189" s="563"/>
    </row>
    <row r="3190" spans="22:25" x14ac:dyDescent="0.2">
      <c r="V3190" s="563"/>
      <c r="X3190" s="563"/>
      <c r="Y3190" s="563"/>
    </row>
    <row r="3191" spans="22:25" x14ac:dyDescent="0.2">
      <c r="V3191" s="563"/>
      <c r="X3191" s="563"/>
      <c r="Y3191" s="563"/>
    </row>
    <row r="3192" spans="22:25" x14ac:dyDescent="0.2">
      <c r="V3192" s="563"/>
      <c r="X3192" s="563"/>
      <c r="Y3192" s="563"/>
    </row>
    <row r="3193" spans="22:25" x14ac:dyDescent="0.2">
      <c r="V3193" s="563"/>
      <c r="X3193" s="563"/>
      <c r="Y3193" s="563"/>
    </row>
    <row r="3194" spans="22:25" x14ac:dyDescent="0.2">
      <c r="V3194" s="563"/>
      <c r="X3194" s="563"/>
      <c r="Y3194" s="563"/>
    </row>
    <row r="3195" spans="22:25" x14ac:dyDescent="0.2">
      <c r="V3195" s="563"/>
      <c r="X3195" s="563"/>
      <c r="Y3195" s="563"/>
    </row>
    <row r="3196" spans="22:25" x14ac:dyDescent="0.2">
      <c r="V3196" s="563"/>
      <c r="X3196" s="563"/>
      <c r="Y3196" s="563"/>
    </row>
    <row r="3197" spans="22:25" x14ac:dyDescent="0.2">
      <c r="V3197" s="563"/>
      <c r="X3197" s="563"/>
      <c r="Y3197" s="563"/>
    </row>
    <row r="3198" spans="22:25" x14ac:dyDescent="0.2">
      <c r="V3198" s="563"/>
      <c r="X3198" s="563"/>
      <c r="Y3198" s="563"/>
    </row>
    <row r="3199" spans="22:25" x14ac:dyDescent="0.2">
      <c r="V3199" s="563"/>
      <c r="X3199" s="563"/>
      <c r="Y3199" s="563"/>
    </row>
    <row r="3200" spans="22:25" x14ac:dyDescent="0.2">
      <c r="V3200" s="563"/>
      <c r="X3200" s="563"/>
      <c r="Y3200" s="563"/>
    </row>
    <row r="3201" spans="22:25" x14ac:dyDescent="0.2">
      <c r="V3201" s="563"/>
      <c r="X3201" s="563"/>
      <c r="Y3201" s="563"/>
    </row>
    <row r="3202" spans="22:25" x14ac:dyDescent="0.2">
      <c r="V3202" s="563"/>
      <c r="X3202" s="563"/>
      <c r="Y3202" s="563"/>
    </row>
    <row r="3203" spans="22:25" x14ac:dyDescent="0.2">
      <c r="V3203" s="563"/>
      <c r="X3203" s="563"/>
      <c r="Y3203" s="563"/>
    </row>
    <row r="3204" spans="22:25" x14ac:dyDescent="0.2">
      <c r="V3204" s="563"/>
      <c r="X3204" s="563"/>
      <c r="Y3204" s="563"/>
    </row>
    <row r="3205" spans="22:25" x14ac:dyDescent="0.2">
      <c r="V3205" s="563"/>
      <c r="X3205" s="563"/>
      <c r="Y3205" s="563"/>
    </row>
    <row r="3206" spans="22:25" x14ac:dyDescent="0.2">
      <c r="V3206" s="563"/>
      <c r="X3206" s="563"/>
      <c r="Y3206" s="563"/>
    </row>
    <row r="3207" spans="22:25" x14ac:dyDescent="0.2">
      <c r="V3207" s="563"/>
      <c r="X3207" s="563"/>
      <c r="Y3207" s="563"/>
    </row>
    <row r="3208" spans="22:25" x14ac:dyDescent="0.2">
      <c r="V3208" s="563"/>
      <c r="X3208" s="563"/>
      <c r="Y3208" s="563"/>
    </row>
    <row r="3209" spans="22:25" x14ac:dyDescent="0.2">
      <c r="V3209" s="563"/>
      <c r="X3209" s="563"/>
      <c r="Y3209" s="563"/>
    </row>
    <row r="3210" spans="22:25" x14ac:dyDescent="0.2">
      <c r="V3210" s="563"/>
      <c r="X3210" s="563"/>
      <c r="Y3210" s="563"/>
    </row>
    <row r="3211" spans="22:25" x14ac:dyDescent="0.2">
      <c r="V3211" s="563"/>
      <c r="X3211" s="563"/>
      <c r="Y3211" s="563"/>
    </row>
    <row r="3212" spans="22:25" x14ac:dyDescent="0.2">
      <c r="V3212" s="563"/>
      <c r="X3212" s="563"/>
      <c r="Y3212" s="563"/>
    </row>
    <row r="3213" spans="22:25" x14ac:dyDescent="0.2">
      <c r="V3213" s="563"/>
      <c r="X3213" s="563"/>
      <c r="Y3213" s="563"/>
    </row>
    <row r="3214" spans="22:25" x14ac:dyDescent="0.2">
      <c r="V3214" s="563"/>
      <c r="X3214" s="563"/>
      <c r="Y3214" s="563"/>
    </row>
    <row r="3215" spans="22:25" x14ac:dyDescent="0.2">
      <c r="V3215" s="563"/>
      <c r="X3215" s="563"/>
      <c r="Y3215" s="563"/>
    </row>
    <row r="3216" spans="22:25" x14ac:dyDescent="0.2">
      <c r="V3216" s="563"/>
      <c r="X3216" s="563"/>
      <c r="Y3216" s="563"/>
    </row>
    <row r="3217" spans="22:25" x14ac:dyDescent="0.2">
      <c r="V3217" s="563"/>
      <c r="X3217" s="563"/>
      <c r="Y3217" s="563"/>
    </row>
    <row r="3218" spans="22:25" x14ac:dyDescent="0.2">
      <c r="V3218" s="563"/>
      <c r="X3218" s="563"/>
      <c r="Y3218" s="563"/>
    </row>
    <row r="3219" spans="22:25" x14ac:dyDescent="0.2">
      <c r="V3219" s="563"/>
      <c r="X3219" s="563"/>
      <c r="Y3219" s="563"/>
    </row>
    <row r="3220" spans="22:25" x14ac:dyDescent="0.2">
      <c r="V3220" s="563"/>
      <c r="X3220" s="563"/>
      <c r="Y3220" s="563"/>
    </row>
    <row r="3221" spans="22:25" x14ac:dyDescent="0.2">
      <c r="V3221" s="563"/>
      <c r="X3221" s="563"/>
      <c r="Y3221" s="563"/>
    </row>
    <row r="3222" spans="22:25" x14ac:dyDescent="0.2">
      <c r="V3222" s="563"/>
      <c r="X3222" s="563"/>
      <c r="Y3222" s="563"/>
    </row>
    <row r="3223" spans="22:25" x14ac:dyDescent="0.2">
      <c r="V3223" s="563"/>
      <c r="X3223" s="563"/>
      <c r="Y3223" s="563"/>
    </row>
    <row r="3224" spans="22:25" x14ac:dyDescent="0.2">
      <c r="V3224" s="563"/>
      <c r="X3224" s="563"/>
      <c r="Y3224" s="563"/>
    </row>
    <row r="3225" spans="22:25" x14ac:dyDescent="0.2">
      <c r="V3225" s="563"/>
      <c r="X3225" s="563"/>
      <c r="Y3225" s="563"/>
    </row>
    <row r="3226" spans="22:25" x14ac:dyDescent="0.2">
      <c r="V3226" s="563"/>
      <c r="X3226" s="563"/>
      <c r="Y3226" s="563"/>
    </row>
    <row r="3227" spans="22:25" x14ac:dyDescent="0.2">
      <c r="V3227" s="563"/>
      <c r="X3227" s="563"/>
      <c r="Y3227" s="563"/>
    </row>
    <row r="3228" spans="22:25" x14ac:dyDescent="0.2">
      <c r="V3228" s="563"/>
      <c r="X3228" s="563"/>
      <c r="Y3228" s="563"/>
    </row>
    <row r="3229" spans="22:25" x14ac:dyDescent="0.2">
      <c r="V3229" s="563"/>
      <c r="X3229" s="563"/>
      <c r="Y3229" s="563"/>
    </row>
    <row r="3230" spans="22:25" x14ac:dyDescent="0.2">
      <c r="V3230" s="563"/>
      <c r="X3230" s="563"/>
      <c r="Y3230" s="563"/>
    </row>
    <row r="3231" spans="22:25" x14ac:dyDescent="0.2">
      <c r="V3231" s="563"/>
      <c r="X3231" s="563"/>
      <c r="Y3231" s="563"/>
    </row>
    <row r="3232" spans="22:25" x14ac:dyDescent="0.2">
      <c r="V3232" s="563"/>
      <c r="X3232" s="563"/>
      <c r="Y3232" s="563"/>
    </row>
    <row r="3233" spans="22:25" x14ac:dyDescent="0.2">
      <c r="V3233" s="563"/>
      <c r="X3233" s="563"/>
      <c r="Y3233" s="563"/>
    </row>
    <row r="3234" spans="22:25" x14ac:dyDescent="0.2">
      <c r="V3234" s="563"/>
      <c r="X3234" s="563"/>
      <c r="Y3234" s="563"/>
    </row>
    <row r="3235" spans="22:25" x14ac:dyDescent="0.2">
      <c r="V3235" s="563"/>
      <c r="X3235" s="563"/>
      <c r="Y3235" s="563"/>
    </row>
    <row r="3236" spans="22:25" x14ac:dyDescent="0.2">
      <c r="V3236" s="563"/>
      <c r="X3236" s="563"/>
      <c r="Y3236" s="563"/>
    </row>
    <row r="3237" spans="22:25" x14ac:dyDescent="0.2">
      <c r="V3237" s="563"/>
      <c r="X3237" s="563"/>
      <c r="Y3237" s="563"/>
    </row>
    <row r="3238" spans="22:25" x14ac:dyDescent="0.2">
      <c r="V3238" s="563"/>
      <c r="X3238" s="563"/>
      <c r="Y3238" s="563"/>
    </row>
    <row r="3239" spans="22:25" x14ac:dyDescent="0.2">
      <c r="V3239" s="563"/>
      <c r="X3239" s="563"/>
      <c r="Y3239" s="563"/>
    </row>
    <row r="3240" spans="22:25" x14ac:dyDescent="0.2">
      <c r="V3240" s="563"/>
      <c r="X3240" s="563"/>
      <c r="Y3240" s="563"/>
    </row>
    <row r="3241" spans="22:25" x14ac:dyDescent="0.2">
      <c r="V3241" s="563"/>
      <c r="X3241" s="563"/>
      <c r="Y3241" s="563"/>
    </row>
    <row r="3242" spans="22:25" x14ac:dyDescent="0.2">
      <c r="V3242" s="563"/>
      <c r="X3242" s="563"/>
      <c r="Y3242" s="563"/>
    </row>
    <row r="3243" spans="22:25" x14ac:dyDescent="0.2">
      <c r="V3243" s="563"/>
      <c r="X3243" s="563"/>
      <c r="Y3243" s="563"/>
    </row>
    <row r="3244" spans="22:25" x14ac:dyDescent="0.2">
      <c r="V3244" s="563"/>
      <c r="X3244" s="563"/>
      <c r="Y3244" s="563"/>
    </row>
    <row r="3245" spans="22:25" x14ac:dyDescent="0.2">
      <c r="V3245" s="563"/>
      <c r="X3245" s="563"/>
      <c r="Y3245" s="563"/>
    </row>
    <row r="3246" spans="22:25" x14ac:dyDescent="0.2">
      <c r="V3246" s="563"/>
      <c r="X3246" s="563"/>
      <c r="Y3246" s="563"/>
    </row>
    <row r="3247" spans="22:25" x14ac:dyDescent="0.2">
      <c r="V3247" s="563"/>
      <c r="X3247" s="563"/>
      <c r="Y3247" s="563"/>
    </row>
    <row r="3248" spans="22:25" x14ac:dyDescent="0.2">
      <c r="V3248" s="563"/>
      <c r="X3248" s="563"/>
      <c r="Y3248" s="563"/>
    </row>
    <row r="3249" spans="22:25" x14ac:dyDescent="0.2">
      <c r="V3249" s="563"/>
      <c r="X3249" s="563"/>
      <c r="Y3249" s="563"/>
    </row>
    <row r="3250" spans="22:25" x14ac:dyDescent="0.2">
      <c r="V3250" s="563"/>
      <c r="X3250" s="563"/>
      <c r="Y3250" s="563"/>
    </row>
    <row r="3251" spans="22:25" x14ac:dyDescent="0.2">
      <c r="V3251" s="563"/>
      <c r="X3251" s="563"/>
      <c r="Y3251" s="563"/>
    </row>
    <row r="3252" spans="22:25" x14ac:dyDescent="0.2">
      <c r="V3252" s="563"/>
      <c r="X3252" s="563"/>
      <c r="Y3252" s="563"/>
    </row>
    <row r="3253" spans="22:25" x14ac:dyDescent="0.2">
      <c r="V3253" s="563"/>
      <c r="X3253" s="563"/>
      <c r="Y3253" s="563"/>
    </row>
    <row r="3254" spans="22:25" x14ac:dyDescent="0.2">
      <c r="V3254" s="563"/>
      <c r="X3254" s="563"/>
      <c r="Y3254" s="563"/>
    </row>
    <row r="3255" spans="22:25" x14ac:dyDescent="0.2">
      <c r="V3255" s="563"/>
      <c r="X3255" s="563"/>
      <c r="Y3255" s="563"/>
    </row>
    <row r="3256" spans="22:25" x14ac:dyDescent="0.2">
      <c r="V3256" s="563"/>
      <c r="X3256" s="563"/>
      <c r="Y3256" s="563"/>
    </row>
    <row r="3257" spans="22:25" x14ac:dyDescent="0.2">
      <c r="V3257" s="563"/>
      <c r="X3257" s="563"/>
      <c r="Y3257" s="563"/>
    </row>
    <row r="3258" spans="22:25" x14ac:dyDescent="0.2">
      <c r="V3258" s="563"/>
      <c r="X3258" s="563"/>
      <c r="Y3258" s="563"/>
    </row>
    <row r="3259" spans="22:25" x14ac:dyDescent="0.2">
      <c r="V3259" s="563"/>
      <c r="X3259" s="563"/>
      <c r="Y3259" s="563"/>
    </row>
    <row r="3260" spans="22:25" x14ac:dyDescent="0.2">
      <c r="V3260" s="563"/>
      <c r="X3260" s="563"/>
      <c r="Y3260" s="563"/>
    </row>
    <row r="3261" spans="22:25" x14ac:dyDescent="0.2">
      <c r="V3261" s="563"/>
      <c r="X3261" s="563"/>
      <c r="Y3261" s="563"/>
    </row>
    <row r="3262" spans="22:25" x14ac:dyDescent="0.2">
      <c r="V3262" s="563"/>
      <c r="X3262" s="563"/>
      <c r="Y3262" s="563"/>
    </row>
    <row r="3263" spans="22:25" x14ac:dyDescent="0.2">
      <c r="V3263" s="563"/>
      <c r="X3263" s="563"/>
      <c r="Y3263" s="563"/>
    </row>
    <row r="3264" spans="22:25" x14ac:dyDescent="0.2">
      <c r="V3264" s="563"/>
      <c r="X3264" s="563"/>
      <c r="Y3264" s="563"/>
    </row>
    <row r="3265" spans="22:25" x14ac:dyDescent="0.2">
      <c r="V3265" s="563"/>
      <c r="X3265" s="563"/>
      <c r="Y3265" s="563"/>
    </row>
    <row r="3266" spans="22:25" x14ac:dyDescent="0.2">
      <c r="V3266" s="563"/>
      <c r="X3266" s="563"/>
      <c r="Y3266" s="563"/>
    </row>
    <row r="3267" spans="22:25" x14ac:dyDescent="0.2">
      <c r="V3267" s="563"/>
      <c r="X3267" s="563"/>
      <c r="Y3267" s="563"/>
    </row>
    <row r="3268" spans="22:25" x14ac:dyDescent="0.2">
      <c r="V3268" s="563"/>
      <c r="X3268" s="563"/>
      <c r="Y3268" s="563"/>
    </row>
    <row r="3269" spans="22:25" x14ac:dyDescent="0.2">
      <c r="V3269" s="563"/>
      <c r="X3269" s="563"/>
      <c r="Y3269" s="563"/>
    </row>
    <row r="3270" spans="22:25" x14ac:dyDescent="0.2">
      <c r="V3270" s="563"/>
      <c r="X3270" s="563"/>
      <c r="Y3270" s="563"/>
    </row>
    <row r="3271" spans="22:25" x14ac:dyDescent="0.2">
      <c r="V3271" s="563"/>
      <c r="X3271" s="563"/>
      <c r="Y3271" s="563"/>
    </row>
    <row r="3272" spans="22:25" x14ac:dyDescent="0.2">
      <c r="V3272" s="563"/>
      <c r="X3272" s="563"/>
      <c r="Y3272" s="563"/>
    </row>
    <row r="3273" spans="22:25" x14ac:dyDescent="0.2">
      <c r="V3273" s="563"/>
      <c r="X3273" s="563"/>
      <c r="Y3273" s="563"/>
    </row>
    <row r="3274" spans="22:25" x14ac:dyDescent="0.2">
      <c r="V3274" s="563"/>
      <c r="X3274" s="563"/>
      <c r="Y3274" s="563"/>
    </row>
    <row r="3275" spans="22:25" x14ac:dyDescent="0.2">
      <c r="V3275" s="563"/>
      <c r="X3275" s="563"/>
      <c r="Y3275" s="563"/>
    </row>
    <row r="3276" spans="22:25" x14ac:dyDescent="0.2">
      <c r="V3276" s="563"/>
      <c r="X3276" s="563"/>
      <c r="Y3276" s="563"/>
    </row>
    <row r="3277" spans="22:25" x14ac:dyDescent="0.2">
      <c r="V3277" s="563"/>
      <c r="X3277" s="563"/>
      <c r="Y3277" s="563"/>
    </row>
    <row r="3278" spans="22:25" x14ac:dyDescent="0.2">
      <c r="V3278" s="563"/>
      <c r="X3278" s="563"/>
      <c r="Y3278" s="563"/>
    </row>
    <row r="3279" spans="22:25" x14ac:dyDescent="0.2">
      <c r="V3279" s="563"/>
      <c r="X3279" s="563"/>
      <c r="Y3279" s="563"/>
    </row>
    <row r="3280" spans="22:25" x14ac:dyDescent="0.2">
      <c r="V3280" s="563"/>
      <c r="X3280" s="563"/>
      <c r="Y3280" s="563"/>
    </row>
    <row r="3281" spans="22:25" x14ac:dyDescent="0.2">
      <c r="V3281" s="563"/>
      <c r="X3281" s="563"/>
      <c r="Y3281" s="563"/>
    </row>
    <row r="3282" spans="22:25" x14ac:dyDescent="0.2">
      <c r="V3282" s="563"/>
      <c r="X3282" s="563"/>
      <c r="Y3282" s="563"/>
    </row>
    <row r="3283" spans="22:25" x14ac:dyDescent="0.2">
      <c r="V3283" s="563"/>
      <c r="X3283" s="563"/>
      <c r="Y3283" s="563"/>
    </row>
    <row r="3284" spans="22:25" x14ac:dyDescent="0.2">
      <c r="V3284" s="563"/>
      <c r="X3284" s="563"/>
      <c r="Y3284" s="563"/>
    </row>
    <row r="3285" spans="22:25" x14ac:dyDescent="0.2">
      <c r="V3285" s="563"/>
      <c r="X3285" s="563"/>
      <c r="Y3285" s="563"/>
    </row>
    <row r="3286" spans="22:25" x14ac:dyDescent="0.2">
      <c r="V3286" s="563"/>
      <c r="X3286" s="563"/>
      <c r="Y3286" s="563"/>
    </row>
    <row r="3287" spans="22:25" x14ac:dyDescent="0.2">
      <c r="V3287" s="563"/>
      <c r="X3287" s="563"/>
      <c r="Y3287" s="563"/>
    </row>
    <row r="3288" spans="22:25" x14ac:dyDescent="0.2">
      <c r="V3288" s="563"/>
      <c r="X3288" s="563"/>
      <c r="Y3288" s="563"/>
    </row>
    <row r="3289" spans="22:25" x14ac:dyDescent="0.2">
      <c r="V3289" s="563"/>
      <c r="X3289" s="563"/>
      <c r="Y3289" s="563"/>
    </row>
    <row r="3290" spans="22:25" x14ac:dyDescent="0.2">
      <c r="V3290" s="563"/>
      <c r="X3290" s="563"/>
      <c r="Y3290" s="563"/>
    </row>
    <row r="3291" spans="22:25" x14ac:dyDescent="0.2">
      <c r="V3291" s="563"/>
      <c r="X3291" s="563"/>
      <c r="Y3291" s="563"/>
    </row>
    <row r="3292" spans="22:25" x14ac:dyDescent="0.2">
      <c r="V3292" s="563"/>
      <c r="X3292" s="563"/>
      <c r="Y3292" s="563"/>
    </row>
    <row r="3293" spans="22:25" x14ac:dyDescent="0.2">
      <c r="V3293" s="563"/>
      <c r="X3293" s="563"/>
      <c r="Y3293" s="563"/>
    </row>
    <row r="3294" spans="22:25" x14ac:dyDescent="0.2">
      <c r="V3294" s="563"/>
      <c r="X3294" s="563"/>
      <c r="Y3294" s="563"/>
    </row>
    <row r="3295" spans="22:25" x14ac:dyDescent="0.2">
      <c r="V3295" s="563"/>
      <c r="X3295" s="563"/>
      <c r="Y3295" s="563"/>
    </row>
    <row r="3296" spans="22:25" x14ac:dyDescent="0.2">
      <c r="V3296" s="563"/>
      <c r="X3296" s="563"/>
      <c r="Y3296" s="563"/>
    </row>
    <row r="3297" spans="22:25" x14ac:dyDescent="0.2">
      <c r="V3297" s="563"/>
      <c r="X3297" s="563"/>
      <c r="Y3297" s="563"/>
    </row>
    <row r="3298" spans="22:25" x14ac:dyDescent="0.2">
      <c r="V3298" s="563"/>
      <c r="X3298" s="563"/>
      <c r="Y3298" s="563"/>
    </row>
    <row r="3299" spans="22:25" x14ac:dyDescent="0.2">
      <c r="V3299" s="563"/>
      <c r="X3299" s="563"/>
      <c r="Y3299" s="563"/>
    </row>
    <row r="3300" spans="22:25" x14ac:dyDescent="0.2">
      <c r="V3300" s="563"/>
      <c r="X3300" s="563"/>
      <c r="Y3300" s="563"/>
    </row>
    <row r="3301" spans="22:25" x14ac:dyDescent="0.2">
      <c r="V3301" s="563"/>
      <c r="X3301" s="563"/>
      <c r="Y3301" s="563"/>
    </row>
    <row r="3302" spans="22:25" x14ac:dyDescent="0.2">
      <c r="V3302" s="563"/>
      <c r="X3302" s="563"/>
      <c r="Y3302" s="563"/>
    </row>
    <row r="3303" spans="22:25" x14ac:dyDescent="0.2">
      <c r="V3303" s="563"/>
      <c r="X3303" s="563"/>
      <c r="Y3303" s="563"/>
    </row>
    <row r="3304" spans="22:25" x14ac:dyDescent="0.2">
      <c r="V3304" s="563"/>
      <c r="X3304" s="563"/>
      <c r="Y3304" s="563"/>
    </row>
    <row r="3305" spans="22:25" x14ac:dyDescent="0.2">
      <c r="V3305" s="563"/>
      <c r="X3305" s="563"/>
      <c r="Y3305" s="563"/>
    </row>
    <row r="3306" spans="22:25" x14ac:dyDescent="0.2">
      <c r="V3306" s="563"/>
      <c r="X3306" s="563"/>
      <c r="Y3306" s="563"/>
    </row>
    <row r="3307" spans="22:25" x14ac:dyDescent="0.2">
      <c r="V3307" s="563"/>
      <c r="X3307" s="563"/>
      <c r="Y3307" s="563"/>
    </row>
    <row r="3308" spans="22:25" x14ac:dyDescent="0.2">
      <c r="V3308" s="563"/>
      <c r="X3308" s="563"/>
      <c r="Y3308" s="563"/>
    </row>
    <row r="3309" spans="22:25" x14ac:dyDescent="0.2">
      <c r="V3309" s="563"/>
      <c r="X3309" s="563"/>
      <c r="Y3309" s="563"/>
    </row>
    <row r="3310" spans="22:25" x14ac:dyDescent="0.2">
      <c r="V3310" s="563"/>
      <c r="X3310" s="563"/>
      <c r="Y3310" s="563"/>
    </row>
    <row r="3311" spans="22:25" x14ac:dyDescent="0.2">
      <c r="V3311" s="563"/>
      <c r="X3311" s="563"/>
      <c r="Y3311" s="563"/>
    </row>
    <row r="3312" spans="22:25" x14ac:dyDescent="0.2">
      <c r="V3312" s="563"/>
      <c r="X3312" s="563"/>
      <c r="Y3312" s="563"/>
    </row>
    <row r="3313" spans="22:25" x14ac:dyDescent="0.2">
      <c r="V3313" s="563"/>
      <c r="X3313" s="563"/>
      <c r="Y3313" s="563"/>
    </row>
    <row r="3314" spans="22:25" x14ac:dyDescent="0.2">
      <c r="V3314" s="563"/>
      <c r="X3314" s="563"/>
      <c r="Y3314" s="563"/>
    </row>
    <row r="3315" spans="22:25" x14ac:dyDescent="0.2">
      <c r="V3315" s="563"/>
      <c r="X3315" s="563"/>
      <c r="Y3315" s="563"/>
    </row>
    <row r="3316" spans="22:25" x14ac:dyDescent="0.2">
      <c r="V3316" s="563"/>
      <c r="X3316" s="563"/>
      <c r="Y3316" s="563"/>
    </row>
    <row r="3317" spans="22:25" x14ac:dyDescent="0.2">
      <c r="V3317" s="563"/>
      <c r="X3317" s="563"/>
      <c r="Y3317" s="563"/>
    </row>
    <row r="3318" spans="22:25" x14ac:dyDescent="0.2">
      <c r="V3318" s="563"/>
      <c r="X3318" s="563"/>
      <c r="Y3318" s="563"/>
    </row>
    <row r="3319" spans="22:25" x14ac:dyDescent="0.2">
      <c r="V3319" s="563"/>
      <c r="X3319" s="563"/>
      <c r="Y3319" s="563"/>
    </row>
    <row r="3320" spans="22:25" x14ac:dyDescent="0.2">
      <c r="V3320" s="563"/>
      <c r="X3320" s="563"/>
      <c r="Y3320" s="563"/>
    </row>
    <row r="3321" spans="22:25" x14ac:dyDescent="0.2">
      <c r="V3321" s="563"/>
      <c r="X3321" s="563"/>
      <c r="Y3321" s="563"/>
    </row>
    <row r="3322" spans="22:25" x14ac:dyDescent="0.2">
      <c r="V3322" s="563"/>
      <c r="X3322" s="563"/>
      <c r="Y3322" s="563"/>
    </row>
    <row r="3323" spans="22:25" x14ac:dyDescent="0.2">
      <c r="V3323" s="563"/>
      <c r="X3323" s="563"/>
      <c r="Y3323" s="563"/>
    </row>
    <row r="3324" spans="22:25" x14ac:dyDescent="0.2">
      <c r="V3324" s="563"/>
      <c r="X3324" s="563"/>
      <c r="Y3324" s="563"/>
    </row>
    <row r="3325" spans="22:25" x14ac:dyDescent="0.2">
      <c r="V3325" s="563"/>
      <c r="X3325" s="563"/>
      <c r="Y3325" s="563"/>
    </row>
    <row r="3326" spans="22:25" x14ac:dyDescent="0.2">
      <c r="V3326" s="563"/>
      <c r="X3326" s="563"/>
      <c r="Y3326" s="563"/>
    </row>
    <row r="3327" spans="22:25" x14ac:dyDescent="0.2">
      <c r="V3327" s="563"/>
      <c r="X3327" s="563"/>
      <c r="Y3327" s="563"/>
    </row>
    <row r="3328" spans="22:25" x14ac:dyDescent="0.2">
      <c r="V3328" s="563"/>
      <c r="X3328" s="563"/>
      <c r="Y3328" s="563"/>
    </row>
    <row r="3329" spans="22:25" x14ac:dyDescent="0.2">
      <c r="V3329" s="563"/>
      <c r="X3329" s="563"/>
      <c r="Y3329" s="563"/>
    </row>
    <row r="3330" spans="22:25" x14ac:dyDescent="0.2">
      <c r="V3330" s="563"/>
      <c r="X3330" s="563"/>
      <c r="Y3330" s="563"/>
    </row>
    <row r="3331" spans="22:25" x14ac:dyDescent="0.2">
      <c r="V3331" s="563"/>
      <c r="X3331" s="563"/>
      <c r="Y3331" s="563"/>
    </row>
    <row r="3332" spans="22:25" x14ac:dyDescent="0.2">
      <c r="V3332" s="563"/>
      <c r="X3332" s="563"/>
      <c r="Y3332" s="563"/>
    </row>
    <row r="3333" spans="22:25" x14ac:dyDescent="0.2">
      <c r="V3333" s="563"/>
      <c r="X3333" s="563"/>
      <c r="Y3333" s="563"/>
    </row>
    <row r="3334" spans="22:25" x14ac:dyDescent="0.2">
      <c r="V3334" s="563"/>
      <c r="X3334" s="563"/>
      <c r="Y3334" s="563"/>
    </row>
    <row r="3335" spans="22:25" x14ac:dyDescent="0.2">
      <c r="V3335" s="563"/>
      <c r="X3335" s="563"/>
      <c r="Y3335" s="563"/>
    </row>
    <row r="3336" spans="22:25" x14ac:dyDescent="0.2">
      <c r="V3336" s="563"/>
      <c r="X3336" s="563"/>
      <c r="Y3336" s="563"/>
    </row>
    <row r="3337" spans="22:25" x14ac:dyDescent="0.2">
      <c r="V3337" s="563"/>
      <c r="X3337" s="563"/>
      <c r="Y3337" s="563"/>
    </row>
    <row r="3338" spans="22:25" x14ac:dyDescent="0.2">
      <c r="V3338" s="563"/>
      <c r="X3338" s="563"/>
      <c r="Y3338" s="563"/>
    </row>
    <row r="3339" spans="22:25" x14ac:dyDescent="0.2">
      <c r="V3339" s="563"/>
      <c r="X3339" s="563"/>
      <c r="Y3339" s="563"/>
    </row>
    <row r="3340" spans="22:25" x14ac:dyDescent="0.2">
      <c r="V3340" s="563"/>
      <c r="X3340" s="563"/>
      <c r="Y3340" s="563"/>
    </row>
    <row r="3341" spans="22:25" x14ac:dyDescent="0.2">
      <c r="V3341" s="563"/>
      <c r="X3341" s="563"/>
      <c r="Y3341" s="563"/>
    </row>
    <row r="3342" spans="22:25" x14ac:dyDescent="0.2">
      <c r="V3342" s="563"/>
      <c r="X3342" s="563"/>
      <c r="Y3342" s="563"/>
    </row>
    <row r="3343" spans="22:25" x14ac:dyDescent="0.2">
      <c r="V3343" s="563"/>
      <c r="X3343" s="563"/>
      <c r="Y3343" s="563"/>
    </row>
    <row r="3344" spans="22:25" x14ac:dyDescent="0.2">
      <c r="V3344" s="563"/>
      <c r="X3344" s="563"/>
      <c r="Y3344" s="563"/>
    </row>
    <row r="3345" spans="22:25" x14ac:dyDescent="0.2">
      <c r="V3345" s="563"/>
      <c r="X3345" s="563"/>
      <c r="Y3345" s="563"/>
    </row>
    <row r="3346" spans="22:25" x14ac:dyDescent="0.2">
      <c r="V3346" s="563"/>
      <c r="X3346" s="563"/>
      <c r="Y3346" s="563"/>
    </row>
    <row r="3347" spans="22:25" x14ac:dyDescent="0.2">
      <c r="V3347" s="563"/>
      <c r="X3347" s="563"/>
      <c r="Y3347" s="563"/>
    </row>
    <row r="3348" spans="22:25" x14ac:dyDescent="0.2">
      <c r="V3348" s="563"/>
      <c r="X3348" s="563"/>
      <c r="Y3348" s="563"/>
    </row>
    <row r="3349" spans="22:25" x14ac:dyDescent="0.2">
      <c r="V3349" s="563"/>
      <c r="X3349" s="563"/>
      <c r="Y3349" s="563"/>
    </row>
    <row r="3350" spans="22:25" x14ac:dyDescent="0.2">
      <c r="V3350" s="563"/>
      <c r="X3350" s="563"/>
      <c r="Y3350" s="563"/>
    </row>
    <row r="3351" spans="22:25" x14ac:dyDescent="0.2">
      <c r="V3351" s="563"/>
      <c r="X3351" s="563"/>
      <c r="Y3351" s="563"/>
    </row>
    <row r="3352" spans="22:25" x14ac:dyDescent="0.2">
      <c r="V3352" s="563"/>
      <c r="X3352" s="563"/>
      <c r="Y3352" s="563"/>
    </row>
    <row r="3353" spans="22:25" x14ac:dyDescent="0.2">
      <c r="V3353" s="563"/>
      <c r="X3353" s="563"/>
      <c r="Y3353" s="563"/>
    </row>
    <row r="3354" spans="22:25" x14ac:dyDescent="0.2">
      <c r="V3354" s="563"/>
      <c r="X3354" s="563"/>
      <c r="Y3354" s="563"/>
    </row>
    <row r="3355" spans="22:25" x14ac:dyDescent="0.2">
      <c r="V3355" s="563"/>
      <c r="X3355" s="563"/>
      <c r="Y3355" s="563"/>
    </row>
    <row r="3356" spans="22:25" x14ac:dyDescent="0.2">
      <c r="V3356" s="563"/>
      <c r="X3356" s="563"/>
      <c r="Y3356" s="563"/>
    </row>
    <row r="3357" spans="22:25" x14ac:dyDescent="0.2">
      <c r="V3357" s="563"/>
      <c r="X3357" s="563"/>
      <c r="Y3357" s="563"/>
    </row>
    <row r="3358" spans="22:25" x14ac:dyDescent="0.2">
      <c r="V3358" s="563"/>
      <c r="X3358" s="563"/>
      <c r="Y3358" s="563"/>
    </row>
    <row r="3359" spans="22:25" x14ac:dyDescent="0.2">
      <c r="V3359" s="563"/>
      <c r="X3359" s="563"/>
      <c r="Y3359" s="563"/>
    </row>
    <row r="3360" spans="22:25" x14ac:dyDescent="0.2">
      <c r="V3360" s="563"/>
      <c r="X3360" s="563"/>
      <c r="Y3360" s="563"/>
    </row>
    <row r="3361" spans="22:25" x14ac:dyDescent="0.2">
      <c r="V3361" s="563"/>
      <c r="X3361" s="563"/>
      <c r="Y3361" s="563"/>
    </row>
    <row r="3362" spans="22:25" x14ac:dyDescent="0.2">
      <c r="V3362" s="563"/>
      <c r="X3362" s="563"/>
      <c r="Y3362" s="563"/>
    </row>
    <row r="3363" spans="22:25" x14ac:dyDescent="0.2">
      <c r="V3363" s="563"/>
      <c r="X3363" s="563"/>
      <c r="Y3363" s="563"/>
    </row>
    <row r="3364" spans="22:25" x14ac:dyDescent="0.2">
      <c r="V3364" s="563"/>
      <c r="X3364" s="563"/>
      <c r="Y3364" s="563"/>
    </row>
    <row r="3365" spans="22:25" x14ac:dyDescent="0.2">
      <c r="V3365" s="563"/>
      <c r="X3365" s="563"/>
      <c r="Y3365" s="563"/>
    </row>
    <row r="3366" spans="22:25" x14ac:dyDescent="0.2">
      <c r="V3366" s="563"/>
      <c r="X3366" s="563"/>
      <c r="Y3366" s="563"/>
    </row>
    <row r="3367" spans="22:25" x14ac:dyDescent="0.2">
      <c r="V3367" s="563"/>
      <c r="X3367" s="563"/>
      <c r="Y3367" s="563"/>
    </row>
    <row r="3368" spans="22:25" x14ac:dyDescent="0.2">
      <c r="V3368" s="563"/>
      <c r="X3368" s="563"/>
      <c r="Y3368" s="563"/>
    </row>
    <row r="3369" spans="22:25" x14ac:dyDescent="0.2">
      <c r="V3369" s="563"/>
      <c r="X3369" s="563"/>
      <c r="Y3369" s="563"/>
    </row>
    <row r="3370" spans="22:25" x14ac:dyDescent="0.2">
      <c r="V3370" s="563"/>
      <c r="X3370" s="563"/>
      <c r="Y3370" s="563"/>
    </row>
    <row r="3371" spans="22:25" x14ac:dyDescent="0.2">
      <c r="V3371" s="563"/>
      <c r="X3371" s="563"/>
      <c r="Y3371" s="563"/>
    </row>
    <row r="3372" spans="22:25" x14ac:dyDescent="0.2">
      <c r="V3372" s="563"/>
      <c r="X3372" s="563"/>
      <c r="Y3372" s="563"/>
    </row>
    <row r="3373" spans="22:25" x14ac:dyDescent="0.2">
      <c r="V3373" s="563"/>
      <c r="X3373" s="563"/>
      <c r="Y3373" s="563"/>
    </row>
    <row r="3374" spans="22:25" x14ac:dyDescent="0.2">
      <c r="V3374" s="563"/>
      <c r="X3374" s="563"/>
      <c r="Y3374" s="563"/>
    </row>
    <row r="3375" spans="22:25" x14ac:dyDescent="0.2">
      <c r="V3375" s="563"/>
      <c r="X3375" s="563"/>
      <c r="Y3375" s="563"/>
    </row>
    <row r="3376" spans="22:25" x14ac:dyDescent="0.2">
      <c r="V3376" s="563"/>
      <c r="X3376" s="563"/>
      <c r="Y3376" s="563"/>
    </row>
    <row r="3377" spans="22:25" x14ac:dyDescent="0.2">
      <c r="V3377" s="563"/>
      <c r="X3377" s="563"/>
      <c r="Y3377" s="563"/>
    </row>
    <row r="3378" spans="22:25" x14ac:dyDescent="0.2">
      <c r="V3378" s="563"/>
      <c r="X3378" s="563"/>
      <c r="Y3378" s="563"/>
    </row>
    <row r="3379" spans="22:25" x14ac:dyDescent="0.2">
      <c r="V3379" s="563"/>
      <c r="X3379" s="563"/>
      <c r="Y3379" s="563"/>
    </row>
    <row r="3380" spans="22:25" x14ac:dyDescent="0.2">
      <c r="V3380" s="563"/>
      <c r="X3380" s="563"/>
      <c r="Y3380" s="563"/>
    </row>
    <row r="3381" spans="22:25" x14ac:dyDescent="0.2">
      <c r="V3381" s="563"/>
      <c r="X3381" s="563"/>
      <c r="Y3381" s="563"/>
    </row>
    <row r="3382" spans="22:25" x14ac:dyDescent="0.2">
      <c r="V3382" s="563"/>
      <c r="X3382" s="563"/>
      <c r="Y3382" s="563"/>
    </row>
    <row r="3383" spans="22:25" x14ac:dyDescent="0.2">
      <c r="V3383" s="563"/>
      <c r="X3383" s="563"/>
      <c r="Y3383" s="563"/>
    </row>
    <row r="3384" spans="22:25" x14ac:dyDescent="0.2">
      <c r="V3384" s="563"/>
      <c r="X3384" s="563"/>
      <c r="Y3384" s="563"/>
    </row>
    <row r="3385" spans="22:25" x14ac:dyDescent="0.2">
      <c r="V3385" s="563"/>
      <c r="X3385" s="563"/>
      <c r="Y3385" s="563"/>
    </row>
    <row r="3386" spans="22:25" x14ac:dyDescent="0.2">
      <c r="V3386" s="563"/>
      <c r="X3386" s="563"/>
      <c r="Y3386" s="563"/>
    </row>
    <row r="3387" spans="22:25" x14ac:dyDescent="0.2">
      <c r="V3387" s="563"/>
      <c r="X3387" s="563"/>
      <c r="Y3387" s="563"/>
    </row>
    <row r="3388" spans="22:25" x14ac:dyDescent="0.2">
      <c r="V3388" s="563"/>
      <c r="X3388" s="563"/>
      <c r="Y3388" s="563"/>
    </row>
    <row r="3389" spans="22:25" x14ac:dyDescent="0.2">
      <c r="V3389" s="563"/>
      <c r="X3389" s="563"/>
      <c r="Y3389" s="563"/>
    </row>
    <row r="3390" spans="22:25" x14ac:dyDescent="0.2">
      <c r="V3390" s="563"/>
      <c r="X3390" s="563"/>
      <c r="Y3390" s="563"/>
    </row>
    <row r="3391" spans="22:25" x14ac:dyDescent="0.2">
      <c r="V3391" s="563"/>
      <c r="X3391" s="563"/>
      <c r="Y3391" s="563"/>
    </row>
    <row r="3392" spans="22:25" x14ac:dyDescent="0.2">
      <c r="V3392" s="563"/>
      <c r="X3392" s="563"/>
      <c r="Y3392" s="563"/>
    </row>
    <row r="3393" spans="22:25" x14ac:dyDescent="0.2">
      <c r="V3393" s="563"/>
      <c r="X3393" s="563"/>
      <c r="Y3393" s="563"/>
    </row>
    <row r="3394" spans="22:25" x14ac:dyDescent="0.2">
      <c r="V3394" s="563"/>
      <c r="X3394" s="563"/>
      <c r="Y3394" s="563"/>
    </row>
    <row r="3395" spans="22:25" x14ac:dyDescent="0.2">
      <c r="V3395" s="563"/>
      <c r="X3395" s="563"/>
      <c r="Y3395" s="563"/>
    </row>
    <row r="3396" spans="22:25" x14ac:dyDescent="0.2">
      <c r="V3396" s="563"/>
      <c r="X3396" s="563"/>
      <c r="Y3396" s="563"/>
    </row>
    <row r="3397" spans="22:25" x14ac:dyDescent="0.2">
      <c r="V3397" s="563"/>
      <c r="X3397" s="563"/>
      <c r="Y3397" s="563"/>
    </row>
    <row r="3398" spans="22:25" x14ac:dyDescent="0.2">
      <c r="V3398" s="563"/>
      <c r="X3398" s="563"/>
      <c r="Y3398" s="563"/>
    </row>
    <row r="3399" spans="22:25" x14ac:dyDescent="0.2">
      <c r="V3399" s="563"/>
      <c r="X3399" s="563"/>
      <c r="Y3399" s="563"/>
    </row>
    <row r="3400" spans="22:25" x14ac:dyDescent="0.2">
      <c r="V3400" s="563"/>
      <c r="X3400" s="563"/>
      <c r="Y3400" s="563"/>
    </row>
    <row r="3401" spans="22:25" x14ac:dyDescent="0.2">
      <c r="V3401" s="563"/>
      <c r="X3401" s="563"/>
      <c r="Y3401" s="563"/>
    </row>
    <row r="3402" spans="22:25" x14ac:dyDescent="0.2">
      <c r="V3402" s="563"/>
      <c r="X3402" s="563"/>
      <c r="Y3402" s="563"/>
    </row>
    <row r="3403" spans="22:25" x14ac:dyDescent="0.2">
      <c r="V3403" s="563"/>
      <c r="X3403" s="563"/>
      <c r="Y3403" s="563"/>
    </row>
    <row r="3404" spans="22:25" x14ac:dyDescent="0.2">
      <c r="V3404" s="563"/>
      <c r="X3404" s="563"/>
      <c r="Y3404" s="563"/>
    </row>
    <row r="3405" spans="22:25" x14ac:dyDescent="0.2">
      <c r="V3405" s="563"/>
      <c r="X3405" s="563"/>
      <c r="Y3405" s="563"/>
    </row>
    <row r="3406" spans="22:25" x14ac:dyDescent="0.2">
      <c r="V3406" s="563"/>
      <c r="X3406" s="563"/>
      <c r="Y3406" s="563"/>
    </row>
    <row r="3407" spans="22:25" x14ac:dyDescent="0.2">
      <c r="V3407" s="563"/>
      <c r="X3407" s="563"/>
      <c r="Y3407" s="563"/>
    </row>
    <row r="3408" spans="22:25" x14ac:dyDescent="0.2">
      <c r="V3408" s="563"/>
      <c r="X3408" s="563"/>
      <c r="Y3408" s="563"/>
    </row>
    <row r="3409" spans="22:25" x14ac:dyDescent="0.2">
      <c r="V3409" s="563"/>
      <c r="X3409" s="563"/>
      <c r="Y3409" s="563"/>
    </row>
    <row r="3410" spans="22:25" x14ac:dyDescent="0.2">
      <c r="V3410" s="563"/>
      <c r="X3410" s="563"/>
      <c r="Y3410" s="563"/>
    </row>
    <row r="3411" spans="22:25" x14ac:dyDescent="0.2">
      <c r="V3411" s="563"/>
      <c r="X3411" s="563"/>
      <c r="Y3411" s="563"/>
    </row>
    <row r="3412" spans="22:25" x14ac:dyDescent="0.2">
      <c r="V3412" s="563"/>
      <c r="X3412" s="563"/>
      <c r="Y3412" s="563"/>
    </row>
    <row r="3413" spans="22:25" x14ac:dyDescent="0.2">
      <c r="V3413" s="563"/>
      <c r="X3413" s="563"/>
      <c r="Y3413" s="563"/>
    </row>
    <row r="3414" spans="22:25" x14ac:dyDescent="0.2">
      <c r="V3414" s="563"/>
      <c r="X3414" s="563"/>
      <c r="Y3414" s="563"/>
    </row>
    <row r="3415" spans="22:25" x14ac:dyDescent="0.2">
      <c r="V3415" s="563"/>
      <c r="X3415" s="563"/>
      <c r="Y3415" s="563"/>
    </row>
    <row r="3416" spans="22:25" x14ac:dyDescent="0.2">
      <c r="V3416" s="563"/>
      <c r="X3416" s="563"/>
      <c r="Y3416" s="563"/>
    </row>
    <row r="3417" spans="22:25" x14ac:dyDescent="0.2">
      <c r="V3417" s="563"/>
      <c r="X3417" s="563"/>
      <c r="Y3417" s="563"/>
    </row>
    <row r="3418" spans="22:25" x14ac:dyDescent="0.2">
      <c r="V3418" s="563"/>
      <c r="X3418" s="563"/>
      <c r="Y3418" s="563"/>
    </row>
    <row r="3419" spans="22:25" x14ac:dyDescent="0.2">
      <c r="V3419" s="563"/>
      <c r="X3419" s="563"/>
      <c r="Y3419" s="563"/>
    </row>
    <row r="3420" spans="22:25" x14ac:dyDescent="0.2">
      <c r="V3420" s="563"/>
      <c r="X3420" s="563"/>
      <c r="Y3420" s="563"/>
    </row>
    <row r="3421" spans="22:25" x14ac:dyDescent="0.2">
      <c r="V3421" s="563"/>
      <c r="X3421" s="563"/>
      <c r="Y3421" s="563"/>
    </row>
    <row r="3422" spans="22:25" x14ac:dyDescent="0.2">
      <c r="V3422" s="563"/>
      <c r="X3422" s="563"/>
      <c r="Y3422" s="563"/>
    </row>
    <row r="3423" spans="22:25" x14ac:dyDescent="0.2">
      <c r="V3423" s="563"/>
      <c r="X3423" s="563"/>
      <c r="Y3423" s="563"/>
    </row>
    <row r="3424" spans="22:25" x14ac:dyDescent="0.2">
      <c r="V3424" s="563"/>
      <c r="X3424" s="563"/>
      <c r="Y3424" s="563"/>
    </row>
    <row r="3425" spans="22:25" x14ac:dyDescent="0.2">
      <c r="V3425" s="563"/>
      <c r="X3425" s="563"/>
      <c r="Y3425" s="563"/>
    </row>
    <row r="3426" spans="22:25" x14ac:dyDescent="0.2">
      <c r="V3426" s="563"/>
      <c r="X3426" s="563"/>
      <c r="Y3426" s="563"/>
    </row>
    <row r="3427" spans="22:25" x14ac:dyDescent="0.2">
      <c r="V3427" s="563"/>
      <c r="X3427" s="563"/>
      <c r="Y3427" s="563"/>
    </row>
    <row r="3428" spans="22:25" x14ac:dyDescent="0.2">
      <c r="V3428" s="563"/>
      <c r="X3428" s="563"/>
      <c r="Y3428" s="563"/>
    </row>
    <row r="3429" spans="22:25" x14ac:dyDescent="0.2">
      <c r="V3429" s="563"/>
      <c r="X3429" s="563"/>
      <c r="Y3429" s="563"/>
    </row>
    <row r="3430" spans="22:25" x14ac:dyDescent="0.2">
      <c r="V3430" s="563"/>
      <c r="X3430" s="563"/>
      <c r="Y3430" s="563"/>
    </row>
    <row r="3431" spans="22:25" x14ac:dyDescent="0.2">
      <c r="V3431" s="563"/>
      <c r="X3431" s="563"/>
      <c r="Y3431" s="563"/>
    </row>
    <row r="3432" spans="22:25" x14ac:dyDescent="0.2">
      <c r="V3432" s="563"/>
      <c r="X3432" s="563"/>
      <c r="Y3432" s="563"/>
    </row>
    <row r="3433" spans="22:25" x14ac:dyDescent="0.2">
      <c r="V3433" s="563"/>
      <c r="X3433" s="563"/>
      <c r="Y3433" s="563"/>
    </row>
    <row r="3434" spans="22:25" x14ac:dyDescent="0.2">
      <c r="V3434" s="563"/>
      <c r="X3434" s="563"/>
      <c r="Y3434" s="563"/>
    </row>
    <row r="3435" spans="22:25" x14ac:dyDescent="0.2">
      <c r="V3435" s="563"/>
      <c r="X3435" s="563"/>
      <c r="Y3435" s="563"/>
    </row>
    <row r="3436" spans="22:25" x14ac:dyDescent="0.2">
      <c r="V3436" s="563"/>
      <c r="X3436" s="563"/>
      <c r="Y3436" s="563"/>
    </row>
    <row r="3437" spans="22:25" x14ac:dyDescent="0.2">
      <c r="V3437" s="563"/>
      <c r="X3437" s="563"/>
      <c r="Y3437" s="563"/>
    </row>
    <row r="3438" spans="22:25" x14ac:dyDescent="0.2">
      <c r="V3438" s="563"/>
      <c r="X3438" s="563"/>
      <c r="Y3438" s="563"/>
    </row>
    <row r="3439" spans="22:25" x14ac:dyDescent="0.2">
      <c r="V3439" s="563"/>
      <c r="X3439" s="563"/>
      <c r="Y3439" s="563"/>
    </row>
    <row r="3440" spans="22:25" x14ac:dyDescent="0.2">
      <c r="V3440" s="563"/>
      <c r="X3440" s="563"/>
      <c r="Y3440" s="563"/>
    </row>
    <row r="3441" spans="22:25" x14ac:dyDescent="0.2">
      <c r="V3441" s="563"/>
      <c r="X3441" s="563"/>
      <c r="Y3441" s="563"/>
    </row>
    <row r="3442" spans="22:25" x14ac:dyDescent="0.2">
      <c r="V3442" s="563"/>
      <c r="X3442" s="563"/>
      <c r="Y3442" s="563"/>
    </row>
    <row r="3443" spans="22:25" x14ac:dyDescent="0.2">
      <c r="V3443" s="563"/>
      <c r="X3443" s="563"/>
      <c r="Y3443" s="563"/>
    </row>
    <row r="3444" spans="22:25" x14ac:dyDescent="0.2">
      <c r="V3444" s="563"/>
      <c r="X3444" s="563"/>
      <c r="Y3444" s="563"/>
    </row>
    <row r="3445" spans="22:25" x14ac:dyDescent="0.2">
      <c r="V3445" s="563"/>
      <c r="X3445" s="563"/>
      <c r="Y3445" s="563"/>
    </row>
    <row r="3446" spans="22:25" x14ac:dyDescent="0.2">
      <c r="V3446" s="563"/>
      <c r="X3446" s="563"/>
      <c r="Y3446" s="563"/>
    </row>
    <row r="3447" spans="22:25" x14ac:dyDescent="0.2">
      <c r="V3447" s="563"/>
      <c r="X3447" s="563"/>
      <c r="Y3447" s="563"/>
    </row>
    <row r="3448" spans="22:25" x14ac:dyDescent="0.2">
      <c r="V3448" s="563"/>
      <c r="X3448" s="563"/>
      <c r="Y3448" s="563"/>
    </row>
    <row r="3449" spans="22:25" x14ac:dyDescent="0.2">
      <c r="V3449" s="563"/>
      <c r="X3449" s="563"/>
      <c r="Y3449" s="563"/>
    </row>
    <row r="3450" spans="22:25" x14ac:dyDescent="0.2">
      <c r="V3450" s="563"/>
      <c r="X3450" s="563"/>
      <c r="Y3450" s="563"/>
    </row>
    <row r="3451" spans="22:25" x14ac:dyDescent="0.2">
      <c r="V3451" s="563"/>
      <c r="X3451" s="563"/>
      <c r="Y3451" s="563"/>
    </row>
    <row r="3452" spans="22:25" x14ac:dyDescent="0.2">
      <c r="V3452" s="563"/>
      <c r="X3452" s="563"/>
      <c r="Y3452" s="563"/>
    </row>
    <row r="3453" spans="22:25" x14ac:dyDescent="0.2">
      <c r="V3453" s="563"/>
      <c r="X3453" s="563"/>
      <c r="Y3453" s="563"/>
    </row>
    <row r="3454" spans="22:25" x14ac:dyDescent="0.2">
      <c r="V3454" s="563"/>
      <c r="X3454" s="563"/>
      <c r="Y3454" s="563"/>
    </row>
    <row r="3455" spans="22:25" x14ac:dyDescent="0.2">
      <c r="V3455" s="563"/>
      <c r="X3455" s="563"/>
      <c r="Y3455" s="563"/>
    </row>
    <row r="3456" spans="22:25" x14ac:dyDescent="0.2">
      <c r="V3456" s="563"/>
      <c r="X3456" s="563"/>
      <c r="Y3456" s="563"/>
    </row>
    <row r="3457" spans="22:25" x14ac:dyDescent="0.2">
      <c r="V3457" s="563"/>
      <c r="X3457" s="563"/>
      <c r="Y3457" s="563"/>
    </row>
    <row r="3458" spans="22:25" x14ac:dyDescent="0.2">
      <c r="V3458" s="563"/>
      <c r="X3458" s="563"/>
      <c r="Y3458" s="563"/>
    </row>
    <row r="3459" spans="22:25" x14ac:dyDescent="0.2">
      <c r="V3459" s="563"/>
      <c r="X3459" s="563"/>
      <c r="Y3459" s="563"/>
    </row>
    <row r="3460" spans="22:25" x14ac:dyDescent="0.2">
      <c r="V3460" s="563"/>
      <c r="X3460" s="563"/>
      <c r="Y3460" s="563"/>
    </row>
    <row r="3461" spans="22:25" x14ac:dyDescent="0.2">
      <c r="V3461" s="563"/>
      <c r="X3461" s="563"/>
      <c r="Y3461" s="563"/>
    </row>
    <row r="3462" spans="22:25" x14ac:dyDescent="0.2">
      <c r="V3462" s="563"/>
      <c r="X3462" s="563"/>
      <c r="Y3462" s="563"/>
    </row>
    <row r="3463" spans="22:25" x14ac:dyDescent="0.2">
      <c r="V3463" s="563"/>
      <c r="X3463" s="563"/>
      <c r="Y3463" s="563"/>
    </row>
    <row r="3464" spans="22:25" x14ac:dyDescent="0.2">
      <c r="V3464" s="563"/>
      <c r="X3464" s="563"/>
      <c r="Y3464" s="563"/>
    </row>
    <row r="3465" spans="22:25" x14ac:dyDescent="0.2">
      <c r="V3465" s="563"/>
      <c r="X3465" s="563"/>
      <c r="Y3465" s="563"/>
    </row>
    <row r="3466" spans="22:25" x14ac:dyDescent="0.2">
      <c r="V3466" s="563"/>
      <c r="X3466" s="563"/>
      <c r="Y3466" s="563"/>
    </row>
    <row r="3467" spans="22:25" x14ac:dyDescent="0.2">
      <c r="V3467" s="563"/>
      <c r="X3467" s="563"/>
      <c r="Y3467" s="563"/>
    </row>
    <row r="3468" spans="22:25" x14ac:dyDescent="0.2">
      <c r="V3468" s="563"/>
      <c r="X3468" s="563"/>
      <c r="Y3468" s="563"/>
    </row>
    <row r="3469" spans="22:25" x14ac:dyDescent="0.2">
      <c r="V3469" s="563"/>
      <c r="X3469" s="563"/>
      <c r="Y3469" s="563"/>
    </row>
    <row r="3470" spans="22:25" x14ac:dyDescent="0.2">
      <c r="V3470" s="563"/>
      <c r="X3470" s="563"/>
      <c r="Y3470" s="563"/>
    </row>
    <row r="3471" spans="22:25" x14ac:dyDescent="0.2">
      <c r="V3471" s="563"/>
      <c r="X3471" s="563"/>
      <c r="Y3471" s="563"/>
    </row>
    <row r="3472" spans="22:25" x14ac:dyDescent="0.2">
      <c r="V3472" s="563"/>
      <c r="X3472" s="563"/>
      <c r="Y3472" s="563"/>
    </row>
    <row r="3473" spans="22:25" x14ac:dyDescent="0.2">
      <c r="V3473" s="563"/>
      <c r="X3473" s="563"/>
      <c r="Y3473" s="563"/>
    </row>
    <row r="3474" spans="22:25" x14ac:dyDescent="0.2">
      <c r="V3474" s="563"/>
      <c r="X3474" s="563"/>
      <c r="Y3474" s="563"/>
    </row>
    <row r="3475" spans="22:25" x14ac:dyDescent="0.2">
      <c r="V3475" s="563"/>
      <c r="X3475" s="563"/>
      <c r="Y3475" s="563"/>
    </row>
    <row r="3476" spans="22:25" x14ac:dyDescent="0.2">
      <c r="V3476" s="563"/>
      <c r="X3476" s="563"/>
      <c r="Y3476" s="563"/>
    </row>
    <row r="3477" spans="22:25" x14ac:dyDescent="0.2">
      <c r="V3477" s="563"/>
      <c r="X3477" s="563"/>
      <c r="Y3477" s="563"/>
    </row>
    <row r="3478" spans="22:25" x14ac:dyDescent="0.2">
      <c r="V3478" s="563"/>
      <c r="X3478" s="563"/>
      <c r="Y3478" s="563"/>
    </row>
    <row r="3479" spans="22:25" x14ac:dyDescent="0.2">
      <c r="V3479" s="563"/>
      <c r="X3479" s="563"/>
      <c r="Y3479" s="563"/>
    </row>
    <row r="3480" spans="22:25" x14ac:dyDescent="0.2">
      <c r="V3480" s="563"/>
      <c r="X3480" s="563"/>
      <c r="Y3480" s="563"/>
    </row>
    <row r="3481" spans="22:25" x14ac:dyDescent="0.2">
      <c r="V3481" s="563"/>
      <c r="X3481" s="563"/>
      <c r="Y3481" s="563"/>
    </row>
    <row r="3482" spans="22:25" x14ac:dyDescent="0.2">
      <c r="V3482" s="563"/>
      <c r="X3482" s="563"/>
      <c r="Y3482" s="563"/>
    </row>
    <row r="3483" spans="22:25" x14ac:dyDescent="0.2">
      <c r="V3483" s="563"/>
      <c r="X3483" s="563"/>
      <c r="Y3483" s="563"/>
    </row>
    <row r="3484" spans="22:25" x14ac:dyDescent="0.2">
      <c r="V3484" s="563"/>
      <c r="X3484" s="563"/>
      <c r="Y3484" s="563"/>
    </row>
    <row r="3485" spans="22:25" x14ac:dyDescent="0.2">
      <c r="V3485" s="563"/>
      <c r="X3485" s="563"/>
      <c r="Y3485" s="563"/>
    </row>
    <row r="3486" spans="22:25" x14ac:dyDescent="0.2">
      <c r="V3486" s="563"/>
      <c r="X3486" s="563"/>
      <c r="Y3486" s="563"/>
    </row>
    <row r="3487" spans="22:25" x14ac:dyDescent="0.2">
      <c r="V3487" s="563"/>
      <c r="X3487" s="563"/>
      <c r="Y3487" s="563"/>
    </row>
    <row r="3488" spans="22:25" x14ac:dyDescent="0.2">
      <c r="V3488" s="563"/>
      <c r="X3488" s="563"/>
      <c r="Y3488" s="563"/>
    </row>
    <row r="3489" spans="22:25" x14ac:dyDescent="0.2">
      <c r="V3489" s="563"/>
      <c r="X3489" s="563"/>
      <c r="Y3489" s="563"/>
    </row>
    <row r="3490" spans="22:25" x14ac:dyDescent="0.2">
      <c r="V3490" s="563"/>
      <c r="X3490" s="563"/>
      <c r="Y3490" s="563"/>
    </row>
    <row r="3491" spans="22:25" x14ac:dyDescent="0.2">
      <c r="V3491" s="563"/>
      <c r="X3491" s="563"/>
      <c r="Y3491" s="563"/>
    </row>
    <row r="3492" spans="22:25" x14ac:dyDescent="0.2">
      <c r="V3492" s="563"/>
      <c r="X3492" s="563"/>
      <c r="Y3492" s="563"/>
    </row>
    <row r="3493" spans="22:25" x14ac:dyDescent="0.2">
      <c r="V3493" s="563"/>
      <c r="X3493" s="563"/>
      <c r="Y3493" s="563"/>
    </row>
    <row r="3494" spans="22:25" x14ac:dyDescent="0.2">
      <c r="V3494" s="563"/>
      <c r="X3494" s="563"/>
      <c r="Y3494" s="563"/>
    </row>
    <row r="3495" spans="22:25" x14ac:dyDescent="0.2">
      <c r="V3495" s="563"/>
      <c r="X3495" s="563"/>
      <c r="Y3495" s="563"/>
    </row>
    <row r="3496" spans="22:25" x14ac:dyDescent="0.2">
      <c r="V3496" s="563"/>
      <c r="X3496" s="563"/>
      <c r="Y3496" s="563"/>
    </row>
    <row r="3497" spans="22:25" x14ac:dyDescent="0.2">
      <c r="V3497" s="563"/>
      <c r="X3497" s="563"/>
      <c r="Y3497" s="563"/>
    </row>
    <row r="3498" spans="22:25" x14ac:dyDescent="0.2">
      <c r="V3498" s="563"/>
      <c r="X3498" s="563"/>
      <c r="Y3498" s="563"/>
    </row>
    <row r="3499" spans="22:25" x14ac:dyDescent="0.2">
      <c r="V3499" s="563"/>
      <c r="X3499" s="563"/>
      <c r="Y3499" s="563"/>
    </row>
    <row r="3500" spans="22:25" x14ac:dyDescent="0.2">
      <c r="V3500" s="563"/>
      <c r="X3500" s="563"/>
      <c r="Y3500" s="563"/>
    </row>
    <row r="3501" spans="22:25" x14ac:dyDescent="0.2">
      <c r="V3501" s="563"/>
      <c r="X3501" s="563"/>
      <c r="Y3501" s="563"/>
    </row>
    <row r="3502" spans="22:25" x14ac:dyDescent="0.2">
      <c r="V3502" s="563"/>
      <c r="X3502" s="563"/>
      <c r="Y3502" s="563"/>
    </row>
    <row r="3503" spans="22:25" x14ac:dyDescent="0.2">
      <c r="V3503" s="563"/>
      <c r="X3503" s="563"/>
      <c r="Y3503" s="563"/>
    </row>
    <row r="3504" spans="22:25" x14ac:dyDescent="0.2">
      <c r="V3504" s="563"/>
      <c r="X3504" s="563"/>
      <c r="Y3504" s="563"/>
    </row>
    <row r="3505" spans="22:25" x14ac:dyDescent="0.2">
      <c r="V3505" s="563"/>
      <c r="X3505" s="563"/>
      <c r="Y3505" s="563"/>
    </row>
    <row r="3506" spans="22:25" x14ac:dyDescent="0.2">
      <c r="V3506" s="563"/>
      <c r="X3506" s="563"/>
      <c r="Y3506" s="563"/>
    </row>
    <row r="3507" spans="22:25" x14ac:dyDescent="0.2">
      <c r="V3507" s="563"/>
      <c r="X3507" s="563"/>
      <c r="Y3507" s="563"/>
    </row>
    <row r="3508" spans="22:25" x14ac:dyDescent="0.2">
      <c r="V3508" s="563"/>
      <c r="X3508" s="563"/>
      <c r="Y3508" s="563"/>
    </row>
    <row r="3509" spans="22:25" x14ac:dyDescent="0.2">
      <c r="V3509" s="563"/>
      <c r="X3509" s="563"/>
      <c r="Y3509" s="563"/>
    </row>
    <row r="3510" spans="22:25" x14ac:dyDescent="0.2">
      <c r="V3510" s="563"/>
      <c r="X3510" s="563"/>
      <c r="Y3510" s="563"/>
    </row>
    <row r="3511" spans="22:25" x14ac:dyDescent="0.2">
      <c r="V3511" s="563"/>
      <c r="X3511" s="563"/>
      <c r="Y3511" s="563"/>
    </row>
    <row r="3512" spans="22:25" x14ac:dyDescent="0.2">
      <c r="V3512" s="563"/>
      <c r="X3512" s="563"/>
      <c r="Y3512" s="563"/>
    </row>
    <row r="3513" spans="22:25" x14ac:dyDescent="0.2">
      <c r="V3513" s="563"/>
      <c r="X3513" s="563"/>
      <c r="Y3513" s="563"/>
    </row>
    <row r="3514" spans="22:25" x14ac:dyDescent="0.2">
      <c r="V3514" s="563"/>
      <c r="X3514" s="563"/>
      <c r="Y3514" s="563"/>
    </row>
    <row r="3515" spans="22:25" x14ac:dyDescent="0.2">
      <c r="V3515" s="563"/>
      <c r="X3515" s="563"/>
      <c r="Y3515" s="563"/>
    </row>
    <row r="3516" spans="22:25" x14ac:dyDescent="0.2">
      <c r="V3516" s="563"/>
      <c r="X3516" s="563"/>
      <c r="Y3516" s="563"/>
    </row>
    <row r="3517" spans="22:25" x14ac:dyDescent="0.2">
      <c r="V3517" s="563"/>
      <c r="X3517" s="563"/>
      <c r="Y3517" s="563"/>
    </row>
    <row r="3518" spans="22:25" x14ac:dyDescent="0.2">
      <c r="V3518" s="563"/>
      <c r="X3518" s="563"/>
      <c r="Y3518" s="563"/>
    </row>
    <row r="3519" spans="22:25" x14ac:dyDescent="0.2">
      <c r="V3519" s="563"/>
      <c r="X3519" s="563"/>
      <c r="Y3519" s="563"/>
    </row>
    <row r="3520" spans="22:25" x14ac:dyDescent="0.2">
      <c r="V3520" s="563"/>
      <c r="X3520" s="563"/>
      <c r="Y3520" s="563"/>
    </row>
    <row r="3521" spans="22:25" x14ac:dyDescent="0.2">
      <c r="V3521" s="563"/>
      <c r="X3521" s="563"/>
      <c r="Y3521" s="563"/>
    </row>
    <row r="3522" spans="22:25" x14ac:dyDescent="0.2">
      <c r="V3522" s="563"/>
      <c r="X3522" s="563"/>
      <c r="Y3522" s="563"/>
    </row>
    <row r="3523" spans="22:25" x14ac:dyDescent="0.2">
      <c r="V3523" s="563"/>
      <c r="X3523" s="563"/>
      <c r="Y3523" s="563"/>
    </row>
    <row r="3524" spans="22:25" x14ac:dyDescent="0.2">
      <c r="V3524" s="563"/>
      <c r="X3524" s="563"/>
      <c r="Y3524" s="563"/>
    </row>
    <row r="3525" spans="22:25" x14ac:dyDescent="0.2">
      <c r="V3525" s="563"/>
      <c r="X3525" s="563"/>
      <c r="Y3525" s="563"/>
    </row>
    <row r="3526" spans="22:25" x14ac:dyDescent="0.2">
      <c r="V3526" s="563"/>
      <c r="X3526" s="563"/>
      <c r="Y3526" s="563"/>
    </row>
    <row r="3527" spans="22:25" x14ac:dyDescent="0.2">
      <c r="V3527" s="563"/>
      <c r="X3527" s="563"/>
      <c r="Y3527" s="563"/>
    </row>
    <row r="3528" spans="22:25" x14ac:dyDescent="0.2">
      <c r="V3528" s="563"/>
      <c r="X3528" s="563"/>
      <c r="Y3528" s="563"/>
    </row>
    <row r="3529" spans="22:25" x14ac:dyDescent="0.2">
      <c r="V3529" s="563"/>
      <c r="X3529" s="563"/>
      <c r="Y3529" s="563"/>
    </row>
    <row r="3530" spans="22:25" x14ac:dyDescent="0.2">
      <c r="V3530" s="563"/>
      <c r="X3530" s="563"/>
      <c r="Y3530" s="563"/>
    </row>
    <row r="3531" spans="22:25" x14ac:dyDescent="0.2">
      <c r="V3531" s="563"/>
      <c r="X3531" s="563"/>
      <c r="Y3531" s="563"/>
    </row>
    <row r="3532" spans="22:25" x14ac:dyDescent="0.2">
      <c r="V3532" s="563"/>
      <c r="X3532" s="563"/>
      <c r="Y3532" s="563"/>
    </row>
    <row r="3533" spans="22:25" x14ac:dyDescent="0.2">
      <c r="V3533" s="563"/>
      <c r="X3533" s="563"/>
      <c r="Y3533" s="563"/>
    </row>
    <row r="3534" spans="22:25" x14ac:dyDescent="0.2">
      <c r="V3534" s="563"/>
      <c r="X3534" s="563"/>
      <c r="Y3534" s="563"/>
    </row>
    <row r="3535" spans="22:25" x14ac:dyDescent="0.2">
      <c r="V3535" s="563"/>
      <c r="X3535" s="563"/>
      <c r="Y3535" s="563"/>
    </row>
    <row r="3536" spans="22:25" x14ac:dyDescent="0.2">
      <c r="V3536" s="563"/>
      <c r="X3536" s="563"/>
      <c r="Y3536" s="563"/>
    </row>
    <row r="3537" spans="22:25" x14ac:dyDescent="0.2">
      <c r="V3537" s="563"/>
      <c r="X3537" s="563"/>
      <c r="Y3537" s="563"/>
    </row>
    <row r="3538" spans="22:25" x14ac:dyDescent="0.2">
      <c r="V3538" s="563"/>
      <c r="X3538" s="563"/>
      <c r="Y3538" s="563"/>
    </row>
    <row r="3539" spans="22:25" x14ac:dyDescent="0.2">
      <c r="V3539" s="563"/>
      <c r="X3539" s="563"/>
      <c r="Y3539" s="563"/>
    </row>
    <row r="3540" spans="22:25" x14ac:dyDescent="0.2">
      <c r="V3540" s="563"/>
      <c r="X3540" s="563"/>
      <c r="Y3540" s="563"/>
    </row>
    <row r="3541" spans="22:25" x14ac:dyDescent="0.2">
      <c r="V3541" s="563"/>
      <c r="X3541" s="563"/>
      <c r="Y3541" s="563"/>
    </row>
  </sheetData>
  <dataValidations count="1">
    <dataValidation type="list" allowBlank="1" showInputMessage="1" showErrorMessage="1" sqref="M3:M24">
      <formula1>"true,false"</formula1>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0"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92</v>
      </c>
      <c r="N1" s="556" t="e">
        <f ca="1">_xll.qlInterpolation(,interpolator6M,_xll.ohFilter(E3:E21,M3:M21),_xll.ohFilter(L3:L21,M3:M21))</f>
        <v>#NAME?</v>
      </c>
    </row>
    <row r="2" spans="1:22" ht="26.25" customHeight="1" collapsed="1" thickBot="1" x14ac:dyDescent="0.25">
      <c r="D2" s="594" t="str">
        <f>F1&amp;" Instruments"</f>
        <v>6M Instruments</v>
      </c>
      <c r="E2" s="594" t="s">
        <v>310</v>
      </c>
      <c r="F2" s="594" t="s">
        <v>317</v>
      </c>
      <c r="G2" s="594" t="s">
        <v>275</v>
      </c>
      <c r="H2" s="594" t="str">
        <f>F1&amp;" Market quote"</f>
        <v>6M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tr">
        <f>SUBSTITUTE(F1,"M","")</f>
        <v>6</v>
      </c>
      <c r="D3" s="592" t="str">
        <f>PROPER(Currency&amp;IborType)&amp;F1&amp;"LastFixing"&amp;QuoteSuffix</f>
        <v>Euribor6MLastFixing_Quote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21" ca="1" si="0">(I3/J3-1)/G3</f>
        <v>#NAME?</v>
      </c>
      <c r="L3" s="588" t="e">
        <f t="shared" ref="L3:L21" ca="1" si="1">H3-K3</f>
        <v>#NAME?</v>
      </c>
      <c r="M3" s="587" t="b">
        <v>0</v>
      </c>
      <c r="N3" s="586" t="e">
        <f ca="1">_xll.qlInterpolationInterpolate($N$1,E3,TRUE)</f>
        <v>#NAME?</v>
      </c>
      <c r="O3" s="585" t="e">
        <f t="shared" ref="O3:O21" ca="1" si="2">(L3-N3)*10000</f>
        <v>#NAME?</v>
      </c>
      <c r="P3" s="584" t="e">
        <f t="shared" ref="P3:P21" ca="1" si="3">LN((1+H3*G3)/(1+K3*G3))</f>
        <v>#NAME?</v>
      </c>
      <c r="R3" s="583" t="e">
        <f ca="1">E3</f>
        <v>#NAME?</v>
      </c>
      <c r="S3" s="582" t="e">
        <f ca="1">_xll.qlInterpolationInterpolate(B6Minterpolation,R3,TRUE)</f>
        <v>#NAME?</v>
      </c>
      <c r="U3" s="1361" t="s">
        <v>529</v>
      </c>
      <c r="V3" s="1364" t="e">
        <f ca="1">_xll.ohTrigger('General Settings_3'!Trigger)</f>
        <v>#NAME?</v>
      </c>
    </row>
    <row r="4" spans="1:22" ht="11.25" customHeight="1" thickBot="1" x14ac:dyDescent="0.3">
      <c r="A4" s="556">
        <v>1</v>
      </c>
      <c r="B4" s="556" t="s">
        <v>180</v>
      </c>
      <c r="C4" s="556">
        <f t="shared" ref="C4:C21" si="4">A4+SUBSTITUTE($F$1,"M","")</f>
        <v>7</v>
      </c>
      <c r="D4" s="579" t="str">
        <f t="shared" ref="D4:D21" si="5">Currency&amp;A4&amp;B4&amp;C4&amp;"F"&amp;QuoteSuffix</f>
        <v>EUR1x7F_Quote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_xll.qlInterpolationInterpolate(B6Minterpolation,R4,TRUE)</f>
        <v>#NAME?</v>
      </c>
      <c r="U4" s="1362" t="s">
        <v>530</v>
      </c>
      <c r="V4" s="1365" t="e">
        <f ca="1">_xll.ohTrigger(S3:S262)</f>
        <v>#NAME?</v>
      </c>
    </row>
    <row r="5" spans="1:22" ht="11.25" customHeight="1" x14ac:dyDescent="0.2">
      <c r="A5" s="556">
        <v>2</v>
      </c>
      <c r="B5" s="556" t="s">
        <v>180</v>
      </c>
      <c r="C5" s="556">
        <f t="shared" si="4"/>
        <v>8</v>
      </c>
      <c r="D5" s="579" t="str">
        <f t="shared" si="5"/>
        <v>EUR2x8F_Quote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_xll.qlInterpolationInterpolate(B6Minterpolation,R5,TRUE)</f>
        <v>#NAME?</v>
      </c>
    </row>
    <row r="6" spans="1:22" ht="11.25" customHeight="1" x14ac:dyDescent="0.2">
      <c r="A6" s="556">
        <f t="shared" ref="A6:A21" si="6">A5+1</f>
        <v>3</v>
      </c>
      <c r="B6" s="556" t="s">
        <v>180</v>
      </c>
      <c r="C6" s="556">
        <f t="shared" si="4"/>
        <v>9</v>
      </c>
      <c r="D6" s="579" t="str">
        <f t="shared" si="5"/>
        <v>EUR3x9F_Quote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_xll.qlInterpolationInterpolate(B6Minterpolation,R6,TRUE)</f>
        <v>#NAME?</v>
      </c>
    </row>
    <row r="7" spans="1:22" ht="11.25" customHeight="1" x14ac:dyDescent="0.2">
      <c r="A7" s="556">
        <f t="shared" si="6"/>
        <v>4</v>
      </c>
      <c r="B7" s="556" t="s">
        <v>180</v>
      </c>
      <c r="C7" s="556">
        <f t="shared" si="4"/>
        <v>10</v>
      </c>
      <c r="D7" s="579" t="str">
        <f t="shared" si="5"/>
        <v>EUR4x10F_Quote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0</v>
      </c>
      <c r="N7" s="575" t="e">
        <f ca="1">_xll.qlInterpolationInterpolate($N$1,E7,TRUE)</f>
        <v>#NAME?</v>
      </c>
      <c r="O7" s="574" t="e">
        <f t="shared" ca="1" si="2"/>
        <v>#NAME?</v>
      </c>
      <c r="P7" s="573" t="e">
        <f t="shared" ca="1" si="3"/>
        <v>#NAME?</v>
      </c>
      <c r="R7" s="562" t="e">
        <f ca="1">_xll.qlCalendarAdvance(Calendar,R6,"1D","f")</f>
        <v>#NAME?</v>
      </c>
      <c r="S7" s="561" t="e">
        <f ca="1">_xll.qlInterpolationInterpolate(B6Minterpolation,R7,TRUE)</f>
        <v>#NAME?</v>
      </c>
    </row>
    <row r="8" spans="1:22" ht="11.25" customHeight="1" x14ac:dyDescent="0.2">
      <c r="A8" s="556">
        <f t="shared" si="6"/>
        <v>5</v>
      </c>
      <c r="B8" s="556" t="s">
        <v>180</v>
      </c>
      <c r="C8" s="556">
        <f t="shared" si="4"/>
        <v>11</v>
      </c>
      <c r="D8" s="579" t="str">
        <f t="shared" si="5"/>
        <v>EUR5x11F_Quote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0</v>
      </c>
      <c r="N8" s="575" t="e">
        <f ca="1">_xll.qlInterpolationInterpolate($N$1,E8,TRUE)</f>
        <v>#NAME?</v>
      </c>
      <c r="O8" s="574" t="e">
        <f t="shared" ca="1" si="2"/>
        <v>#NAME?</v>
      </c>
      <c r="P8" s="573" t="e">
        <f t="shared" ca="1" si="3"/>
        <v>#NAME?</v>
      </c>
      <c r="R8" s="562" t="e">
        <f ca="1">_xll.qlCalendarAdvance(Calendar,R7,"1D","f")</f>
        <v>#NAME?</v>
      </c>
      <c r="S8" s="561" t="e">
        <f ca="1">_xll.qlInterpolationInterpolate(B6Minterpolation,R8,TRUE)</f>
        <v>#NAME?</v>
      </c>
    </row>
    <row r="9" spans="1:22" ht="11.25" customHeight="1" x14ac:dyDescent="0.2">
      <c r="A9" s="556">
        <f t="shared" si="6"/>
        <v>6</v>
      </c>
      <c r="B9" s="556" t="s">
        <v>180</v>
      </c>
      <c r="C9" s="556">
        <f t="shared" si="4"/>
        <v>12</v>
      </c>
      <c r="D9" s="579" t="str">
        <f t="shared" si="5"/>
        <v>EUR6x12F_Quote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_xll.qlInterpolationInterpolate(B6Minterpolation,R9,TRUE)</f>
        <v>#NAME?</v>
      </c>
    </row>
    <row r="10" spans="1:22" ht="11.25" customHeight="1" x14ac:dyDescent="0.2">
      <c r="A10" s="556">
        <f t="shared" si="6"/>
        <v>7</v>
      </c>
      <c r="B10" s="556" t="s">
        <v>180</v>
      </c>
      <c r="C10" s="556">
        <f t="shared" si="4"/>
        <v>13</v>
      </c>
      <c r="D10" s="579" t="str">
        <f t="shared" si="5"/>
        <v>EUR7x13F_Quote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0</v>
      </c>
      <c r="N10" s="575" t="e">
        <f ca="1">_xll.qlInterpolationInterpolate($N$1,E10,TRUE)</f>
        <v>#NAME?</v>
      </c>
      <c r="O10" s="574" t="e">
        <f t="shared" ca="1" si="2"/>
        <v>#NAME?</v>
      </c>
      <c r="P10" s="573" t="e">
        <f t="shared" ca="1" si="3"/>
        <v>#NAME?</v>
      </c>
      <c r="R10" s="562" t="e">
        <f ca="1">_xll.qlCalendarAdvance(Calendar,R9,"1D","f")</f>
        <v>#NAME?</v>
      </c>
      <c r="S10" s="561" t="e">
        <f ca="1">_xll.qlInterpolationInterpolate(B6Minterpolation,R10,TRUE)</f>
        <v>#NAME?</v>
      </c>
    </row>
    <row r="11" spans="1:22" ht="11.25" customHeight="1" x14ac:dyDescent="0.2">
      <c r="A11" s="556">
        <f t="shared" si="6"/>
        <v>8</v>
      </c>
      <c r="B11" s="556" t="s">
        <v>180</v>
      </c>
      <c r="C11" s="556">
        <f t="shared" si="4"/>
        <v>14</v>
      </c>
      <c r="D11" s="579" t="str">
        <f t="shared" si="5"/>
        <v>EUR8x14F_Quote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0</v>
      </c>
      <c r="N11" s="575" t="e">
        <f ca="1">_xll.qlInterpolationInterpolate($N$1,E11,TRUE)</f>
        <v>#NAME?</v>
      </c>
      <c r="O11" s="574" t="e">
        <f t="shared" ca="1" si="2"/>
        <v>#NAME?</v>
      </c>
      <c r="P11" s="573" t="e">
        <f t="shared" ca="1" si="3"/>
        <v>#NAME?</v>
      </c>
      <c r="R11" s="562" t="e">
        <f ca="1">_xll.qlCalendarAdvance(Calendar,R10,"1D","f")</f>
        <v>#NAME?</v>
      </c>
      <c r="S11" s="561" t="e">
        <f ca="1">_xll.qlInterpolationInterpolate(B6Minterpolation,R11,TRUE)</f>
        <v>#NAME?</v>
      </c>
    </row>
    <row r="12" spans="1:22" ht="11.25" customHeight="1" x14ac:dyDescent="0.2">
      <c r="A12" s="556">
        <f t="shared" si="6"/>
        <v>9</v>
      </c>
      <c r="B12" s="556" t="s">
        <v>180</v>
      </c>
      <c r="C12" s="556">
        <f t="shared" si="4"/>
        <v>15</v>
      </c>
      <c r="D12" s="579" t="str">
        <f t="shared" si="5"/>
        <v>EUR9x15F_Quote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_xll.qlInterpolationInterpolate(B6Minterpolation,R12,TRUE)</f>
        <v>#NAME?</v>
      </c>
    </row>
    <row r="13" spans="1:22" ht="11.25" customHeight="1" x14ac:dyDescent="0.2">
      <c r="A13" s="556">
        <f t="shared" si="6"/>
        <v>10</v>
      </c>
      <c r="B13" s="556" t="s">
        <v>180</v>
      </c>
      <c r="C13" s="556">
        <f t="shared" si="4"/>
        <v>16</v>
      </c>
      <c r="D13" s="579" t="str">
        <f t="shared" si="5"/>
        <v>EUR10x16F_Quote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_xll.qlInterpolationInterpolate(B6Minterpolation,R13,TRUE)</f>
        <v>#NAME?</v>
      </c>
    </row>
    <row r="14" spans="1:22" ht="11.25" customHeight="1" x14ac:dyDescent="0.2">
      <c r="A14" s="556">
        <f t="shared" si="6"/>
        <v>11</v>
      </c>
      <c r="B14" s="556" t="s">
        <v>180</v>
      </c>
      <c r="C14" s="556">
        <f t="shared" si="4"/>
        <v>17</v>
      </c>
      <c r="D14" s="579" t="str">
        <f t="shared" si="5"/>
        <v>EUR11x17F_Quote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_xll.qlInterpolationInterpolate(B6Minterpolation,R14,TRUE)</f>
        <v>#NAME?</v>
      </c>
    </row>
    <row r="15" spans="1:22" ht="11.25" customHeight="1" x14ac:dyDescent="0.2">
      <c r="A15" s="556">
        <f t="shared" si="6"/>
        <v>12</v>
      </c>
      <c r="B15" s="556" t="s">
        <v>180</v>
      </c>
      <c r="C15" s="556">
        <f t="shared" si="4"/>
        <v>18</v>
      </c>
      <c r="D15" s="579" t="str">
        <f t="shared" si="5"/>
        <v>EUR12x18F_Quote</v>
      </c>
      <c r="E15" s="562" t="e">
        <f ca="1">_xll.qlCalendarAdvance("target",$E$3,A15&amp;"M","mf",,Trigger)</f>
        <v>#NAME?</v>
      </c>
      <c r="F15" s="562" t="e">
        <f ca="1">_xll.qlCalendarAdvance(Calendar,E15,$F$1,"mf",,Trigger)</f>
        <v>#NAME?</v>
      </c>
      <c r="G15" s="578" t="e">
        <f ca="1">_xll.qlDayCounterYearFraction(DayCounter,E15,F15,,,Trigger)</f>
        <v>#NAME?</v>
      </c>
      <c r="H15" s="575" t="e">
        <f ca="1">_xll.qlQuoteValue(D15,AllTriggers)</f>
        <v>#NAME?</v>
      </c>
      <c r="I15" s="577" t="e">
        <f ca="1">_xll.qlYieldTSDiscount(Discounting,E15,,AllTriggers)</f>
        <v>#NAME?</v>
      </c>
      <c r="J15" s="577" t="e">
        <f ca="1">_xll.qlYieldTSDiscount(Discounting,F15,,AllTriggers)</f>
        <v>#NAME?</v>
      </c>
      <c r="K15" s="575" t="e">
        <f t="shared" ca="1" si="0"/>
        <v>#NAME?</v>
      </c>
      <c r="L15" s="575" t="e">
        <f t="shared" ca="1" si="1"/>
        <v>#NAME?</v>
      </c>
      <c r="M15" s="576" t="b">
        <v>1</v>
      </c>
      <c r="N15" s="575" t="e">
        <f ca="1">_xll.qlInterpolationInterpolate($N$1,E15,TRUE)</f>
        <v>#NAME?</v>
      </c>
      <c r="O15" s="574" t="e">
        <f t="shared" ca="1" si="2"/>
        <v>#NAME?</v>
      </c>
      <c r="P15" s="573" t="e">
        <f t="shared" ca="1" si="3"/>
        <v>#NAME?</v>
      </c>
      <c r="R15" s="562" t="e">
        <f ca="1">_xll.qlCalendarAdvance(Calendar,R14,"1D","f")</f>
        <v>#NAME?</v>
      </c>
      <c r="S15" s="561" t="e">
        <f ca="1">_xll.qlInterpolationInterpolate(B6Minterpolation,R15,TRUE)</f>
        <v>#NAME?</v>
      </c>
    </row>
    <row r="16" spans="1:22" ht="11.25" customHeight="1" x14ac:dyDescent="0.2">
      <c r="A16" s="556">
        <f t="shared" si="6"/>
        <v>13</v>
      </c>
      <c r="B16" s="556" t="s">
        <v>180</v>
      </c>
      <c r="C16" s="556">
        <f t="shared" si="4"/>
        <v>19</v>
      </c>
      <c r="D16" s="579" t="str">
        <f t="shared" si="5"/>
        <v>EUR13x19F_Quote</v>
      </c>
      <c r="E16" s="562" t="e">
        <f ca="1">_xll.qlCalendarAdvance("target",$E$3,A16&amp;"M","mf",,Trigger)</f>
        <v>#NAME?</v>
      </c>
      <c r="F16" s="562" t="e">
        <f ca="1">_xll.qlCalendarAdvance(Calendar,E16,$F$1,"mf",,Trigger)</f>
        <v>#NAME?</v>
      </c>
      <c r="G16" s="578" t="e">
        <f ca="1">_xll.qlDayCounterYearFraction(DayCounter,E16,F16,,,Trigger)</f>
        <v>#NAME?</v>
      </c>
      <c r="H16" s="575" t="e">
        <f ca="1">_xll.qlQuoteValue(D16,AllTriggers)</f>
        <v>#NAME?</v>
      </c>
      <c r="I16" s="577" t="e">
        <f ca="1">_xll.qlYieldTSDiscount(Discounting,E16,,AllTriggers)</f>
        <v>#NAME?</v>
      </c>
      <c r="J16" s="577" t="e">
        <f ca="1">_xll.qlYieldTSDiscount(Discounting,F16,,AllTriggers)</f>
        <v>#NAME?</v>
      </c>
      <c r="K16" s="575" t="e">
        <f t="shared" ca="1" si="0"/>
        <v>#NAME?</v>
      </c>
      <c r="L16" s="575" t="e">
        <f t="shared" ca="1" si="1"/>
        <v>#NAME?</v>
      </c>
      <c r="M16" s="576" t="b">
        <v>0</v>
      </c>
      <c r="N16" s="575" t="e">
        <f ca="1">_xll.qlInterpolationInterpolate($N$1,E16,TRUE)</f>
        <v>#NAME?</v>
      </c>
      <c r="O16" s="574" t="e">
        <f t="shared" ca="1" si="2"/>
        <v>#NAME?</v>
      </c>
      <c r="P16" s="573" t="e">
        <f t="shared" ca="1" si="3"/>
        <v>#NAME?</v>
      </c>
      <c r="R16" s="562" t="e">
        <f ca="1">_xll.qlCalendarAdvance(Calendar,R15,"1D","f")</f>
        <v>#NAME?</v>
      </c>
      <c r="S16" s="561" t="e">
        <f ca="1">_xll.qlInterpolationInterpolate(B6Minterpolation,R16,TRUE)</f>
        <v>#NAME?</v>
      </c>
    </row>
    <row r="17" spans="1:19" ht="11.25" customHeight="1" x14ac:dyDescent="0.2">
      <c r="A17" s="556">
        <f t="shared" si="6"/>
        <v>14</v>
      </c>
      <c r="B17" s="556" t="s">
        <v>180</v>
      </c>
      <c r="C17" s="556">
        <f t="shared" si="4"/>
        <v>20</v>
      </c>
      <c r="D17" s="579" t="str">
        <f t="shared" si="5"/>
        <v>EUR14x20F_Quote</v>
      </c>
      <c r="E17" s="562" t="e">
        <f ca="1">_xll.qlCalendarAdvance("target",$E$3,A17&amp;"M","mf",,Trigger)</f>
        <v>#NAME?</v>
      </c>
      <c r="F17" s="562" t="e">
        <f ca="1">_xll.qlCalendarAdvance(Calendar,E17,$F$1,"mf",,Trigger)</f>
        <v>#NAME?</v>
      </c>
      <c r="G17" s="578" t="e">
        <f ca="1">_xll.qlDayCounterYearFraction(DayCounter,E17,F17,,,Trigger)</f>
        <v>#NAME?</v>
      </c>
      <c r="H17" s="575" t="e">
        <f ca="1">_xll.qlQuoteValue(D17,AllTriggers)</f>
        <v>#NAME?</v>
      </c>
      <c r="I17" s="577" t="e">
        <f ca="1">_xll.qlYieldTSDiscount(Discounting,E17,,AllTriggers)</f>
        <v>#NAME?</v>
      </c>
      <c r="J17" s="577" t="e">
        <f ca="1">_xll.qlYieldTSDiscount(Discounting,F17,,AllTriggers)</f>
        <v>#NAME?</v>
      </c>
      <c r="K17" s="575" t="e">
        <f t="shared" ca="1" si="0"/>
        <v>#NAME?</v>
      </c>
      <c r="L17" s="575" t="e">
        <f t="shared" ca="1" si="1"/>
        <v>#NAME?</v>
      </c>
      <c r="M17" s="576" t="b">
        <v>0</v>
      </c>
      <c r="N17" s="575" t="e">
        <f ca="1">_xll.qlInterpolationInterpolate($N$1,E17,TRUE)</f>
        <v>#NAME?</v>
      </c>
      <c r="O17" s="574" t="e">
        <f t="shared" ca="1" si="2"/>
        <v>#NAME?</v>
      </c>
      <c r="P17" s="573" t="e">
        <f t="shared" ca="1" si="3"/>
        <v>#NAME?</v>
      </c>
      <c r="R17" s="562" t="e">
        <f ca="1">_xll.qlCalendarAdvance(Calendar,R16,"1D","f")</f>
        <v>#NAME?</v>
      </c>
      <c r="S17" s="561" t="e">
        <f ca="1">_xll.qlInterpolationInterpolate(B6Minterpolation,R17,TRUE)</f>
        <v>#NAME?</v>
      </c>
    </row>
    <row r="18" spans="1:19" ht="11.25" customHeight="1" x14ac:dyDescent="0.2">
      <c r="A18" s="556">
        <f t="shared" si="6"/>
        <v>15</v>
      </c>
      <c r="B18" s="556" t="s">
        <v>180</v>
      </c>
      <c r="C18" s="556">
        <f t="shared" si="4"/>
        <v>21</v>
      </c>
      <c r="D18" s="579" t="str">
        <f t="shared" si="5"/>
        <v>EUR15x21F_Quote</v>
      </c>
      <c r="E18" s="562" t="e">
        <f ca="1">_xll.qlCalendarAdvance("target",$E$3,A18&amp;"M","mf",,Trigger)</f>
        <v>#NAME?</v>
      </c>
      <c r="F18" s="562" t="e">
        <f ca="1">_xll.qlCalendarAdvance(Calendar,E18,$F$1,"mf",,Trigger)</f>
        <v>#NAME?</v>
      </c>
      <c r="G18" s="578" t="e">
        <f ca="1">_xll.qlDayCounterYearFraction(DayCounter,E18,F18,,,Trigger)</f>
        <v>#NAME?</v>
      </c>
      <c r="H18" s="575" t="e">
        <f ca="1">_xll.qlQuoteValue(D18,AllTriggers)</f>
        <v>#NAME?</v>
      </c>
      <c r="I18" s="577" t="e">
        <f ca="1">_xll.qlYieldTSDiscount(Discounting,E18,,AllTriggers)</f>
        <v>#NAME?</v>
      </c>
      <c r="J18" s="577" t="e">
        <f ca="1">_xll.qlYieldTSDiscount(Discounting,F18,,AllTriggers)</f>
        <v>#NAME?</v>
      </c>
      <c r="K18" s="575" t="e">
        <f t="shared" ca="1" si="0"/>
        <v>#NAME?</v>
      </c>
      <c r="L18" s="575" t="e">
        <f t="shared" ca="1" si="1"/>
        <v>#NAME?</v>
      </c>
      <c r="M18" s="576" t="b">
        <v>0</v>
      </c>
      <c r="N18" s="575" t="e">
        <f ca="1">_xll.qlInterpolationInterpolate($N$1,E18,TRUE)</f>
        <v>#NAME?</v>
      </c>
      <c r="O18" s="574" t="e">
        <f t="shared" ca="1" si="2"/>
        <v>#NAME?</v>
      </c>
      <c r="P18" s="573" t="e">
        <f t="shared" ca="1" si="3"/>
        <v>#NAME?</v>
      </c>
      <c r="R18" s="562" t="e">
        <f ca="1">_xll.qlCalendarAdvance(Calendar,R17,"1D","f")</f>
        <v>#NAME?</v>
      </c>
      <c r="S18" s="561" t="e">
        <f ca="1">_xll.qlInterpolationInterpolate(B6Minterpolation,R18,TRUE)</f>
        <v>#NAME?</v>
      </c>
    </row>
    <row r="19" spans="1:19" ht="11.25" customHeight="1" x14ac:dyDescent="0.2">
      <c r="A19" s="556">
        <f t="shared" si="6"/>
        <v>16</v>
      </c>
      <c r="B19" s="556" t="s">
        <v>180</v>
      </c>
      <c r="C19" s="556">
        <f t="shared" si="4"/>
        <v>22</v>
      </c>
      <c r="D19" s="579" t="str">
        <f t="shared" si="5"/>
        <v>EUR16x22F_Quote</v>
      </c>
      <c r="E19" s="562" t="e">
        <f ca="1">_xll.qlCalendarAdvance("target",$E$3,A19&amp;"M","mf",,Trigger)</f>
        <v>#NAME?</v>
      </c>
      <c r="F19" s="562" t="e">
        <f ca="1">_xll.qlCalendarAdvance(Calendar,E19,$F$1,"mf",,Trigger)</f>
        <v>#NAME?</v>
      </c>
      <c r="G19" s="578" t="e">
        <f ca="1">_xll.qlDayCounterYearFraction(DayCounter,E19,F19,,,Trigger)</f>
        <v>#NAME?</v>
      </c>
      <c r="H19" s="575" t="e">
        <f ca="1">_xll.qlQuoteValue(D19,AllTriggers)</f>
        <v>#NAME?</v>
      </c>
      <c r="I19" s="577" t="e">
        <f ca="1">_xll.qlYieldTSDiscount(Discounting,E19,,AllTriggers)</f>
        <v>#NAME?</v>
      </c>
      <c r="J19" s="577" t="e">
        <f ca="1">_xll.qlYieldTSDiscount(Discounting,F19,,AllTriggers)</f>
        <v>#NAME?</v>
      </c>
      <c r="K19" s="575" t="e">
        <f t="shared" ca="1" si="0"/>
        <v>#NAME?</v>
      </c>
      <c r="L19" s="575" t="e">
        <f t="shared" ca="1" si="1"/>
        <v>#NAME?</v>
      </c>
      <c r="M19" s="576" t="b">
        <v>0</v>
      </c>
      <c r="N19" s="575" t="e">
        <f ca="1">_xll.qlInterpolationInterpolate($N$1,E19,TRUE)</f>
        <v>#NAME?</v>
      </c>
      <c r="O19" s="574" t="e">
        <f t="shared" ca="1" si="2"/>
        <v>#NAME?</v>
      </c>
      <c r="P19" s="573" t="e">
        <f t="shared" ca="1" si="3"/>
        <v>#NAME?</v>
      </c>
      <c r="R19" s="562" t="e">
        <f ca="1">_xll.qlCalendarAdvance(Calendar,R18,"1D","f")</f>
        <v>#NAME?</v>
      </c>
      <c r="S19" s="561" t="e">
        <f ca="1">_xll.qlInterpolationInterpolate(B6Minterpolation,R19,TRUE)</f>
        <v>#NAME?</v>
      </c>
    </row>
    <row r="20" spans="1:19" ht="11.25" customHeight="1" x14ac:dyDescent="0.2">
      <c r="A20" s="556">
        <f t="shared" si="6"/>
        <v>17</v>
      </c>
      <c r="B20" s="556" t="s">
        <v>180</v>
      </c>
      <c r="C20" s="556">
        <f t="shared" si="4"/>
        <v>23</v>
      </c>
      <c r="D20" s="579" t="str">
        <f t="shared" si="5"/>
        <v>EUR17x23F_Quote</v>
      </c>
      <c r="E20" s="562" t="e">
        <f ca="1">_xll.qlCalendarAdvance("target",$E$3,A20&amp;"M","mf",,Trigger)</f>
        <v>#NAME?</v>
      </c>
      <c r="F20" s="562" t="e">
        <f ca="1">_xll.qlCalendarAdvance(Calendar,E20,$F$1,"mf",,Trigger)</f>
        <v>#NAME?</v>
      </c>
      <c r="G20" s="578" t="e">
        <f ca="1">_xll.qlDayCounterYearFraction(DayCounter,E20,F20,,,Trigger)</f>
        <v>#NAME?</v>
      </c>
      <c r="H20" s="575" t="e">
        <f ca="1">_xll.qlQuoteValue(D20,AllTriggers)</f>
        <v>#NAME?</v>
      </c>
      <c r="I20" s="577" t="e">
        <f ca="1">_xll.qlYieldTSDiscount(Discounting,E20,,AllTriggers)</f>
        <v>#NAME?</v>
      </c>
      <c r="J20" s="577" t="e">
        <f ca="1">_xll.qlYieldTSDiscount(Discounting,F20,,AllTriggers)</f>
        <v>#NAME?</v>
      </c>
      <c r="K20" s="575" t="e">
        <f t="shared" ca="1" si="0"/>
        <v>#NAME?</v>
      </c>
      <c r="L20" s="575" t="e">
        <f t="shared" ca="1" si="1"/>
        <v>#NAME?</v>
      </c>
      <c r="M20" s="576" t="b">
        <v>0</v>
      </c>
      <c r="N20" s="575" t="e">
        <f ca="1">_xll.qlInterpolationInterpolate($N$1,E20,TRUE)</f>
        <v>#NAME?</v>
      </c>
      <c r="O20" s="574" t="e">
        <f t="shared" ca="1" si="2"/>
        <v>#NAME?</v>
      </c>
      <c r="P20" s="573" t="e">
        <f t="shared" ca="1" si="3"/>
        <v>#NAME?</v>
      </c>
      <c r="R20" s="562" t="e">
        <f ca="1">_xll.qlCalendarAdvance(Calendar,R19,"1D","f")</f>
        <v>#NAME?</v>
      </c>
      <c r="S20" s="561" t="e">
        <f ca="1">_xll.qlInterpolationInterpolate(B6Minterpolation,R20,TRUE)</f>
        <v>#NAME?</v>
      </c>
    </row>
    <row r="21" spans="1:19" ht="11.25" customHeight="1" x14ac:dyDescent="0.2">
      <c r="A21" s="556">
        <f t="shared" si="6"/>
        <v>18</v>
      </c>
      <c r="B21" s="556" t="s">
        <v>180</v>
      </c>
      <c r="C21" s="556">
        <f t="shared" si="4"/>
        <v>24</v>
      </c>
      <c r="D21" s="572" t="str">
        <f t="shared" si="5"/>
        <v>EUR18x24F_Quote</v>
      </c>
      <c r="E21" s="560" t="e">
        <f ca="1">_xll.qlCalendarAdvance("target",$E$3,A21&amp;"M","mf",,Trigger)</f>
        <v>#NAME?</v>
      </c>
      <c r="F21" s="560" t="e">
        <f ca="1">_xll.qlCalendarAdvance(Calendar,E21,$F$1,"mf",,Trigger)</f>
        <v>#NAME?</v>
      </c>
      <c r="G21" s="571" t="e">
        <f ca="1">_xll.qlDayCounterYearFraction(DayCounter,E21,F21,,,Trigger)</f>
        <v>#NAME?</v>
      </c>
      <c r="H21" s="568" t="e">
        <f ca="1">_xll.qlQuoteValue(D21,AllTriggers)</f>
        <v>#NAME?</v>
      </c>
      <c r="I21" s="570" t="e">
        <f ca="1">_xll.qlYieldTSDiscount(Discounting,E21,,AllTriggers)</f>
        <v>#NAME?</v>
      </c>
      <c r="J21" s="570" t="e">
        <f ca="1">_xll.qlYieldTSDiscount(Discounting,F21,,AllTriggers)</f>
        <v>#NAME?</v>
      </c>
      <c r="K21" s="568" t="e">
        <f t="shared" ca="1" si="0"/>
        <v>#NAME?</v>
      </c>
      <c r="L21" s="568" t="e">
        <f t="shared" ca="1" si="1"/>
        <v>#NAME?</v>
      </c>
      <c r="M21" s="569" t="b">
        <v>1</v>
      </c>
      <c r="N21" s="568" t="e">
        <f ca="1">_xll.qlInterpolationInterpolate($N$1,E21,TRUE)</f>
        <v>#NAME?</v>
      </c>
      <c r="O21" s="567" t="e">
        <f t="shared" ca="1" si="2"/>
        <v>#NAME?</v>
      </c>
      <c r="P21" s="566" t="e">
        <f t="shared" ca="1" si="3"/>
        <v>#NAME?</v>
      </c>
      <c r="R21" s="562" t="e">
        <f ca="1">_xll.qlCalendarAdvance(Calendar,R20,"1D","f")</f>
        <v>#NAME?</v>
      </c>
      <c r="S21" s="561" t="e">
        <f ca="1">_xll.qlInterpolationInterpolate(B6Minterpolation,R21,TRUE)</f>
        <v>#NAME?</v>
      </c>
    </row>
    <row r="22" spans="1:19" ht="11.25" customHeight="1" x14ac:dyDescent="0.2">
      <c r="E22" s="564"/>
      <c r="F22" s="564"/>
      <c r="G22" s="564"/>
      <c r="H22" s="563"/>
      <c r="I22" s="565"/>
      <c r="J22" s="565"/>
      <c r="K22" s="563"/>
      <c r="L22" s="563"/>
      <c r="O22" s="565"/>
      <c r="P22" s="565"/>
      <c r="R22" s="562" t="e">
        <f ca="1">_xll.qlCalendarAdvance(Calendar,R21,"1D","f")</f>
        <v>#NAME?</v>
      </c>
      <c r="S22" s="561" t="e">
        <f ca="1">_xll.qlInterpolationInterpolate(B6Minterpolation,R22,TRUE)</f>
        <v>#NAME?</v>
      </c>
    </row>
    <row r="23" spans="1:19" ht="11.25" customHeight="1" x14ac:dyDescent="0.2">
      <c r="E23" s="564"/>
      <c r="F23" s="564"/>
      <c r="G23" s="564"/>
      <c r="H23" s="563"/>
      <c r="K23" s="563"/>
      <c r="L23" s="563"/>
      <c r="P23" s="565"/>
      <c r="R23" s="562" t="e">
        <f ca="1">_xll.qlCalendarAdvance(Calendar,R22,"1D","f")</f>
        <v>#NAME?</v>
      </c>
      <c r="S23" s="561" t="e">
        <f ca="1">_xll.qlInterpolationInterpolate(B6Minterpolation,R23,TRUE)</f>
        <v>#NAME?</v>
      </c>
    </row>
    <row r="24" spans="1:19" ht="11.25" customHeight="1" x14ac:dyDescent="0.2">
      <c r="E24" s="564"/>
      <c r="F24" s="564"/>
      <c r="G24" s="564"/>
      <c r="H24" s="563"/>
      <c r="K24" s="563"/>
      <c r="L24" s="563"/>
      <c r="R24" s="562" t="e">
        <f ca="1">_xll.qlCalendarAdvance(Calendar,R23,"1D","f")</f>
        <v>#NAME?</v>
      </c>
      <c r="S24" s="561" t="e">
        <f ca="1">_xll.qlInterpolationInterpolate(B6Minterpolation,R24,TRUE)</f>
        <v>#NAME?</v>
      </c>
    </row>
    <row r="25" spans="1:19" ht="11.25" customHeight="1" x14ac:dyDescent="0.2">
      <c r="E25" s="564"/>
      <c r="F25" s="564"/>
      <c r="G25" s="564"/>
      <c r="H25" s="563"/>
      <c r="K25" s="563"/>
      <c r="L25" s="563"/>
      <c r="R25" s="562" t="e">
        <f ca="1">_xll.qlCalendarAdvance(Calendar,R24,"1D","f")</f>
        <v>#NAME?</v>
      </c>
      <c r="S25" s="561" t="e">
        <f ca="1">_xll.qlInterpolationInterpolate(B6Minterpolation,R25,TRUE)</f>
        <v>#NAME?</v>
      </c>
    </row>
    <row r="26" spans="1:19" ht="11.25" customHeight="1" x14ac:dyDescent="0.2">
      <c r="E26" s="564"/>
      <c r="F26" s="564"/>
      <c r="G26" s="564"/>
      <c r="H26" s="563"/>
      <c r="K26" s="563"/>
      <c r="L26" s="563"/>
      <c r="R26" s="562" t="e">
        <f ca="1">_xll.qlCalendarAdvance(Calendar,R25,"1D","f")</f>
        <v>#NAME?</v>
      </c>
      <c r="S26" s="561" t="e">
        <f ca="1">_xll.qlInterpolationInterpolate(B6Minterpolation,R26,TRUE)</f>
        <v>#NAME?</v>
      </c>
    </row>
    <row r="27" spans="1:19" ht="11.25" customHeight="1" x14ac:dyDescent="0.2">
      <c r="E27" s="564"/>
      <c r="F27" s="564"/>
      <c r="G27" s="564"/>
      <c r="H27" s="563"/>
      <c r="K27" s="563"/>
      <c r="L27" s="563"/>
      <c r="R27" s="562" t="e">
        <f ca="1">_xll.qlCalendarAdvance(Calendar,R26,"1D","f")</f>
        <v>#NAME?</v>
      </c>
      <c r="S27" s="561" t="e">
        <f ca="1">_xll.qlInterpolationInterpolate(B6Minterpolation,R27,TRUE)</f>
        <v>#NAME?</v>
      </c>
    </row>
    <row r="28" spans="1:19" ht="11.25" customHeight="1" x14ac:dyDescent="0.2">
      <c r="E28" s="564"/>
      <c r="F28" s="564"/>
      <c r="G28" s="564"/>
      <c r="H28" s="563"/>
      <c r="K28" s="563"/>
      <c r="L28" s="563"/>
      <c r="R28" s="562" t="e">
        <f ca="1">_xll.qlCalendarAdvance(Calendar,R27,"1D","f")</f>
        <v>#NAME?</v>
      </c>
      <c r="S28" s="561" t="e">
        <f ca="1">_xll.qlInterpolationInterpolate(B6Minterpolation,R28,TRUE)</f>
        <v>#NAME?</v>
      </c>
    </row>
    <row r="29" spans="1:19" ht="11.25" customHeight="1" x14ac:dyDescent="0.2">
      <c r="E29" s="564"/>
      <c r="F29" s="564"/>
      <c r="G29" s="564"/>
      <c r="H29" s="563"/>
      <c r="K29" s="563"/>
      <c r="L29" s="563"/>
      <c r="R29" s="562" t="e">
        <f ca="1">_xll.qlCalendarAdvance(Calendar,R28,"1D","f")</f>
        <v>#NAME?</v>
      </c>
      <c r="S29" s="561" t="e">
        <f ca="1">_xll.qlInterpolationInterpolate(B6Minterpolation,R29,TRUE)</f>
        <v>#NAME?</v>
      </c>
    </row>
    <row r="30" spans="1:19" ht="11.25" customHeight="1" x14ac:dyDescent="0.2">
      <c r="E30" s="564"/>
      <c r="F30" s="564"/>
      <c r="G30" s="564"/>
      <c r="H30" s="563"/>
      <c r="K30" s="563"/>
      <c r="L30" s="563"/>
      <c r="R30" s="562" t="e">
        <f ca="1">_xll.qlCalendarAdvance(Calendar,R29,"1D","f")</f>
        <v>#NAME?</v>
      </c>
      <c r="S30" s="561" t="e">
        <f ca="1">_xll.qlInterpolationInterpolate(B6Minterpolation,R30,TRUE)</f>
        <v>#NAME?</v>
      </c>
    </row>
    <row r="31" spans="1:19" ht="11.25" customHeight="1" x14ac:dyDescent="0.2">
      <c r="E31" s="564"/>
      <c r="F31" s="564"/>
      <c r="G31" s="564"/>
      <c r="H31" s="563"/>
      <c r="K31" s="563"/>
      <c r="L31" s="563"/>
      <c r="R31" s="562" t="e">
        <f ca="1">_xll.qlCalendarAdvance(Calendar,R30,"1D","f")</f>
        <v>#NAME?</v>
      </c>
      <c r="S31" s="561" t="e">
        <f ca="1">_xll.qlInterpolationInterpolate(B6Minterpolation,R31,TRUE)</f>
        <v>#NAME?</v>
      </c>
    </row>
    <row r="32" spans="1:19" ht="11.25" customHeight="1" x14ac:dyDescent="0.2">
      <c r="E32" s="564"/>
      <c r="F32" s="564"/>
      <c r="G32" s="564"/>
      <c r="H32" s="563"/>
      <c r="K32" s="563"/>
      <c r="L32" s="563"/>
      <c r="R32" s="562" t="e">
        <f ca="1">_xll.qlCalendarAdvance(Calendar,R31,"1D","f")</f>
        <v>#NAME?</v>
      </c>
      <c r="S32" s="561" t="e">
        <f ca="1">_xll.qlInterpolationInterpolate(B6Minterpolation,R32,TRUE)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_xll.qlInterpolationInterpolate(B6Minterpolation,R33,TRUE)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_xll.qlInterpolationInterpolate(B6Minterpolation,R34,TRUE)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_xll.qlInterpolationInterpolate(B6Minterpolation,R35,TRUE)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_xll.qlInterpolationInterpolate(B6Minterpolation,R36,TRUE)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_xll.qlInterpolationInterpolate(B6Minterpolation,R37,TRUE)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_xll.qlInterpolationInterpolate(B6Minterpolation,R38,TRUE)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_xll.qlInterpolationInterpolate(B6Minterpolation,R39,TRUE)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_xll.qlInterpolationInterpolate(B6Minterpolation,R40,TRUE)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_xll.qlInterpolationInterpolate(B6Minterpolation,R41,TRUE)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_xll.qlInterpolationInterpolate(B6Minterpolation,R42,TRUE)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_xll.qlInterpolationInterpolate(B6Minterpolation,R43,TRUE)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_xll.qlInterpolationInterpolate(B6Minterpolation,R44,TRUE)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_xll.qlInterpolationInterpolate(B6Minterpolation,R45,TRUE)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_xll.qlInterpolationInterpolate(B6Minterpolation,R46,TRUE)</f>
        <v>#NAME?</v>
      </c>
    </row>
    <row r="47" spans="5:19" ht="11.25" customHeight="1" x14ac:dyDescent="0.2">
      <c r="E47" s="564"/>
      <c r="F47" s="564"/>
      <c r="G47" s="564"/>
      <c r="H47" s="563"/>
      <c r="K47" s="563"/>
      <c r="L47" s="563"/>
      <c r="R47" s="562" t="e">
        <f ca="1">_xll.qlCalendarAdvance(Calendar,R46,"1D","f")</f>
        <v>#NAME?</v>
      </c>
      <c r="S47" s="561" t="e">
        <f ca="1">_xll.qlInterpolationInterpolate(B6Minterpolation,R47,TRUE)</f>
        <v>#NAME?</v>
      </c>
    </row>
    <row r="48" spans="5:19" ht="11.25" customHeight="1" x14ac:dyDescent="0.2">
      <c r="E48" s="564"/>
      <c r="F48" s="564"/>
      <c r="G48" s="564"/>
      <c r="H48" s="563"/>
      <c r="K48" s="563"/>
      <c r="L48" s="563"/>
      <c r="R48" s="562" t="e">
        <f ca="1">_xll.qlCalendarAdvance(Calendar,R47,"1D","f")</f>
        <v>#NAME?</v>
      </c>
      <c r="S48" s="561" t="e">
        <f ca="1">_xll.qlInterpolationInterpolate(B6Minterpolation,R48,TRUE)</f>
        <v>#NAME?</v>
      </c>
    </row>
    <row r="49" spans="5:19" ht="11.25" customHeight="1" x14ac:dyDescent="0.2">
      <c r="E49" s="564"/>
      <c r="F49" s="564"/>
      <c r="G49" s="564"/>
      <c r="H49" s="563"/>
      <c r="K49" s="563"/>
      <c r="L49" s="563"/>
      <c r="R49" s="562" t="e">
        <f ca="1">_xll.qlCalendarAdvance(Calendar,R48,"1D","f")</f>
        <v>#NAME?</v>
      </c>
      <c r="S49" s="561" t="e">
        <f ca="1">_xll.qlInterpolationInterpolate(B6Minterpolation,R49,TRUE)</f>
        <v>#NAME?</v>
      </c>
    </row>
    <row r="50" spans="5:19" ht="11.25" customHeight="1" x14ac:dyDescent="0.2">
      <c r="E50" s="564"/>
      <c r="F50" s="564"/>
      <c r="G50" s="564"/>
      <c r="H50" s="563"/>
      <c r="K50" s="563"/>
      <c r="L50" s="563"/>
      <c r="R50" s="562" t="e">
        <f ca="1">_xll.qlCalendarAdvance(Calendar,R49,"1D","f")</f>
        <v>#NAME?</v>
      </c>
      <c r="S50" s="561" t="e">
        <f ca="1">_xll.qlInterpolationInterpolate(B6Minterpolation,R50,TRUE)</f>
        <v>#NAME?</v>
      </c>
    </row>
    <row r="51" spans="5:19" ht="11.25" customHeight="1" x14ac:dyDescent="0.2">
      <c r="E51" s="564"/>
      <c r="F51" s="564"/>
      <c r="G51" s="564"/>
      <c r="H51" s="563"/>
      <c r="K51" s="563"/>
      <c r="L51" s="563"/>
      <c r="R51" s="562" t="e">
        <f ca="1">_xll.qlCalendarAdvance(Calendar,R50,"1D","f")</f>
        <v>#NAME?</v>
      </c>
      <c r="S51" s="561" t="e">
        <f ca="1">_xll.qlInterpolationInterpolate(B6Minterpolation,R51,TRUE)</f>
        <v>#NAME?</v>
      </c>
    </row>
    <row r="52" spans="5:19" ht="11.25" customHeight="1" x14ac:dyDescent="0.2">
      <c r="E52" s="564"/>
      <c r="F52" s="564"/>
      <c r="G52" s="564"/>
      <c r="H52" s="563"/>
      <c r="K52" s="563"/>
      <c r="L52" s="563"/>
      <c r="R52" s="562" t="e">
        <f ca="1">_xll.qlCalendarAdvance(Calendar,R51,"1D","f")</f>
        <v>#NAME?</v>
      </c>
      <c r="S52" s="561" t="e">
        <f ca="1">_xll.qlInterpolationInterpolate(B6Minterpolation,R52,TRUE)</f>
        <v>#NAME?</v>
      </c>
    </row>
    <row r="53" spans="5:19" x14ac:dyDescent="0.2">
      <c r="R53" s="562" t="e">
        <f ca="1">_xll.qlCalendarAdvance(Calendar,R52,"1D","f")</f>
        <v>#NAME?</v>
      </c>
      <c r="S53" s="561" t="e">
        <f ca="1">_xll.qlInterpolationInterpolate(B6Minterpolation,R53,TRUE)</f>
        <v>#NAME?</v>
      </c>
    </row>
    <row r="54" spans="5:19" x14ac:dyDescent="0.2">
      <c r="R54" s="562" t="e">
        <f ca="1">_xll.qlCalendarAdvance(Calendar,R53,"1D","f")</f>
        <v>#NAME?</v>
      </c>
      <c r="S54" s="561" t="e">
        <f ca="1">_xll.qlInterpolationInterpolate(B6Minterpolation,R54,TRUE)</f>
        <v>#NAME?</v>
      </c>
    </row>
    <row r="55" spans="5:19" x14ac:dyDescent="0.2">
      <c r="R55" s="562" t="e">
        <f ca="1">_xll.qlCalendarAdvance(Calendar,R54,"1D","f")</f>
        <v>#NAME?</v>
      </c>
      <c r="S55" s="561" t="e">
        <f ca="1">_xll.qlInterpolationInterpolate(B6Minterpolation,R55,TRUE)</f>
        <v>#NAME?</v>
      </c>
    </row>
    <row r="56" spans="5:19" x14ac:dyDescent="0.2">
      <c r="R56" s="562" t="e">
        <f ca="1">_xll.qlCalendarAdvance(Calendar,R55,"1D","f")</f>
        <v>#NAME?</v>
      </c>
      <c r="S56" s="561" t="e">
        <f ca="1">_xll.qlInterpolationInterpolate(B6Minterpolation,R56,TRUE)</f>
        <v>#NAME?</v>
      </c>
    </row>
    <row r="57" spans="5:19" x14ac:dyDescent="0.2">
      <c r="R57" s="562" t="e">
        <f ca="1">_xll.qlCalendarAdvance(Calendar,R56,"1D","f")</f>
        <v>#NAME?</v>
      </c>
      <c r="S57" s="561" t="e">
        <f ca="1">_xll.qlInterpolationInterpolate(B6Minterpolation,R57,TRUE)</f>
        <v>#NAME?</v>
      </c>
    </row>
    <row r="58" spans="5:19" x14ac:dyDescent="0.2">
      <c r="R58" s="562" t="e">
        <f ca="1">_xll.qlCalendarAdvance(Calendar,R57,"1D","f")</f>
        <v>#NAME?</v>
      </c>
      <c r="S58" s="561" t="e">
        <f ca="1">_xll.qlInterpolationInterpolate(B6Minterpolation,R58,TRUE)</f>
        <v>#NAME?</v>
      </c>
    </row>
    <row r="59" spans="5:19" x14ac:dyDescent="0.2">
      <c r="R59" s="562" t="e">
        <f ca="1">_xll.qlCalendarAdvance(Calendar,R58,"1D","f")</f>
        <v>#NAME?</v>
      </c>
      <c r="S59" s="561" t="e">
        <f ca="1">_xll.qlInterpolationInterpolate(B6Minterpolation,R59,TRUE)</f>
        <v>#NAME?</v>
      </c>
    </row>
    <row r="60" spans="5:19" x14ac:dyDescent="0.2">
      <c r="R60" s="562" t="e">
        <f ca="1">_xll.qlCalendarAdvance(Calendar,R59,"1D","f")</f>
        <v>#NAME?</v>
      </c>
      <c r="S60" s="561" t="e">
        <f ca="1">_xll.qlInterpolationInterpolate(B6Minterpolation,R60,TRUE)</f>
        <v>#NAME?</v>
      </c>
    </row>
    <row r="61" spans="5:19" x14ac:dyDescent="0.2">
      <c r="R61" s="562" t="e">
        <f ca="1">_xll.qlCalendarAdvance(Calendar,R60,"1D","f")</f>
        <v>#NAME?</v>
      </c>
      <c r="S61" s="561" t="e">
        <f ca="1">_xll.qlInterpolationInterpolate(B6Minterpolation,R61,TRUE)</f>
        <v>#NAME?</v>
      </c>
    </row>
    <row r="62" spans="5:19" x14ac:dyDescent="0.2">
      <c r="R62" s="562" t="e">
        <f ca="1">_xll.qlCalendarAdvance(Calendar,R61,"1D","f")</f>
        <v>#NAME?</v>
      </c>
      <c r="S62" s="561" t="e">
        <f ca="1">_xll.qlInterpolationInterpolate(B6Minterpolation,R62,TRUE)</f>
        <v>#NAME?</v>
      </c>
    </row>
    <row r="63" spans="5:19" x14ac:dyDescent="0.2">
      <c r="R63" s="562" t="e">
        <f ca="1">_xll.qlCalendarAdvance(Calendar,R62,"1D","f")</f>
        <v>#NAME?</v>
      </c>
      <c r="S63" s="561" t="e">
        <f ca="1">_xll.qlInterpolationInterpolate(B6Minterpolation,R63,TRUE)</f>
        <v>#NAME?</v>
      </c>
    </row>
    <row r="64" spans="5:19" x14ac:dyDescent="0.2">
      <c r="R64" s="562" t="e">
        <f ca="1">_xll.qlCalendarAdvance(Calendar,R63,"1D","f")</f>
        <v>#NAME?</v>
      </c>
      <c r="S64" s="561" t="e">
        <f ca="1">_xll.qlInterpolationInterpolate(B6Minterpolation,R64,TRUE)</f>
        <v>#NAME?</v>
      </c>
    </row>
    <row r="65" spans="18:19" x14ac:dyDescent="0.2">
      <c r="R65" s="562" t="e">
        <f ca="1">_xll.qlCalendarAdvance(Calendar,R64,"1D","f")</f>
        <v>#NAME?</v>
      </c>
      <c r="S65" s="561" t="e">
        <f ca="1">_xll.qlInterpolationInterpolate(B6Minterpolation,R65,TRUE)</f>
        <v>#NAME?</v>
      </c>
    </row>
    <row r="66" spans="18:19" x14ac:dyDescent="0.2">
      <c r="R66" s="562" t="e">
        <f ca="1">_xll.qlCalendarAdvance(Calendar,R65,"1D","f")</f>
        <v>#NAME?</v>
      </c>
      <c r="S66" s="561" t="e">
        <f ca="1">_xll.qlInterpolationInterpolate(B6Minterpolation,R66,TRUE)</f>
        <v>#NAME?</v>
      </c>
    </row>
    <row r="67" spans="18:19" x14ac:dyDescent="0.2">
      <c r="R67" s="562" t="e">
        <f ca="1">_xll.qlCalendarAdvance(Calendar,R66,"1D","f")</f>
        <v>#NAME?</v>
      </c>
      <c r="S67" s="561" t="e">
        <f ca="1">_xll.qlInterpolationInterpolate(B6Minterpolation,R67,TRUE)</f>
        <v>#NAME?</v>
      </c>
    </row>
    <row r="68" spans="18:19" x14ac:dyDescent="0.2">
      <c r="R68" s="562" t="e">
        <f ca="1">_xll.qlCalendarAdvance(Calendar,R67,"1D","f")</f>
        <v>#NAME?</v>
      </c>
      <c r="S68" s="561" t="e">
        <f ca="1">_xll.qlInterpolationInterpolate(B6Minterpolation,R68,TRUE)</f>
        <v>#NAME?</v>
      </c>
    </row>
    <row r="69" spans="18:19" x14ac:dyDescent="0.2">
      <c r="R69" s="562" t="e">
        <f ca="1">_xll.qlCalendarAdvance(Calendar,R68,"1D","f")</f>
        <v>#NAME?</v>
      </c>
      <c r="S69" s="561" t="e">
        <f ca="1">_xll.qlInterpolationInterpolate(B6Minterpolation,R69,TRUE)</f>
        <v>#NAME?</v>
      </c>
    </row>
    <row r="70" spans="18:19" x14ac:dyDescent="0.2">
      <c r="R70" s="562" t="e">
        <f ca="1">_xll.qlCalendarAdvance(Calendar,R69,"1D","f")</f>
        <v>#NAME?</v>
      </c>
      <c r="S70" s="561" t="e">
        <f ca="1">_xll.qlInterpolationInterpolate(B6Minterpolation,R70,TRUE)</f>
        <v>#NAME?</v>
      </c>
    </row>
    <row r="71" spans="18:19" x14ac:dyDescent="0.2">
      <c r="R71" s="562" t="e">
        <f ca="1">_xll.qlCalendarAdvance(Calendar,R70,"1D","f")</f>
        <v>#NAME?</v>
      </c>
      <c r="S71" s="561" t="e">
        <f ca="1">_xll.qlInterpolationInterpolate(B6Minterpolation,R71,TRUE)</f>
        <v>#NAME?</v>
      </c>
    </row>
    <row r="72" spans="18:19" x14ac:dyDescent="0.2">
      <c r="R72" s="562" t="e">
        <f ca="1">_xll.qlCalendarAdvance(Calendar,R71,"1D","f")</f>
        <v>#NAME?</v>
      </c>
      <c r="S72" s="561" t="e">
        <f ca="1">_xll.qlInterpolationInterpolate(B6Minterpolation,R72,TRUE)</f>
        <v>#NAME?</v>
      </c>
    </row>
    <row r="73" spans="18:19" x14ac:dyDescent="0.2">
      <c r="R73" s="562" t="e">
        <f ca="1">_xll.qlCalendarAdvance(Calendar,R72,"1D","f")</f>
        <v>#NAME?</v>
      </c>
      <c r="S73" s="561" t="e">
        <f ca="1">_xll.qlInterpolationInterpolate(B6Minterpolation,R73,TRUE)</f>
        <v>#NAME?</v>
      </c>
    </row>
    <row r="74" spans="18:19" x14ac:dyDescent="0.2">
      <c r="R74" s="562" t="e">
        <f ca="1">_xll.qlCalendarAdvance(Calendar,R73,"1D","f")</f>
        <v>#NAME?</v>
      </c>
      <c r="S74" s="561" t="e">
        <f ca="1">_xll.qlInterpolationInterpolate(B6Minterpolation,R74,TRUE)</f>
        <v>#NAME?</v>
      </c>
    </row>
    <row r="75" spans="18:19" x14ac:dyDescent="0.2">
      <c r="R75" s="562" t="e">
        <f ca="1">_xll.qlCalendarAdvance(Calendar,R74,"1D","f")</f>
        <v>#NAME?</v>
      </c>
      <c r="S75" s="561" t="e">
        <f ca="1">_xll.qlInterpolationInterpolate(B6Minterpolation,R75,TRUE)</f>
        <v>#NAME?</v>
      </c>
    </row>
    <row r="76" spans="18:19" x14ac:dyDescent="0.2">
      <c r="R76" s="562" t="e">
        <f ca="1">_xll.qlCalendarAdvance(Calendar,R75,"1D","f")</f>
        <v>#NAME?</v>
      </c>
      <c r="S76" s="561" t="e">
        <f ca="1">_xll.qlInterpolationInterpolate(B6Minterpolation,R76,TRUE)</f>
        <v>#NAME?</v>
      </c>
    </row>
    <row r="77" spans="18:19" x14ac:dyDescent="0.2">
      <c r="R77" s="562" t="e">
        <f ca="1">_xll.qlCalendarAdvance(Calendar,R76,"1D","f")</f>
        <v>#NAME?</v>
      </c>
      <c r="S77" s="561" t="e">
        <f ca="1">_xll.qlInterpolationInterpolate(B6Minterpolation,R77,TRUE)</f>
        <v>#NAME?</v>
      </c>
    </row>
    <row r="78" spans="18:19" x14ac:dyDescent="0.2">
      <c r="R78" s="562" t="e">
        <f ca="1">_xll.qlCalendarAdvance(Calendar,R77,"1D","f")</f>
        <v>#NAME?</v>
      </c>
      <c r="S78" s="561" t="e">
        <f ca="1">_xll.qlInterpolationInterpolate(B6Minterpolation,R78,TRUE)</f>
        <v>#NAME?</v>
      </c>
    </row>
    <row r="79" spans="18:19" x14ac:dyDescent="0.2">
      <c r="R79" s="562" t="e">
        <f ca="1">_xll.qlCalendarAdvance(Calendar,R78,"1D","f")</f>
        <v>#NAME?</v>
      </c>
      <c r="S79" s="561" t="e">
        <f ca="1">_xll.qlInterpolationInterpolate(B6Minterpolation,R79,TRUE)</f>
        <v>#NAME?</v>
      </c>
    </row>
    <row r="80" spans="18:19" x14ac:dyDescent="0.2">
      <c r="R80" s="562" t="e">
        <f ca="1">_xll.qlCalendarAdvance(Calendar,R79,"1D","f")</f>
        <v>#NAME?</v>
      </c>
      <c r="S80" s="561" t="e">
        <f ca="1">_xll.qlInterpolationInterpolate(B6Minterpolation,R80,TRUE)</f>
        <v>#NAME?</v>
      </c>
    </row>
    <row r="81" spans="18:19" x14ac:dyDescent="0.2">
      <c r="R81" s="562" t="e">
        <f ca="1">_xll.qlCalendarAdvance(Calendar,R80,"1D","f")</f>
        <v>#NAME?</v>
      </c>
      <c r="S81" s="561" t="e">
        <f ca="1">_xll.qlInterpolationInterpolate(B6Minterpolation,R81,TRUE)</f>
        <v>#NAME?</v>
      </c>
    </row>
    <row r="82" spans="18:19" x14ac:dyDescent="0.2">
      <c r="R82" s="562" t="e">
        <f ca="1">_xll.qlCalendarAdvance(Calendar,R81,"1D","f")</f>
        <v>#NAME?</v>
      </c>
      <c r="S82" s="561" t="e">
        <f ca="1">_xll.qlInterpolationInterpolate(B6Minterpolation,R82,TRUE)</f>
        <v>#NAME?</v>
      </c>
    </row>
    <row r="83" spans="18:19" x14ac:dyDescent="0.2">
      <c r="R83" s="562" t="e">
        <f ca="1">_xll.qlCalendarAdvance(Calendar,R82,"1D","f")</f>
        <v>#NAME?</v>
      </c>
      <c r="S83" s="561" t="e">
        <f ca="1">_xll.qlInterpolationInterpolate(B6Minterpolation,R83,TRUE)</f>
        <v>#NAME?</v>
      </c>
    </row>
    <row r="84" spans="18:19" x14ac:dyDescent="0.2">
      <c r="R84" s="562" t="e">
        <f ca="1">_xll.qlCalendarAdvance(Calendar,R83,"1D","f")</f>
        <v>#NAME?</v>
      </c>
      <c r="S84" s="561" t="e">
        <f ca="1">_xll.qlInterpolationInterpolate(B6Minterpolation,R84,TRUE)</f>
        <v>#NAME?</v>
      </c>
    </row>
    <row r="85" spans="18:19" x14ac:dyDescent="0.2">
      <c r="R85" s="562" t="e">
        <f ca="1">_xll.qlCalendarAdvance(Calendar,R84,"1D","f")</f>
        <v>#NAME?</v>
      </c>
      <c r="S85" s="561" t="e">
        <f ca="1">_xll.qlInterpolationInterpolate(B6Minterpolation,R85,TRUE)</f>
        <v>#NAME?</v>
      </c>
    </row>
    <row r="86" spans="18:19" x14ac:dyDescent="0.2">
      <c r="R86" s="562" t="e">
        <f ca="1">_xll.qlCalendarAdvance(Calendar,R85,"1D","f")</f>
        <v>#NAME?</v>
      </c>
      <c r="S86" s="561" t="e">
        <f ca="1">_xll.qlInterpolationInterpolate(B6Minterpolation,R86,TRUE)</f>
        <v>#NAME?</v>
      </c>
    </row>
    <row r="87" spans="18:19" x14ac:dyDescent="0.2">
      <c r="R87" s="562" t="e">
        <f ca="1">_xll.qlCalendarAdvance(Calendar,R86,"1D","f")</f>
        <v>#NAME?</v>
      </c>
      <c r="S87" s="561" t="e">
        <f ca="1">_xll.qlInterpolationInterpolate(B6Minterpolation,R87,TRUE)</f>
        <v>#NAME?</v>
      </c>
    </row>
    <row r="88" spans="18:19" x14ac:dyDescent="0.2">
      <c r="R88" s="562" t="e">
        <f ca="1">_xll.qlCalendarAdvance(Calendar,R87,"1D","f")</f>
        <v>#NAME?</v>
      </c>
      <c r="S88" s="561" t="e">
        <f ca="1">_xll.qlInterpolationInterpolate(B6Minterpolation,R88,TRUE)</f>
        <v>#NAME?</v>
      </c>
    </row>
    <row r="89" spans="18:19" x14ac:dyDescent="0.2">
      <c r="R89" s="562" t="e">
        <f ca="1">_xll.qlCalendarAdvance(Calendar,R88,"1D","f")</f>
        <v>#NAME?</v>
      </c>
      <c r="S89" s="561" t="e">
        <f ca="1">_xll.qlInterpolationInterpolate(B6Minterpolation,R89,TRUE)</f>
        <v>#NAME?</v>
      </c>
    </row>
    <row r="90" spans="18:19" x14ac:dyDescent="0.2">
      <c r="R90" s="562" t="e">
        <f ca="1">_xll.qlCalendarAdvance(Calendar,R89,"1D","f")</f>
        <v>#NAME?</v>
      </c>
      <c r="S90" s="561" t="e">
        <f ca="1">_xll.qlInterpolationInterpolate(B6Minterpolation,R90,TRUE)</f>
        <v>#NAME?</v>
      </c>
    </row>
    <row r="91" spans="18:19" x14ac:dyDescent="0.2">
      <c r="R91" s="562" t="e">
        <f ca="1">_xll.qlCalendarAdvance(Calendar,R90,"1D","f")</f>
        <v>#NAME?</v>
      </c>
      <c r="S91" s="561" t="e">
        <f ca="1">_xll.qlInterpolationInterpolate(B6Minterpolation,R91,TRUE)</f>
        <v>#NAME?</v>
      </c>
    </row>
    <row r="92" spans="18:19" x14ac:dyDescent="0.2">
      <c r="R92" s="562" t="e">
        <f ca="1">_xll.qlCalendarAdvance(Calendar,R91,"1D","f")</f>
        <v>#NAME?</v>
      </c>
      <c r="S92" s="561" t="e">
        <f ca="1">_xll.qlInterpolationInterpolate(B6Minterpolation,R92,TRUE)</f>
        <v>#NAME?</v>
      </c>
    </row>
    <row r="93" spans="18:19" x14ac:dyDescent="0.2">
      <c r="R93" s="562" t="e">
        <f ca="1">_xll.qlCalendarAdvance(Calendar,R92,"1D","f")</f>
        <v>#NAME?</v>
      </c>
      <c r="S93" s="561" t="e">
        <f ca="1">_xll.qlInterpolationInterpolate(B6Minterpolation,R93,TRUE)</f>
        <v>#NAME?</v>
      </c>
    </row>
    <row r="94" spans="18:19" x14ac:dyDescent="0.2">
      <c r="R94" s="562" t="e">
        <f ca="1">_xll.qlCalendarAdvance(Calendar,R93,"1D","f")</f>
        <v>#NAME?</v>
      </c>
      <c r="S94" s="561" t="e">
        <f ca="1">_xll.qlInterpolationInterpolate(B6Minterpolation,R94,TRUE)</f>
        <v>#NAME?</v>
      </c>
    </row>
    <row r="95" spans="18:19" x14ac:dyDescent="0.2">
      <c r="R95" s="562" t="e">
        <f ca="1">_xll.qlCalendarAdvance(Calendar,R94,"1D","f")</f>
        <v>#NAME?</v>
      </c>
      <c r="S95" s="561" t="e">
        <f ca="1">_xll.qlInterpolationInterpolate(B6Minterpolation,R95,TRUE)</f>
        <v>#NAME?</v>
      </c>
    </row>
    <row r="96" spans="18:19" x14ac:dyDescent="0.2">
      <c r="R96" s="562" t="e">
        <f ca="1">_xll.qlCalendarAdvance(Calendar,R95,"1D","f")</f>
        <v>#NAME?</v>
      </c>
      <c r="S96" s="561" t="e">
        <f ca="1">_xll.qlInterpolationInterpolate(B6Minterpolation,R96,TRUE)</f>
        <v>#NAME?</v>
      </c>
    </row>
    <row r="97" spans="18:19" x14ac:dyDescent="0.2">
      <c r="R97" s="562" t="e">
        <f ca="1">_xll.qlCalendarAdvance(Calendar,R96,"1D","f")</f>
        <v>#NAME?</v>
      </c>
      <c r="S97" s="561" t="e">
        <f ca="1">_xll.qlInterpolationInterpolate(B6Minterpolation,R97,TRUE)</f>
        <v>#NAME?</v>
      </c>
    </row>
    <row r="98" spans="18:19" x14ac:dyDescent="0.2">
      <c r="R98" s="562" t="e">
        <f ca="1">_xll.qlCalendarAdvance(Calendar,R97,"1D","f")</f>
        <v>#NAME?</v>
      </c>
      <c r="S98" s="561" t="e">
        <f ca="1">_xll.qlInterpolationInterpolate(B6Minterpolation,R98,TRUE)</f>
        <v>#NAME?</v>
      </c>
    </row>
    <row r="99" spans="18:19" x14ac:dyDescent="0.2">
      <c r="R99" s="562" t="e">
        <f ca="1">_xll.qlCalendarAdvance(Calendar,R98,"1D","f")</f>
        <v>#NAME?</v>
      </c>
      <c r="S99" s="561" t="e">
        <f ca="1">_xll.qlInterpolationInterpolate(B6Minterpolation,R99,TRUE)</f>
        <v>#NAME?</v>
      </c>
    </row>
    <row r="100" spans="18:19" x14ac:dyDescent="0.2">
      <c r="R100" s="562" t="e">
        <f ca="1">_xll.qlCalendarAdvance(Calendar,R99,"1D","f")</f>
        <v>#NAME?</v>
      </c>
      <c r="S100" s="561" t="e">
        <f ca="1">_xll.qlInterpolationInterpolate(B6Minterpolation,R100,TRUE)</f>
        <v>#NAME?</v>
      </c>
    </row>
    <row r="101" spans="18:19" x14ac:dyDescent="0.2">
      <c r="R101" s="562" t="e">
        <f ca="1">_xll.qlCalendarAdvance(Calendar,R100,"1D","f")</f>
        <v>#NAME?</v>
      </c>
      <c r="S101" s="561" t="e">
        <f ca="1">_xll.qlInterpolationInterpolate(B6Minterpolation,R101,TRUE)</f>
        <v>#NAME?</v>
      </c>
    </row>
    <row r="102" spans="18:19" x14ac:dyDescent="0.2">
      <c r="R102" s="562" t="e">
        <f ca="1">_xll.qlCalendarAdvance(Calendar,R101,"1D","f")</f>
        <v>#NAME?</v>
      </c>
      <c r="S102" s="561" t="e">
        <f ca="1">_xll.qlInterpolationInterpolate(B6Minterpolation,R102,TRUE)</f>
        <v>#NAME?</v>
      </c>
    </row>
    <row r="103" spans="18:19" x14ac:dyDescent="0.2">
      <c r="R103" s="562" t="e">
        <f ca="1">_xll.qlCalendarAdvance(Calendar,R102,"1D","f")</f>
        <v>#NAME?</v>
      </c>
      <c r="S103" s="561" t="e">
        <f ca="1">_xll.qlInterpolationInterpolate(B6Minterpolation,R103,TRUE)</f>
        <v>#NAME?</v>
      </c>
    </row>
    <row r="104" spans="18:19" x14ac:dyDescent="0.2">
      <c r="R104" s="562" t="e">
        <f ca="1">_xll.qlCalendarAdvance(Calendar,R103,"1D","f")</f>
        <v>#NAME?</v>
      </c>
      <c r="S104" s="561" t="e">
        <f ca="1">_xll.qlInterpolationInterpolate(B6Minterpolation,R104,TRUE)</f>
        <v>#NAME?</v>
      </c>
    </row>
    <row r="105" spans="18:19" x14ac:dyDescent="0.2">
      <c r="R105" s="562" t="e">
        <f ca="1">_xll.qlCalendarAdvance(Calendar,R104,"1D","f")</f>
        <v>#NAME?</v>
      </c>
      <c r="S105" s="561" t="e">
        <f ca="1">_xll.qlInterpolationInterpolate(B6Minterpolation,R105,TRUE)</f>
        <v>#NAME?</v>
      </c>
    </row>
    <row r="106" spans="18:19" x14ac:dyDescent="0.2">
      <c r="R106" s="562" t="e">
        <f ca="1">_xll.qlCalendarAdvance(Calendar,R105,"1D","f")</f>
        <v>#NAME?</v>
      </c>
      <c r="S106" s="561" t="e">
        <f ca="1">_xll.qlInterpolationInterpolate(B6Minterpolation,R106,TRUE)</f>
        <v>#NAME?</v>
      </c>
    </row>
    <row r="107" spans="18:19" x14ac:dyDescent="0.2">
      <c r="R107" s="562" t="e">
        <f ca="1">_xll.qlCalendarAdvance(Calendar,R106,"1D","f")</f>
        <v>#NAME?</v>
      </c>
      <c r="S107" s="561" t="e">
        <f ca="1">_xll.qlInterpolationInterpolate(B6Minterpolation,R107,TRUE)</f>
        <v>#NAME?</v>
      </c>
    </row>
    <row r="108" spans="18:19" x14ac:dyDescent="0.2">
      <c r="R108" s="562" t="e">
        <f ca="1">_xll.qlCalendarAdvance(Calendar,R107,"1D","f")</f>
        <v>#NAME?</v>
      </c>
      <c r="S108" s="561" t="e">
        <f ca="1">_xll.qlInterpolationInterpolate(B6Minterpolation,R108,TRUE)</f>
        <v>#NAME?</v>
      </c>
    </row>
    <row r="109" spans="18:19" x14ac:dyDescent="0.2">
      <c r="R109" s="562" t="e">
        <f ca="1">_xll.qlCalendarAdvance(Calendar,R108,"1D","f")</f>
        <v>#NAME?</v>
      </c>
      <c r="S109" s="561" t="e">
        <f ca="1">_xll.qlInterpolationInterpolate(B6Minterpolation,R109,TRUE)</f>
        <v>#NAME?</v>
      </c>
    </row>
    <row r="110" spans="18:19" x14ac:dyDescent="0.2">
      <c r="R110" s="562" t="e">
        <f ca="1">_xll.qlCalendarAdvance(Calendar,R109,"1D","f")</f>
        <v>#NAME?</v>
      </c>
      <c r="S110" s="561" t="e">
        <f ca="1">_xll.qlInterpolationInterpolate(B6Minterpolation,R110,TRUE)</f>
        <v>#NAME?</v>
      </c>
    </row>
    <row r="111" spans="18:19" x14ac:dyDescent="0.2">
      <c r="R111" s="562" t="e">
        <f ca="1">_xll.qlCalendarAdvance(Calendar,R110,"1D","f")</f>
        <v>#NAME?</v>
      </c>
      <c r="S111" s="561" t="e">
        <f ca="1">_xll.qlInterpolationInterpolate(B6Minterpolation,R111,TRUE)</f>
        <v>#NAME?</v>
      </c>
    </row>
    <row r="112" spans="18:19" x14ac:dyDescent="0.2">
      <c r="R112" s="562" t="e">
        <f ca="1">_xll.qlCalendarAdvance(Calendar,R111,"1D","f")</f>
        <v>#NAME?</v>
      </c>
      <c r="S112" s="561" t="e">
        <f ca="1">_xll.qlInterpolationInterpolate(B6Minterpolation,R112,TRUE)</f>
        <v>#NAME?</v>
      </c>
    </row>
    <row r="113" spans="18:19" x14ac:dyDescent="0.2">
      <c r="R113" s="562" t="e">
        <f ca="1">_xll.qlCalendarAdvance(Calendar,R112,"1D","f")</f>
        <v>#NAME?</v>
      </c>
      <c r="S113" s="561" t="e">
        <f ca="1">_xll.qlInterpolationInterpolate(B6Minterpolation,R113,TRUE)</f>
        <v>#NAME?</v>
      </c>
    </row>
    <row r="114" spans="18:19" x14ac:dyDescent="0.2">
      <c r="R114" s="562" t="e">
        <f ca="1">_xll.qlCalendarAdvance(Calendar,R113,"1D","f")</f>
        <v>#NAME?</v>
      </c>
      <c r="S114" s="561" t="e">
        <f ca="1">_xll.qlInterpolationInterpolate(B6Minterpolation,R114,TRUE)</f>
        <v>#NAME?</v>
      </c>
    </row>
    <row r="115" spans="18:19" x14ac:dyDescent="0.2">
      <c r="R115" s="562" t="e">
        <f ca="1">_xll.qlCalendarAdvance(Calendar,R114,"1D","f")</f>
        <v>#NAME?</v>
      </c>
      <c r="S115" s="561" t="e">
        <f ca="1">_xll.qlInterpolationInterpolate(B6Minterpolation,R115,TRUE)</f>
        <v>#NAME?</v>
      </c>
    </row>
    <row r="116" spans="18:19" x14ac:dyDescent="0.2">
      <c r="R116" s="562" t="e">
        <f ca="1">_xll.qlCalendarAdvance(Calendar,R115,"1D","f")</f>
        <v>#NAME?</v>
      </c>
      <c r="S116" s="561" t="e">
        <f ca="1">_xll.qlInterpolationInterpolate(B6Minterpolation,R116,TRUE)</f>
        <v>#NAME?</v>
      </c>
    </row>
    <row r="117" spans="18:19" x14ac:dyDescent="0.2">
      <c r="R117" s="562" t="e">
        <f ca="1">_xll.qlCalendarAdvance(Calendar,R116,"1D","f")</f>
        <v>#NAME?</v>
      </c>
      <c r="S117" s="561" t="e">
        <f ca="1">_xll.qlInterpolationInterpolate(B6Minterpolation,R117,TRUE)</f>
        <v>#NAME?</v>
      </c>
    </row>
    <row r="118" spans="18:19" x14ac:dyDescent="0.2">
      <c r="R118" s="562" t="e">
        <f ca="1">_xll.qlCalendarAdvance(Calendar,R117,"1D","f")</f>
        <v>#NAME?</v>
      </c>
      <c r="S118" s="561" t="e">
        <f ca="1">_xll.qlInterpolationInterpolate(B6Minterpolation,R118,TRUE)</f>
        <v>#NAME?</v>
      </c>
    </row>
    <row r="119" spans="18:19" x14ac:dyDescent="0.2">
      <c r="R119" s="562" t="e">
        <f ca="1">_xll.qlCalendarAdvance(Calendar,R118,"1D","f")</f>
        <v>#NAME?</v>
      </c>
      <c r="S119" s="561" t="e">
        <f ca="1">_xll.qlInterpolationInterpolate(B6Minterpolation,R119,TRUE)</f>
        <v>#NAME?</v>
      </c>
    </row>
    <row r="120" spans="18:19" x14ac:dyDescent="0.2">
      <c r="R120" s="562" t="e">
        <f ca="1">_xll.qlCalendarAdvance(Calendar,R119,"1D","f")</f>
        <v>#NAME?</v>
      </c>
      <c r="S120" s="561" t="e">
        <f ca="1">_xll.qlInterpolationInterpolate(B6Minterpolation,R120,TRUE)</f>
        <v>#NAME?</v>
      </c>
    </row>
    <row r="121" spans="18:19" x14ac:dyDescent="0.2">
      <c r="R121" s="562" t="e">
        <f ca="1">_xll.qlCalendarAdvance(Calendar,R120,"1D","f")</f>
        <v>#NAME?</v>
      </c>
      <c r="S121" s="561" t="e">
        <f ca="1">_xll.qlInterpolationInterpolate(B6Minterpolation,R121,TRUE)</f>
        <v>#NAME?</v>
      </c>
    </row>
    <row r="122" spans="18:19" x14ac:dyDescent="0.2">
      <c r="R122" s="562" t="e">
        <f ca="1">_xll.qlCalendarAdvance(Calendar,R121,"1D","f")</f>
        <v>#NAME?</v>
      </c>
      <c r="S122" s="561" t="e">
        <f ca="1">_xll.qlInterpolationInterpolate(B6Minterpolation,R122,TRUE)</f>
        <v>#NAME?</v>
      </c>
    </row>
    <row r="123" spans="18:19" x14ac:dyDescent="0.2">
      <c r="R123" s="562" t="e">
        <f ca="1">_xll.qlCalendarAdvance(Calendar,R122,"1D","f")</f>
        <v>#NAME?</v>
      </c>
      <c r="S123" s="561" t="e">
        <f ca="1">_xll.qlInterpolationInterpolate(B6Minterpolation,R123,TRUE)</f>
        <v>#NAME?</v>
      </c>
    </row>
    <row r="124" spans="18:19" x14ac:dyDescent="0.2">
      <c r="R124" s="562" t="e">
        <f ca="1">_xll.qlCalendarAdvance(Calendar,R123,"1D","f")</f>
        <v>#NAME?</v>
      </c>
      <c r="S124" s="561" t="e">
        <f ca="1">_xll.qlInterpolationInterpolate(B6Minterpolation,R124,TRUE)</f>
        <v>#NAME?</v>
      </c>
    </row>
    <row r="125" spans="18:19" x14ac:dyDescent="0.2">
      <c r="R125" s="562" t="e">
        <f ca="1">_xll.qlCalendarAdvance(Calendar,R124,"1D","f")</f>
        <v>#NAME?</v>
      </c>
      <c r="S125" s="561" t="e">
        <f ca="1">_xll.qlInterpolationInterpolate(B6Minterpolation,R125,TRUE)</f>
        <v>#NAME?</v>
      </c>
    </row>
    <row r="126" spans="18:19" x14ac:dyDescent="0.2">
      <c r="R126" s="562" t="e">
        <f ca="1">_xll.qlCalendarAdvance(Calendar,R125,"1D","f")</f>
        <v>#NAME?</v>
      </c>
      <c r="S126" s="561" t="e">
        <f ca="1">_xll.qlInterpolationInterpolate(B6Minterpolation,R126,TRUE)</f>
        <v>#NAME?</v>
      </c>
    </row>
    <row r="127" spans="18:19" x14ac:dyDescent="0.2">
      <c r="R127" s="562" t="e">
        <f ca="1">_xll.qlCalendarAdvance(Calendar,R126,"1D","f")</f>
        <v>#NAME?</v>
      </c>
      <c r="S127" s="561" t="e">
        <f ca="1">_xll.qlInterpolationInterpolate(B6Minterpolation,R127,TRUE)</f>
        <v>#NAME?</v>
      </c>
    </row>
    <row r="128" spans="18:19" x14ac:dyDescent="0.2">
      <c r="R128" s="562" t="e">
        <f ca="1">_xll.qlCalendarAdvance(Calendar,R127,"1D","f")</f>
        <v>#NAME?</v>
      </c>
      <c r="S128" s="561" t="e">
        <f ca="1">_xll.qlInterpolationInterpolate(B6Minterpolation,R128,TRUE)</f>
        <v>#NAME?</v>
      </c>
    </row>
    <row r="129" spans="18:19" x14ac:dyDescent="0.2">
      <c r="R129" s="562" t="e">
        <f ca="1">_xll.qlCalendarAdvance(Calendar,R128,"1D","f")</f>
        <v>#NAME?</v>
      </c>
      <c r="S129" s="561" t="e">
        <f ca="1">_xll.qlInterpolationInterpolate(B6Minterpolation,R129,TRUE)</f>
        <v>#NAME?</v>
      </c>
    </row>
    <row r="130" spans="18:19" x14ac:dyDescent="0.2">
      <c r="R130" s="562" t="e">
        <f ca="1">_xll.qlCalendarAdvance(Calendar,R129,"1D","f")</f>
        <v>#NAME?</v>
      </c>
      <c r="S130" s="561" t="e">
        <f ca="1">_xll.qlInterpolationInterpolate(B6Minterpolation,R130,TRUE)</f>
        <v>#NAME?</v>
      </c>
    </row>
    <row r="131" spans="18:19" x14ac:dyDescent="0.2">
      <c r="R131" s="562" t="e">
        <f ca="1">_xll.qlCalendarAdvance(Calendar,R130,"1D","f")</f>
        <v>#NAME?</v>
      </c>
      <c r="S131" s="561" t="e">
        <f ca="1">_xll.qlInterpolationInterpolate(B6Minterpolation,R131,TRUE)</f>
        <v>#NAME?</v>
      </c>
    </row>
    <row r="132" spans="18:19" x14ac:dyDescent="0.2">
      <c r="R132" s="562" t="e">
        <f ca="1">_xll.qlCalendarAdvance(Calendar,R131,"1D","f")</f>
        <v>#NAME?</v>
      </c>
      <c r="S132" s="561" t="e">
        <f ca="1">_xll.qlInterpolationInterpolate(B6Minterpolation,R132,TRUE)</f>
        <v>#NAME?</v>
      </c>
    </row>
    <row r="133" spans="18:19" x14ac:dyDescent="0.2">
      <c r="R133" s="562" t="e">
        <f ca="1">_xll.qlCalendarAdvance(Calendar,R132,"1D","f")</f>
        <v>#NAME?</v>
      </c>
      <c r="S133" s="561" t="e">
        <f ca="1">_xll.qlInterpolationInterpolate(B6Minterpolation,R133,TRUE)</f>
        <v>#NAME?</v>
      </c>
    </row>
    <row r="134" spans="18:19" x14ac:dyDescent="0.2">
      <c r="R134" s="562" t="e">
        <f ca="1">_xll.qlCalendarAdvance(Calendar,R133,"1D","f")</f>
        <v>#NAME?</v>
      </c>
      <c r="S134" s="561" t="e">
        <f ca="1">_xll.qlInterpolationInterpolate(B6Minterpolation,R134,TRUE)</f>
        <v>#NAME?</v>
      </c>
    </row>
    <row r="135" spans="18:19" x14ac:dyDescent="0.2">
      <c r="R135" s="562" t="e">
        <f ca="1">_xll.qlCalendarAdvance(Calendar,R134,"1D","f")</f>
        <v>#NAME?</v>
      </c>
      <c r="S135" s="561" t="e">
        <f ca="1">_xll.qlInterpolationInterpolate(B6Minterpolation,R135,TRUE)</f>
        <v>#NAME?</v>
      </c>
    </row>
    <row r="136" spans="18:19" x14ac:dyDescent="0.2">
      <c r="R136" s="562" t="e">
        <f ca="1">_xll.qlCalendarAdvance(Calendar,R135,"1D","f")</f>
        <v>#NAME?</v>
      </c>
      <c r="S136" s="561" t="e">
        <f ca="1">_xll.qlInterpolationInterpolate(B6Minterpolation,R136,TRUE)</f>
        <v>#NAME?</v>
      </c>
    </row>
    <row r="137" spans="18:19" x14ac:dyDescent="0.2">
      <c r="R137" s="562" t="e">
        <f ca="1">_xll.qlCalendarAdvance(Calendar,R136,"1D","f")</f>
        <v>#NAME?</v>
      </c>
      <c r="S137" s="561" t="e">
        <f ca="1">_xll.qlInterpolationInterpolate(B6Minterpolation,R137,TRUE)</f>
        <v>#NAME?</v>
      </c>
    </row>
    <row r="138" spans="18:19" x14ac:dyDescent="0.2">
      <c r="R138" s="562" t="e">
        <f ca="1">_xll.qlCalendarAdvance(Calendar,R137,"1D","f")</f>
        <v>#NAME?</v>
      </c>
      <c r="S138" s="561" t="e">
        <f ca="1">_xll.qlInterpolationInterpolate(B6Minterpolation,R138,TRUE)</f>
        <v>#NAME?</v>
      </c>
    </row>
    <row r="139" spans="18:19" x14ac:dyDescent="0.2">
      <c r="R139" s="562" t="e">
        <f ca="1">_xll.qlCalendarAdvance(Calendar,R138,"1D","f")</f>
        <v>#NAME?</v>
      </c>
      <c r="S139" s="561" t="e">
        <f ca="1">_xll.qlInterpolationInterpolate(B6Minterpolation,R139,TRUE)</f>
        <v>#NAME?</v>
      </c>
    </row>
    <row r="140" spans="18:19" x14ac:dyDescent="0.2">
      <c r="R140" s="562" t="e">
        <f ca="1">_xll.qlCalendarAdvance(Calendar,R139,"1D","f")</f>
        <v>#NAME?</v>
      </c>
      <c r="S140" s="561" t="e">
        <f ca="1">_xll.qlInterpolationInterpolate(B6Minterpolation,R140,TRUE)</f>
        <v>#NAME?</v>
      </c>
    </row>
    <row r="141" spans="18:19" x14ac:dyDescent="0.2">
      <c r="R141" s="562" t="e">
        <f ca="1">_xll.qlCalendarAdvance(Calendar,R140,"1D","f")</f>
        <v>#NAME?</v>
      </c>
      <c r="S141" s="561" t="e">
        <f ca="1">_xll.qlInterpolationInterpolate(B6Minterpolation,R141,TRUE)</f>
        <v>#NAME?</v>
      </c>
    </row>
    <row r="142" spans="18:19" x14ac:dyDescent="0.2">
      <c r="R142" s="562" t="e">
        <f ca="1">_xll.qlCalendarAdvance(Calendar,R141,"1D","f")</f>
        <v>#NAME?</v>
      </c>
      <c r="S142" s="561" t="e">
        <f ca="1">_xll.qlInterpolationInterpolate(B6Minterpolation,R142,TRUE)</f>
        <v>#NAME?</v>
      </c>
    </row>
    <row r="143" spans="18:19" x14ac:dyDescent="0.2">
      <c r="R143" s="562" t="e">
        <f ca="1">_xll.qlCalendarAdvance(Calendar,R142,"1D","f")</f>
        <v>#NAME?</v>
      </c>
      <c r="S143" s="561" t="e">
        <f ca="1">_xll.qlInterpolationInterpolate(B6Minterpolation,R143,TRUE)</f>
        <v>#NAME?</v>
      </c>
    </row>
    <row r="144" spans="18:19" x14ac:dyDescent="0.2">
      <c r="R144" s="562" t="e">
        <f ca="1">_xll.qlCalendarAdvance(Calendar,R143,"1D","f")</f>
        <v>#NAME?</v>
      </c>
      <c r="S144" s="561" t="e">
        <f ca="1">_xll.qlInterpolationInterpolate(B6Minterpolation,R144,TRUE)</f>
        <v>#NAME?</v>
      </c>
    </row>
    <row r="145" spans="18:19" x14ac:dyDescent="0.2">
      <c r="R145" s="562" t="e">
        <f ca="1">_xll.qlCalendarAdvance(Calendar,R144,"1D","f")</f>
        <v>#NAME?</v>
      </c>
      <c r="S145" s="561" t="e">
        <f ca="1">_xll.qlInterpolationInterpolate(B6Minterpolation,R145,TRUE)</f>
        <v>#NAME?</v>
      </c>
    </row>
    <row r="146" spans="18:19" x14ac:dyDescent="0.2">
      <c r="R146" s="562" t="e">
        <f ca="1">_xll.qlCalendarAdvance(Calendar,R145,"1D","f")</f>
        <v>#NAME?</v>
      </c>
      <c r="S146" s="561" t="e">
        <f ca="1">_xll.qlInterpolationInterpolate(B6Minterpolation,R146,TRUE)</f>
        <v>#NAME?</v>
      </c>
    </row>
    <row r="147" spans="18:19" x14ac:dyDescent="0.2">
      <c r="R147" s="562" t="e">
        <f ca="1">_xll.qlCalendarAdvance(Calendar,R146,"1D","f")</f>
        <v>#NAME?</v>
      </c>
      <c r="S147" s="561" t="e">
        <f ca="1">_xll.qlInterpolationInterpolate(B6Minterpolation,R147,TRUE)</f>
        <v>#NAME?</v>
      </c>
    </row>
    <row r="148" spans="18:19" x14ac:dyDescent="0.2">
      <c r="R148" s="562" t="e">
        <f ca="1">_xll.qlCalendarAdvance(Calendar,R147,"1D","f")</f>
        <v>#NAME?</v>
      </c>
      <c r="S148" s="561" t="e">
        <f ca="1">_xll.qlInterpolationInterpolate(B6Minterpolation,R148,TRUE)</f>
        <v>#NAME?</v>
      </c>
    </row>
    <row r="149" spans="18:19" x14ac:dyDescent="0.2">
      <c r="R149" s="562" t="e">
        <f ca="1">_xll.qlCalendarAdvance(Calendar,R148,"1D","f")</f>
        <v>#NAME?</v>
      </c>
      <c r="S149" s="561" t="e">
        <f ca="1">_xll.qlInterpolationInterpolate(B6Minterpolation,R149,TRUE)</f>
        <v>#NAME?</v>
      </c>
    </row>
    <row r="150" spans="18:19" x14ac:dyDescent="0.2">
      <c r="R150" s="562" t="e">
        <f ca="1">_xll.qlCalendarAdvance(Calendar,R149,"1D","f")</f>
        <v>#NAME?</v>
      </c>
      <c r="S150" s="561" t="e">
        <f ca="1">_xll.qlInterpolationInterpolate(B6Minterpolation,R150,TRUE)</f>
        <v>#NAME?</v>
      </c>
    </row>
    <row r="151" spans="18:19" x14ac:dyDescent="0.2">
      <c r="R151" s="562" t="e">
        <f ca="1">_xll.qlCalendarAdvance(Calendar,R150,"1D","f")</f>
        <v>#NAME?</v>
      </c>
      <c r="S151" s="561" t="e">
        <f ca="1">_xll.qlInterpolationInterpolate(B6Minterpolation,R151,TRUE)</f>
        <v>#NAME?</v>
      </c>
    </row>
    <row r="152" spans="18:19" x14ac:dyDescent="0.2">
      <c r="R152" s="562" t="e">
        <f ca="1">_xll.qlCalendarAdvance(Calendar,R151,"1D","f")</f>
        <v>#NAME?</v>
      </c>
      <c r="S152" s="561" t="e">
        <f ca="1">_xll.qlInterpolationInterpolate(B6Minterpolation,R152,TRUE)</f>
        <v>#NAME?</v>
      </c>
    </row>
    <row r="153" spans="18:19" x14ac:dyDescent="0.2">
      <c r="R153" s="562" t="e">
        <f ca="1">_xll.qlCalendarAdvance(Calendar,R152,"1D","f")</f>
        <v>#NAME?</v>
      </c>
      <c r="S153" s="561" t="e">
        <f ca="1">_xll.qlInterpolationInterpolate(B6Minterpolation,R153,TRUE)</f>
        <v>#NAME?</v>
      </c>
    </row>
    <row r="154" spans="18:19" x14ac:dyDescent="0.2">
      <c r="R154" s="562" t="e">
        <f ca="1">_xll.qlCalendarAdvance(Calendar,R153,"1D","f")</f>
        <v>#NAME?</v>
      </c>
      <c r="S154" s="561" t="e">
        <f ca="1">_xll.qlInterpolationInterpolate(B6Minterpolation,R154,TRUE)</f>
        <v>#NAME?</v>
      </c>
    </row>
    <row r="155" spans="18:19" x14ac:dyDescent="0.2">
      <c r="R155" s="562" t="e">
        <f ca="1">_xll.qlCalendarAdvance(Calendar,R154,"1D","f")</f>
        <v>#NAME?</v>
      </c>
      <c r="S155" s="561" t="e">
        <f ca="1">_xll.qlInterpolationInterpolate(B6Minterpolation,R155,TRUE)</f>
        <v>#NAME?</v>
      </c>
    </row>
    <row r="156" spans="18:19" x14ac:dyDescent="0.2">
      <c r="R156" s="562" t="e">
        <f ca="1">_xll.qlCalendarAdvance(Calendar,R155,"1D","f")</f>
        <v>#NAME?</v>
      </c>
      <c r="S156" s="561" t="e">
        <f ca="1">_xll.qlInterpolationInterpolate(B6Minterpolation,R156,TRUE)</f>
        <v>#NAME?</v>
      </c>
    </row>
    <row r="157" spans="18:19" x14ac:dyDescent="0.2">
      <c r="R157" s="562" t="e">
        <f ca="1">_xll.qlCalendarAdvance(Calendar,R156,"1D","f")</f>
        <v>#NAME?</v>
      </c>
      <c r="S157" s="561" t="e">
        <f ca="1">_xll.qlInterpolationInterpolate(B6Minterpolation,R157,TRUE)</f>
        <v>#NAME?</v>
      </c>
    </row>
    <row r="158" spans="18:19" x14ac:dyDescent="0.2">
      <c r="R158" s="562" t="e">
        <f ca="1">_xll.qlCalendarAdvance(Calendar,R157,"1D","f")</f>
        <v>#NAME?</v>
      </c>
      <c r="S158" s="561" t="e">
        <f ca="1">_xll.qlInterpolationInterpolate(B6Minterpolation,R158,TRUE)</f>
        <v>#NAME?</v>
      </c>
    </row>
    <row r="159" spans="18:19" x14ac:dyDescent="0.2">
      <c r="R159" s="562" t="e">
        <f ca="1">_xll.qlCalendarAdvance(Calendar,R158,"1D","f")</f>
        <v>#NAME?</v>
      </c>
      <c r="S159" s="561" t="e">
        <f ca="1">_xll.qlInterpolationInterpolate(B6Minterpolation,R159,TRUE)</f>
        <v>#NAME?</v>
      </c>
    </row>
    <row r="160" spans="18:19" x14ac:dyDescent="0.2">
      <c r="R160" s="562" t="e">
        <f ca="1">_xll.qlCalendarAdvance(Calendar,R159,"1D","f")</f>
        <v>#NAME?</v>
      </c>
      <c r="S160" s="561" t="e">
        <f ca="1">_xll.qlInterpolationInterpolate(B6Minterpolation,R160,TRUE)</f>
        <v>#NAME?</v>
      </c>
    </row>
    <row r="161" spans="18:19" x14ac:dyDescent="0.2">
      <c r="R161" s="562" t="e">
        <f ca="1">_xll.qlCalendarAdvance(Calendar,R160,"1D","f")</f>
        <v>#NAME?</v>
      </c>
      <c r="S161" s="561" t="e">
        <f ca="1">_xll.qlInterpolationInterpolate(B6Minterpolation,R161,TRUE)</f>
        <v>#NAME?</v>
      </c>
    </row>
    <row r="162" spans="18:19" x14ac:dyDescent="0.2">
      <c r="R162" s="562" t="e">
        <f ca="1">_xll.qlCalendarAdvance(Calendar,R161,"1D","f")</f>
        <v>#NAME?</v>
      </c>
      <c r="S162" s="561" t="e">
        <f ca="1">_xll.qlInterpolationInterpolate(B6Minterpolation,R162,TRUE)</f>
        <v>#NAME?</v>
      </c>
    </row>
    <row r="163" spans="18:19" x14ac:dyDescent="0.2">
      <c r="R163" s="562" t="e">
        <f ca="1">_xll.qlCalendarAdvance(Calendar,R162,"1D","f")</f>
        <v>#NAME?</v>
      </c>
      <c r="S163" s="561" t="e">
        <f ca="1">_xll.qlInterpolationInterpolate(B6Minterpolation,R163,TRUE)</f>
        <v>#NAME?</v>
      </c>
    </row>
    <row r="164" spans="18:19" x14ac:dyDescent="0.2">
      <c r="R164" s="562" t="e">
        <f ca="1">_xll.qlCalendarAdvance(Calendar,R163,"1D","f")</f>
        <v>#NAME?</v>
      </c>
      <c r="S164" s="561" t="e">
        <f ca="1">_xll.qlInterpolationInterpolate(B6Minterpolation,R164,TRUE)</f>
        <v>#NAME?</v>
      </c>
    </row>
    <row r="165" spans="18:19" x14ac:dyDescent="0.2">
      <c r="R165" s="562" t="e">
        <f ca="1">_xll.qlCalendarAdvance(Calendar,R164,"1D","f")</f>
        <v>#NAME?</v>
      </c>
      <c r="S165" s="561" t="e">
        <f ca="1">_xll.qlInterpolationInterpolate(B6Minterpolation,R165,TRUE)</f>
        <v>#NAME?</v>
      </c>
    </row>
    <row r="166" spans="18:19" x14ac:dyDescent="0.2">
      <c r="R166" s="562" t="e">
        <f ca="1">_xll.qlCalendarAdvance(Calendar,R165,"1D","f")</f>
        <v>#NAME?</v>
      </c>
      <c r="S166" s="561" t="e">
        <f ca="1">_xll.qlInterpolationInterpolate(B6Minterpolation,R166,TRUE)</f>
        <v>#NAME?</v>
      </c>
    </row>
    <row r="167" spans="18:19" x14ac:dyDescent="0.2">
      <c r="R167" s="562" t="e">
        <f ca="1">_xll.qlCalendarAdvance(Calendar,R166,"1D","f")</f>
        <v>#NAME?</v>
      </c>
      <c r="S167" s="561" t="e">
        <f ca="1">_xll.qlInterpolationInterpolate(B6Minterpolation,R167,TRUE)</f>
        <v>#NAME?</v>
      </c>
    </row>
    <row r="168" spans="18:19" x14ac:dyDescent="0.2">
      <c r="R168" s="562" t="e">
        <f ca="1">_xll.qlCalendarAdvance(Calendar,R167,"1D","f")</f>
        <v>#NAME?</v>
      </c>
      <c r="S168" s="561" t="e">
        <f ca="1">_xll.qlInterpolationInterpolate(B6Minterpolation,R168,TRUE)</f>
        <v>#NAME?</v>
      </c>
    </row>
    <row r="169" spans="18:19" x14ac:dyDescent="0.2">
      <c r="R169" s="562" t="e">
        <f ca="1">_xll.qlCalendarAdvance(Calendar,R168,"1D","f")</f>
        <v>#NAME?</v>
      </c>
      <c r="S169" s="561" t="e">
        <f ca="1">_xll.qlInterpolationInterpolate(B6Minterpolation,R169,TRUE)</f>
        <v>#NAME?</v>
      </c>
    </row>
    <row r="170" spans="18:19" x14ac:dyDescent="0.2">
      <c r="R170" s="562" t="e">
        <f ca="1">_xll.qlCalendarAdvance(Calendar,R169,"1D","f")</f>
        <v>#NAME?</v>
      </c>
      <c r="S170" s="561" t="e">
        <f ca="1">_xll.qlInterpolationInterpolate(B6Minterpolation,R170,TRUE)</f>
        <v>#NAME?</v>
      </c>
    </row>
    <row r="171" spans="18:19" x14ac:dyDescent="0.2">
      <c r="R171" s="562" t="e">
        <f ca="1">_xll.qlCalendarAdvance(Calendar,R170,"1D","f")</f>
        <v>#NAME?</v>
      </c>
      <c r="S171" s="561" t="e">
        <f ca="1">_xll.qlInterpolationInterpolate(B6Minterpolation,R171,TRUE)</f>
        <v>#NAME?</v>
      </c>
    </row>
    <row r="172" spans="18:19" x14ac:dyDescent="0.2">
      <c r="R172" s="562" t="e">
        <f ca="1">_xll.qlCalendarAdvance(Calendar,R171,"1D","f")</f>
        <v>#NAME?</v>
      </c>
      <c r="S172" s="561" t="e">
        <f ca="1">_xll.qlInterpolationInterpolate(B6Minterpolation,R172,TRUE)</f>
        <v>#NAME?</v>
      </c>
    </row>
    <row r="173" spans="18:19" x14ac:dyDescent="0.2">
      <c r="R173" s="562" t="e">
        <f ca="1">_xll.qlCalendarAdvance(Calendar,R172,"1D","f")</f>
        <v>#NAME?</v>
      </c>
      <c r="S173" s="561" t="e">
        <f ca="1">_xll.qlInterpolationInterpolate(B6Minterpolation,R173,TRUE)</f>
        <v>#NAME?</v>
      </c>
    </row>
    <row r="174" spans="18:19" x14ac:dyDescent="0.2">
      <c r="R174" s="562" t="e">
        <f ca="1">_xll.qlCalendarAdvance(Calendar,R173,"1D","f")</f>
        <v>#NAME?</v>
      </c>
      <c r="S174" s="561" t="e">
        <f ca="1">_xll.qlInterpolationInterpolate(B6Minterpolation,R174,TRUE)</f>
        <v>#NAME?</v>
      </c>
    </row>
    <row r="175" spans="18:19" x14ac:dyDescent="0.2">
      <c r="R175" s="562" t="e">
        <f ca="1">_xll.qlCalendarAdvance(Calendar,R174,"1D","f")</f>
        <v>#NAME?</v>
      </c>
      <c r="S175" s="561" t="e">
        <f ca="1">_xll.qlInterpolationInterpolate(B6Minterpolation,R175,TRUE)</f>
        <v>#NAME?</v>
      </c>
    </row>
    <row r="176" spans="18:19" x14ac:dyDescent="0.2">
      <c r="R176" s="562" t="e">
        <f ca="1">_xll.qlCalendarAdvance(Calendar,R175,"1D","f")</f>
        <v>#NAME?</v>
      </c>
      <c r="S176" s="561" t="e">
        <f ca="1">_xll.qlInterpolationInterpolate(B6Minterpolation,R176,TRUE)</f>
        <v>#NAME?</v>
      </c>
    </row>
    <row r="177" spans="18:19" x14ac:dyDescent="0.2">
      <c r="R177" s="562" t="e">
        <f ca="1">_xll.qlCalendarAdvance(Calendar,R176,"1D","f")</f>
        <v>#NAME?</v>
      </c>
      <c r="S177" s="561" t="e">
        <f ca="1">_xll.qlInterpolationInterpolate(B6Minterpolation,R177,TRUE)</f>
        <v>#NAME?</v>
      </c>
    </row>
    <row r="178" spans="18:19" x14ac:dyDescent="0.2">
      <c r="R178" s="562" t="e">
        <f ca="1">_xll.qlCalendarAdvance(Calendar,R177,"1D","f")</f>
        <v>#NAME?</v>
      </c>
      <c r="S178" s="561" t="e">
        <f ca="1">_xll.qlInterpolationInterpolate(B6Minterpolation,R178,TRUE)</f>
        <v>#NAME?</v>
      </c>
    </row>
    <row r="179" spans="18:19" x14ac:dyDescent="0.2">
      <c r="R179" s="562" t="e">
        <f ca="1">_xll.qlCalendarAdvance(Calendar,R178,"1D","f")</f>
        <v>#NAME?</v>
      </c>
      <c r="S179" s="561" t="e">
        <f ca="1">_xll.qlInterpolationInterpolate(B6Minterpolation,R179,TRUE)</f>
        <v>#NAME?</v>
      </c>
    </row>
    <row r="180" spans="18:19" x14ac:dyDescent="0.2">
      <c r="R180" s="562" t="e">
        <f ca="1">_xll.qlCalendarAdvance(Calendar,R179,"1D","f")</f>
        <v>#NAME?</v>
      </c>
      <c r="S180" s="561" t="e">
        <f ca="1">_xll.qlInterpolationInterpolate(B6Minterpolation,R180,TRUE)</f>
        <v>#NAME?</v>
      </c>
    </row>
    <row r="181" spans="18:19" x14ac:dyDescent="0.2">
      <c r="R181" s="562" t="e">
        <f ca="1">_xll.qlCalendarAdvance(Calendar,R180,"1D","f")</f>
        <v>#NAME?</v>
      </c>
      <c r="S181" s="561" t="e">
        <f ca="1">_xll.qlInterpolationInterpolate(B6Minterpolation,R181,TRUE)</f>
        <v>#NAME?</v>
      </c>
    </row>
    <row r="182" spans="18:19" x14ac:dyDescent="0.2">
      <c r="R182" s="562" t="e">
        <f ca="1">_xll.qlCalendarAdvance(Calendar,R181,"1D","f")</f>
        <v>#NAME?</v>
      </c>
      <c r="S182" s="561" t="e">
        <f ca="1">_xll.qlInterpolationInterpolate(B6Minterpolation,R182,TRUE)</f>
        <v>#NAME?</v>
      </c>
    </row>
    <row r="183" spans="18:19" x14ac:dyDescent="0.2">
      <c r="R183" s="562" t="e">
        <f ca="1">_xll.qlCalendarAdvance(Calendar,R182,"1D","f")</f>
        <v>#NAME?</v>
      </c>
      <c r="S183" s="561" t="e">
        <f ca="1">_xll.qlInterpolationInterpolate(B6Minterpolation,R183,TRUE)</f>
        <v>#NAME?</v>
      </c>
    </row>
    <row r="184" spans="18:19" x14ac:dyDescent="0.2">
      <c r="R184" s="562" t="e">
        <f ca="1">_xll.qlCalendarAdvance(Calendar,R183,"1D","f")</f>
        <v>#NAME?</v>
      </c>
      <c r="S184" s="561" t="e">
        <f ca="1">_xll.qlInterpolationInterpolate(B6Minterpolation,R184,TRUE)</f>
        <v>#NAME?</v>
      </c>
    </row>
    <row r="185" spans="18:19" x14ac:dyDescent="0.2">
      <c r="R185" s="562" t="e">
        <f ca="1">_xll.qlCalendarAdvance(Calendar,R184,"1D","f")</f>
        <v>#NAME?</v>
      </c>
      <c r="S185" s="561" t="e">
        <f ca="1">_xll.qlInterpolationInterpolate(B6Minterpolation,R185,TRUE)</f>
        <v>#NAME?</v>
      </c>
    </row>
    <row r="186" spans="18:19" x14ac:dyDescent="0.2">
      <c r="R186" s="562" t="e">
        <f ca="1">_xll.qlCalendarAdvance(Calendar,R185,"1D","f")</f>
        <v>#NAME?</v>
      </c>
      <c r="S186" s="561" t="e">
        <f ca="1">_xll.qlInterpolationInterpolate(B6Minterpolation,R186,TRUE)</f>
        <v>#NAME?</v>
      </c>
    </row>
    <row r="187" spans="18:19" x14ac:dyDescent="0.2">
      <c r="R187" s="562" t="e">
        <f ca="1">_xll.qlCalendarAdvance(Calendar,R186,"1D","f")</f>
        <v>#NAME?</v>
      </c>
      <c r="S187" s="561" t="e">
        <f ca="1">_xll.qlInterpolationInterpolate(B6Minterpolation,R187,TRUE)</f>
        <v>#NAME?</v>
      </c>
    </row>
    <row r="188" spans="18:19" x14ac:dyDescent="0.2">
      <c r="R188" s="562" t="e">
        <f ca="1">_xll.qlCalendarAdvance(Calendar,R187,"1D","f")</f>
        <v>#NAME?</v>
      </c>
      <c r="S188" s="561" t="e">
        <f ca="1">_xll.qlInterpolationInterpolate(B6Minterpolation,R188,TRUE)</f>
        <v>#NAME?</v>
      </c>
    </row>
    <row r="189" spans="18:19" x14ac:dyDescent="0.2">
      <c r="R189" s="562" t="e">
        <f ca="1">_xll.qlCalendarAdvance(Calendar,R188,"1D","f")</f>
        <v>#NAME?</v>
      </c>
      <c r="S189" s="561" t="e">
        <f ca="1">_xll.qlInterpolationInterpolate(B6Minterpolation,R189,TRUE)</f>
        <v>#NAME?</v>
      </c>
    </row>
    <row r="190" spans="18:19" x14ac:dyDescent="0.2">
      <c r="R190" s="562" t="e">
        <f ca="1">_xll.qlCalendarAdvance(Calendar,R189,"1D","f")</f>
        <v>#NAME?</v>
      </c>
      <c r="S190" s="561" t="e">
        <f ca="1">_xll.qlInterpolationInterpolate(B6Minterpolation,R190,TRUE)</f>
        <v>#NAME?</v>
      </c>
    </row>
    <row r="191" spans="18:19" x14ac:dyDescent="0.2">
      <c r="R191" s="562" t="e">
        <f ca="1">_xll.qlCalendarAdvance(Calendar,R190,"1D","f")</f>
        <v>#NAME?</v>
      </c>
      <c r="S191" s="561" t="e">
        <f ca="1">_xll.qlInterpolationInterpolate(B6Minterpolation,R191,TRUE)</f>
        <v>#NAME?</v>
      </c>
    </row>
    <row r="192" spans="18:19" x14ac:dyDescent="0.2">
      <c r="R192" s="562" t="e">
        <f ca="1">_xll.qlCalendarAdvance(Calendar,R191,"1D","f")</f>
        <v>#NAME?</v>
      </c>
      <c r="S192" s="561" t="e">
        <f ca="1">_xll.qlInterpolationInterpolate(B6Minterpolation,R192,TRUE)</f>
        <v>#NAME?</v>
      </c>
    </row>
    <row r="193" spans="18:19" x14ac:dyDescent="0.2">
      <c r="R193" s="562" t="e">
        <f ca="1">_xll.qlCalendarAdvance(Calendar,R192,"1D","f")</f>
        <v>#NAME?</v>
      </c>
      <c r="S193" s="561" t="e">
        <f ca="1">_xll.qlInterpolationInterpolate(B6Minterpolation,R193,TRUE)</f>
        <v>#NAME?</v>
      </c>
    </row>
    <row r="194" spans="18:19" x14ac:dyDescent="0.2">
      <c r="R194" s="562" t="e">
        <f ca="1">_xll.qlCalendarAdvance(Calendar,R193,"1D","f")</f>
        <v>#NAME?</v>
      </c>
      <c r="S194" s="561" t="e">
        <f ca="1">_xll.qlInterpolationInterpolate(B6Minterpolation,R194,TRUE)</f>
        <v>#NAME?</v>
      </c>
    </row>
    <row r="195" spans="18:19" x14ac:dyDescent="0.2">
      <c r="R195" s="562" t="e">
        <f ca="1">_xll.qlCalendarAdvance(Calendar,R194,"1D","f")</f>
        <v>#NAME?</v>
      </c>
      <c r="S195" s="561" t="e">
        <f ca="1">_xll.qlInterpolationInterpolate(B6Minterpolation,R195,TRUE)</f>
        <v>#NAME?</v>
      </c>
    </row>
    <row r="196" spans="18:19" x14ac:dyDescent="0.2">
      <c r="R196" s="562" t="e">
        <f ca="1">_xll.qlCalendarAdvance(Calendar,R195,"1D","f")</f>
        <v>#NAME?</v>
      </c>
      <c r="S196" s="561" t="e">
        <f ca="1">_xll.qlInterpolationInterpolate(B6Minterpolation,R196,TRUE)</f>
        <v>#NAME?</v>
      </c>
    </row>
    <row r="197" spans="18:19" x14ac:dyDescent="0.2">
      <c r="R197" s="562" t="e">
        <f ca="1">_xll.qlCalendarAdvance(Calendar,R196,"1D","f")</f>
        <v>#NAME?</v>
      </c>
      <c r="S197" s="561" t="e">
        <f ca="1">_xll.qlInterpolationInterpolate(B6Minterpolation,R197,TRUE)</f>
        <v>#NAME?</v>
      </c>
    </row>
    <row r="198" spans="18:19" x14ac:dyDescent="0.2">
      <c r="R198" s="562" t="e">
        <f ca="1">_xll.qlCalendarAdvance(Calendar,R197,"1D","f")</f>
        <v>#NAME?</v>
      </c>
      <c r="S198" s="561" t="e">
        <f ca="1">_xll.qlInterpolationInterpolate(B6Minterpolation,R198,TRUE)</f>
        <v>#NAME?</v>
      </c>
    </row>
    <row r="199" spans="18:19" x14ac:dyDescent="0.2">
      <c r="R199" s="562" t="e">
        <f ca="1">_xll.qlCalendarAdvance(Calendar,R198,"1D","f")</f>
        <v>#NAME?</v>
      </c>
      <c r="S199" s="561" t="e">
        <f ca="1">_xll.qlInterpolationInterpolate(B6Minterpolation,R199,TRUE)</f>
        <v>#NAME?</v>
      </c>
    </row>
    <row r="200" spans="18:19" x14ac:dyDescent="0.2">
      <c r="R200" s="562" t="e">
        <f ca="1">_xll.qlCalendarAdvance(Calendar,R199,"1D","f")</f>
        <v>#NAME?</v>
      </c>
      <c r="S200" s="561" t="e">
        <f ca="1">_xll.qlInterpolationInterpolate(B6Minterpolation,R200,TRUE)</f>
        <v>#NAME?</v>
      </c>
    </row>
    <row r="201" spans="18:19" x14ac:dyDescent="0.2">
      <c r="R201" s="562" t="e">
        <f ca="1">_xll.qlCalendarAdvance(Calendar,R200,"1D","f")</f>
        <v>#NAME?</v>
      </c>
      <c r="S201" s="561" t="e">
        <f ca="1">_xll.qlInterpolationInterpolate(B6Minterpolation,R201,TRUE)</f>
        <v>#NAME?</v>
      </c>
    </row>
    <row r="202" spans="18:19" x14ac:dyDescent="0.2">
      <c r="R202" s="562" t="e">
        <f ca="1">_xll.qlCalendarAdvance(Calendar,R201,"1D","f")</f>
        <v>#NAME?</v>
      </c>
      <c r="S202" s="561" t="e">
        <f ca="1">_xll.qlInterpolationInterpolate(B6Minterpolation,R202,TRUE)</f>
        <v>#NAME?</v>
      </c>
    </row>
    <row r="203" spans="18:19" x14ac:dyDescent="0.2">
      <c r="R203" s="562" t="e">
        <f ca="1">_xll.qlCalendarAdvance(Calendar,R202,"1D","f")</f>
        <v>#NAME?</v>
      </c>
      <c r="S203" s="561" t="e">
        <f ca="1">_xll.qlInterpolationInterpolate(B6Minterpolation,R203,TRUE)</f>
        <v>#NAME?</v>
      </c>
    </row>
    <row r="204" spans="18:19" x14ac:dyDescent="0.2">
      <c r="R204" s="562" t="e">
        <f ca="1">_xll.qlCalendarAdvance(Calendar,R203,"1D","f")</f>
        <v>#NAME?</v>
      </c>
      <c r="S204" s="561" t="e">
        <f ca="1">_xll.qlInterpolationInterpolate(B6Minterpolation,R204,TRUE)</f>
        <v>#NAME?</v>
      </c>
    </row>
    <row r="205" spans="18:19" x14ac:dyDescent="0.2">
      <c r="R205" s="562" t="e">
        <f ca="1">_xll.qlCalendarAdvance(Calendar,R204,"1D","f")</f>
        <v>#NAME?</v>
      </c>
      <c r="S205" s="561" t="e">
        <f ca="1">_xll.qlInterpolationInterpolate(B6Minterpolation,R205,TRUE)</f>
        <v>#NAME?</v>
      </c>
    </row>
    <row r="206" spans="18:19" x14ac:dyDescent="0.2">
      <c r="R206" s="562" t="e">
        <f ca="1">_xll.qlCalendarAdvance(Calendar,R205,"1D","f")</f>
        <v>#NAME?</v>
      </c>
      <c r="S206" s="561" t="e">
        <f ca="1">_xll.qlInterpolationInterpolate(B6Minterpolation,R206,TRUE)</f>
        <v>#NAME?</v>
      </c>
    </row>
    <row r="207" spans="18:19" x14ac:dyDescent="0.2">
      <c r="R207" s="562" t="e">
        <f ca="1">_xll.qlCalendarAdvance(Calendar,R206,"1D","f")</f>
        <v>#NAME?</v>
      </c>
      <c r="S207" s="561" t="e">
        <f ca="1">_xll.qlInterpolationInterpolate(B6Minterpolation,R207,TRUE)</f>
        <v>#NAME?</v>
      </c>
    </row>
    <row r="208" spans="18:19" x14ac:dyDescent="0.2">
      <c r="R208" s="562" t="e">
        <f ca="1">_xll.qlCalendarAdvance(Calendar,R207,"1D","f")</f>
        <v>#NAME?</v>
      </c>
      <c r="S208" s="561" t="e">
        <f ca="1">_xll.qlInterpolationInterpolate(B6Minterpolation,R208,TRUE)</f>
        <v>#NAME?</v>
      </c>
    </row>
    <row r="209" spans="18:19" x14ac:dyDescent="0.2">
      <c r="R209" s="562" t="e">
        <f ca="1">_xll.qlCalendarAdvance(Calendar,R208,"1D","f")</f>
        <v>#NAME?</v>
      </c>
      <c r="S209" s="561" t="e">
        <f ca="1">_xll.qlInterpolationInterpolate(B6Minterpolation,R209,TRUE)</f>
        <v>#NAME?</v>
      </c>
    </row>
    <row r="210" spans="18:19" x14ac:dyDescent="0.2">
      <c r="R210" s="562" t="e">
        <f ca="1">_xll.qlCalendarAdvance(Calendar,R209,"1D","f")</f>
        <v>#NAME?</v>
      </c>
      <c r="S210" s="561" t="e">
        <f ca="1">_xll.qlInterpolationInterpolate(B6Minterpolation,R210,TRUE)</f>
        <v>#NAME?</v>
      </c>
    </row>
    <row r="211" spans="18:19" x14ac:dyDescent="0.2">
      <c r="R211" s="562" t="e">
        <f ca="1">_xll.qlCalendarAdvance(Calendar,R210,"1D","f")</f>
        <v>#NAME?</v>
      </c>
      <c r="S211" s="561" t="e">
        <f ca="1">_xll.qlInterpolationInterpolate(B6Minterpolation,R211,TRUE)</f>
        <v>#NAME?</v>
      </c>
    </row>
    <row r="212" spans="18:19" x14ac:dyDescent="0.2">
      <c r="R212" s="562" t="e">
        <f ca="1">_xll.qlCalendarAdvance(Calendar,R211,"1D","f")</f>
        <v>#NAME?</v>
      </c>
      <c r="S212" s="561" t="e">
        <f ca="1">_xll.qlInterpolationInterpolate(B6Minterpolation,R212,TRUE)</f>
        <v>#NAME?</v>
      </c>
    </row>
    <row r="213" spans="18:19" x14ac:dyDescent="0.2">
      <c r="R213" s="562" t="e">
        <f ca="1">_xll.qlCalendarAdvance(Calendar,R212,"1D","f")</f>
        <v>#NAME?</v>
      </c>
      <c r="S213" s="561" t="e">
        <f ca="1">_xll.qlInterpolationInterpolate(B6Minterpolation,R213,TRUE)</f>
        <v>#NAME?</v>
      </c>
    </row>
    <row r="214" spans="18:19" x14ac:dyDescent="0.2">
      <c r="R214" s="562" t="e">
        <f ca="1">_xll.qlCalendarAdvance(Calendar,R213,"1D","f")</f>
        <v>#NAME?</v>
      </c>
      <c r="S214" s="561" t="e">
        <f ca="1">_xll.qlInterpolationInterpolate(B6Minterpolation,R214,TRUE)</f>
        <v>#NAME?</v>
      </c>
    </row>
    <row r="215" spans="18:19" x14ac:dyDescent="0.2">
      <c r="R215" s="562" t="e">
        <f ca="1">_xll.qlCalendarAdvance(Calendar,R214,"1D","f")</f>
        <v>#NAME?</v>
      </c>
      <c r="S215" s="561" t="e">
        <f ca="1">_xll.qlInterpolationInterpolate(B6Minterpolation,R215,TRUE)</f>
        <v>#NAME?</v>
      </c>
    </row>
    <row r="216" spans="18:19" x14ac:dyDescent="0.2">
      <c r="R216" s="562" t="e">
        <f ca="1">_xll.qlCalendarAdvance(Calendar,R215,"1D","f")</f>
        <v>#NAME?</v>
      </c>
      <c r="S216" s="561" t="e">
        <f ca="1">_xll.qlInterpolationInterpolate(B6Minterpolation,R216,TRUE)</f>
        <v>#NAME?</v>
      </c>
    </row>
    <row r="217" spans="18:19" x14ac:dyDescent="0.2">
      <c r="R217" s="562" t="e">
        <f ca="1">_xll.qlCalendarAdvance(Calendar,R216,"1D","f")</f>
        <v>#NAME?</v>
      </c>
      <c r="S217" s="561" t="e">
        <f ca="1">_xll.qlInterpolationInterpolate(B6Minterpolation,R217,TRUE)</f>
        <v>#NAME?</v>
      </c>
    </row>
    <row r="218" spans="18:19" x14ac:dyDescent="0.2">
      <c r="R218" s="562" t="e">
        <f ca="1">_xll.qlCalendarAdvance(Calendar,R217,"1D","f")</f>
        <v>#NAME?</v>
      </c>
      <c r="S218" s="561" t="e">
        <f ca="1">_xll.qlInterpolationInterpolate(B6Minterpolation,R218,TRUE)</f>
        <v>#NAME?</v>
      </c>
    </row>
    <row r="219" spans="18:19" x14ac:dyDescent="0.2">
      <c r="R219" s="562" t="e">
        <f ca="1">_xll.qlCalendarAdvance(Calendar,R218,"1D","f")</f>
        <v>#NAME?</v>
      </c>
      <c r="S219" s="561" t="e">
        <f ca="1">_xll.qlInterpolationInterpolate(B6Minterpolation,R219,TRUE)</f>
        <v>#NAME?</v>
      </c>
    </row>
    <row r="220" spans="18:19" x14ac:dyDescent="0.2">
      <c r="R220" s="562" t="e">
        <f ca="1">_xll.qlCalendarAdvance(Calendar,R219,"1D","f")</f>
        <v>#NAME?</v>
      </c>
      <c r="S220" s="561" t="e">
        <f ca="1">_xll.qlInterpolationInterpolate(B6Minterpolation,R220,TRUE)</f>
        <v>#NAME?</v>
      </c>
    </row>
    <row r="221" spans="18:19" x14ac:dyDescent="0.2">
      <c r="R221" s="562" t="e">
        <f ca="1">_xll.qlCalendarAdvance(Calendar,R220,"1D","f")</f>
        <v>#NAME?</v>
      </c>
      <c r="S221" s="561" t="e">
        <f ca="1">_xll.qlInterpolationInterpolate(B6Minterpolation,R221,TRUE)</f>
        <v>#NAME?</v>
      </c>
    </row>
    <row r="222" spans="18:19" x14ac:dyDescent="0.2">
      <c r="R222" s="562" t="e">
        <f ca="1">_xll.qlCalendarAdvance(Calendar,R221,"1D","f")</f>
        <v>#NAME?</v>
      </c>
      <c r="S222" s="561" t="e">
        <f ca="1">_xll.qlInterpolationInterpolate(B6Minterpolation,R222,TRUE)</f>
        <v>#NAME?</v>
      </c>
    </row>
    <row r="223" spans="18:19" x14ac:dyDescent="0.2">
      <c r="R223" s="562" t="e">
        <f ca="1">_xll.qlCalendarAdvance(Calendar,R222,"1D","f")</f>
        <v>#NAME?</v>
      </c>
      <c r="S223" s="561" t="e">
        <f ca="1">_xll.qlInterpolationInterpolate(B6Minterpolation,R223,TRUE)</f>
        <v>#NAME?</v>
      </c>
    </row>
    <row r="224" spans="18:19" x14ac:dyDescent="0.2">
      <c r="R224" s="562" t="e">
        <f ca="1">_xll.qlCalendarAdvance(Calendar,R223,"1D","f")</f>
        <v>#NAME?</v>
      </c>
      <c r="S224" s="561" t="e">
        <f ca="1">_xll.qlInterpolationInterpolate(B6Minterpolation,R224,TRUE)</f>
        <v>#NAME?</v>
      </c>
    </row>
    <row r="225" spans="18:19" x14ac:dyDescent="0.2">
      <c r="R225" s="562" t="e">
        <f ca="1">_xll.qlCalendarAdvance(Calendar,R224,"1D","f")</f>
        <v>#NAME?</v>
      </c>
      <c r="S225" s="561" t="e">
        <f ca="1">_xll.qlInterpolationInterpolate(B6Minterpolation,R225,TRUE)</f>
        <v>#NAME?</v>
      </c>
    </row>
    <row r="226" spans="18:19" x14ac:dyDescent="0.2">
      <c r="R226" s="562" t="e">
        <f ca="1">_xll.qlCalendarAdvance(Calendar,R225,"1D","f")</f>
        <v>#NAME?</v>
      </c>
      <c r="S226" s="561" t="e">
        <f ca="1">_xll.qlInterpolationInterpolate(B6Minterpolation,R226,TRUE)</f>
        <v>#NAME?</v>
      </c>
    </row>
    <row r="227" spans="18:19" x14ac:dyDescent="0.2">
      <c r="R227" s="562" t="e">
        <f ca="1">_xll.qlCalendarAdvance(Calendar,R226,"1D","f")</f>
        <v>#NAME?</v>
      </c>
      <c r="S227" s="561" t="e">
        <f ca="1">_xll.qlInterpolationInterpolate(B6Minterpolation,R227,TRUE)</f>
        <v>#NAME?</v>
      </c>
    </row>
    <row r="228" spans="18:19" x14ac:dyDescent="0.2">
      <c r="R228" s="562" t="e">
        <f ca="1">_xll.qlCalendarAdvance(Calendar,R227,"1D","f")</f>
        <v>#NAME?</v>
      </c>
      <c r="S228" s="561" t="e">
        <f ca="1">_xll.qlInterpolationInterpolate(B6Minterpolation,R228,TRUE)</f>
        <v>#NAME?</v>
      </c>
    </row>
    <row r="229" spans="18:19" x14ac:dyDescent="0.2">
      <c r="R229" s="562" t="e">
        <f ca="1">_xll.qlCalendarAdvance(Calendar,R228,"1D","f")</f>
        <v>#NAME?</v>
      </c>
      <c r="S229" s="561" t="e">
        <f ca="1">_xll.qlInterpolationInterpolate(B6Minterpolation,R229,TRUE)</f>
        <v>#NAME?</v>
      </c>
    </row>
    <row r="230" spans="18:19" x14ac:dyDescent="0.2">
      <c r="R230" s="562" t="e">
        <f ca="1">_xll.qlCalendarAdvance(Calendar,R229,"1D","f")</f>
        <v>#NAME?</v>
      </c>
      <c r="S230" s="561" t="e">
        <f ca="1">_xll.qlInterpolationInterpolate(B6Minterpolation,R230,TRUE)</f>
        <v>#NAME?</v>
      </c>
    </row>
    <row r="231" spans="18:19" x14ac:dyDescent="0.2">
      <c r="R231" s="562" t="e">
        <f ca="1">_xll.qlCalendarAdvance(Calendar,R230,"1D","f")</f>
        <v>#NAME?</v>
      </c>
      <c r="S231" s="561" t="e">
        <f ca="1">_xll.qlInterpolationInterpolate(B6Minterpolation,R231,TRUE)</f>
        <v>#NAME?</v>
      </c>
    </row>
    <row r="232" spans="18:19" x14ac:dyDescent="0.2">
      <c r="R232" s="562" t="e">
        <f ca="1">_xll.qlCalendarAdvance(Calendar,R231,"1D","f")</f>
        <v>#NAME?</v>
      </c>
      <c r="S232" s="561" t="e">
        <f ca="1">_xll.qlInterpolationInterpolate(B6Minterpolation,R232,TRUE)</f>
        <v>#NAME?</v>
      </c>
    </row>
    <row r="233" spans="18:19" x14ac:dyDescent="0.2">
      <c r="R233" s="562" t="e">
        <f ca="1">_xll.qlCalendarAdvance(Calendar,R232,"1D","f")</f>
        <v>#NAME?</v>
      </c>
      <c r="S233" s="561" t="e">
        <f ca="1">_xll.qlInterpolationInterpolate(B6Minterpolation,R233,TRUE)</f>
        <v>#NAME?</v>
      </c>
    </row>
    <row r="234" spans="18:19" x14ac:dyDescent="0.2">
      <c r="R234" s="562" t="e">
        <f ca="1">_xll.qlCalendarAdvance(Calendar,R233,"1D","f")</f>
        <v>#NAME?</v>
      </c>
      <c r="S234" s="561" t="e">
        <f ca="1">_xll.qlInterpolationInterpolate(B6Minterpolation,R234,TRUE)</f>
        <v>#NAME?</v>
      </c>
    </row>
    <row r="235" spans="18:19" x14ac:dyDescent="0.2">
      <c r="R235" s="562" t="e">
        <f ca="1">_xll.qlCalendarAdvance(Calendar,R234,"1D","f")</f>
        <v>#NAME?</v>
      </c>
      <c r="S235" s="561" t="e">
        <f ca="1">_xll.qlInterpolationInterpolate(B6Minterpolation,R235,TRUE)</f>
        <v>#NAME?</v>
      </c>
    </row>
    <row r="236" spans="18:19" x14ac:dyDescent="0.2">
      <c r="R236" s="562" t="e">
        <f ca="1">_xll.qlCalendarAdvance(Calendar,R235,"1D","f")</f>
        <v>#NAME?</v>
      </c>
      <c r="S236" s="561" t="e">
        <f ca="1">_xll.qlInterpolationInterpolate(B6Minterpolation,R236,TRUE)</f>
        <v>#NAME?</v>
      </c>
    </row>
    <row r="237" spans="18:19" x14ac:dyDescent="0.2">
      <c r="R237" s="562" t="e">
        <f ca="1">_xll.qlCalendarAdvance(Calendar,R236,"1D","f")</f>
        <v>#NAME?</v>
      </c>
      <c r="S237" s="561" t="e">
        <f ca="1">_xll.qlInterpolationInterpolate(B6Minterpolation,R237,TRUE)</f>
        <v>#NAME?</v>
      </c>
    </row>
    <row r="238" spans="18:19" x14ac:dyDescent="0.2">
      <c r="R238" s="562" t="e">
        <f ca="1">_xll.qlCalendarAdvance(Calendar,R237,"1D","f")</f>
        <v>#NAME?</v>
      </c>
      <c r="S238" s="561" t="e">
        <f ca="1">_xll.qlInterpolationInterpolate(B6Minterpolation,R238,TRUE)</f>
        <v>#NAME?</v>
      </c>
    </row>
    <row r="239" spans="18:19" x14ac:dyDescent="0.2">
      <c r="R239" s="562" t="e">
        <f ca="1">_xll.qlCalendarAdvance(Calendar,R238,"1D","f")</f>
        <v>#NAME?</v>
      </c>
      <c r="S239" s="561" t="e">
        <f ca="1">_xll.qlInterpolationInterpolate(B6Minterpolation,R239,TRUE)</f>
        <v>#NAME?</v>
      </c>
    </row>
    <row r="240" spans="18:19" x14ac:dyDescent="0.2">
      <c r="R240" s="562" t="e">
        <f ca="1">_xll.qlCalendarAdvance(Calendar,R239,"1D","f")</f>
        <v>#NAME?</v>
      </c>
      <c r="S240" s="561" t="e">
        <f ca="1">_xll.qlInterpolationInterpolate(B6Minterpolation,R240,TRUE)</f>
        <v>#NAME?</v>
      </c>
    </row>
    <row r="241" spans="18:19" x14ac:dyDescent="0.2">
      <c r="R241" s="562" t="e">
        <f ca="1">_xll.qlCalendarAdvance(Calendar,R240,"1D","f")</f>
        <v>#NAME?</v>
      </c>
      <c r="S241" s="561" t="e">
        <f ca="1">_xll.qlInterpolationInterpolate(B6Minterpolation,R241,TRUE)</f>
        <v>#NAME?</v>
      </c>
    </row>
    <row r="242" spans="18:19" x14ac:dyDescent="0.2">
      <c r="R242" s="562" t="e">
        <f ca="1">_xll.qlCalendarAdvance(Calendar,R241,"1D","f")</f>
        <v>#NAME?</v>
      </c>
      <c r="S242" s="561" t="e">
        <f ca="1">_xll.qlInterpolationInterpolate(B6Minterpolation,R242,TRUE)</f>
        <v>#NAME?</v>
      </c>
    </row>
    <row r="243" spans="18:19" x14ac:dyDescent="0.2">
      <c r="R243" s="562" t="e">
        <f ca="1">_xll.qlCalendarAdvance(Calendar,R242,"1D","f")</f>
        <v>#NAME?</v>
      </c>
      <c r="S243" s="561" t="e">
        <f ca="1">_xll.qlInterpolationInterpolate(B6Minterpolation,R243,TRUE)</f>
        <v>#NAME?</v>
      </c>
    </row>
    <row r="244" spans="18:19" x14ac:dyDescent="0.2">
      <c r="R244" s="562" t="e">
        <f ca="1">_xll.qlCalendarAdvance(Calendar,R243,"1D","f")</f>
        <v>#NAME?</v>
      </c>
      <c r="S244" s="561" t="e">
        <f ca="1">_xll.qlInterpolationInterpolate(B6Minterpolation,R244,TRUE)</f>
        <v>#NAME?</v>
      </c>
    </row>
    <row r="245" spans="18:19" x14ac:dyDescent="0.2">
      <c r="R245" s="562" t="e">
        <f ca="1">_xll.qlCalendarAdvance(Calendar,R244,"1D","f")</f>
        <v>#NAME?</v>
      </c>
      <c r="S245" s="561" t="e">
        <f ca="1">_xll.qlInterpolationInterpolate(B6Minterpolation,R245,TRUE)</f>
        <v>#NAME?</v>
      </c>
    </row>
    <row r="246" spans="18:19" x14ac:dyDescent="0.2">
      <c r="R246" s="562" t="e">
        <f ca="1">_xll.qlCalendarAdvance(Calendar,R245,"1D","f")</f>
        <v>#NAME?</v>
      </c>
      <c r="S246" s="561" t="e">
        <f ca="1">_xll.qlInterpolationInterpolate(B6Minterpolation,R246,TRUE)</f>
        <v>#NAME?</v>
      </c>
    </row>
    <row r="247" spans="18:19" x14ac:dyDescent="0.2">
      <c r="R247" s="562" t="e">
        <f ca="1">_xll.qlCalendarAdvance(Calendar,R246,"1D","f")</f>
        <v>#NAME?</v>
      </c>
      <c r="S247" s="561" t="e">
        <f ca="1">_xll.qlInterpolationInterpolate(B6Minterpolation,R247,TRUE)</f>
        <v>#NAME?</v>
      </c>
    </row>
    <row r="248" spans="18:19" x14ac:dyDescent="0.2">
      <c r="R248" s="562" t="e">
        <f ca="1">_xll.qlCalendarAdvance(Calendar,R247,"1D","f")</f>
        <v>#NAME?</v>
      </c>
      <c r="S248" s="561" t="e">
        <f ca="1">_xll.qlInterpolationInterpolate(B6Minterpolation,R248,TRUE)</f>
        <v>#NAME?</v>
      </c>
    </row>
    <row r="249" spans="18:19" x14ac:dyDescent="0.2">
      <c r="R249" s="562" t="e">
        <f ca="1">_xll.qlCalendarAdvance(Calendar,R248,"1D","f")</f>
        <v>#NAME?</v>
      </c>
      <c r="S249" s="561" t="e">
        <f ca="1">_xll.qlInterpolationInterpolate(B6Minterpolation,R249,TRUE)</f>
        <v>#NAME?</v>
      </c>
    </row>
    <row r="250" spans="18:19" x14ac:dyDescent="0.2">
      <c r="R250" s="562" t="e">
        <f ca="1">_xll.qlCalendarAdvance(Calendar,R249,"1D","f")</f>
        <v>#NAME?</v>
      </c>
      <c r="S250" s="561" t="e">
        <f ca="1">_xll.qlInterpolationInterpolate(B6Minterpolation,R250,TRUE)</f>
        <v>#NAME?</v>
      </c>
    </row>
    <row r="251" spans="18:19" x14ac:dyDescent="0.2">
      <c r="R251" s="562" t="e">
        <f ca="1">_xll.qlCalendarAdvance(Calendar,R250,"1D","f")</f>
        <v>#NAME?</v>
      </c>
      <c r="S251" s="561" t="e">
        <f ca="1">_xll.qlInterpolationInterpolate(B6Minterpolation,R251,TRUE)</f>
        <v>#NAME?</v>
      </c>
    </row>
    <row r="252" spans="18:19" x14ac:dyDescent="0.2">
      <c r="R252" s="562" t="e">
        <f ca="1">_xll.qlCalendarAdvance(Calendar,R251,"1D","f")</f>
        <v>#NAME?</v>
      </c>
      <c r="S252" s="561" t="e">
        <f ca="1">_xll.qlInterpolationInterpolate(B6Minterpolation,R252,TRUE)</f>
        <v>#NAME?</v>
      </c>
    </row>
    <row r="253" spans="18:19" x14ac:dyDescent="0.2">
      <c r="R253" s="562" t="e">
        <f ca="1">_xll.qlCalendarAdvance(Calendar,R252,"1D","f")</f>
        <v>#NAME?</v>
      </c>
      <c r="S253" s="561" t="e">
        <f ca="1">_xll.qlInterpolationInterpolate(B6Minterpolation,R253,TRUE)</f>
        <v>#NAME?</v>
      </c>
    </row>
    <row r="254" spans="18:19" x14ac:dyDescent="0.2">
      <c r="R254" s="562" t="e">
        <f ca="1">_xll.qlCalendarAdvance(Calendar,R253,"1D","f")</f>
        <v>#NAME?</v>
      </c>
      <c r="S254" s="561" t="e">
        <f ca="1">_xll.qlInterpolationInterpolate(B6Minterpolation,R254,TRUE)</f>
        <v>#NAME?</v>
      </c>
    </row>
    <row r="255" spans="18:19" x14ac:dyDescent="0.2">
      <c r="R255" s="562" t="e">
        <f ca="1">_xll.qlCalendarAdvance(Calendar,R254,"1D","f")</f>
        <v>#NAME?</v>
      </c>
      <c r="S255" s="561" t="e">
        <f ca="1">_xll.qlInterpolationInterpolate(B6Minterpolation,R255,TRUE)</f>
        <v>#NAME?</v>
      </c>
    </row>
    <row r="256" spans="18:19" x14ac:dyDescent="0.2">
      <c r="R256" s="562" t="e">
        <f ca="1">_xll.qlCalendarAdvance(Calendar,R255,"1D","f")</f>
        <v>#NAME?</v>
      </c>
      <c r="S256" s="561" t="e">
        <f ca="1">_xll.qlInterpolationInterpolate(B6Minterpolation,R256,TRUE)</f>
        <v>#NAME?</v>
      </c>
    </row>
    <row r="257" spans="18:19" x14ac:dyDescent="0.2">
      <c r="R257" s="562" t="e">
        <f ca="1">_xll.qlCalendarAdvance(Calendar,R256,"1D","f")</f>
        <v>#NAME?</v>
      </c>
      <c r="S257" s="561" t="e">
        <f ca="1">_xll.qlInterpolationInterpolate(B6Minterpolation,R257,TRUE)</f>
        <v>#NAME?</v>
      </c>
    </row>
    <row r="258" spans="18:19" x14ac:dyDescent="0.2">
      <c r="R258" s="562" t="e">
        <f ca="1">_xll.qlCalendarAdvance(Calendar,R257,"1D","f")</f>
        <v>#NAME?</v>
      </c>
      <c r="S258" s="561" t="e">
        <f ca="1">_xll.qlInterpolationInterpolate(B6Minterpolation,R258,TRUE)</f>
        <v>#NAME?</v>
      </c>
    </row>
    <row r="259" spans="18:19" x14ac:dyDescent="0.2">
      <c r="R259" s="562" t="e">
        <f ca="1">_xll.qlCalendarAdvance(Calendar,R258,"1D","f")</f>
        <v>#NAME?</v>
      </c>
      <c r="S259" s="561" t="e">
        <f ca="1">_xll.qlInterpolationInterpolate(B6Minterpolation,R259,TRUE)</f>
        <v>#NAME?</v>
      </c>
    </row>
    <row r="260" spans="18:19" x14ac:dyDescent="0.2">
      <c r="R260" s="562" t="e">
        <f ca="1">_xll.qlCalendarAdvance(Calendar,R259,"1D","f")</f>
        <v>#NAME?</v>
      </c>
      <c r="S260" s="561" t="e">
        <f ca="1">_xll.qlInterpolationInterpolate(B6Minterpolation,R260,TRUE)</f>
        <v>#NAME?</v>
      </c>
    </row>
    <row r="261" spans="18:19" x14ac:dyDescent="0.2">
      <c r="R261" s="562" t="e">
        <f ca="1">_xll.qlCalendarAdvance(Calendar,R260,"1D","f")</f>
        <v>#NAME?</v>
      </c>
      <c r="S261" s="561" t="e">
        <f ca="1">_xll.qlInterpolationInterpolate(B6Minterpolation,R261,TRUE)</f>
        <v>#NAME?</v>
      </c>
    </row>
    <row r="262" spans="18:19" x14ac:dyDescent="0.2">
      <c r="R262" s="560" t="e">
        <f ca="1">_xll.qlCalendarAdvance(Calendar,R261,"1D","f")</f>
        <v>#NAME?</v>
      </c>
      <c r="S262" s="559" t="e">
        <f ca="1">_xll.qlInterpolationInterpolate(B6Minterpolation,R262,TRUE)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21">
      <formula1>"true,false"</formula1>
    </dataValidation>
  </dataValidation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V384"/>
  <sheetViews>
    <sheetView showGridLines="0" topLeftCell="A2" workbookViewId="0">
      <selection activeCell="V3" sqref="V3:V4"/>
    </sheetView>
  </sheetViews>
  <sheetFormatPr defaultRowHeight="11.25" outlineLevelRow="1" outlineLevelCol="1" x14ac:dyDescent="0.2"/>
  <cols>
    <col min="1" max="1" width="2.7109375" style="556" customWidth="1"/>
    <col min="2" max="2" width="2" style="556" bestFit="1" customWidth="1"/>
    <col min="3" max="3" width="2.7109375" style="556" customWidth="1"/>
    <col min="4" max="4" width="26.42578125" style="556" customWidth="1"/>
    <col min="5" max="6" width="17.28515625" style="556" bestFit="1" customWidth="1"/>
    <col min="7" max="7" width="7" style="556" bestFit="1" customWidth="1"/>
    <col min="8" max="8" width="11.140625" style="556" customWidth="1"/>
    <col min="9" max="10" width="12.140625" style="556" hidden="1" customWidth="1" outlineLevel="1"/>
    <col min="11" max="11" width="9" style="556" bestFit="1" customWidth="1" collapsed="1"/>
    <col min="12" max="12" width="8" style="556" bestFit="1" customWidth="1"/>
    <col min="13" max="13" width="8.85546875" style="556" customWidth="1"/>
    <col min="14" max="14" width="8" style="556" bestFit="1" customWidth="1"/>
    <col min="15" max="15" width="6" style="556" bestFit="1" customWidth="1"/>
    <col min="16" max="16" width="8" style="556" bestFit="1" customWidth="1"/>
    <col min="17" max="17" width="9.7109375" style="556" customWidth="1"/>
    <col min="18" max="18" width="17.28515625" style="556" bestFit="1" customWidth="1"/>
    <col min="19" max="19" width="8" style="556" bestFit="1" customWidth="1"/>
    <col min="20" max="16384" width="9.140625" style="556"/>
  </cols>
  <sheetData>
    <row r="1" spans="1:22" hidden="1" outlineLevel="1" x14ac:dyDescent="0.2">
      <c r="E1" s="596" t="s">
        <v>319</v>
      </c>
      <c r="F1" s="595" t="s">
        <v>318</v>
      </c>
      <c r="N1" s="556" t="e">
        <f ca="1">_xll.qlInterpolation(,interpolator12M,_xll.ohFilter(E3:E15,M3:M15),_xll.ohFilter(L3:L15,M3:M15))</f>
        <v>#NAME?</v>
      </c>
    </row>
    <row r="2" spans="1:22" ht="26.25" customHeight="1" collapsed="1" thickBot="1" x14ac:dyDescent="0.25">
      <c r="D2" s="594" t="str">
        <f>F1&amp;" Instruments"</f>
        <v>12M Instruments</v>
      </c>
      <c r="E2" s="594" t="s">
        <v>310</v>
      </c>
      <c r="F2" s="594" t="s">
        <v>317</v>
      </c>
      <c r="G2" s="594" t="s">
        <v>275</v>
      </c>
      <c r="H2" s="594" t="str">
        <f>F1&amp;" Market quote"</f>
        <v>12M Market quote</v>
      </c>
      <c r="I2" s="594" t="s">
        <v>316</v>
      </c>
      <c r="J2" s="594" t="s">
        <v>315</v>
      </c>
      <c r="K2" s="594" t="s">
        <v>314</v>
      </c>
      <c r="L2" s="594" t="s">
        <v>313</v>
      </c>
      <c r="M2" s="594" t="s">
        <v>274</v>
      </c>
      <c r="N2" s="594" t="s">
        <v>309</v>
      </c>
      <c r="O2" s="594" t="s">
        <v>312</v>
      </c>
      <c r="P2" s="594" t="s">
        <v>311</v>
      </c>
      <c r="R2" s="594" t="s">
        <v>310</v>
      </c>
      <c r="S2" s="594" t="s">
        <v>309</v>
      </c>
    </row>
    <row r="3" spans="1:22" ht="11.25" customHeight="1" x14ac:dyDescent="0.25">
      <c r="C3" s="593" t="s">
        <v>58</v>
      </c>
      <c r="D3" s="592" t="str">
        <f>PROPER(Currency&amp;IborType)&amp;C3&amp;"LastFixing"&amp;QuoteSuffix</f>
        <v>Euribor1YLastFixing_Quote</v>
      </c>
      <c r="E3" s="591" t="e">
        <f ca="1">SettlementDate</f>
        <v>#NAME?</v>
      </c>
      <c r="F3" s="591" t="e">
        <f ca="1">_xll.qlCalendarAdvance(Calendar,E3,$F$1,"mf",,Trigger)</f>
        <v>#NAME?</v>
      </c>
      <c r="G3" s="590" t="e">
        <f ca="1">_xll.qlDayCounterYearFraction(DayCounter,E3,F3,,,Trigger)</f>
        <v>#NAME?</v>
      </c>
      <c r="H3" s="588" t="e">
        <f ca="1">_xll.qlQuoteValue(D3,LastFixingsTrigger)</f>
        <v>#NAME?</v>
      </c>
      <c r="I3" s="589" t="e">
        <f ca="1">_xll.qlYieldTSDiscount(Discounting,E3,,AllTriggers)</f>
        <v>#NAME?</v>
      </c>
      <c r="J3" s="589" t="e">
        <f ca="1">_xll.qlYieldTSDiscount(Discounting,F3,,AllTriggers)</f>
        <v>#NAME?</v>
      </c>
      <c r="K3" s="588" t="e">
        <f t="shared" ref="K3:K15" ca="1" si="0">(I3/J3-1)/G3</f>
        <v>#NAME?</v>
      </c>
      <c r="L3" s="588" t="e">
        <f t="shared" ref="L3:L15" ca="1" si="1">H3-K3</f>
        <v>#NAME?</v>
      </c>
      <c r="M3" s="587" t="b">
        <v>1</v>
      </c>
      <c r="N3" s="586" t="e">
        <f ca="1">_xll.qlInterpolationInterpolate($N$1,E3,TRUE)</f>
        <v>#NAME?</v>
      </c>
      <c r="O3" s="585" t="e">
        <f t="shared" ref="O3:O15" ca="1" si="2">(L3-N3)*10000</f>
        <v>#NAME?</v>
      </c>
      <c r="P3" s="584" t="e">
        <f t="shared" ref="P3:P15" ca="1" si="3">LN((1+H3*G3)/(1+K3*G3))</f>
        <v>#NAME?</v>
      </c>
      <c r="R3" s="583" t="e">
        <f ca="1">E3</f>
        <v>#NAME?</v>
      </c>
      <c r="S3" s="582" t="e">
        <f ca="1">_xll.qlInterpolationInterpolate(B12Minterpolation,R3,TRUE)</f>
        <v>#NAME?</v>
      </c>
      <c r="U3" s="1361" t="s">
        <v>529</v>
      </c>
      <c r="V3" s="1364" t="e">
        <f ca="1">_xll.ohTrigger('General Settings_3'!Trigger)</f>
        <v>#NAME?</v>
      </c>
    </row>
    <row r="4" spans="1:22" ht="11.25" customHeight="1" thickBot="1" x14ac:dyDescent="0.3">
      <c r="A4" s="556">
        <v>1</v>
      </c>
      <c r="B4" s="556" t="s">
        <v>180</v>
      </c>
      <c r="C4" s="556">
        <f t="shared" ref="C4:C15" si="4">A4+SUBSTITUTE($F$1,"M","")</f>
        <v>13</v>
      </c>
      <c r="D4" s="579" t="str">
        <f t="shared" ref="D4:D15" si="5">Currency&amp;A4&amp;B4&amp;C4&amp;"F"&amp;QuoteSuffix</f>
        <v>EUR1x13F_Quote</v>
      </c>
      <c r="E4" s="562" t="e">
        <f ca="1">_xll.qlCalendarAdvance("target",$E$3,A4&amp;"M","mf",,Trigger)</f>
        <v>#NAME?</v>
      </c>
      <c r="F4" s="562" t="e">
        <f ca="1">_xll.qlCalendarAdvance(Calendar,E4,$F$1,"mf",,Trigger)</f>
        <v>#NAME?</v>
      </c>
      <c r="G4" s="578" t="e">
        <f ca="1">_xll.qlDayCounterYearFraction(DayCounter,E4,F4,,,Trigger)</f>
        <v>#NAME?</v>
      </c>
      <c r="H4" s="575" t="e">
        <f ca="1">_xll.qlQuoteValue(D4,AllTriggers)</f>
        <v>#NAME?</v>
      </c>
      <c r="I4" s="581" t="e">
        <f ca="1">_xll.qlYieldTSDiscount(Discounting,E4,,AllTriggers)</f>
        <v>#NAME?</v>
      </c>
      <c r="J4" s="581" t="e">
        <f ca="1">_xll.qlYieldTSDiscount(Discounting,F4,,AllTriggers)</f>
        <v>#NAME?</v>
      </c>
      <c r="K4" s="575" t="e">
        <f t="shared" ca="1" si="0"/>
        <v>#NAME?</v>
      </c>
      <c r="L4" s="580" t="e">
        <f t="shared" ca="1" si="1"/>
        <v>#NAME?</v>
      </c>
      <c r="M4" s="576" t="b">
        <v>1</v>
      </c>
      <c r="N4" s="575" t="e">
        <f ca="1">_xll.qlInterpolationInterpolate($N$1,E4,TRUE)</f>
        <v>#NAME?</v>
      </c>
      <c r="O4" s="574" t="e">
        <f t="shared" ca="1" si="2"/>
        <v>#NAME?</v>
      </c>
      <c r="P4" s="573" t="e">
        <f t="shared" ca="1" si="3"/>
        <v>#NAME?</v>
      </c>
      <c r="R4" s="562" t="e">
        <f ca="1">_xll.qlCalendarAdvance(Calendar,R3,"1D","f")</f>
        <v>#NAME?</v>
      </c>
      <c r="S4" s="561" t="e">
        <f ca="1">_xll.qlInterpolationInterpolate(B12Minterpolation,R4,TRUE)</f>
        <v>#NAME?</v>
      </c>
      <c r="U4" s="1362" t="s">
        <v>530</v>
      </c>
      <c r="V4" s="1365" t="e">
        <f ca="1">_xll.ohTrigger(S3:S262)</f>
        <v>#NAME?</v>
      </c>
    </row>
    <row r="5" spans="1:22" ht="11.25" customHeight="1" x14ac:dyDescent="0.2">
      <c r="A5" s="556">
        <v>2</v>
      </c>
      <c r="B5" s="556" t="s">
        <v>180</v>
      </c>
      <c r="C5" s="556">
        <f t="shared" si="4"/>
        <v>14</v>
      </c>
      <c r="D5" s="579" t="str">
        <f t="shared" si="5"/>
        <v>EUR2x14F_Quote</v>
      </c>
      <c r="E5" s="562" t="e">
        <f ca="1">_xll.qlCalendarAdvance("target",$E$3,A5&amp;"M","mf",,Trigger)</f>
        <v>#NAME?</v>
      </c>
      <c r="F5" s="562" t="e">
        <f ca="1">_xll.qlCalendarAdvance(Calendar,E5,$F$1,"mf",,Trigger)</f>
        <v>#NAME?</v>
      </c>
      <c r="G5" s="578" t="e">
        <f ca="1">_xll.qlDayCounterYearFraction(DayCounter,E5,F5,,,Trigger)</f>
        <v>#NAME?</v>
      </c>
      <c r="H5" s="575" t="e">
        <f ca="1">_xll.qlQuoteValue(D5,AllTriggers)</f>
        <v>#NAME?</v>
      </c>
      <c r="I5" s="577" t="e">
        <f ca="1">_xll.qlYieldTSDiscount(Discounting,E5,,AllTriggers)</f>
        <v>#NAME?</v>
      </c>
      <c r="J5" s="577" t="e">
        <f ca="1">_xll.qlYieldTSDiscount(Discounting,F5,,AllTriggers)</f>
        <v>#NAME?</v>
      </c>
      <c r="K5" s="575" t="e">
        <f t="shared" ca="1" si="0"/>
        <v>#NAME?</v>
      </c>
      <c r="L5" s="575" t="e">
        <f t="shared" ca="1" si="1"/>
        <v>#NAME?</v>
      </c>
      <c r="M5" s="576" t="b">
        <v>1</v>
      </c>
      <c r="N5" s="575" t="e">
        <f ca="1">_xll.qlInterpolationInterpolate($N$1,E5,TRUE)</f>
        <v>#NAME?</v>
      </c>
      <c r="O5" s="574" t="e">
        <f t="shared" ca="1" si="2"/>
        <v>#NAME?</v>
      </c>
      <c r="P5" s="573" t="e">
        <f t="shared" ca="1" si="3"/>
        <v>#NAME?</v>
      </c>
      <c r="R5" s="562" t="e">
        <f ca="1">_xll.qlCalendarAdvance(Calendar,R4,"1D","f")</f>
        <v>#NAME?</v>
      </c>
      <c r="S5" s="561" t="e">
        <f ca="1">_xll.qlInterpolationInterpolate(B12Minterpolation,R5,TRUE)</f>
        <v>#NAME?</v>
      </c>
    </row>
    <row r="6" spans="1:22" ht="11.25" customHeight="1" x14ac:dyDescent="0.2">
      <c r="A6" s="556">
        <f t="shared" ref="A6:A15" si="6">A5+1</f>
        <v>3</v>
      </c>
      <c r="B6" s="556" t="s">
        <v>180</v>
      </c>
      <c r="C6" s="556">
        <f t="shared" si="4"/>
        <v>15</v>
      </c>
      <c r="D6" s="579" t="str">
        <f t="shared" si="5"/>
        <v>EUR3x15F_Quote</v>
      </c>
      <c r="E6" s="562" t="e">
        <f ca="1">_xll.qlCalendarAdvance("target",$E$3,A6&amp;"M","mf",,Trigger)</f>
        <v>#NAME?</v>
      </c>
      <c r="F6" s="562" t="e">
        <f ca="1">_xll.qlCalendarAdvance(Calendar,E6,$F$1,"mf",,Trigger)</f>
        <v>#NAME?</v>
      </c>
      <c r="G6" s="578" t="e">
        <f ca="1">_xll.qlDayCounterYearFraction(DayCounter,E6,F6,,,Trigger)</f>
        <v>#NAME?</v>
      </c>
      <c r="H6" s="575" t="e">
        <f ca="1">_xll.qlQuoteValue(D6,AllTriggers)</f>
        <v>#NAME?</v>
      </c>
      <c r="I6" s="577" t="e">
        <f ca="1">_xll.qlYieldTSDiscount(Discounting,E6,,AllTriggers)</f>
        <v>#NAME?</v>
      </c>
      <c r="J6" s="577" t="e">
        <f ca="1">_xll.qlYieldTSDiscount(Discounting,F6,,AllTriggers)</f>
        <v>#NAME?</v>
      </c>
      <c r="K6" s="575" t="e">
        <f t="shared" ca="1" si="0"/>
        <v>#NAME?</v>
      </c>
      <c r="L6" s="575" t="e">
        <f t="shared" ca="1" si="1"/>
        <v>#NAME?</v>
      </c>
      <c r="M6" s="576" t="b">
        <v>1</v>
      </c>
      <c r="N6" s="575" t="e">
        <f ca="1">_xll.qlInterpolationInterpolate($N$1,E6,TRUE)</f>
        <v>#NAME?</v>
      </c>
      <c r="O6" s="574" t="e">
        <f t="shared" ca="1" si="2"/>
        <v>#NAME?</v>
      </c>
      <c r="P6" s="573" t="e">
        <f t="shared" ca="1" si="3"/>
        <v>#NAME?</v>
      </c>
      <c r="R6" s="562" t="e">
        <f ca="1">_xll.qlCalendarAdvance(Calendar,R5,"1D","f")</f>
        <v>#NAME?</v>
      </c>
      <c r="S6" s="561" t="e">
        <f ca="1">_xll.qlInterpolationInterpolate(B12Minterpolation,R6,TRUE)</f>
        <v>#NAME?</v>
      </c>
    </row>
    <row r="7" spans="1:22" ht="11.25" customHeight="1" x14ac:dyDescent="0.2">
      <c r="A7" s="556">
        <f t="shared" si="6"/>
        <v>4</v>
      </c>
      <c r="B7" s="556" t="s">
        <v>180</v>
      </c>
      <c r="C7" s="556">
        <f t="shared" si="4"/>
        <v>16</v>
      </c>
      <c r="D7" s="579" t="str">
        <f t="shared" si="5"/>
        <v>EUR4x16F_Quote</v>
      </c>
      <c r="E7" s="562" t="e">
        <f ca="1">_xll.qlCalendarAdvance("target",$E$3,A7&amp;"M","mf",,Trigger)</f>
        <v>#NAME?</v>
      </c>
      <c r="F7" s="562" t="e">
        <f ca="1">_xll.qlCalendarAdvance(Calendar,E7,$F$1,"mf",,Trigger)</f>
        <v>#NAME?</v>
      </c>
      <c r="G7" s="578" t="e">
        <f ca="1">_xll.qlDayCounterYearFraction(DayCounter,E7,F7,,,Trigger)</f>
        <v>#NAME?</v>
      </c>
      <c r="H7" s="575" t="e">
        <f ca="1">_xll.qlQuoteValue(D7,AllTriggers)</f>
        <v>#NAME?</v>
      </c>
      <c r="I7" s="577" t="e">
        <f ca="1">_xll.qlYieldTSDiscount(Discounting,E7,,AllTriggers)</f>
        <v>#NAME?</v>
      </c>
      <c r="J7" s="577" t="e">
        <f ca="1">_xll.qlYieldTSDiscount(Discounting,F7,,AllTriggers)</f>
        <v>#NAME?</v>
      </c>
      <c r="K7" s="575" t="e">
        <f t="shared" ca="1" si="0"/>
        <v>#NAME?</v>
      </c>
      <c r="L7" s="575" t="e">
        <f t="shared" ca="1" si="1"/>
        <v>#NAME?</v>
      </c>
      <c r="M7" s="576" t="b">
        <v>1</v>
      </c>
      <c r="N7" s="575" t="e">
        <f ca="1">_xll.qlInterpolationInterpolate($N$1,E7,TRUE)</f>
        <v>#NAME?</v>
      </c>
      <c r="O7" s="574" t="e">
        <f t="shared" ca="1" si="2"/>
        <v>#NAME?</v>
      </c>
      <c r="P7" s="573" t="e">
        <f t="shared" ca="1" si="3"/>
        <v>#NAME?</v>
      </c>
      <c r="R7" s="562" t="e">
        <f ca="1">_xll.qlCalendarAdvance(Calendar,R6,"1D","f")</f>
        <v>#NAME?</v>
      </c>
      <c r="S7" s="561" t="e">
        <f ca="1">_xll.qlInterpolationInterpolate(B12Minterpolation,R7,TRUE)</f>
        <v>#NAME?</v>
      </c>
    </row>
    <row r="8" spans="1:22" ht="11.25" customHeight="1" x14ac:dyDescent="0.2">
      <c r="A8" s="556">
        <f t="shared" si="6"/>
        <v>5</v>
      </c>
      <c r="B8" s="556" t="s">
        <v>180</v>
      </c>
      <c r="C8" s="556">
        <f t="shared" si="4"/>
        <v>17</v>
      </c>
      <c r="D8" s="579" t="str">
        <f t="shared" si="5"/>
        <v>EUR5x17F_Quote</v>
      </c>
      <c r="E8" s="562" t="e">
        <f ca="1">_xll.qlCalendarAdvance("target",$E$3,A8&amp;"M","mf",,Trigger)</f>
        <v>#NAME?</v>
      </c>
      <c r="F8" s="562" t="e">
        <f ca="1">_xll.qlCalendarAdvance(Calendar,E8,$F$1,"mf",,Trigger)</f>
        <v>#NAME?</v>
      </c>
      <c r="G8" s="578" t="e">
        <f ca="1">_xll.qlDayCounterYearFraction(DayCounter,E8,F8,,,Trigger)</f>
        <v>#NAME?</v>
      </c>
      <c r="H8" s="575" t="e">
        <f ca="1">_xll.qlQuoteValue(D8,AllTriggers)</f>
        <v>#NAME?</v>
      </c>
      <c r="I8" s="577" t="e">
        <f ca="1">_xll.qlYieldTSDiscount(Discounting,E8,,AllTriggers)</f>
        <v>#NAME?</v>
      </c>
      <c r="J8" s="577" t="e">
        <f ca="1">_xll.qlYieldTSDiscount(Discounting,F8,,AllTriggers)</f>
        <v>#NAME?</v>
      </c>
      <c r="K8" s="575" t="e">
        <f t="shared" ca="1" si="0"/>
        <v>#NAME?</v>
      </c>
      <c r="L8" s="575" t="e">
        <f t="shared" ca="1" si="1"/>
        <v>#NAME?</v>
      </c>
      <c r="M8" s="576" t="b">
        <v>1</v>
      </c>
      <c r="N8" s="575" t="e">
        <f ca="1">_xll.qlInterpolationInterpolate($N$1,E8,TRUE)</f>
        <v>#NAME?</v>
      </c>
      <c r="O8" s="574" t="e">
        <f t="shared" ca="1" si="2"/>
        <v>#NAME?</v>
      </c>
      <c r="P8" s="573" t="e">
        <f t="shared" ca="1" si="3"/>
        <v>#NAME?</v>
      </c>
      <c r="R8" s="562" t="e">
        <f ca="1">_xll.qlCalendarAdvance(Calendar,R7,"1D","f")</f>
        <v>#NAME?</v>
      </c>
      <c r="S8" s="561" t="e">
        <f ca="1">_xll.qlInterpolationInterpolate(B12Minterpolation,R8,TRUE)</f>
        <v>#NAME?</v>
      </c>
    </row>
    <row r="9" spans="1:22" ht="11.25" customHeight="1" x14ac:dyDescent="0.2">
      <c r="A9" s="556">
        <f t="shared" si="6"/>
        <v>6</v>
      </c>
      <c r="B9" s="556" t="s">
        <v>180</v>
      </c>
      <c r="C9" s="556">
        <f t="shared" si="4"/>
        <v>18</v>
      </c>
      <c r="D9" s="579" t="str">
        <f t="shared" si="5"/>
        <v>EUR6x18F_Quote</v>
      </c>
      <c r="E9" s="562" t="e">
        <f ca="1">_xll.qlCalendarAdvance("target",$E$3,A9&amp;"M","mf",,Trigger)</f>
        <v>#NAME?</v>
      </c>
      <c r="F9" s="562" t="e">
        <f ca="1">_xll.qlCalendarAdvance(Calendar,E9,$F$1,"mf",,Trigger)</f>
        <v>#NAME?</v>
      </c>
      <c r="G9" s="578" t="e">
        <f ca="1">_xll.qlDayCounterYearFraction(DayCounter,E9,F9,,,Trigger)</f>
        <v>#NAME?</v>
      </c>
      <c r="H9" s="575" t="e">
        <f ca="1">_xll.qlQuoteValue(D9,AllTriggers)</f>
        <v>#NAME?</v>
      </c>
      <c r="I9" s="577" t="e">
        <f ca="1">_xll.qlYieldTSDiscount(Discounting,E9,,AllTriggers)</f>
        <v>#NAME?</v>
      </c>
      <c r="J9" s="577" t="e">
        <f ca="1">_xll.qlYieldTSDiscount(Discounting,F9,,AllTriggers)</f>
        <v>#NAME?</v>
      </c>
      <c r="K9" s="575" t="e">
        <f t="shared" ca="1" si="0"/>
        <v>#NAME?</v>
      </c>
      <c r="L9" s="575" t="e">
        <f t="shared" ca="1" si="1"/>
        <v>#NAME?</v>
      </c>
      <c r="M9" s="576" t="b">
        <v>1</v>
      </c>
      <c r="N9" s="575" t="e">
        <f ca="1">_xll.qlInterpolationInterpolate($N$1,E9,TRUE)</f>
        <v>#NAME?</v>
      </c>
      <c r="O9" s="574" t="e">
        <f t="shared" ca="1" si="2"/>
        <v>#NAME?</v>
      </c>
      <c r="P9" s="573" t="e">
        <f t="shared" ca="1" si="3"/>
        <v>#NAME?</v>
      </c>
      <c r="R9" s="562" t="e">
        <f ca="1">_xll.qlCalendarAdvance(Calendar,R8,"1D","f")</f>
        <v>#NAME?</v>
      </c>
      <c r="S9" s="561" t="e">
        <f ca="1">_xll.qlInterpolationInterpolate(B12Minterpolation,R9,TRUE)</f>
        <v>#NAME?</v>
      </c>
    </row>
    <row r="10" spans="1:22" ht="11.25" customHeight="1" x14ac:dyDescent="0.2">
      <c r="A10" s="556">
        <f t="shared" si="6"/>
        <v>7</v>
      </c>
      <c r="B10" s="556" t="s">
        <v>180</v>
      </c>
      <c r="C10" s="556">
        <f t="shared" si="4"/>
        <v>19</v>
      </c>
      <c r="D10" s="579" t="str">
        <f t="shared" si="5"/>
        <v>EUR7x19F_Quote</v>
      </c>
      <c r="E10" s="562" t="e">
        <f ca="1">_xll.qlCalendarAdvance("target",$E$3,A10&amp;"M","mf",,Trigger)</f>
        <v>#NAME?</v>
      </c>
      <c r="F10" s="562" t="e">
        <f ca="1">_xll.qlCalendarAdvance(Calendar,E10,$F$1,"mf",,Trigger)</f>
        <v>#NAME?</v>
      </c>
      <c r="G10" s="578" t="e">
        <f ca="1">_xll.qlDayCounterYearFraction(DayCounter,E10,F10,,,Trigger)</f>
        <v>#NAME?</v>
      </c>
      <c r="H10" s="575" t="e">
        <f ca="1">_xll.qlQuoteValue(D10,AllTriggers)</f>
        <v>#NAME?</v>
      </c>
      <c r="I10" s="577" t="e">
        <f ca="1">_xll.qlYieldTSDiscount(Discounting,E10,,AllTriggers)</f>
        <v>#NAME?</v>
      </c>
      <c r="J10" s="577" t="e">
        <f ca="1">_xll.qlYieldTSDiscount(Discounting,F10,,AllTriggers)</f>
        <v>#NAME?</v>
      </c>
      <c r="K10" s="575" t="e">
        <f t="shared" ca="1" si="0"/>
        <v>#NAME?</v>
      </c>
      <c r="L10" s="575" t="e">
        <f t="shared" ca="1" si="1"/>
        <v>#NAME?</v>
      </c>
      <c r="M10" s="576" t="b">
        <v>1</v>
      </c>
      <c r="N10" s="575" t="e">
        <f ca="1">_xll.qlInterpolationInterpolate($N$1,E10,TRUE)</f>
        <v>#NAME?</v>
      </c>
      <c r="O10" s="574" t="e">
        <f t="shared" ca="1" si="2"/>
        <v>#NAME?</v>
      </c>
      <c r="P10" s="573" t="e">
        <f t="shared" ca="1" si="3"/>
        <v>#NAME?</v>
      </c>
      <c r="R10" s="562" t="e">
        <f ca="1">_xll.qlCalendarAdvance(Calendar,R9,"1D","f")</f>
        <v>#NAME?</v>
      </c>
      <c r="S10" s="561" t="e">
        <f ca="1">_xll.qlInterpolationInterpolate(B12Minterpolation,R10,TRUE)</f>
        <v>#NAME?</v>
      </c>
    </row>
    <row r="11" spans="1:22" ht="11.25" customHeight="1" x14ac:dyDescent="0.2">
      <c r="A11" s="556">
        <f t="shared" si="6"/>
        <v>8</v>
      </c>
      <c r="B11" s="556" t="s">
        <v>180</v>
      </c>
      <c r="C11" s="556">
        <f t="shared" si="4"/>
        <v>20</v>
      </c>
      <c r="D11" s="579" t="str">
        <f t="shared" si="5"/>
        <v>EUR8x20F_Quote</v>
      </c>
      <c r="E11" s="562" t="e">
        <f ca="1">_xll.qlCalendarAdvance("target",$E$3,A11&amp;"M","mf",,Trigger)</f>
        <v>#NAME?</v>
      </c>
      <c r="F11" s="562" t="e">
        <f ca="1">_xll.qlCalendarAdvance(Calendar,E11,$F$1,"mf",,Trigger)</f>
        <v>#NAME?</v>
      </c>
      <c r="G11" s="578" t="e">
        <f ca="1">_xll.qlDayCounterYearFraction(DayCounter,E11,F11,,,Trigger)</f>
        <v>#NAME?</v>
      </c>
      <c r="H11" s="575" t="e">
        <f ca="1">_xll.qlQuoteValue(D11,AllTriggers)</f>
        <v>#NAME?</v>
      </c>
      <c r="I11" s="577" t="e">
        <f ca="1">_xll.qlYieldTSDiscount(Discounting,E11,,AllTriggers)</f>
        <v>#NAME?</v>
      </c>
      <c r="J11" s="577" t="e">
        <f ca="1">_xll.qlYieldTSDiscount(Discounting,F11,,AllTriggers)</f>
        <v>#NAME?</v>
      </c>
      <c r="K11" s="575" t="e">
        <f t="shared" ca="1" si="0"/>
        <v>#NAME?</v>
      </c>
      <c r="L11" s="575" t="e">
        <f t="shared" ca="1" si="1"/>
        <v>#NAME?</v>
      </c>
      <c r="M11" s="576" t="b">
        <v>1</v>
      </c>
      <c r="N11" s="575" t="e">
        <f ca="1">_xll.qlInterpolationInterpolate($N$1,E11,TRUE)</f>
        <v>#NAME?</v>
      </c>
      <c r="O11" s="574" t="e">
        <f t="shared" ca="1" si="2"/>
        <v>#NAME?</v>
      </c>
      <c r="P11" s="573" t="e">
        <f t="shared" ca="1" si="3"/>
        <v>#NAME?</v>
      </c>
      <c r="R11" s="562" t="e">
        <f ca="1">_xll.qlCalendarAdvance(Calendar,R10,"1D","f")</f>
        <v>#NAME?</v>
      </c>
      <c r="S11" s="561" t="e">
        <f ca="1">_xll.qlInterpolationInterpolate(B12Minterpolation,R11,TRUE)</f>
        <v>#NAME?</v>
      </c>
    </row>
    <row r="12" spans="1:22" ht="11.25" customHeight="1" x14ac:dyDescent="0.2">
      <c r="A12" s="556">
        <f t="shared" si="6"/>
        <v>9</v>
      </c>
      <c r="B12" s="556" t="s">
        <v>180</v>
      </c>
      <c r="C12" s="556">
        <f t="shared" si="4"/>
        <v>21</v>
      </c>
      <c r="D12" s="579" t="str">
        <f t="shared" si="5"/>
        <v>EUR9x21F_Quote</v>
      </c>
      <c r="E12" s="562" t="e">
        <f ca="1">_xll.qlCalendarAdvance("target",$E$3,A12&amp;"M","mf",,Trigger)</f>
        <v>#NAME?</v>
      </c>
      <c r="F12" s="562" t="e">
        <f ca="1">_xll.qlCalendarAdvance(Calendar,E12,$F$1,"mf",,Trigger)</f>
        <v>#NAME?</v>
      </c>
      <c r="G12" s="578" t="e">
        <f ca="1">_xll.qlDayCounterYearFraction(DayCounter,E12,F12,,,Trigger)</f>
        <v>#NAME?</v>
      </c>
      <c r="H12" s="575" t="e">
        <f ca="1">_xll.qlQuoteValue(D12,AllTriggers)</f>
        <v>#NAME?</v>
      </c>
      <c r="I12" s="577" t="e">
        <f ca="1">_xll.qlYieldTSDiscount(Discounting,E12,,AllTriggers)</f>
        <v>#NAME?</v>
      </c>
      <c r="J12" s="577" t="e">
        <f ca="1">_xll.qlYieldTSDiscount(Discounting,F12,,AllTriggers)</f>
        <v>#NAME?</v>
      </c>
      <c r="K12" s="575" t="e">
        <f t="shared" ca="1" si="0"/>
        <v>#NAME?</v>
      </c>
      <c r="L12" s="575" t="e">
        <f t="shared" ca="1" si="1"/>
        <v>#NAME?</v>
      </c>
      <c r="M12" s="576" t="b">
        <v>1</v>
      </c>
      <c r="N12" s="575" t="e">
        <f ca="1">_xll.qlInterpolationInterpolate($N$1,E12,TRUE)</f>
        <v>#NAME?</v>
      </c>
      <c r="O12" s="574" t="e">
        <f t="shared" ca="1" si="2"/>
        <v>#NAME?</v>
      </c>
      <c r="P12" s="573" t="e">
        <f t="shared" ca="1" si="3"/>
        <v>#NAME?</v>
      </c>
      <c r="R12" s="562" t="e">
        <f ca="1">_xll.qlCalendarAdvance(Calendar,R11,"1D","f")</f>
        <v>#NAME?</v>
      </c>
      <c r="S12" s="561" t="e">
        <f ca="1">_xll.qlInterpolationInterpolate(B12Minterpolation,R12,TRUE)</f>
        <v>#NAME?</v>
      </c>
    </row>
    <row r="13" spans="1:22" ht="11.25" customHeight="1" x14ac:dyDescent="0.2">
      <c r="A13" s="556">
        <f t="shared" si="6"/>
        <v>10</v>
      </c>
      <c r="B13" s="556" t="s">
        <v>180</v>
      </c>
      <c r="C13" s="556">
        <f t="shared" si="4"/>
        <v>22</v>
      </c>
      <c r="D13" s="579" t="str">
        <f t="shared" si="5"/>
        <v>EUR10x22F_Quote</v>
      </c>
      <c r="E13" s="562" t="e">
        <f ca="1">_xll.qlCalendarAdvance("target",$E$3,A13&amp;"M","mf",,Trigger)</f>
        <v>#NAME?</v>
      </c>
      <c r="F13" s="562" t="e">
        <f ca="1">_xll.qlCalendarAdvance(Calendar,E13,$F$1,"mf",,Trigger)</f>
        <v>#NAME?</v>
      </c>
      <c r="G13" s="578" t="e">
        <f ca="1">_xll.qlDayCounterYearFraction(DayCounter,E13,F13,,,Trigger)</f>
        <v>#NAME?</v>
      </c>
      <c r="H13" s="575" t="e">
        <f ca="1">_xll.qlQuoteValue(D13,AllTriggers)</f>
        <v>#NAME?</v>
      </c>
      <c r="I13" s="577" t="e">
        <f ca="1">_xll.qlYieldTSDiscount(Discounting,E13,,AllTriggers)</f>
        <v>#NAME?</v>
      </c>
      <c r="J13" s="577" t="e">
        <f ca="1">_xll.qlYieldTSDiscount(Discounting,F13,,AllTriggers)</f>
        <v>#NAME?</v>
      </c>
      <c r="K13" s="575" t="e">
        <f t="shared" ca="1" si="0"/>
        <v>#NAME?</v>
      </c>
      <c r="L13" s="575" t="e">
        <f t="shared" ca="1" si="1"/>
        <v>#NAME?</v>
      </c>
      <c r="M13" s="576" t="b">
        <v>0</v>
      </c>
      <c r="N13" s="575" t="e">
        <f ca="1">_xll.qlInterpolationInterpolate($N$1,E13,TRUE)</f>
        <v>#NAME?</v>
      </c>
      <c r="O13" s="574" t="e">
        <f t="shared" ca="1" si="2"/>
        <v>#NAME?</v>
      </c>
      <c r="P13" s="573" t="e">
        <f t="shared" ca="1" si="3"/>
        <v>#NAME?</v>
      </c>
      <c r="R13" s="562" t="e">
        <f ca="1">_xll.qlCalendarAdvance(Calendar,R12,"1D","f")</f>
        <v>#NAME?</v>
      </c>
      <c r="S13" s="561" t="e">
        <f ca="1">_xll.qlInterpolationInterpolate(B12Minterpolation,R13,TRUE)</f>
        <v>#NAME?</v>
      </c>
    </row>
    <row r="14" spans="1:22" ht="11.25" customHeight="1" x14ac:dyDescent="0.2">
      <c r="A14" s="556">
        <f t="shared" si="6"/>
        <v>11</v>
      </c>
      <c r="B14" s="556" t="s">
        <v>180</v>
      </c>
      <c r="C14" s="556">
        <f t="shared" si="4"/>
        <v>23</v>
      </c>
      <c r="D14" s="579" t="str">
        <f t="shared" si="5"/>
        <v>EUR11x23F_Quote</v>
      </c>
      <c r="E14" s="562" t="e">
        <f ca="1">_xll.qlCalendarAdvance("target",$E$3,A14&amp;"M","mf",,Trigger)</f>
        <v>#NAME?</v>
      </c>
      <c r="F14" s="562" t="e">
        <f ca="1">_xll.qlCalendarAdvance(Calendar,E14,$F$1,"mf",,Trigger)</f>
        <v>#NAME?</v>
      </c>
      <c r="G14" s="578" t="e">
        <f ca="1">_xll.qlDayCounterYearFraction(DayCounter,E14,F14,,,Trigger)</f>
        <v>#NAME?</v>
      </c>
      <c r="H14" s="575" t="e">
        <f ca="1">_xll.qlQuoteValue(D14,AllTriggers)</f>
        <v>#NAME?</v>
      </c>
      <c r="I14" s="577" t="e">
        <f ca="1">_xll.qlYieldTSDiscount(Discounting,E14,,AllTriggers)</f>
        <v>#NAME?</v>
      </c>
      <c r="J14" s="577" t="e">
        <f ca="1">_xll.qlYieldTSDiscount(Discounting,F14,,AllTriggers)</f>
        <v>#NAME?</v>
      </c>
      <c r="K14" s="575" t="e">
        <f t="shared" ca="1" si="0"/>
        <v>#NAME?</v>
      </c>
      <c r="L14" s="575" t="e">
        <f t="shared" ca="1" si="1"/>
        <v>#NAME?</v>
      </c>
      <c r="M14" s="576" t="b">
        <v>0</v>
      </c>
      <c r="N14" s="575" t="e">
        <f ca="1">_xll.qlInterpolationInterpolate($N$1,E14,TRUE)</f>
        <v>#NAME?</v>
      </c>
      <c r="O14" s="574" t="e">
        <f t="shared" ca="1" si="2"/>
        <v>#NAME?</v>
      </c>
      <c r="P14" s="573" t="e">
        <f t="shared" ca="1" si="3"/>
        <v>#NAME?</v>
      </c>
      <c r="R14" s="562" t="e">
        <f ca="1">_xll.qlCalendarAdvance(Calendar,R13,"1D","f")</f>
        <v>#NAME?</v>
      </c>
      <c r="S14" s="561" t="e">
        <f ca="1">_xll.qlInterpolationInterpolate(B12Minterpolation,R14,TRUE)</f>
        <v>#NAME?</v>
      </c>
    </row>
    <row r="15" spans="1:22" ht="11.25" customHeight="1" x14ac:dyDescent="0.2">
      <c r="A15" s="556">
        <f t="shared" si="6"/>
        <v>12</v>
      </c>
      <c r="B15" s="556" t="s">
        <v>180</v>
      </c>
      <c r="C15" s="556">
        <f t="shared" si="4"/>
        <v>24</v>
      </c>
      <c r="D15" s="572" t="str">
        <f t="shared" si="5"/>
        <v>EUR12x24F_Quote</v>
      </c>
      <c r="E15" s="560" t="e">
        <f ca="1">_xll.qlCalendarAdvance("target",$E$3,A15&amp;"M","mf",,Trigger)</f>
        <v>#NAME?</v>
      </c>
      <c r="F15" s="560" t="e">
        <f ca="1">_xll.qlCalendarAdvance(Calendar,E15,$F$1,"mf",,Trigger)</f>
        <v>#NAME?</v>
      </c>
      <c r="G15" s="571" t="e">
        <f ca="1">_xll.qlDayCounterYearFraction(DayCounter,E15,F15,,,Trigger)</f>
        <v>#NAME?</v>
      </c>
      <c r="H15" s="568" t="e">
        <f ca="1">_xll.qlQuoteValue(D15,AllTriggers)</f>
        <v>#NAME?</v>
      </c>
      <c r="I15" s="570" t="e">
        <f ca="1">_xll.qlYieldTSDiscount(Discounting,E15,,AllTriggers)</f>
        <v>#NAME?</v>
      </c>
      <c r="J15" s="570" t="e">
        <f ca="1">_xll.qlYieldTSDiscount(Discounting,F15,,AllTriggers)</f>
        <v>#NAME?</v>
      </c>
      <c r="K15" s="568" t="e">
        <f t="shared" ca="1" si="0"/>
        <v>#NAME?</v>
      </c>
      <c r="L15" s="568" t="e">
        <f t="shared" ca="1" si="1"/>
        <v>#NAME?</v>
      </c>
      <c r="M15" s="569" t="b">
        <v>1</v>
      </c>
      <c r="N15" s="568" t="e">
        <f ca="1">_xll.qlInterpolationInterpolate($N$1,E15,TRUE)</f>
        <v>#NAME?</v>
      </c>
      <c r="O15" s="567" t="e">
        <f t="shared" ca="1" si="2"/>
        <v>#NAME?</v>
      </c>
      <c r="P15" s="566" t="e">
        <f t="shared" ca="1" si="3"/>
        <v>#NAME?</v>
      </c>
      <c r="R15" s="562" t="e">
        <f ca="1">_xll.qlCalendarAdvance(Calendar,R14,"1D","f")</f>
        <v>#NAME?</v>
      </c>
      <c r="S15" s="561" t="e">
        <f ca="1">_xll.qlInterpolationInterpolate(B12Minterpolation,R15,TRUE)</f>
        <v>#NAME?</v>
      </c>
    </row>
    <row r="16" spans="1:22" ht="11.25" customHeight="1" x14ac:dyDescent="0.2">
      <c r="E16" s="564"/>
      <c r="F16" s="564"/>
      <c r="G16" s="564"/>
      <c r="H16" s="563"/>
      <c r="I16" s="565"/>
      <c r="J16" s="565"/>
      <c r="K16" s="563"/>
      <c r="L16" s="563"/>
      <c r="O16" s="565"/>
      <c r="P16" s="565"/>
      <c r="R16" s="562" t="e">
        <f ca="1">_xll.qlCalendarAdvance(Calendar,R15,"1D","f")</f>
        <v>#NAME?</v>
      </c>
      <c r="S16" s="561" t="e">
        <f ca="1">_xll.qlInterpolationInterpolate(B12Minterpolation,R16,TRUE)</f>
        <v>#NAME?</v>
      </c>
    </row>
    <row r="17" spans="5:19" ht="11.25" customHeight="1" x14ac:dyDescent="0.2">
      <c r="E17" s="564"/>
      <c r="F17" s="564"/>
      <c r="G17" s="564"/>
      <c r="H17" s="563"/>
      <c r="K17" s="563"/>
      <c r="L17" s="563"/>
      <c r="P17" s="565"/>
      <c r="R17" s="562" t="e">
        <f ca="1">_xll.qlCalendarAdvance(Calendar,R16,"1D","f")</f>
        <v>#NAME?</v>
      </c>
      <c r="S17" s="561" t="e">
        <f ca="1">_xll.qlInterpolationInterpolate(B12Minterpolation,R17,TRUE)</f>
        <v>#NAME?</v>
      </c>
    </row>
    <row r="18" spans="5:19" ht="11.25" customHeight="1" x14ac:dyDescent="0.2">
      <c r="E18" s="564"/>
      <c r="F18" s="564"/>
      <c r="G18" s="564"/>
      <c r="H18" s="563"/>
      <c r="K18" s="563"/>
      <c r="L18" s="563"/>
      <c r="R18" s="562" t="e">
        <f ca="1">_xll.qlCalendarAdvance(Calendar,R17,"1D","f")</f>
        <v>#NAME?</v>
      </c>
      <c r="S18" s="561" t="e">
        <f ca="1">_xll.qlInterpolationInterpolate(B12Minterpolation,R18,TRUE)</f>
        <v>#NAME?</v>
      </c>
    </row>
    <row r="19" spans="5:19" ht="11.25" customHeight="1" x14ac:dyDescent="0.2">
      <c r="E19" s="564"/>
      <c r="F19" s="564"/>
      <c r="G19" s="564"/>
      <c r="H19" s="563"/>
      <c r="K19" s="563"/>
      <c r="L19" s="563"/>
      <c r="R19" s="562" t="e">
        <f ca="1">_xll.qlCalendarAdvance(Calendar,R18,"1D","f")</f>
        <v>#NAME?</v>
      </c>
      <c r="S19" s="561" t="e">
        <f ca="1">_xll.qlInterpolationInterpolate(B12Minterpolation,R19,TRUE)</f>
        <v>#NAME?</v>
      </c>
    </row>
    <row r="20" spans="5:19" ht="11.25" customHeight="1" x14ac:dyDescent="0.2">
      <c r="E20" s="564"/>
      <c r="F20" s="564"/>
      <c r="G20" s="564"/>
      <c r="H20" s="563"/>
      <c r="K20" s="563"/>
      <c r="L20" s="563"/>
      <c r="R20" s="562" t="e">
        <f ca="1">_xll.qlCalendarAdvance(Calendar,R19,"1D","f")</f>
        <v>#NAME?</v>
      </c>
      <c r="S20" s="561" t="e">
        <f ca="1">_xll.qlInterpolationInterpolate(B12Minterpolation,R20,TRUE)</f>
        <v>#NAME?</v>
      </c>
    </row>
    <row r="21" spans="5:19" ht="11.25" customHeight="1" x14ac:dyDescent="0.2">
      <c r="E21" s="564"/>
      <c r="F21" s="564"/>
      <c r="G21" s="564"/>
      <c r="H21" s="563"/>
      <c r="K21" s="563"/>
      <c r="L21" s="563"/>
      <c r="R21" s="562" t="e">
        <f ca="1">_xll.qlCalendarAdvance(Calendar,R20,"1D","f")</f>
        <v>#NAME?</v>
      </c>
      <c r="S21" s="561" t="e">
        <f ca="1">_xll.qlInterpolationInterpolate(B12Minterpolation,R21,TRUE)</f>
        <v>#NAME?</v>
      </c>
    </row>
    <row r="22" spans="5:19" ht="11.25" customHeight="1" x14ac:dyDescent="0.2">
      <c r="E22" s="564"/>
      <c r="F22" s="564"/>
      <c r="G22" s="564"/>
      <c r="H22" s="563"/>
      <c r="K22" s="563"/>
      <c r="L22" s="563"/>
      <c r="R22" s="562" t="e">
        <f ca="1">_xll.qlCalendarAdvance(Calendar,R21,"1D","f")</f>
        <v>#NAME?</v>
      </c>
      <c r="S22" s="561" t="e">
        <f ca="1">_xll.qlInterpolationInterpolate(B12Minterpolation,R22,TRUE)</f>
        <v>#NAME?</v>
      </c>
    </row>
    <row r="23" spans="5:19" ht="11.25" customHeight="1" x14ac:dyDescent="0.2">
      <c r="E23" s="564"/>
      <c r="F23" s="564"/>
      <c r="G23" s="564"/>
      <c r="H23" s="563"/>
      <c r="K23" s="563"/>
      <c r="L23" s="563"/>
      <c r="R23" s="562" t="e">
        <f ca="1">_xll.qlCalendarAdvance(Calendar,R22,"1D","f")</f>
        <v>#NAME?</v>
      </c>
      <c r="S23" s="561" t="e">
        <f ca="1">_xll.qlInterpolationInterpolate(B12Minterpolation,R23,TRUE)</f>
        <v>#NAME?</v>
      </c>
    </row>
    <row r="24" spans="5:19" ht="11.25" customHeight="1" x14ac:dyDescent="0.2">
      <c r="E24" s="564"/>
      <c r="F24" s="564"/>
      <c r="G24" s="564"/>
      <c r="H24" s="563"/>
      <c r="K24" s="563"/>
      <c r="L24" s="563"/>
      <c r="R24" s="562" t="e">
        <f ca="1">_xll.qlCalendarAdvance(Calendar,R23,"1D","f")</f>
        <v>#NAME?</v>
      </c>
      <c r="S24" s="561" t="e">
        <f ca="1">_xll.qlInterpolationInterpolate(B12Minterpolation,R24,TRUE)</f>
        <v>#NAME?</v>
      </c>
    </row>
    <row r="25" spans="5:19" ht="11.25" customHeight="1" x14ac:dyDescent="0.2">
      <c r="E25" s="564"/>
      <c r="F25" s="564"/>
      <c r="G25" s="564"/>
      <c r="H25" s="563"/>
      <c r="K25" s="563"/>
      <c r="L25" s="563"/>
      <c r="R25" s="562" t="e">
        <f ca="1">_xll.qlCalendarAdvance(Calendar,R24,"1D","f")</f>
        <v>#NAME?</v>
      </c>
      <c r="S25" s="561" t="e">
        <f ca="1">_xll.qlInterpolationInterpolate(B12Minterpolation,R25,TRUE)</f>
        <v>#NAME?</v>
      </c>
    </row>
    <row r="26" spans="5:19" ht="11.25" customHeight="1" x14ac:dyDescent="0.2">
      <c r="E26" s="564"/>
      <c r="F26" s="564"/>
      <c r="G26" s="564"/>
      <c r="H26" s="563"/>
      <c r="K26" s="563"/>
      <c r="L26" s="563"/>
      <c r="R26" s="562" t="e">
        <f ca="1">_xll.qlCalendarAdvance(Calendar,R25,"1D","f")</f>
        <v>#NAME?</v>
      </c>
      <c r="S26" s="561" t="e">
        <f ca="1">_xll.qlInterpolationInterpolate(B12Minterpolation,R26,TRUE)</f>
        <v>#NAME?</v>
      </c>
    </row>
    <row r="27" spans="5:19" ht="11.25" customHeight="1" x14ac:dyDescent="0.2">
      <c r="E27" s="564"/>
      <c r="F27" s="564"/>
      <c r="G27" s="564"/>
      <c r="H27" s="563"/>
      <c r="K27" s="563"/>
      <c r="L27" s="563"/>
      <c r="R27" s="562" t="e">
        <f ca="1">_xll.qlCalendarAdvance(Calendar,R26,"1D","f")</f>
        <v>#NAME?</v>
      </c>
      <c r="S27" s="561" t="e">
        <f ca="1">_xll.qlInterpolationInterpolate(B12Minterpolation,R27,TRUE)</f>
        <v>#NAME?</v>
      </c>
    </row>
    <row r="28" spans="5:19" ht="11.25" customHeight="1" x14ac:dyDescent="0.2">
      <c r="E28" s="564"/>
      <c r="F28" s="564"/>
      <c r="G28" s="564"/>
      <c r="H28" s="563"/>
      <c r="K28" s="563"/>
      <c r="L28" s="563"/>
      <c r="R28" s="562" t="e">
        <f ca="1">_xll.qlCalendarAdvance(Calendar,R27,"1D","f")</f>
        <v>#NAME?</v>
      </c>
      <c r="S28" s="561" t="e">
        <f ca="1">_xll.qlInterpolationInterpolate(B12Minterpolation,R28,TRUE)</f>
        <v>#NAME?</v>
      </c>
    </row>
    <row r="29" spans="5:19" ht="11.25" customHeight="1" x14ac:dyDescent="0.2">
      <c r="E29" s="564"/>
      <c r="F29" s="564"/>
      <c r="G29" s="564"/>
      <c r="H29" s="563"/>
      <c r="K29" s="563"/>
      <c r="L29" s="563"/>
      <c r="R29" s="562" t="e">
        <f ca="1">_xll.qlCalendarAdvance(Calendar,R28,"1D","f")</f>
        <v>#NAME?</v>
      </c>
      <c r="S29" s="561" t="e">
        <f ca="1">_xll.qlInterpolationInterpolate(B12Minterpolation,R29,TRUE)</f>
        <v>#NAME?</v>
      </c>
    </row>
    <row r="30" spans="5:19" ht="11.25" customHeight="1" x14ac:dyDescent="0.2">
      <c r="E30" s="564"/>
      <c r="F30" s="564"/>
      <c r="G30" s="564"/>
      <c r="H30" s="563"/>
      <c r="K30" s="563"/>
      <c r="L30" s="563"/>
      <c r="R30" s="562" t="e">
        <f ca="1">_xll.qlCalendarAdvance(Calendar,R29,"1D","f")</f>
        <v>#NAME?</v>
      </c>
      <c r="S30" s="561" t="e">
        <f ca="1">_xll.qlInterpolationInterpolate(B12Minterpolation,R30,TRUE)</f>
        <v>#NAME?</v>
      </c>
    </row>
    <row r="31" spans="5:19" ht="11.25" customHeight="1" x14ac:dyDescent="0.2">
      <c r="E31" s="564"/>
      <c r="F31" s="564"/>
      <c r="G31" s="564"/>
      <c r="H31" s="563"/>
      <c r="K31" s="563"/>
      <c r="L31" s="563"/>
      <c r="R31" s="562" t="e">
        <f ca="1">_xll.qlCalendarAdvance(Calendar,R30,"1D","f")</f>
        <v>#NAME?</v>
      </c>
      <c r="S31" s="561" t="e">
        <f ca="1">_xll.qlInterpolationInterpolate(B12Minterpolation,R31,TRUE)</f>
        <v>#NAME?</v>
      </c>
    </row>
    <row r="32" spans="5:19" ht="11.25" customHeight="1" x14ac:dyDescent="0.2">
      <c r="E32" s="564"/>
      <c r="F32" s="564"/>
      <c r="G32" s="564"/>
      <c r="H32" s="563"/>
      <c r="K32" s="563"/>
      <c r="L32" s="563"/>
      <c r="R32" s="562" t="e">
        <f ca="1">_xll.qlCalendarAdvance(Calendar,R31,"1D","f")</f>
        <v>#NAME?</v>
      </c>
      <c r="S32" s="561" t="e">
        <f ca="1">_xll.qlInterpolationInterpolate(B12Minterpolation,R32,TRUE)</f>
        <v>#NAME?</v>
      </c>
    </row>
    <row r="33" spans="5:19" ht="11.25" customHeight="1" x14ac:dyDescent="0.2">
      <c r="E33" s="564"/>
      <c r="F33" s="564"/>
      <c r="G33" s="564"/>
      <c r="H33" s="563"/>
      <c r="K33" s="563"/>
      <c r="L33" s="563"/>
      <c r="R33" s="562" t="e">
        <f ca="1">_xll.qlCalendarAdvance(Calendar,R32,"1D","f")</f>
        <v>#NAME?</v>
      </c>
      <c r="S33" s="561" t="e">
        <f ca="1">_xll.qlInterpolationInterpolate(B12Minterpolation,R33,TRUE)</f>
        <v>#NAME?</v>
      </c>
    </row>
    <row r="34" spans="5:19" ht="11.25" customHeight="1" x14ac:dyDescent="0.2">
      <c r="E34" s="564"/>
      <c r="F34" s="564"/>
      <c r="G34" s="564"/>
      <c r="H34" s="563"/>
      <c r="K34" s="563"/>
      <c r="L34" s="563"/>
      <c r="R34" s="562" t="e">
        <f ca="1">_xll.qlCalendarAdvance(Calendar,R33,"1D","f")</f>
        <v>#NAME?</v>
      </c>
      <c r="S34" s="561" t="e">
        <f ca="1">_xll.qlInterpolationInterpolate(B12Minterpolation,R34,TRUE)</f>
        <v>#NAME?</v>
      </c>
    </row>
    <row r="35" spans="5:19" ht="11.25" customHeight="1" x14ac:dyDescent="0.2">
      <c r="E35" s="564"/>
      <c r="F35" s="564"/>
      <c r="G35" s="564"/>
      <c r="H35" s="563"/>
      <c r="K35" s="563"/>
      <c r="L35" s="563"/>
      <c r="R35" s="562" t="e">
        <f ca="1">_xll.qlCalendarAdvance(Calendar,R34,"1D","f")</f>
        <v>#NAME?</v>
      </c>
      <c r="S35" s="561" t="e">
        <f ca="1">_xll.qlInterpolationInterpolate(B12Minterpolation,R35,TRUE)</f>
        <v>#NAME?</v>
      </c>
    </row>
    <row r="36" spans="5:19" ht="11.25" customHeight="1" x14ac:dyDescent="0.2">
      <c r="E36" s="564"/>
      <c r="F36" s="564"/>
      <c r="G36" s="564"/>
      <c r="H36" s="563"/>
      <c r="K36" s="563"/>
      <c r="L36" s="563"/>
      <c r="R36" s="562" t="e">
        <f ca="1">_xll.qlCalendarAdvance(Calendar,R35,"1D","f")</f>
        <v>#NAME?</v>
      </c>
      <c r="S36" s="561" t="e">
        <f ca="1">_xll.qlInterpolationInterpolate(B12Minterpolation,R36,TRUE)</f>
        <v>#NAME?</v>
      </c>
    </row>
    <row r="37" spans="5:19" ht="11.25" customHeight="1" x14ac:dyDescent="0.2">
      <c r="E37" s="564"/>
      <c r="F37" s="564"/>
      <c r="G37" s="564"/>
      <c r="H37" s="563"/>
      <c r="K37" s="563"/>
      <c r="L37" s="563"/>
      <c r="R37" s="562" t="e">
        <f ca="1">_xll.qlCalendarAdvance(Calendar,R36,"1D","f")</f>
        <v>#NAME?</v>
      </c>
      <c r="S37" s="561" t="e">
        <f ca="1">_xll.qlInterpolationInterpolate(B12Minterpolation,R37,TRUE)</f>
        <v>#NAME?</v>
      </c>
    </row>
    <row r="38" spans="5:19" ht="11.25" customHeight="1" x14ac:dyDescent="0.2">
      <c r="E38" s="564"/>
      <c r="F38" s="564"/>
      <c r="G38" s="564"/>
      <c r="H38" s="563"/>
      <c r="K38" s="563"/>
      <c r="L38" s="563"/>
      <c r="R38" s="562" t="e">
        <f ca="1">_xll.qlCalendarAdvance(Calendar,R37,"1D","f")</f>
        <v>#NAME?</v>
      </c>
      <c r="S38" s="561" t="e">
        <f ca="1">_xll.qlInterpolationInterpolate(B12Minterpolation,R38,TRUE)</f>
        <v>#NAME?</v>
      </c>
    </row>
    <row r="39" spans="5:19" ht="11.25" customHeight="1" x14ac:dyDescent="0.2">
      <c r="E39" s="564"/>
      <c r="F39" s="564"/>
      <c r="G39" s="564"/>
      <c r="H39" s="563"/>
      <c r="K39" s="563"/>
      <c r="L39" s="563"/>
      <c r="R39" s="562" t="e">
        <f ca="1">_xll.qlCalendarAdvance(Calendar,R38,"1D","f")</f>
        <v>#NAME?</v>
      </c>
      <c r="S39" s="561" t="e">
        <f ca="1">_xll.qlInterpolationInterpolate(B12Minterpolation,R39,TRUE)</f>
        <v>#NAME?</v>
      </c>
    </row>
    <row r="40" spans="5:19" ht="11.25" customHeight="1" x14ac:dyDescent="0.2">
      <c r="E40" s="564"/>
      <c r="F40" s="564"/>
      <c r="G40" s="564"/>
      <c r="H40" s="563"/>
      <c r="K40" s="563"/>
      <c r="L40" s="563"/>
      <c r="R40" s="562" t="e">
        <f ca="1">_xll.qlCalendarAdvance(Calendar,R39,"1D","f")</f>
        <v>#NAME?</v>
      </c>
      <c r="S40" s="561" t="e">
        <f ca="1">_xll.qlInterpolationInterpolate(B12Minterpolation,R40,TRUE)</f>
        <v>#NAME?</v>
      </c>
    </row>
    <row r="41" spans="5:19" ht="11.25" customHeight="1" x14ac:dyDescent="0.2">
      <c r="E41" s="564"/>
      <c r="F41" s="564"/>
      <c r="G41" s="564"/>
      <c r="H41" s="563"/>
      <c r="K41" s="563"/>
      <c r="L41" s="563"/>
      <c r="R41" s="562" t="e">
        <f ca="1">_xll.qlCalendarAdvance(Calendar,R40,"1D","f")</f>
        <v>#NAME?</v>
      </c>
      <c r="S41" s="561" t="e">
        <f ca="1">_xll.qlInterpolationInterpolate(B12Minterpolation,R41,TRUE)</f>
        <v>#NAME?</v>
      </c>
    </row>
    <row r="42" spans="5:19" ht="11.25" customHeight="1" x14ac:dyDescent="0.2">
      <c r="E42" s="564"/>
      <c r="F42" s="564"/>
      <c r="G42" s="564"/>
      <c r="H42" s="563"/>
      <c r="K42" s="563"/>
      <c r="L42" s="563"/>
      <c r="R42" s="562" t="e">
        <f ca="1">_xll.qlCalendarAdvance(Calendar,R41,"1D","f")</f>
        <v>#NAME?</v>
      </c>
      <c r="S42" s="561" t="e">
        <f ca="1">_xll.qlInterpolationInterpolate(B12Minterpolation,R42,TRUE)</f>
        <v>#NAME?</v>
      </c>
    </row>
    <row r="43" spans="5:19" ht="11.25" customHeight="1" x14ac:dyDescent="0.2">
      <c r="E43" s="564"/>
      <c r="F43" s="564"/>
      <c r="G43" s="564"/>
      <c r="H43" s="563"/>
      <c r="K43" s="563"/>
      <c r="L43" s="563"/>
      <c r="R43" s="562" t="e">
        <f ca="1">_xll.qlCalendarAdvance(Calendar,R42,"1D","f")</f>
        <v>#NAME?</v>
      </c>
      <c r="S43" s="561" t="e">
        <f ca="1">_xll.qlInterpolationInterpolate(B12Minterpolation,R43,TRUE)</f>
        <v>#NAME?</v>
      </c>
    </row>
    <row r="44" spans="5:19" ht="11.25" customHeight="1" x14ac:dyDescent="0.2">
      <c r="E44" s="564"/>
      <c r="F44" s="564"/>
      <c r="G44" s="564"/>
      <c r="H44" s="563"/>
      <c r="K44" s="563"/>
      <c r="L44" s="563"/>
      <c r="R44" s="562" t="e">
        <f ca="1">_xll.qlCalendarAdvance(Calendar,R43,"1D","f")</f>
        <v>#NAME?</v>
      </c>
      <c r="S44" s="561" t="e">
        <f ca="1">_xll.qlInterpolationInterpolate(B12Minterpolation,R44,TRUE)</f>
        <v>#NAME?</v>
      </c>
    </row>
    <row r="45" spans="5:19" ht="11.25" customHeight="1" x14ac:dyDescent="0.2">
      <c r="E45" s="564"/>
      <c r="F45" s="564"/>
      <c r="G45" s="564"/>
      <c r="H45" s="563"/>
      <c r="K45" s="563"/>
      <c r="L45" s="563"/>
      <c r="R45" s="562" t="e">
        <f ca="1">_xll.qlCalendarAdvance(Calendar,R44,"1D","f")</f>
        <v>#NAME?</v>
      </c>
      <c r="S45" s="561" t="e">
        <f ca="1">_xll.qlInterpolationInterpolate(B12Minterpolation,R45,TRUE)</f>
        <v>#NAME?</v>
      </c>
    </row>
    <row r="46" spans="5:19" ht="11.25" customHeight="1" x14ac:dyDescent="0.2">
      <c r="E46" s="564"/>
      <c r="F46" s="564"/>
      <c r="G46" s="564"/>
      <c r="H46" s="563"/>
      <c r="K46" s="563"/>
      <c r="L46" s="563"/>
      <c r="R46" s="562" t="e">
        <f ca="1">_xll.qlCalendarAdvance(Calendar,R45,"1D","f")</f>
        <v>#NAME?</v>
      </c>
      <c r="S46" s="561" t="e">
        <f ca="1">_xll.qlInterpolationInterpolate(B12Minterpolation,R46,TRUE)</f>
        <v>#NAME?</v>
      </c>
    </row>
    <row r="47" spans="5:19" ht="11.25" customHeight="1" x14ac:dyDescent="0.2">
      <c r="R47" s="562" t="e">
        <f ca="1">_xll.qlCalendarAdvance(Calendar,R46,"1D","f")</f>
        <v>#NAME?</v>
      </c>
      <c r="S47" s="561" t="e">
        <f ca="1">_xll.qlInterpolationInterpolate(B12Minterpolation,R47,TRUE)</f>
        <v>#NAME?</v>
      </c>
    </row>
    <row r="48" spans="5:19" ht="11.25" customHeight="1" x14ac:dyDescent="0.2">
      <c r="R48" s="562" t="e">
        <f ca="1">_xll.qlCalendarAdvance(Calendar,R47,"1D","f")</f>
        <v>#NAME?</v>
      </c>
      <c r="S48" s="561" t="e">
        <f ca="1">_xll.qlInterpolationInterpolate(B12Minterpolation,R48,TRUE)</f>
        <v>#NAME?</v>
      </c>
    </row>
    <row r="49" spans="18:19" ht="11.25" customHeight="1" x14ac:dyDescent="0.2">
      <c r="R49" s="562" t="e">
        <f ca="1">_xll.qlCalendarAdvance(Calendar,R48,"1D","f")</f>
        <v>#NAME?</v>
      </c>
      <c r="S49" s="561" t="e">
        <f ca="1">_xll.qlInterpolationInterpolate(B12Minterpolation,R49,TRUE)</f>
        <v>#NAME?</v>
      </c>
    </row>
    <row r="50" spans="18:19" ht="11.25" customHeight="1" x14ac:dyDescent="0.2">
      <c r="R50" s="562" t="e">
        <f ca="1">_xll.qlCalendarAdvance(Calendar,R49,"1D","f")</f>
        <v>#NAME?</v>
      </c>
      <c r="S50" s="561" t="e">
        <f ca="1">_xll.qlInterpolationInterpolate(B12Minterpolation,R50,TRUE)</f>
        <v>#NAME?</v>
      </c>
    </row>
    <row r="51" spans="18:19" ht="11.25" customHeight="1" x14ac:dyDescent="0.2">
      <c r="R51" s="562" t="e">
        <f ca="1">_xll.qlCalendarAdvance(Calendar,R50,"1D","f")</f>
        <v>#NAME?</v>
      </c>
      <c r="S51" s="561" t="e">
        <f ca="1">_xll.qlInterpolationInterpolate(B12Minterpolation,R51,TRUE)</f>
        <v>#NAME?</v>
      </c>
    </row>
    <row r="52" spans="18:19" ht="11.25" customHeight="1" x14ac:dyDescent="0.2">
      <c r="R52" s="562" t="e">
        <f ca="1">_xll.qlCalendarAdvance(Calendar,R51,"1D","f")</f>
        <v>#NAME?</v>
      </c>
      <c r="S52" s="561" t="e">
        <f ca="1">_xll.qlInterpolationInterpolate(B12Minterpolation,R52,TRUE)</f>
        <v>#NAME?</v>
      </c>
    </row>
    <row r="53" spans="18:19" x14ac:dyDescent="0.2">
      <c r="R53" s="562" t="e">
        <f ca="1">_xll.qlCalendarAdvance(Calendar,R52,"1D","f")</f>
        <v>#NAME?</v>
      </c>
      <c r="S53" s="561" t="e">
        <f ca="1">_xll.qlInterpolationInterpolate(B12Minterpolation,R53,TRUE)</f>
        <v>#NAME?</v>
      </c>
    </row>
    <row r="54" spans="18:19" x14ac:dyDescent="0.2">
      <c r="R54" s="562" t="e">
        <f ca="1">_xll.qlCalendarAdvance(Calendar,R53,"1D","f")</f>
        <v>#NAME?</v>
      </c>
      <c r="S54" s="561" t="e">
        <f ca="1">_xll.qlInterpolationInterpolate(B12Minterpolation,R54,TRUE)</f>
        <v>#NAME?</v>
      </c>
    </row>
    <row r="55" spans="18:19" x14ac:dyDescent="0.2">
      <c r="R55" s="562" t="e">
        <f ca="1">_xll.qlCalendarAdvance(Calendar,R54,"1D","f")</f>
        <v>#NAME?</v>
      </c>
      <c r="S55" s="561" t="e">
        <f ca="1">_xll.qlInterpolationInterpolate(B12Minterpolation,R55,TRUE)</f>
        <v>#NAME?</v>
      </c>
    </row>
    <row r="56" spans="18:19" x14ac:dyDescent="0.2">
      <c r="R56" s="562" t="e">
        <f ca="1">_xll.qlCalendarAdvance(Calendar,R55,"1D","f")</f>
        <v>#NAME?</v>
      </c>
      <c r="S56" s="561" t="e">
        <f ca="1">_xll.qlInterpolationInterpolate(B12Minterpolation,R56,TRUE)</f>
        <v>#NAME?</v>
      </c>
    </row>
    <row r="57" spans="18:19" x14ac:dyDescent="0.2">
      <c r="R57" s="562" t="e">
        <f ca="1">_xll.qlCalendarAdvance(Calendar,R56,"1D","f")</f>
        <v>#NAME?</v>
      </c>
      <c r="S57" s="561" t="e">
        <f ca="1">_xll.qlInterpolationInterpolate(B12Minterpolation,R57,TRUE)</f>
        <v>#NAME?</v>
      </c>
    </row>
    <row r="58" spans="18:19" x14ac:dyDescent="0.2">
      <c r="R58" s="562" t="e">
        <f ca="1">_xll.qlCalendarAdvance(Calendar,R57,"1D","f")</f>
        <v>#NAME?</v>
      </c>
      <c r="S58" s="561" t="e">
        <f ca="1">_xll.qlInterpolationInterpolate(B12Minterpolation,R58,TRUE)</f>
        <v>#NAME?</v>
      </c>
    </row>
    <row r="59" spans="18:19" x14ac:dyDescent="0.2">
      <c r="R59" s="562" t="e">
        <f ca="1">_xll.qlCalendarAdvance(Calendar,R58,"1D","f")</f>
        <v>#NAME?</v>
      </c>
      <c r="S59" s="561" t="e">
        <f ca="1">_xll.qlInterpolationInterpolate(B12Minterpolation,R59,TRUE)</f>
        <v>#NAME?</v>
      </c>
    </row>
    <row r="60" spans="18:19" x14ac:dyDescent="0.2">
      <c r="R60" s="562" t="e">
        <f ca="1">_xll.qlCalendarAdvance(Calendar,R59,"1D","f")</f>
        <v>#NAME?</v>
      </c>
      <c r="S60" s="561" t="e">
        <f ca="1">_xll.qlInterpolationInterpolate(B12Minterpolation,R60,TRUE)</f>
        <v>#NAME?</v>
      </c>
    </row>
    <row r="61" spans="18:19" x14ac:dyDescent="0.2">
      <c r="R61" s="562" t="e">
        <f ca="1">_xll.qlCalendarAdvance(Calendar,R60,"1D","f")</f>
        <v>#NAME?</v>
      </c>
      <c r="S61" s="561" t="e">
        <f ca="1">_xll.qlInterpolationInterpolate(B12Minterpolation,R61,TRUE)</f>
        <v>#NAME?</v>
      </c>
    </row>
    <row r="62" spans="18:19" x14ac:dyDescent="0.2">
      <c r="R62" s="562" t="e">
        <f ca="1">_xll.qlCalendarAdvance(Calendar,R61,"1D","f")</f>
        <v>#NAME?</v>
      </c>
      <c r="S62" s="561" t="e">
        <f ca="1">_xll.qlInterpolationInterpolate(B12Minterpolation,R62,TRUE)</f>
        <v>#NAME?</v>
      </c>
    </row>
    <row r="63" spans="18:19" x14ac:dyDescent="0.2">
      <c r="R63" s="562" t="e">
        <f ca="1">_xll.qlCalendarAdvance(Calendar,R62,"1D","f")</f>
        <v>#NAME?</v>
      </c>
      <c r="S63" s="561" t="e">
        <f ca="1">_xll.qlInterpolationInterpolate(B12Minterpolation,R63,TRUE)</f>
        <v>#NAME?</v>
      </c>
    </row>
    <row r="64" spans="18:19" x14ac:dyDescent="0.2">
      <c r="R64" s="562" t="e">
        <f ca="1">_xll.qlCalendarAdvance(Calendar,R63,"1D","f")</f>
        <v>#NAME?</v>
      </c>
      <c r="S64" s="561" t="e">
        <f ca="1">_xll.qlInterpolationInterpolate(B12Minterpolation,R64,TRUE)</f>
        <v>#NAME?</v>
      </c>
    </row>
    <row r="65" spans="18:19" x14ac:dyDescent="0.2">
      <c r="R65" s="562" t="e">
        <f ca="1">_xll.qlCalendarAdvance(Calendar,R64,"1D","f")</f>
        <v>#NAME?</v>
      </c>
      <c r="S65" s="561" t="e">
        <f ca="1">_xll.qlInterpolationInterpolate(B12Minterpolation,R65,TRUE)</f>
        <v>#NAME?</v>
      </c>
    </row>
    <row r="66" spans="18:19" x14ac:dyDescent="0.2">
      <c r="R66" s="562" t="e">
        <f ca="1">_xll.qlCalendarAdvance(Calendar,R65,"1D","f")</f>
        <v>#NAME?</v>
      </c>
      <c r="S66" s="561" t="e">
        <f ca="1">_xll.qlInterpolationInterpolate(B12Minterpolation,R66,TRUE)</f>
        <v>#NAME?</v>
      </c>
    </row>
    <row r="67" spans="18:19" x14ac:dyDescent="0.2">
      <c r="R67" s="562" t="e">
        <f ca="1">_xll.qlCalendarAdvance(Calendar,R66,"1D","f")</f>
        <v>#NAME?</v>
      </c>
      <c r="S67" s="561" t="e">
        <f ca="1">_xll.qlInterpolationInterpolate(B12Minterpolation,R67,TRUE)</f>
        <v>#NAME?</v>
      </c>
    </row>
    <row r="68" spans="18:19" x14ac:dyDescent="0.2">
      <c r="R68" s="562" t="e">
        <f ca="1">_xll.qlCalendarAdvance(Calendar,R67,"1D","f")</f>
        <v>#NAME?</v>
      </c>
      <c r="S68" s="561" t="e">
        <f ca="1">_xll.qlInterpolationInterpolate(B12Minterpolation,R68,TRUE)</f>
        <v>#NAME?</v>
      </c>
    </row>
    <row r="69" spans="18:19" x14ac:dyDescent="0.2">
      <c r="R69" s="562" t="e">
        <f ca="1">_xll.qlCalendarAdvance(Calendar,R68,"1D","f")</f>
        <v>#NAME?</v>
      </c>
      <c r="S69" s="561" t="e">
        <f ca="1">_xll.qlInterpolationInterpolate(B12Minterpolation,R69,TRUE)</f>
        <v>#NAME?</v>
      </c>
    </row>
    <row r="70" spans="18:19" x14ac:dyDescent="0.2">
      <c r="R70" s="562" t="e">
        <f ca="1">_xll.qlCalendarAdvance(Calendar,R69,"1D","f")</f>
        <v>#NAME?</v>
      </c>
      <c r="S70" s="561" t="e">
        <f ca="1">_xll.qlInterpolationInterpolate(B12Minterpolation,R70,TRUE)</f>
        <v>#NAME?</v>
      </c>
    </row>
    <row r="71" spans="18:19" x14ac:dyDescent="0.2">
      <c r="R71" s="562" t="e">
        <f ca="1">_xll.qlCalendarAdvance(Calendar,R70,"1D","f")</f>
        <v>#NAME?</v>
      </c>
      <c r="S71" s="561" t="e">
        <f ca="1">_xll.qlInterpolationInterpolate(B12Minterpolation,R71,TRUE)</f>
        <v>#NAME?</v>
      </c>
    </row>
    <row r="72" spans="18:19" x14ac:dyDescent="0.2">
      <c r="R72" s="562" t="e">
        <f ca="1">_xll.qlCalendarAdvance(Calendar,R71,"1D","f")</f>
        <v>#NAME?</v>
      </c>
      <c r="S72" s="561" t="e">
        <f ca="1">_xll.qlInterpolationInterpolate(B12Minterpolation,R72,TRUE)</f>
        <v>#NAME?</v>
      </c>
    </row>
    <row r="73" spans="18:19" x14ac:dyDescent="0.2">
      <c r="R73" s="562" t="e">
        <f ca="1">_xll.qlCalendarAdvance(Calendar,R72,"1D","f")</f>
        <v>#NAME?</v>
      </c>
      <c r="S73" s="561" t="e">
        <f ca="1">_xll.qlInterpolationInterpolate(B12Minterpolation,R73,TRUE)</f>
        <v>#NAME?</v>
      </c>
    </row>
    <row r="74" spans="18:19" x14ac:dyDescent="0.2">
      <c r="R74" s="562" t="e">
        <f ca="1">_xll.qlCalendarAdvance(Calendar,R73,"1D","f")</f>
        <v>#NAME?</v>
      </c>
      <c r="S74" s="561" t="e">
        <f ca="1">_xll.qlInterpolationInterpolate(B12Minterpolation,R74,TRUE)</f>
        <v>#NAME?</v>
      </c>
    </row>
    <row r="75" spans="18:19" x14ac:dyDescent="0.2">
      <c r="R75" s="562" t="e">
        <f ca="1">_xll.qlCalendarAdvance(Calendar,R74,"1D","f")</f>
        <v>#NAME?</v>
      </c>
      <c r="S75" s="561" t="e">
        <f ca="1">_xll.qlInterpolationInterpolate(B12Minterpolation,R75,TRUE)</f>
        <v>#NAME?</v>
      </c>
    </row>
    <row r="76" spans="18:19" x14ac:dyDescent="0.2">
      <c r="R76" s="562" t="e">
        <f ca="1">_xll.qlCalendarAdvance(Calendar,R75,"1D","f")</f>
        <v>#NAME?</v>
      </c>
      <c r="S76" s="561" t="e">
        <f ca="1">_xll.qlInterpolationInterpolate(B12Minterpolation,R76,TRUE)</f>
        <v>#NAME?</v>
      </c>
    </row>
    <row r="77" spans="18:19" x14ac:dyDescent="0.2">
      <c r="R77" s="562" t="e">
        <f ca="1">_xll.qlCalendarAdvance(Calendar,R76,"1D","f")</f>
        <v>#NAME?</v>
      </c>
      <c r="S77" s="561" t="e">
        <f ca="1">_xll.qlInterpolationInterpolate(B12Minterpolation,R77,TRUE)</f>
        <v>#NAME?</v>
      </c>
    </row>
    <row r="78" spans="18:19" x14ac:dyDescent="0.2">
      <c r="R78" s="562" t="e">
        <f ca="1">_xll.qlCalendarAdvance(Calendar,R77,"1D","f")</f>
        <v>#NAME?</v>
      </c>
      <c r="S78" s="561" t="e">
        <f ca="1">_xll.qlInterpolationInterpolate(B12Minterpolation,R78,TRUE)</f>
        <v>#NAME?</v>
      </c>
    </row>
    <row r="79" spans="18:19" x14ac:dyDescent="0.2">
      <c r="R79" s="562" t="e">
        <f ca="1">_xll.qlCalendarAdvance(Calendar,R78,"1D","f")</f>
        <v>#NAME?</v>
      </c>
      <c r="S79" s="561" t="e">
        <f ca="1">_xll.qlInterpolationInterpolate(B12Minterpolation,R79,TRUE)</f>
        <v>#NAME?</v>
      </c>
    </row>
    <row r="80" spans="18:19" x14ac:dyDescent="0.2">
      <c r="R80" s="562" t="e">
        <f ca="1">_xll.qlCalendarAdvance(Calendar,R79,"1D","f")</f>
        <v>#NAME?</v>
      </c>
      <c r="S80" s="561" t="e">
        <f ca="1">_xll.qlInterpolationInterpolate(B12Minterpolation,R80,TRUE)</f>
        <v>#NAME?</v>
      </c>
    </row>
    <row r="81" spans="18:19" x14ac:dyDescent="0.2">
      <c r="R81" s="562" t="e">
        <f ca="1">_xll.qlCalendarAdvance(Calendar,R80,"1D","f")</f>
        <v>#NAME?</v>
      </c>
      <c r="S81" s="561" t="e">
        <f ca="1">_xll.qlInterpolationInterpolate(B12Minterpolation,R81,TRUE)</f>
        <v>#NAME?</v>
      </c>
    </row>
    <row r="82" spans="18:19" x14ac:dyDescent="0.2">
      <c r="R82" s="562" t="e">
        <f ca="1">_xll.qlCalendarAdvance(Calendar,R81,"1D","f")</f>
        <v>#NAME?</v>
      </c>
      <c r="S82" s="561" t="e">
        <f ca="1">_xll.qlInterpolationInterpolate(B12Minterpolation,R82,TRUE)</f>
        <v>#NAME?</v>
      </c>
    </row>
    <row r="83" spans="18:19" x14ac:dyDescent="0.2">
      <c r="R83" s="562" t="e">
        <f ca="1">_xll.qlCalendarAdvance(Calendar,R82,"1D","f")</f>
        <v>#NAME?</v>
      </c>
      <c r="S83" s="561" t="e">
        <f ca="1">_xll.qlInterpolationInterpolate(B12Minterpolation,R83,TRUE)</f>
        <v>#NAME?</v>
      </c>
    </row>
    <row r="84" spans="18:19" x14ac:dyDescent="0.2">
      <c r="R84" s="562" t="e">
        <f ca="1">_xll.qlCalendarAdvance(Calendar,R83,"1D","f")</f>
        <v>#NAME?</v>
      </c>
      <c r="S84" s="561" t="e">
        <f ca="1">_xll.qlInterpolationInterpolate(B12Minterpolation,R84,TRUE)</f>
        <v>#NAME?</v>
      </c>
    </row>
    <row r="85" spans="18:19" x14ac:dyDescent="0.2">
      <c r="R85" s="562" t="e">
        <f ca="1">_xll.qlCalendarAdvance(Calendar,R84,"1D","f")</f>
        <v>#NAME?</v>
      </c>
      <c r="S85" s="561" t="e">
        <f ca="1">_xll.qlInterpolationInterpolate(B12Minterpolation,R85,TRUE)</f>
        <v>#NAME?</v>
      </c>
    </row>
    <row r="86" spans="18:19" x14ac:dyDescent="0.2">
      <c r="R86" s="562" t="e">
        <f ca="1">_xll.qlCalendarAdvance(Calendar,R85,"1D","f")</f>
        <v>#NAME?</v>
      </c>
      <c r="S86" s="561" t="e">
        <f ca="1">_xll.qlInterpolationInterpolate(B12Minterpolation,R86,TRUE)</f>
        <v>#NAME?</v>
      </c>
    </row>
    <row r="87" spans="18:19" x14ac:dyDescent="0.2">
      <c r="R87" s="562" t="e">
        <f ca="1">_xll.qlCalendarAdvance(Calendar,R86,"1D","f")</f>
        <v>#NAME?</v>
      </c>
      <c r="S87" s="561" t="e">
        <f ca="1">_xll.qlInterpolationInterpolate(B12Minterpolation,R87,TRUE)</f>
        <v>#NAME?</v>
      </c>
    </row>
    <row r="88" spans="18:19" x14ac:dyDescent="0.2">
      <c r="R88" s="562" t="e">
        <f ca="1">_xll.qlCalendarAdvance(Calendar,R87,"1D","f")</f>
        <v>#NAME?</v>
      </c>
      <c r="S88" s="561" t="e">
        <f ca="1">_xll.qlInterpolationInterpolate(B12Minterpolation,R88,TRUE)</f>
        <v>#NAME?</v>
      </c>
    </row>
    <row r="89" spans="18:19" x14ac:dyDescent="0.2">
      <c r="R89" s="562" t="e">
        <f ca="1">_xll.qlCalendarAdvance(Calendar,R88,"1D","f")</f>
        <v>#NAME?</v>
      </c>
      <c r="S89" s="561" t="e">
        <f ca="1">_xll.qlInterpolationInterpolate(B12Minterpolation,R89,TRUE)</f>
        <v>#NAME?</v>
      </c>
    </row>
    <row r="90" spans="18:19" x14ac:dyDescent="0.2">
      <c r="R90" s="562" t="e">
        <f ca="1">_xll.qlCalendarAdvance(Calendar,R89,"1D","f")</f>
        <v>#NAME?</v>
      </c>
      <c r="S90" s="561" t="e">
        <f ca="1">_xll.qlInterpolationInterpolate(B12Minterpolation,R90,TRUE)</f>
        <v>#NAME?</v>
      </c>
    </row>
    <row r="91" spans="18:19" x14ac:dyDescent="0.2">
      <c r="R91" s="562" t="e">
        <f ca="1">_xll.qlCalendarAdvance(Calendar,R90,"1D","f")</f>
        <v>#NAME?</v>
      </c>
      <c r="S91" s="561" t="e">
        <f ca="1">_xll.qlInterpolationInterpolate(B12Minterpolation,R91,TRUE)</f>
        <v>#NAME?</v>
      </c>
    </row>
    <row r="92" spans="18:19" x14ac:dyDescent="0.2">
      <c r="R92" s="562" t="e">
        <f ca="1">_xll.qlCalendarAdvance(Calendar,R91,"1D","f")</f>
        <v>#NAME?</v>
      </c>
      <c r="S92" s="561" t="e">
        <f ca="1">_xll.qlInterpolationInterpolate(B12Minterpolation,R92,TRUE)</f>
        <v>#NAME?</v>
      </c>
    </row>
    <row r="93" spans="18:19" x14ac:dyDescent="0.2">
      <c r="R93" s="562" t="e">
        <f ca="1">_xll.qlCalendarAdvance(Calendar,R92,"1D","f")</f>
        <v>#NAME?</v>
      </c>
      <c r="S93" s="561" t="e">
        <f ca="1">_xll.qlInterpolationInterpolate(B12Minterpolation,R93,TRUE)</f>
        <v>#NAME?</v>
      </c>
    </row>
    <row r="94" spans="18:19" x14ac:dyDescent="0.2">
      <c r="R94" s="562" t="e">
        <f ca="1">_xll.qlCalendarAdvance(Calendar,R93,"1D","f")</f>
        <v>#NAME?</v>
      </c>
      <c r="S94" s="561" t="e">
        <f ca="1">_xll.qlInterpolationInterpolate(B12Minterpolation,R94,TRUE)</f>
        <v>#NAME?</v>
      </c>
    </row>
    <row r="95" spans="18:19" x14ac:dyDescent="0.2">
      <c r="R95" s="562" t="e">
        <f ca="1">_xll.qlCalendarAdvance(Calendar,R94,"1D","f")</f>
        <v>#NAME?</v>
      </c>
      <c r="S95" s="561" t="e">
        <f ca="1">_xll.qlInterpolationInterpolate(B12Minterpolation,R95,TRUE)</f>
        <v>#NAME?</v>
      </c>
    </row>
    <row r="96" spans="18:19" x14ac:dyDescent="0.2">
      <c r="R96" s="562" t="e">
        <f ca="1">_xll.qlCalendarAdvance(Calendar,R95,"1D","f")</f>
        <v>#NAME?</v>
      </c>
      <c r="S96" s="561" t="e">
        <f ca="1">_xll.qlInterpolationInterpolate(B12Minterpolation,R96,TRUE)</f>
        <v>#NAME?</v>
      </c>
    </row>
    <row r="97" spans="18:19" x14ac:dyDescent="0.2">
      <c r="R97" s="562" t="e">
        <f ca="1">_xll.qlCalendarAdvance(Calendar,R96,"1D","f")</f>
        <v>#NAME?</v>
      </c>
      <c r="S97" s="561" t="e">
        <f ca="1">_xll.qlInterpolationInterpolate(B12Minterpolation,R97,TRUE)</f>
        <v>#NAME?</v>
      </c>
    </row>
    <row r="98" spans="18:19" x14ac:dyDescent="0.2">
      <c r="R98" s="562" t="e">
        <f ca="1">_xll.qlCalendarAdvance(Calendar,R97,"1D","f")</f>
        <v>#NAME?</v>
      </c>
      <c r="S98" s="561" t="e">
        <f ca="1">_xll.qlInterpolationInterpolate(B12Minterpolation,R98,TRUE)</f>
        <v>#NAME?</v>
      </c>
    </row>
    <row r="99" spans="18:19" x14ac:dyDescent="0.2">
      <c r="R99" s="562" t="e">
        <f ca="1">_xll.qlCalendarAdvance(Calendar,R98,"1D","f")</f>
        <v>#NAME?</v>
      </c>
      <c r="S99" s="561" t="e">
        <f ca="1">_xll.qlInterpolationInterpolate(B12Minterpolation,R99,TRUE)</f>
        <v>#NAME?</v>
      </c>
    </row>
    <row r="100" spans="18:19" x14ac:dyDescent="0.2">
      <c r="R100" s="562" t="e">
        <f ca="1">_xll.qlCalendarAdvance(Calendar,R99,"1D","f")</f>
        <v>#NAME?</v>
      </c>
      <c r="S100" s="561" t="e">
        <f ca="1">_xll.qlInterpolationInterpolate(B12Minterpolation,R100,TRUE)</f>
        <v>#NAME?</v>
      </c>
    </row>
    <row r="101" spans="18:19" x14ac:dyDescent="0.2">
      <c r="R101" s="562" t="e">
        <f ca="1">_xll.qlCalendarAdvance(Calendar,R100,"1D","f")</f>
        <v>#NAME?</v>
      </c>
      <c r="S101" s="561" t="e">
        <f ca="1">_xll.qlInterpolationInterpolate(B12Minterpolation,R101,TRUE)</f>
        <v>#NAME?</v>
      </c>
    </row>
    <row r="102" spans="18:19" x14ac:dyDescent="0.2">
      <c r="R102" s="562" t="e">
        <f ca="1">_xll.qlCalendarAdvance(Calendar,R101,"1D","f")</f>
        <v>#NAME?</v>
      </c>
      <c r="S102" s="561" t="e">
        <f ca="1">_xll.qlInterpolationInterpolate(B12Minterpolation,R102,TRUE)</f>
        <v>#NAME?</v>
      </c>
    </row>
    <row r="103" spans="18:19" x14ac:dyDescent="0.2">
      <c r="R103" s="562" t="e">
        <f ca="1">_xll.qlCalendarAdvance(Calendar,R102,"1D","f")</f>
        <v>#NAME?</v>
      </c>
      <c r="S103" s="561" t="e">
        <f ca="1">_xll.qlInterpolationInterpolate(B12Minterpolation,R103,TRUE)</f>
        <v>#NAME?</v>
      </c>
    </row>
    <row r="104" spans="18:19" x14ac:dyDescent="0.2">
      <c r="R104" s="562" t="e">
        <f ca="1">_xll.qlCalendarAdvance(Calendar,R103,"1D","f")</f>
        <v>#NAME?</v>
      </c>
      <c r="S104" s="561" t="e">
        <f ca="1">_xll.qlInterpolationInterpolate(B12Minterpolation,R104,TRUE)</f>
        <v>#NAME?</v>
      </c>
    </row>
    <row r="105" spans="18:19" x14ac:dyDescent="0.2">
      <c r="R105" s="562" t="e">
        <f ca="1">_xll.qlCalendarAdvance(Calendar,R104,"1D","f")</f>
        <v>#NAME?</v>
      </c>
      <c r="S105" s="561" t="e">
        <f ca="1">_xll.qlInterpolationInterpolate(B12Minterpolation,R105,TRUE)</f>
        <v>#NAME?</v>
      </c>
    </row>
    <row r="106" spans="18:19" x14ac:dyDescent="0.2">
      <c r="R106" s="562" t="e">
        <f ca="1">_xll.qlCalendarAdvance(Calendar,R105,"1D","f")</f>
        <v>#NAME?</v>
      </c>
      <c r="S106" s="561" t="e">
        <f ca="1">_xll.qlInterpolationInterpolate(B12Minterpolation,R106,TRUE)</f>
        <v>#NAME?</v>
      </c>
    </row>
    <row r="107" spans="18:19" x14ac:dyDescent="0.2">
      <c r="R107" s="562" t="e">
        <f ca="1">_xll.qlCalendarAdvance(Calendar,R106,"1D","f")</f>
        <v>#NAME?</v>
      </c>
      <c r="S107" s="561" t="e">
        <f ca="1">_xll.qlInterpolationInterpolate(B12Minterpolation,R107,TRUE)</f>
        <v>#NAME?</v>
      </c>
    </row>
    <row r="108" spans="18:19" x14ac:dyDescent="0.2">
      <c r="R108" s="562" t="e">
        <f ca="1">_xll.qlCalendarAdvance(Calendar,R107,"1D","f")</f>
        <v>#NAME?</v>
      </c>
      <c r="S108" s="561" t="e">
        <f ca="1">_xll.qlInterpolationInterpolate(B12Minterpolation,R108,TRUE)</f>
        <v>#NAME?</v>
      </c>
    </row>
    <row r="109" spans="18:19" x14ac:dyDescent="0.2">
      <c r="R109" s="562" t="e">
        <f ca="1">_xll.qlCalendarAdvance(Calendar,R108,"1D","f")</f>
        <v>#NAME?</v>
      </c>
      <c r="S109" s="561" t="e">
        <f ca="1">_xll.qlInterpolationInterpolate(B12Minterpolation,R109,TRUE)</f>
        <v>#NAME?</v>
      </c>
    </row>
    <row r="110" spans="18:19" x14ac:dyDescent="0.2">
      <c r="R110" s="562" t="e">
        <f ca="1">_xll.qlCalendarAdvance(Calendar,R109,"1D","f")</f>
        <v>#NAME?</v>
      </c>
      <c r="S110" s="561" t="e">
        <f ca="1">_xll.qlInterpolationInterpolate(B12Minterpolation,R110,TRUE)</f>
        <v>#NAME?</v>
      </c>
    </row>
    <row r="111" spans="18:19" x14ac:dyDescent="0.2">
      <c r="R111" s="562" t="e">
        <f ca="1">_xll.qlCalendarAdvance(Calendar,R110,"1D","f")</f>
        <v>#NAME?</v>
      </c>
      <c r="S111" s="561" t="e">
        <f ca="1">_xll.qlInterpolationInterpolate(B12Minterpolation,R111,TRUE)</f>
        <v>#NAME?</v>
      </c>
    </row>
    <row r="112" spans="18:19" x14ac:dyDescent="0.2">
      <c r="R112" s="562" t="e">
        <f ca="1">_xll.qlCalendarAdvance(Calendar,R111,"1D","f")</f>
        <v>#NAME?</v>
      </c>
      <c r="S112" s="561" t="e">
        <f ca="1">_xll.qlInterpolationInterpolate(B12Minterpolation,R112,TRUE)</f>
        <v>#NAME?</v>
      </c>
    </row>
    <row r="113" spans="18:19" x14ac:dyDescent="0.2">
      <c r="R113" s="562" t="e">
        <f ca="1">_xll.qlCalendarAdvance(Calendar,R112,"1D","f")</f>
        <v>#NAME?</v>
      </c>
      <c r="S113" s="561" t="e">
        <f ca="1">_xll.qlInterpolationInterpolate(B12Minterpolation,R113,TRUE)</f>
        <v>#NAME?</v>
      </c>
    </row>
    <row r="114" spans="18:19" x14ac:dyDescent="0.2">
      <c r="R114" s="562" t="e">
        <f ca="1">_xll.qlCalendarAdvance(Calendar,R113,"1D","f")</f>
        <v>#NAME?</v>
      </c>
      <c r="S114" s="561" t="e">
        <f ca="1">_xll.qlInterpolationInterpolate(B12Minterpolation,R114,TRUE)</f>
        <v>#NAME?</v>
      </c>
    </row>
    <row r="115" spans="18:19" x14ac:dyDescent="0.2">
      <c r="R115" s="562" t="e">
        <f ca="1">_xll.qlCalendarAdvance(Calendar,R114,"1D","f")</f>
        <v>#NAME?</v>
      </c>
      <c r="S115" s="561" t="e">
        <f ca="1">_xll.qlInterpolationInterpolate(B12Minterpolation,R115,TRUE)</f>
        <v>#NAME?</v>
      </c>
    </row>
    <row r="116" spans="18:19" x14ac:dyDescent="0.2">
      <c r="R116" s="562" t="e">
        <f ca="1">_xll.qlCalendarAdvance(Calendar,R115,"1D","f")</f>
        <v>#NAME?</v>
      </c>
      <c r="S116" s="561" t="e">
        <f ca="1">_xll.qlInterpolationInterpolate(B12Minterpolation,R116,TRUE)</f>
        <v>#NAME?</v>
      </c>
    </row>
    <row r="117" spans="18:19" x14ac:dyDescent="0.2">
      <c r="R117" s="562" t="e">
        <f ca="1">_xll.qlCalendarAdvance(Calendar,R116,"1D","f")</f>
        <v>#NAME?</v>
      </c>
      <c r="S117" s="561" t="e">
        <f ca="1">_xll.qlInterpolationInterpolate(B12Minterpolation,R117,TRUE)</f>
        <v>#NAME?</v>
      </c>
    </row>
    <row r="118" spans="18:19" x14ac:dyDescent="0.2">
      <c r="R118" s="562" t="e">
        <f ca="1">_xll.qlCalendarAdvance(Calendar,R117,"1D","f")</f>
        <v>#NAME?</v>
      </c>
      <c r="S118" s="561" t="e">
        <f ca="1">_xll.qlInterpolationInterpolate(B12Minterpolation,R118,TRUE)</f>
        <v>#NAME?</v>
      </c>
    </row>
    <row r="119" spans="18:19" x14ac:dyDescent="0.2">
      <c r="R119" s="562" t="e">
        <f ca="1">_xll.qlCalendarAdvance(Calendar,R118,"1D","f")</f>
        <v>#NAME?</v>
      </c>
      <c r="S119" s="561" t="e">
        <f ca="1">_xll.qlInterpolationInterpolate(B12Minterpolation,R119,TRUE)</f>
        <v>#NAME?</v>
      </c>
    </row>
    <row r="120" spans="18:19" x14ac:dyDescent="0.2">
      <c r="R120" s="562" t="e">
        <f ca="1">_xll.qlCalendarAdvance(Calendar,R119,"1D","f")</f>
        <v>#NAME?</v>
      </c>
      <c r="S120" s="561" t="e">
        <f ca="1">_xll.qlInterpolationInterpolate(B12Minterpolation,R120,TRUE)</f>
        <v>#NAME?</v>
      </c>
    </row>
    <row r="121" spans="18:19" x14ac:dyDescent="0.2">
      <c r="R121" s="562" t="e">
        <f ca="1">_xll.qlCalendarAdvance(Calendar,R120,"1D","f")</f>
        <v>#NAME?</v>
      </c>
      <c r="S121" s="561" t="e">
        <f ca="1">_xll.qlInterpolationInterpolate(B12Minterpolation,R121,TRUE)</f>
        <v>#NAME?</v>
      </c>
    </row>
    <row r="122" spans="18:19" x14ac:dyDescent="0.2">
      <c r="R122" s="562" t="e">
        <f ca="1">_xll.qlCalendarAdvance(Calendar,R121,"1D","f")</f>
        <v>#NAME?</v>
      </c>
      <c r="S122" s="561" t="e">
        <f ca="1">_xll.qlInterpolationInterpolate(B12Minterpolation,R122,TRUE)</f>
        <v>#NAME?</v>
      </c>
    </row>
    <row r="123" spans="18:19" x14ac:dyDescent="0.2">
      <c r="R123" s="562" t="e">
        <f ca="1">_xll.qlCalendarAdvance(Calendar,R122,"1D","f")</f>
        <v>#NAME?</v>
      </c>
      <c r="S123" s="561" t="e">
        <f ca="1">_xll.qlInterpolationInterpolate(B12Minterpolation,R123,TRUE)</f>
        <v>#NAME?</v>
      </c>
    </row>
    <row r="124" spans="18:19" x14ac:dyDescent="0.2">
      <c r="R124" s="562" t="e">
        <f ca="1">_xll.qlCalendarAdvance(Calendar,R123,"1D","f")</f>
        <v>#NAME?</v>
      </c>
      <c r="S124" s="561" t="e">
        <f ca="1">_xll.qlInterpolationInterpolate(B12Minterpolation,R124,TRUE)</f>
        <v>#NAME?</v>
      </c>
    </row>
    <row r="125" spans="18:19" x14ac:dyDescent="0.2">
      <c r="R125" s="562" t="e">
        <f ca="1">_xll.qlCalendarAdvance(Calendar,R124,"1D","f")</f>
        <v>#NAME?</v>
      </c>
      <c r="S125" s="561" t="e">
        <f ca="1">_xll.qlInterpolationInterpolate(B12Minterpolation,R125,TRUE)</f>
        <v>#NAME?</v>
      </c>
    </row>
    <row r="126" spans="18:19" x14ac:dyDescent="0.2">
      <c r="R126" s="562" t="e">
        <f ca="1">_xll.qlCalendarAdvance(Calendar,R125,"1D","f")</f>
        <v>#NAME?</v>
      </c>
      <c r="S126" s="561" t="e">
        <f ca="1">_xll.qlInterpolationInterpolate(B12Minterpolation,R126,TRUE)</f>
        <v>#NAME?</v>
      </c>
    </row>
    <row r="127" spans="18:19" x14ac:dyDescent="0.2">
      <c r="R127" s="562" t="e">
        <f ca="1">_xll.qlCalendarAdvance(Calendar,R126,"1D","f")</f>
        <v>#NAME?</v>
      </c>
      <c r="S127" s="561" t="e">
        <f ca="1">_xll.qlInterpolationInterpolate(B12Minterpolation,R127,TRUE)</f>
        <v>#NAME?</v>
      </c>
    </row>
    <row r="128" spans="18:19" x14ac:dyDescent="0.2">
      <c r="R128" s="562" t="e">
        <f ca="1">_xll.qlCalendarAdvance(Calendar,R127,"1D","f")</f>
        <v>#NAME?</v>
      </c>
      <c r="S128" s="561" t="e">
        <f ca="1">_xll.qlInterpolationInterpolate(B12Minterpolation,R128,TRUE)</f>
        <v>#NAME?</v>
      </c>
    </row>
    <row r="129" spans="18:19" x14ac:dyDescent="0.2">
      <c r="R129" s="562" t="e">
        <f ca="1">_xll.qlCalendarAdvance(Calendar,R128,"1D","f")</f>
        <v>#NAME?</v>
      </c>
      <c r="S129" s="561" t="e">
        <f ca="1">_xll.qlInterpolationInterpolate(B12Minterpolation,R129,TRUE)</f>
        <v>#NAME?</v>
      </c>
    </row>
    <row r="130" spans="18:19" x14ac:dyDescent="0.2">
      <c r="R130" s="562" t="e">
        <f ca="1">_xll.qlCalendarAdvance(Calendar,R129,"1D","f")</f>
        <v>#NAME?</v>
      </c>
      <c r="S130" s="561" t="e">
        <f ca="1">_xll.qlInterpolationInterpolate(B12Minterpolation,R130,TRUE)</f>
        <v>#NAME?</v>
      </c>
    </row>
    <row r="131" spans="18:19" x14ac:dyDescent="0.2">
      <c r="R131" s="562" t="e">
        <f ca="1">_xll.qlCalendarAdvance(Calendar,R130,"1D","f")</f>
        <v>#NAME?</v>
      </c>
      <c r="S131" s="561" t="e">
        <f ca="1">_xll.qlInterpolationInterpolate(B12Minterpolation,R131,TRUE)</f>
        <v>#NAME?</v>
      </c>
    </row>
    <row r="132" spans="18:19" x14ac:dyDescent="0.2">
      <c r="R132" s="562" t="e">
        <f ca="1">_xll.qlCalendarAdvance(Calendar,R131,"1D","f")</f>
        <v>#NAME?</v>
      </c>
      <c r="S132" s="561" t="e">
        <f ca="1">_xll.qlInterpolationInterpolate(B12Minterpolation,R132,TRUE)</f>
        <v>#NAME?</v>
      </c>
    </row>
    <row r="133" spans="18:19" x14ac:dyDescent="0.2">
      <c r="R133" s="562" t="e">
        <f ca="1">_xll.qlCalendarAdvance(Calendar,R132,"1D","f")</f>
        <v>#NAME?</v>
      </c>
      <c r="S133" s="561" t="e">
        <f ca="1">_xll.qlInterpolationInterpolate(B12Minterpolation,R133,TRUE)</f>
        <v>#NAME?</v>
      </c>
    </row>
    <row r="134" spans="18:19" x14ac:dyDescent="0.2">
      <c r="R134" s="562" t="e">
        <f ca="1">_xll.qlCalendarAdvance(Calendar,R133,"1D","f")</f>
        <v>#NAME?</v>
      </c>
      <c r="S134" s="561" t="e">
        <f ca="1">_xll.qlInterpolationInterpolate(B12Minterpolation,R134,TRUE)</f>
        <v>#NAME?</v>
      </c>
    </row>
    <row r="135" spans="18:19" x14ac:dyDescent="0.2">
      <c r="R135" s="562" t="e">
        <f ca="1">_xll.qlCalendarAdvance(Calendar,R134,"1D","f")</f>
        <v>#NAME?</v>
      </c>
      <c r="S135" s="561" t="e">
        <f ca="1">_xll.qlInterpolationInterpolate(B12Minterpolation,R135,TRUE)</f>
        <v>#NAME?</v>
      </c>
    </row>
    <row r="136" spans="18:19" x14ac:dyDescent="0.2">
      <c r="R136" s="562" t="e">
        <f ca="1">_xll.qlCalendarAdvance(Calendar,R135,"1D","f")</f>
        <v>#NAME?</v>
      </c>
      <c r="S136" s="561" t="e">
        <f ca="1">_xll.qlInterpolationInterpolate(B12Minterpolation,R136,TRUE)</f>
        <v>#NAME?</v>
      </c>
    </row>
    <row r="137" spans="18:19" x14ac:dyDescent="0.2">
      <c r="R137" s="562" t="e">
        <f ca="1">_xll.qlCalendarAdvance(Calendar,R136,"1D","f")</f>
        <v>#NAME?</v>
      </c>
      <c r="S137" s="561" t="e">
        <f ca="1">_xll.qlInterpolationInterpolate(B12Minterpolation,R137,TRUE)</f>
        <v>#NAME?</v>
      </c>
    </row>
    <row r="138" spans="18:19" x14ac:dyDescent="0.2">
      <c r="R138" s="562" t="e">
        <f ca="1">_xll.qlCalendarAdvance(Calendar,R137,"1D","f")</f>
        <v>#NAME?</v>
      </c>
      <c r="S138" s="561" t="e">
        <f ca="1">_xll.qlInterpolationInterpolate(B12Minterpolation,R138,TRUE)</f>
        <v>#NAME?</v>
      </c>
    </row>
    <row r="139" spans="18:19" x14ac:dyDescent="0.2">
      <c r="R139" s="562" t="e">
        <f ca="1">_xll.qlCalendarAdvance(Calendar,R138,"1D","f")</f>
        <v>#NAME?</v>
      </c>
      <c r="S139" s="561" t="e">
        <f ca="1">_xll.qlInterpolationInterpolate(B12Minterpolation,R139,TRUE)</f>
        <v>#NAME?</v>
      </c>
    </row>
    <row r="140" spans="18:19" x14ac:dyDescent="0.2">
      <c r="R140" s="562" t="e">
        <f ca="1">_xll.qlCalendarAdvance(Calendar,R139,"1D","f")</f>
        <v>#NAME?</v>
      </c>
      <c r="S140" s="561" t="e">
        <f ca="1">_xll.qlInterpolationInterpolate(B12Minterpolation,R140,TRUE)</f>
        <v>#NAME?</v>
      </c>
    </row>
    <row r="141" spans="18:19" x14ac:dyDescent="0.2">
      <c r="R141" s="562" t="e">
        <f ca="1">_xll.qlCalendarAdvance(Calendar,R140,"1D","f")</f>
        <v>#NAME?</v>
      </c>
      <c r="S141" s="561" t="e">
        <f ca="1">_xll.qlInterpolationInterpolate(B12Minterpolation,R141,TRUE)</f>
        <v>#NAME?</v>
      </c>
    </row>
    <row r="142" spans="18:19" x14ac:dyDescent="0.2">
      <c r="R142" s="562" t="e">
        <f ca="1">_xll.qlCalendarAdvance(Calendar,R141,"1D","f")</f>
        <v>#NAME?</v>
      </c>
      <c r="S142" s="561" t="e">
        <f ca="1">_xll.qlInterpolationInterpolate(B12Minterpolation,R142,TRUE)</f>
        <v>#NAME?</v>
      </c>
    </row>
    <row r="143" spans="18:19" x14ac:dyDescent="0.2">
      <c r="R143" s="562" t="e">
        <f ca="1">_xll.qlCalendarAdvance(Calendar,R142,"1D","f")</f>
        <v>#NAME?</v>
      </c>
      <c r="S143" s="561" t="e">
        <f ca="1">_xll.qlInterpolationInterpolate(B12Minterpolation,R143,TRUE)</f>
        <v>#NAME?</v>
      </c>
    </row>
    <row r="144" spans="18:19" x14ac:dyDescent="0.2">
      <c r="R144" s="562" t="e">
        <f ca="1">_xll.qlCalendarAdvance(Calendar,R143,"1D","f")</f>
        <v>#NAME?</v>
      </c>
      <c r="S144" s="561" t="e">
        <f ca="1">_xll.qlInterpolationInterpolate(B12Minterpolation,R144,TRUE)</f>
        <v>#NAME?</v>
      </c>
    </row>
    <row r="145" spans="18:19" x14ac:dyDescent="0.2">
      <c r="R145" s="562" t="e">
        <f ca="1">_xll.qlCalendarAdvance(Calendar,R144,"1D","f")</f>
        <v>#NAME?</v>
      </c>
      <c r="S145" s="561" t="e">
        <f ca="1">_xll.qlInterpolationInterpolate(B12Minterpolation,R145,TRUE)</f>
        <v>#NAME?</v>
      </c>
    </row>
    <row r="146" spans="18:19" x14ac:dyDescent="0.2">
      <c r="R146" s="562" t="e">
        <f ca="1">_xll.qlCalendarAdvance(Calendar,R145,"1D","f")</f>
        <v>#NAME?</v>
      </c>
      <c r="S146" s="561" t="e">
        <f ca="1">_xll.qlInterpolationInterpolate(B12Minterpolation,R146,TRUE)</f>
        <v>#NAME?</v>
      </c>
    </row>
    <row r="147" spans="18:19" x14ac:dyDescent="0.2">
      <c r="R147" s="562" t="e">
        <f ca="1">_xll.qlCalendarAdvance(Calendar,R146,"1D","f")</f>
        <v>#NAME?</v>
      </c>
      <c r="S147" s="561" t="e">
        <f ca="1">_xll.qlInterpolationInterpolate(B12Minterpolation,R147,TRUE)</f>
        <v>#NAME?</v>
      </c>
    </row>
    <row r="148" spans="18:19" x14ac:dyDescent="0.2">
      <c r="R148" s="562" t="e">
        <f ca="1">_xll.qlCalendarAdvance(Calendar,R147,"1D","f")</f>
        <v>#NAME?</v>
      </c>
      <c r="S148" s="561" t="e">
        <f ca="1">_xll.qlInterpolationInterpolate(B12Minterpolation,R148,TRUE)</f>
        <v>#NAME?</v>
      </c>
    </row>
    <row r="149" spans="18:19" x14ac:dyDescent="0.2">
      <c r="R149" s="562" t="e">
        <f ca="1">_xll.qlCalendarAdvance(Calendar,R148,"1D","f")</f>
        <v>#NAME?</v>
      </c>
      <c r="S149" s="561" t="e">
        <f ca="1">_xll.qlInterpolationInterpolate(B12Minterpolation,R149,TRUE)</f>
        <v>#NAME?</v>
      </c>
    </row>
    <row r="150" spans="18:19" x14ac:dyDescent="0.2">
      <c r="R150" s="562" t="e">
        <f ca="1">_xll.qlCalendarAdvance(Calendar,R149,"1D","f")</f>
        <v>#NAME?</v>
      </c>
      <c r="S150" s="561" t="e">
        <f ca="1">_xll.qlInterpolationInterpolate(B12Minterpolation,R150,TRUE)</f>
        <v>#NAME?</v>
      </c>
    </row>
    <row r="151" spans="18:19" x14ac:dyDescent="0.2">
      <c r="R151" s="562" t="e">
        <f ca="1">_xll.qlCalendarAdvance(Calendar,R150,"1D","f")</f>
        <v>#NAME?</v>
      </c>
      <c r="S151" s="561" t="e">
        <f ca="1">_xll.qlInterpolationInterpolate(B12Minterpolation,R151,TRUE)</f>
        <v>#NAME?</v>
      </c>
    </row>
    <row r="152" spans="18:19" x14ac:dyDescent="0.2">
      <c r="R152" s="562" t="e">
        <f ca="1">_xll.qlCalendarAdvance(Calendar,R151,"1D","f")</f>
        <v>#NAME?</v>
      </c>
      <c r="S152" s="561" t="e">
        <f ca="1">_xll.qlInterpolationInterpolate(B12Minterpolation,R152,TRUE)</f>
        <v>#NAME?</v>
      </c>
    </row>
    <row r="153" spans="18:19" x14ac:dyDescent="0.2">
      <c r="R153" s="562" t="e">
        <f ca="1">_xll.qlCalendarAdvance(Calendar,R152,"1D","f")</f>
        <v>#NAME?</v>
      </c>
      <c r="S153" s="561" t="e">
        <f ca="1">_xll.qlInterpolationInterpolate(B12Minterpolation,R153,TRUE)</f>
        <v>#NAME?</v>
      </c>
    </row>
    <row r="154" spans="18:19" x14ac:dyDescent="0.2">
      <c r="R154" s="562" t="e">
        <f ca="1">_xll.qlCalendarAdvance(Calendar,R153,"1D","f")</f>
        <v>#NAME?</v>
      </c>
      <c r="S154" s="561" t="e">
        <f ca="1">_xll.qlInterpolationInterpolate(B12Minterpolation,R154,TRUE)</f>
        <v>#NAME?</v>
      </c>
    </row>
    <row r="155" spans="18:19" x14ac:dyDescent="0.2">
      <c r="R155" s="562" t="e">
        <f ca="1">_xll.qlCalendarAdvance(Calendar,R154,"1D","f")</f>
        <v>#NAME?</v>
      </c>
      <c r="S155" s="561" t="e">
        <f ca="1">_xll.qlInterpolationInterpolate(B12Minterpolation,R155,TRUE)</f>
        <v>#NAME?</v>
      </c>
    </row>
    <row r="156" spans="18:19" x14ac:dyDescent="0.2">
      <c r="R156" s="562" t="e">
        <f ca="1">_xll.qlCalendarAdvance(Calendar,R155,"1D","f")</f>
        <v>#NAME?</v>
      </c>
      <c r="S156" s="561" t="e">
        <f ca="1">_xll.qlInterpolationInterpolate(B12Minterpolation,R156,TRUE)</f>
        <v>#NAME?</v>
      </c>
    </row>
    <row r="157" spans="18:19" x14ac:dyDescent="0.2">
      <c r="R157" s="562" t="e">
        <f ca="1">_xll.qlCalendarAdvance(Calendar,R156,"1D","f")</f>
        <v>#NAME?</v>
      </c>
      <c r="S157" s="561" t="e">
        <f ca="1">_xll.qlInterpolationInterpolate(B12Minterpolation,R157,TRUE)</f>
        <v>#NAME?</v>
      </c>
    </row>
    <row r="158" spans="18:19" x14ac:dyDescent="0.2">
      <c r="R158" s="562" t="e">
        <f ca="1">_xll.qlCalendarAdvance(Calendar,R157,"1D","f")</f>
        <v>#NAME?</v>
      </c>
      <c r="S158" s="561" t="e">
        <f ca="1">_xll.qlInterpolationInterpolate(B12Minterpolation,R158,TRUE)</f>
        <v>#NAME?</v>
      </c>
    </row>
    <row r="159" spans="18:19" x14ac:dyDescent="0.2">
      <c r="R159" s="562" t="e">
        <f ca="1">_xll.qlCalendarAdvance(Calendar,R158,"1D","f")</f>
        <v>#NAME?</v>
      </c>
      <c r="S159" s="561" t="e">
        <f ca="1">_xll.qlInterpolationInterpolate(B12Minterpolation,R159,TRUE)</f>
        <v>#NAME?</v>
      </c>
    </row>
    <row r="160" spans="18:19" x14ac:dyDescent="0.2">
      <c r="R160" s="562" t="e">
        <f ca="1">_xll.qlCalendarAdvance(Calendar,R159,"1D","f")</f>
        <v>#NAME?</v>
      </c>
      <c r="S160" s="561" t="e">
        <f ca="1">_xll.qlInterpolationInterpolate(B12Minterpolation,R160,TRUE)</f>
        <v>#NAME?</v>
      </c>
    </row>
    <row r="161" spans="18:19" x14ac:dyDescent="0.2">
      <c r="R161" s="562" t="e">
        <f ca="1">_xll.qlCalendarAdvance(Calendar,R160,"1D","f")</f>
        <v>#NAME?</v>
      </c>
      <c r="S161" s="561" t="e">
        <f ca="1">_xll.qlInterpolationInterpolate(B12Minterpolation,R161,TRUE)</f>
        <v>#NAME?</v>
      </c>
    </row>
    <row r="162" spans="18:19" x14ac:dyDescent="0.2">
      <c r="R162" s="562" t="e">
        <f ca="1">_xll.qlCalendarAdvance(Calendar,R161,"1D","f")</f>
        <v>#NAME?</v>
      </c>
      <c r="S162" s="561" t="e">
        <f ca="1">_xll.qlInterpolationInterpolate(B12Minterpolation,R162,TRUE)</f>
        <v>#NAME?</v>
      </c>
    </row>
    <row r="163" spans="18:19" x14ac:dyDescent="0.2">
      <c r="R163" s="562" t="e">
        <f ca="1">_xll.qlCalendarAdvance(Calendar,R162,"1D","f")</f>
        <v>#NAME?</v>
      </c>
      <c r="S163" s="561" t="e">
        <f ca="1">_xll.qlInterpolationInterpolate(B12Minterpolation,R163,TRUE)</f>
        <v>#NAME?</v>
      </c>
    </row>
    <row r="164" spans="18:19" x14ac:dyDescent="0.2">
      <c r="R164" s="562" t="e">
        <f ca="1">_xll.qlCalendarAdvance(Calendar,R163,"1D","f")</f>
        <v>#NAME?</v>
      </c>
      <c r="S164" s="561" t="e">
        <f ca="1">_xll.qlInterpolationInterpolate(B12Minterpolation,R164,TRUE)</f>
        <v>#NAME?</v>
      </c>
    </row>
    <row r="165" spans="18:19" x14ac:dyDescent="0.2">
      <c r="R165" s="562" t="e">
        <f ca="1">_xll.qlCalendarAdvance(Calendar,R164,"1D","f")</f>
        <v>#NAME?</v>
      </c>
      <c r="S165" s="561" t="e">
        <f ca="1">_xll.qlInterpolationInterpolate(B12Minterpolation,R165,TRUE)</f>
        <v>#NAME?</v>
      </c>
    </row>
    <row r="166" spans="18:19" x14ac:dyDescent="0.2">
      <c r="R166" s="562" t="e">
        <f ca="1">_xll.qlCalendarAdvance(Calendar,R165,"1D","f")</f>
        <v>#NAME?</v>
      </c>
      <c r="S166" s="561" t="e">
        <f ca="1">_xll.qlInterpolationInterpolate(B12Minterpolation,R166,TRUE)</f>
        <v>#NAME?</v>
      </c>
    </row>
    <row r="167" spans="18:19" x14ac:dyDescent="0.2">
      <c r="R167" s="562" t="e">
        <f ca="1">_xll.qlCalendarAdvance(Calendar,R166,"1D","f")</f>
        <v>#NAME?</v>
      </c>
      <c r="S167" s="561" t="e">
        <f ca="1">_xll.qlInterpolationInterpolate(B12Minterpolation,R167,TRUE)</f>
        <v>#NAME?</v>
      </c>
    </row>
    <row r="168" spans="18:19" x14ac:dyDescent="0.2">
      <c r="R168" s="562" t="e">
        <f ca="1">_xll.qlCalendarAdvance(Calendar,R167,"1D","f")</f>
        <v>#NAME?</v>
      </c>
      <c r="S168" s="561" t="e">
        <f ca="1">_xll.qlInterpolationInterpolate(B12Minterpolation,R168,TRUE)</f>
        <v>#NAME?</v>
      </c>
    </row>
    <row r="169" spans="18:19" x14ac:dyDescent="0.2">
      <c r="R169" s="562" t="e">
        <f ca="1">_xll.qlCalendarAdvance(Calendar,R168,"1D","f")</f>
        <v>#NAME?</v>
      </c>
      <c r="S169" s="561" t="e">
        <f ca="1">_xll.qlInterpolationInterpolate(B12Minterpolation,R169,TRUE)</f>
        <v>#NAME?</v>
      </c>
    </row>
    <row r="170" spans="18:19" x14ac:dyDescent="0.2">
      <c r="R170" s="562" t="e">
        <f ca="1">_xll.qlCalendarAdvance(Calendar,R169,"1D","f")</f>
        <v>#NAME?</v>
      </c>
      <c r="S170" s="561" t="e">
        <f ca="1">_xll.qlInterpolationInterpolate(B12Minterpolation,R170,TRUE)</f>
        <v>#NAME?</v>
      </c>
    </row>
    <row r="171" spans="18:19" x14ac:dyDescent="0.2">
      <c r="R171" s="562" t="e">
        <f ca="1">_xll.qlCalendarAdvance(Calendar,R170,"1D","f")</f>
        <v>#NAME?</v>
      </c>
      <c r="S171" s="561" t="e">
        <f ca="1">_xll.qlInterpolationInterpolate(B12Minterpolation,R171,TRUE)</f>
        <v>#NAME?</v>
      </c>
    </row>
    <row r="172" spans="18:19" x14ac:dyDescent="0.2">
      <c r="R172" s="562" t="e">
        <f ca="1">_xll.qlCalendarAdvance(Calendar,R171,"1D","f")</f>
        <v>#NAME?</v>
      </c>
      <c r="S172" s="561" t="e">
        <f ca="1">_xll.qlInterpolationInterpolate(B12Minterpolation,R172,TRUE)</f>
        <v>#NAME?</v>
      </c>
    </row>
    <row r="173" spans="18:19" x14ac:dyDescent="0.2">
      <c r="R173" s="562" t="e">
        <f ca="1">_xll.qlCalendarAdvance(Calendar,R172,"1D","f")</f>
        <v>#NAME?</v>
      </c>
      <c r="S173" s="561" t="e">
        <f ca="1">_xll.qlInterpolationInterpolate(B12Minterpolation,R173,TRUE)</f>
        <v>#NAME?</v>
      </c>
    </row>
    <row r="174" spans="18:19" x14ac:dyDescent="0.2">
      <c r="R174" s="562" t="e">
        <f ca="1">_xll.qlCalendarAdvance(Calendar,R173,"1D","f")</f>
        <v>#NAME?</v>
      </c>
      <c r="S174" s="561" t="e">
        <f ca="1">_xll.qlInterpolationInterpolate(B12Minterpolation,R174,TRUE)</f>
        <v>#NAME?</v>
      </c>
    </row>
    <row r="175" spans="18:19" x14ac:dyDescent="0.2">
      <c r="R175" s="562" t="e">
        <f ca="1">_xll.qlCalendarAdvance(Calendar,R174,"1D","f")</f>
        <v>#NAME?</v>
      </c>
      <c r="S175" s="561" t="e">
        <f ca="1">_xll.qlInterpolationInterpolate(B12Minterpolation,R175,TRUE)</f>
        <v>#NAME?</v>
      </c>
    </row>
    <row r="176" spans="18:19" x14ac:dyDescent="0.2">
      <c r="R176" s="562" t="e">
        <f ca="1">_xll.qlCalendarAdvance(Calendar,R175,"1D","f")</f>
        <v>#NAME?</v>
      </c>
      <c r="S176" s="561" t="e">
        <f ca="1">_xll.qlInterpolationInterpolate(B12Minterpolation,R176,TRUE)</f>
        <v>#NAME?</v>
      </c>
    </row>
    <row r="177" spans="18:19" x14ac:dyDescent="0.2">
      <c r="R177" s="562" t="e">
        <f ca="1">_xll.qlCalendarAdvance(Calendar,R176,"1D","f")</f>
        <v>#NAME?</v>
      </c>
      <c r="S177" s="561" t="e">
        <f ca="1">_xll.qlInterpolationInterpolate(B12Minterpolation,R177,TRUE)</f>
        <v>#NAME?</v>
      </c>
    </row>
    <row r="178" spans="18:19" x14ac:dyDescent="0.2">
      <c r="R178" s="562" t="e">
        <f ca="1">_xll.qlCalendarAdvance(Calendar,R177,"1D","f")</f>
        <v>#NAME?</v>
      </c>
      <c r="S178" s="561" t="e">
        <f ca="1">_xll.qlInterpolationInterpolate(B12Minterpolation,R178,TRUE)</f>
        <v>#NAME?</v>
      </c>
    </row>
    <row r="179" spans="18:19" x14ac:dyDescent="0.2">
      <c r="R179" s="562" t="e">
        <f ca="1">_xll.qlCalendarAdvance(Calendar,R178,"1D","f")</f>
        <v>#NAME?</v>
      </c>
      <c r="S179" s="561" t="e">
        <f ca="1">_xll.qlInterpolationInterpolate(B12Minterpolation,R179,TRUE)</f>
        <v>#NAME?</v>
      </c>
    </row>
    <row r="180" spans="18:19" x14ac:dyDescent="0.2">
      <c r="R180" s="562" t="e">
        <f ca="1">_xll.qlCalendarAdvance(Calendar,R179,"1D","f")</f>
        <v>#NAME?</v>
      </c>
      <c r="S180" s="561" t="e">
        <f ca="1">_xll.qlInterpolationInterpolate(B12Minterpolation,R180,TRUE)</f>
        <v>#NAME?</v>
      </c>
    </row>
    <row r="181" spans="18:19" x14ac:dyDescent="0.2">
      <c r="R181" s="562" t="e">
        <f ca="1">_xll.qlCalendarAdvance(Calendar,R180,"1D","f")</f>
        <v>#NAME?</v>
      </c>
      <c r="S181" s="561" t="e">
        <f ca="1">_xll.qlInterpolationInterpolate(B12Minterpolation,R181,TRUE)</f>
        <v>#NAME?</v>
      </c>
    </row>
    <row r="182" spans="18:19" x14ac:dyDescent="0.2">
      <c r="R182" s="562" t="e">
        <f ca="1">_xll.qlCalendarAdvance(Calendar,R181,"1D","f")</f>
        <v>#NAME?</v>
      </c>
      <c r="S182" s="561" t="e">
        <f ca="1">_xll.qlInterpolationInterpolate(B12Minterpolation,R182,TRUE)</f>
        <v>#NAME?</v>
      </c>
    </row>
    <row r="183" spans="18:19" x14ac:dyDescent="0.2">
      <c r="R183" s="562" t="e">
        <f ca="1">_xll.qlCalendarAdvance(Calendar,R182,"1D","f")</f>
        <v>#NAME?</v>
      </c>
      <c r="S183" s="561" t="e">
        <f ca="1">_xll.qlInterpolationInterpolate(B12Minterpolation,R183,TRUE)</f>
        <v>#NAME?</v>
      </c>
    </row>
    <row r="184" spans="18:19" x14ac:dyDescent="0.2">
      <c r="R184" s="562" t="e">
        <f ca="1">_xll.qlCalendarAdvance(Calendar,R183,"1D","f")</f>
        <v>#NAME?</v>
      </c>
      <c r="S184" s="561" t="e">
        <f ca="1">_xll.qlInterpolationInterpolate(B12Minterpolation,R184,TRUE)</f>
        <v>#NAME?</v>
      </c>
    </row>
    <row r="185" spans="18:19" x14ac:dyDescent="0.2">
      <c r="R185" s="562" t="e">
        <f ca="1">_xll.qlCalendarAdvance(Calendar,R184,"1D","f")</f>
        <v>#NAME?</v>
      </c>
      <c r="S185" s="561" t="e">
        <f ca="1">_xll.qlInterpolationInterpolate(B12Minterpolation,R185,TRUE)</f>
        <v>#NAME?</v>
      </c>
    </row>
    <row r="186" spans="18:19" x14ac:dyDescent="0.2">
      <c r="R186" s="562" t="e">
        <f ca="1">_xll.qlCalendarAdvance(Calendar,R185,"1D","f")</f>
        <v>#NAME?</v>
      </c>
      <c r="S186" s="561" t="e">
        <f ca="1">_xll.qlInterpolationInterpolate(B12Minterpolation,R186,TRUE)</f>
        <v>#NAME?</v>
      </c>
    </row>
    <row r="187" spans="18:19" x14ac:dyDescent="0.2">
      <c r="R187" s="562" t="e">
        <f ca="1">_xll.qlCalendarAdvance(Calendar,R186,"1D","f")</f>
        <v>#NAME?</v>
      </c>
      <c r="S187" s="561" t="e">
        <f ca="1">_xll.qlInterpolationInterpolate(B12Minterpolation,R187,TRUE)</f>
        <v>#NAME?</v>
      </c>
    </row>
    <row r="188" spans="18:19" x14ac:dyDescent="0.2">
      <c r="R188" s="562" t="e">
        <f ca="1">_xll.qlCalendarAdvance(Calendar,R187,"1D","f")</f>
        <v>#NAME?</v>
      </c>
      <c r="S188" s="561" t="e">
        <f ca="1">_xll.qlInterpolationInterpolate(B12Minterpolation,R188,TRUE)</f>
        <v>#NAME?</v>
      </c>
    </row>
    <row r="189" spans="18:19" x14ac:dyDescent="0.2">
      <c r="R189" s="562" t="e">
        <f ca="1">_xll.qlCalendarAdvance(Calendar,R188,"1D","f")</f>
        <v>#NAME?</v>
      </c>
      <c r="S189" s="561" t="e">
        <f ca="1">_xll.qlInterpolationInterpolate(B12Minterpolation,R189,TRUE)</f>
        <v>#NAME?</v>
      </c>
    </row>
    <row r="190" spans="18:19" x14ac:dyDescent="0.2">
      <c r="R190" s="562" t="e">
        <f ca="1">_xll.qlCalendarAdvance(Calendar,R189,"1D","f")</f>
        <v>#NAME?</v>
      </c>
      <c r="S190" s="561" t="e">
        <f ca="1">_xll.qlInterpolationInterpolate(B12Minterpolation,R190,TRUE)</f>
        <v>#NAME?</v>
      </c>
    </row>
    <row r="191" spans="18:19" x14ac:dyDescent="0.2">
      <c r="R191" s="562" t="e">
        <f ca="1">_xll.qlCalendarAdvance(Calendar,R190,"1D","f")</f>
        <v>#NAME?</v>
      </c>
      <c r="S191" s="561" t="e">
        <f ca="1">_xll.qlInterpolationInterpolate(B12Minterpolation,R191,TRUE)</f>
        <v>#NAME?</v>
      </c>
    </row>
    <row r="192" spans="18:19" x14ac:dyDescent="0.2">
      <c r="R192" s="562" t="e">
        <f ca="1">_xll.qlCalendarAdvance(Calendar,R191,"1D","f")</f>
        <v>#NAME?</v>
      </c>
      <c r="S192" s="561" t="e">
        <f ca="1">_xll.qlInterpolationInterpolate(B12Minterpolation,R192,TRUE)</f>
        <v>#NAME?</v>
      </c>
    </row>
    <row r="193" spans="18:19" x14ac:dyDescent="0.2">
      <c r="R193" s="562" t="e">
        <f ca="1">_xll.qlCalendarAdvance(Calendar,R192,"1D","f")</f>
        <v>#NAME?</v>
      </c>
      <c r="S193" s="561" t="e">
        <f ca="1">_xll.qlInterpolationInterpolate(B12Minterpolation,R193,TRUE)</f>
        <v>#NAME?</v>
      </c>
    </row>
    <row r="194" spans="18:19" x14ac:dyDescent="0.2">
      <c r="R194" s="562" t="e">
        <f ca="1">_xll.qlCalendarAdvance(Calendar,R193,"1D","f")</f>
        <v>#NAME?</v>
      </c>
      <c r="S194" s="561" t="e">
        <f ca="1">_xll.qlInterpolationInterpolate(B12Minterpolation,R194,TRUE)</f>
        <v>#NAME?</v>
      </c>
    </row>
    <row r="195" spans="18:19" x14ac:dyDescent="0.2">
      <c r="R195" s="562" t="e">
        <f ca="1">_xll.qlCalendarAdvance(Calendar,R194,"1D","f")</f>
        <v>#NAME?</v>
      </c>
      <c r="S195" s="561" t="e">
        <f ca="1">_xll.qlInterpolationInterpolate(B12Minterpolation,R195,TRUE)</f>
        <v>#NAME?</v>
      </c>
    </row>
    <row r="196" spans="18:19" x14ac:dyDescent="0.2">
      <c r="R196" s="562" t="e">
        <f ca="1">_xll.qlCalendarAdvance(Calendar,R195,"1D","f")</f>
        <v>#NAME?</v>
      </c>
      <c r="S196" s="561" t="e">
        <f ca="1">_xll.qlInterpolationInterpolate(B12Minterpolation,R196,TRUE)</f>
        <v>#NAME?</v>
      </c>
    </row>
    <row r="197" spans="18:19" x14ac:dyDescent="0.2">
      <c r="R197" s="562" t="e">
        <f ca="1">_xll.qlCalendarAdvance(Calendar,R196,"1D","f")</f>
        <v>#NAME?</v>
      </c>
      <c r="S197" s="561" t="e">
        <f ca="1">_xll.qlInterpolationInterpolate(B12Minterpolation,R197,TRUE)</f>
        <v>#NAME?</v>
      </c>
    </row>
    <row r="198" spans="18:19" x14ac:dyDescent="0.2">
      <c r="R198" s="562" t="e">
        <f ca="1">_xll.qlCalendarAdvance(Calendar,R197,"1D","f")</f>
        <v>#NAME?</v>
      </c>
      <c r="S198" s="561" t="e">
        <f ca="1">_xll.qlInterpolationInterpolate(B12Minterpolation,R198,TRUE)</f>
        <v>#NAME?</v>
      </c>
    </row>
    <row r="199" spans="18:19" x14ac:dyDescent="0.2">
      <c r="R199" s="562" t="e">
        <f ca="1">_xll.qlCalendarAdvance(Calendar,R198,"1D","f")</f>
        <v>#NAME?</v>
      </c>
      <c r="S199" s="561" t="e">
        <f ca="1">_xll.qlInterpolationInterpolate(B12Minterpolation,R199,TRUE)</f>
        <v>#NAME?</v>
      </c>
    </row>
    <row r="200" spans="18:19" x14ac:dyDescent="0.2">
      <c r="R200" s="562" t="e">
        <f ca="1">_xll.qlCalendarAdvance(Calendar,R199,"1D","f")</f>
        <v>#NAME?</v>
      </c>
      <c r="S200" s="561" t="e">
        <f ca="1">_xll.qlInterpolationInterpolate(B12Minterpolation,R200,TRUE)</f>
        <v>#NAME?</v>
      </c>
    </row>
    <row r="201" spans="18:19" x14ac:dyDescent="0.2">
      <c r="R201" s="562" t="e">
        <f ca="1">_xll.qlCalendarAdvance(Calendar,R200,"1D","f")</f>
        <v>#NAME?</v>
      </c>
      <c r="S201" s="561" t="e">
        <f ca="1">_xll.qlInterpolationInterpolate(B12Minterpolation,R201,TRUE)</f>
        <v>#NAME?</v>
      </c>
    </row>
    <row r="202" spans="18:19" x14ac:dyDescent="0.2">
      <c r="R202" s="562" t="e">
        <f ca="1">_xll.qlCalendarAdvance(Calendar,R201,"1D","f")</f>
        <v>#NAME?</v>
      </c>
      <c r="S202" s="561" t="e">
        <f ca="1">_xll.qlInterpolationInterpolate(B12Minterpolation,R202,TRUE)</f>
        <v>#NAME?</v>
      </c>
    </row>
    <row r="203" spans="18:19" x14ac:dyDescent="0.2">
      <c r="R203" s="562" t="e">
        <f ca="1">_xll.qlCalendarAdvance(Calendar,R202,"1D","f")</f>
        <v>#NAME?</v>
      </c>
      <c r="S203" s="561" t="e">
        <f ca="1">_xll.qlInterpolationInterpolate(B12Minterpolation,R203,TRUE)</f>
        <v>#NAME?</v>
      </c>
    </row>
    <row r="204" spans="18:19" x14ac:dyDescent="0.2">
      <c r="R204" s="562" t="e">
        <f ca="1">_xll.qlCalendarAdvance(Calendar,R203,"1D","f")</f>
        <v>#NAME?</v>
      </c>
      <c r="S204" s="561" t="e">
        <f ca="1">_xll.qlInterpolationInterpolate(B12Minterpolation,R204,TRUE)</f>
        <v>#NAME?</v>
      </c>
    </row>
    <row r="205" spans="18:19" x14ac:dyDescent="0.2">
      <c r="R205" s="562" t="e">
        <f ca="1">_xll.qlCalendarAdvance(Calendar,R204,"1D","f")</f>
        <v>#NAME?</v>
      </c>
      <c r="S205" s="561" t="e">
        <f ca="1">_xll.qlInterpolationInterpolate(B12Minterpolation,R205,TRUE)</f>
        <v>#NAME?</v>
      </c>
    </row>
    <row r="206" spans="18:19" x14ac:dyDescent="0.2">
      <c r="R206" s="562" t="e">
        <f ca="1">_xll.qlCalendarAdvance(Calendar,R205,"1D","f")</f>
        <v>#NAME?</v>
      </c>
      <c r="S206" s="561" t="e">
        <f ca="1">_xll.qlInterpolationInterpolate(B12Minterpolation,R206,TRUE)</f>
        <v>#NAME?</v>
      </c>
    </row>
    <row r="207" spans="18:19" x14ac:dyDescent="0.2">
      <c r="R207" s="562" t="e">
        <f ca="1">_xll.qlCalendarAdvance(Calendar,R206,"1D","f")</f>
        <v>#NAME?</v>
      </c>
      <c r="S207" s="561" t="e">
        <f ca="1">_xll.qlInterpolationInterpolate(B12Minterpolation,R207,TRUE)</f>
        <v>#NAME?</v>
      </c>
    </row>
    <row r="208" spans="18:19" x14ac:dyDescent="0.2">
      <c r="R208" s="562" t="e">
        <f ca="1">_xll.qlCalendarAdvance(Calendar,R207,"1D","f")</f>
        <v>#NAME?</v>
      </c>
      <c r="S208" s="561" t="e">
        <f ca="1">_xll.qlInterpolationInterpolate(B12Minterpolation,R208,TRUE)</f>
        <v>#NAME?</v>
      </c>
    </row>
    <row r="209" spans="18:19" x14ac:dyDescent="0.2">
      <c r="R209" s="562" t="e">
        <f ca="1">_xll.qlCalendarAdvance(Calendar,R208,"1D","f")</f>
        <v>#NAME?</v>
      </c>
      <c r="S209" s="561" t="e">
        <f ca="1">_xll.qlInterpolationInterpolate(B12Minterpolation,R209,TRUE)</f>
        <v>#NAME?</v>
      </c>
    </row>
    <row r="210" spans="18:19" x14ac:dyDescent="0.2">
      <c r="R210" s="562" t="e">
        <f ca="1">_xll.qlCalendarAdvance(Calendar,R209,"1D","f")</f>
        <v>#NAME?</v>
      </c>
      <c r="S210" s="561" t="e">
        <f ca="1">_xll.qlInterpolationInterpolate(B12Minterpolation,R210,TRUE)</f>
        <v>#NAME?</v>
      </c>
    </row>
    <row r="211" spans="18:19" x14ac:dyDescent="0.2">
      <c r="R211" s="562" t="e">
        <f ca="1">_xll.qlCalendarAdvance(Calendar,R210,"1D","f")</f>
        <v>#NAME?</v>
      </c>
      <c r="S211" s="561" t="e">
        <f ca="1">_xll.qlInterpolationInterpolate(B12Minterpolation,R211,TRUE)</f>
        <v>#NAME?</v>
      </c>
    </row>
    <row r="212" spans="18:19" x14ac:dyDescent="0.2">
      <c r="R212" s="562" t="e">
        <f ca="1">_xll.qlCalendarAdvance(Calendar,R211,"1D","f")</f>
        <v>#NAME?</v>
      </c>
      <c r="S212" s="561" t="e">
        <f ca="1">_xll.qlInterpolationInterpolate(B12Minterpolation,R212,TRUE)</f>
        <v>#NAME?</v>
      </c>
    </row>
    <row r="213" spans="18:19" x14ac:dyDescent="0.2">
      <c r="R213" s="562" t="e">
        <f ca="1">_xll.qlCalendarAdvance(Calendar,R212,"1D","f")</f>
        <v>#NAME?</v>
      </c>
      <c r="S213" s="561" t="e">
        <f ca="1">_xll.qlInterpolationInterpolate(B12Minterpolation,R213,TRUE)</f>
        <v>#NAME?</v>
      </c>
    </row>
    <row r="214" spans="18:19" x14ac:dyDescent="0.2">
      <c r="R214" s="562" t="e">
        <f ca="1">_xll.qlCalendarAdvance(Calendar,R213,"1D","f")</f>
        <v>#NAME?</v>
      </c>
      <c r="S214" s="561" t="e">
        <f ca="1">_xll.qlInterpolationInterpolate(B12Minterpolation,R214,TRUE)</f>
        <v>#NAME?</v>
      </c>
    </row>
    <row r="215" spans="18:19" x14ac:dyDescent="0.2">
      <c r="R215" s="562" t="e">
        <f ca="1">_xll.qlCalendarAdvance(Calendar,R214,"1D","f")</f>
        <v>#NAME?</v>
      </c>
      <c r="S215" s="561" t="e">
        <f ca="1">_xll.qlInterpolationInterpolate(B12Minterpolation,R215,TRUE)</f>
        <v>#NAME?</v>
      </c>
    </row>
    <row r="216" spans="18:19" x14ac:dyDescent="0.2">
      <c r="R216" s="562" t="e">
        <f ca="1">_xll.qlCalendarAdvance(Calendar,R215,"1D","f")</f>
        <v>#NAME?</v>
      </c>
      <c r="S216" s="561" t="e">
        <f ca="1">_xll.qlInterpolationInterpolate(B12Minterpolation,R216,TRUE)</f>
        <v>#NAME?</v>
      </c>
    </row>
    <row r="217" spans="18:19" x14ac:dyDescent="0.2">
      <c r="R217" s="562" t="e">
        <f ca="1">_xll.qlCalendarAdvance(Calendar,R216,"1D","f")</f>
        <v>#NAME?</v>
      </c>
      <c r="S217" s="561" t="e">
        <f ca="1">_xll.qlInterpolationInterpolate(B12Minterpolation,R217,TRUE)</f>
        <v>#NAME?</v>
      </c>
    </row>
    <row r="218" spans="18:19" x14ac:dyDescent="0.2">
      <c r="R218" s="562" t="e">
        <f ca="1">_xll.qlCalendarAdvance(Calendar,R217,"1D","f")</f>
        <v>#NAME?</v>
      </c>
      <c r="S218" s="561" t="e">
        <f ca="1">_xll.qlInterpolationInterpolate(B12Minterpolation,R218,TRUE)</f>
        <v>#NAME?</v>
      </c>
    </row>
    <row r="219" spans="18:19" x14ac:dyDescent="0.2">
      <c r="R219" s="562" t="e">
        <f ca="1">_xll.qlCalendarAdvance(Calendar,R218,"1D","f")</f>
        <v>#NAME?</v>
      </c>
      <c r="S219" s="561" t="e">
        <f ca="1">_xll.qlInterpolationInterpolate(B12Minterpolation,R219,TRUE)</f>
        <v>#NAME?</v>
      </c>
    </row>
    <row r="220" spans="18:19" x14ac:dyDescent="0.2">
      <c r="R220" s="562" t="e">
        <f ca="1">_xll.qlCalendarAdvance(Calendar,R219,"1D","f")</f>
        <v>#NAME?</v>
      </c>
      <c r="S220" s="561" t="e">
        <f ca="1">_xll.qlInterpolationInterpolate(B12Minterpolation,R220,TRUE)</f>
        <v>#NAME?</v>
      </c>
    </row>
    <row r="221" spans="18:19" x14ac:dyDescent="0.2">
      <c r="R221" s="562" t="e">
        <f ca="1">_xll.qlCalendarAdvance(Calendar,R220,"1D","f")</f>
        <v>#NAME?</v>
      </c>
      <c r="S221" s="561" t="e">
        <f ca="1">_xll.qlInterpolationInterpolate(B12Minterpolation,R221,TRUE)</f>
        <v>#NAME?</v>
      </c>
    </row>
    <row r="222" spans="18:19" x14ac:dyDescent="0.2">
      <c r="R222" s="562" t="e">
        <f ca="1">_xll.qlCalendarAdvance(Calendar,R221,"1D","f")</f>
        <v>#NAME?</v>
      </c>
      <c r="S222" s="561" t="e">
        <f ca="1">_xll.qlInterpolationInterpolate(B12Minterpolation,R222,TRUE)</f>
        <v>#NAME?</v>
      </c>
    </row>
    <row r="223" spans="18:19" x14ac:dyDescent="0.2">
      <c r="R223" s="562" t="e">
        <f ca="1">_xll.qlCalendarAdvance(Calendar,R222,"1D","f")</f>
        <v>#NAME?</v>
      </c>
      <c r="S223" s="561" t="e">
        <f ca="1">_xll.qlInterpolationInterpolate(B12Minterpolation,R223,TRUE)</f>
        <v>#NAME?</v>
      </c>
    </row>
    <row r="224" spans="18:19" x14ac:dyDescent="0.2">
      <c r="R224" s="562" t="e">
        <f ca="1">_xll.qlCalendarAdvance(Calendar,R223,"1D","f")</f>
        <v>#NAME?</v>
      </c>
      <c r="S224" s="561" t="e">
        <f ca="1">_xll.qlInterpolationInterpolate(B12Minterpolation,R224,TRUE)</f>
        <v>#NAME?</v>
      </c>
    </row>
    <row r="225" spans="18:19" x14ac:dyDescent="0.2">
      <c r="R225" s="562" t="e">
        <f ca="1">_xll.qlCalendarAdvance(Calendar,R224,"1D","f")</f>
        <v>#NAME?</v>
      </c>
      <c r="S225" s="561" t="e">
        <f ca="1">_xll.qlInterpolationInterpolate(B12Minterpolation,R225,TRUE)</f>
        <v>#NAME?</v>
      </c>
    </row>
    <row r="226" spans="18:19" x14ac:dyDescent="0.2">
      <c r="R226" s="562" t="e">
        <f ca="1">_xll.qlCalendarAdvance(Calendar,R225,"1D","f")</f>
        <v>#NAME?</v>
      </c>
      <c r="S226" s="561" t="e">
        <f ca="1">_xll.qlInterpolationInterpolate(B12Minterpolation,R226,TRUE)</f>
        <v>#NAME?</v>
      </c>
    </row>
    <row r="227" spans="18:19" x14ac:dyDescent="0.2">
      <c r="R227" s="562" t="e">
        <f ca="1">_xll.qlCalendarAdvance(Calendar,R226,"1D","f")</f>
        <v>#NAME?</v>
      </c>
      <c r="S227" s="561" t="e">
        <f ca="1">_xll.qlInterpolationInterpolate(B12Minterpolation,R227,TRUE)</f>
        <v>#NAME?</v>
      </c>
    </row>
    <row r="228" spans="18:19" x14ac:dyDescent="0.2">
      <c r="R228" s="562" t="e">
        <f ca="1">_xll.qlCalendarAdvance(Calendar,R227,"1D","f")</f>
        <v>#NAME?</v>
      </c>
      <c r="S228" s="561" t="e">
        <f ca="1">_xll.qlInterpolationInterpolate(B12Minterpolation,R228,TRUE)</f>
        <v>#NAME?</v>
      </c>
    </row>
    <row r="229" spans="18:19" x14ac:dyDescent="0.2">
      <c r="R229" s="562" t="e">
        <f ca="1">_xll.qlCalendarAdvance(Calendar,R228,"1D","f")</f>
        <v>#NAME?</v>
      </c>
      <c r="S229" s="561" t="e">
        <f ca="1">_xll.qlInterpolationInterpolate(B12Minterpolation,R229,TRUE)</f>
        <v>#NAME?</v>
      </c>
    </row>
    <row r="230" spans="18:19" x14ac:dyDescent="0.2">
      <c r="R230" s="562" t="e">
        <f ca="1">_xll.qlCalendarAdvance(Calendar,R229,"1D","f")</f>
        <v>#NAME?</v>
      </c>
      <c r="S230" s="561" t="e">
        <f ca="1">_xll.qlInterpolationInterpolate(B12Minterpolation,R230,TRUE)</f>
        <v>#NAME?</v>
      </c>
    </row>
    <row r="231" spans="18:19" x14ac:dyDescent="0.2">
      <c r="R231" s="562" t="e">
        <f ca="1">_xll.qlCalendarAdvance(Calendar,R230,"1D","f")</f>
        <v>#NAME?</v>
      </c>
      <c r="S231" s="561" t="e">
        <f ca="1">_xll.qlInterpolationInterpolate(B12Minterpolation,R231,TRUE)</f>
        <v>#NAME?</v>
      </c>
    </row>
    <row r="232" spans="18:19" x14ac:dyDescent="0.2">
      <c r="R232" s="562" t="e">
        <f ca="1">_xll.qlCalendarAdvance(Calendar,R231,"1D","f")</f>
        <v>#NAME?</v>
      </c>
      <c r="S232" s="561" t="e">
        <f ca="1">_xll.qlInterpolationInterpolate(B12Minterpolation,R232,TRUE)</f>
        <v>#NAME?</v>
      </c>
    </row>
    <row r="233" spans="18:19" x14ac:dyDescent="0.2">
      <c r="R233" s="562" t="e">
        <f ca="1">_xll.qlCalendarAdvance(Calendar,R232,"1D","f")</f>
        <v>#NAME?</v>
      </c>
      <c r="S233" s="561" t="e">
        <f ca="1">_xll.qlInterpolationInterpolate(B12Minterpolation,R233,TRUE)</f>
        <v>#NAME?</v>
      </c>
    </row>
    <row r="234" spans="18:19" x14ac:dyDescent="0.2">
      <c r="R234" s="562" t="e">
        <f ca="1">_xll.qlCalendarAdvance(Calendar,R233,"1D","f")</f>
        <v>#NAME?</v>
      </c>
      <c r="S234" s="561" t="e">
        <f ca="1">_xll.qlInterpolationInterpolate(B12Minterpolation,R234,TRUE)</f>
        <v>#NAME?</v>
      </c>
    </row>
    <row r="235" spans="18:19" x14ac:dyDescent="0.2">
      <c r="R235" s="562" t="e">
        <f ca="1">_xll.qlCalendarAdvance(Calendar,R234,"1D","f")</f>
        <v>#NAME?</v>
      </c>
      <c r="S235" s="561" t="e">
        <f ca="1">_xll.qlInterpolationInterpolate(B12Minterpolation,R235,TRUE)</f>
        <v>#NAME?</v>
      </c>
    </row>
    <row r="236" spans="18:19" x14ac:dyDescent="0.2">
      <c r="R236" s="562" t="e">
        <f ca="1">_xll.qlCalendarAdvance(Calendar,R235,"1D","f")</f>
        <v>#NAME?</v>
      </c>
      <c r="S236" s="561" t="e">
        <f ca="1">_xll.qlInterpolationInterpolate(B12Minterpolation,R236,TRUE)</f>
        <v>#NAME?</v>
      </c>
    </row>
    <row r="237" spans="18:19" x14ac:dyDescent="0.2">
      <c r="R237" s="562" t="e">
        <f ca="1">_xll.qlCalendarAdvance(Calendar,R236,"1D","f")</f>
        <v>#NAME?</v>
      </c>
      <c r="S237" s="561" t="e">
        <f ca="1">_xll.qlInterpolationInterpolate(B12Minterpolation,R237,TRUE)</f>
        <v>#NAME?</v>
      </c>
    </row>
    <row r="238" spans="18:19" x14ac:dyDescent="0.2">
      <c r="R238" s="562" t="e">
        <f ca="1">_xll.qlCalendarAdvance(Calendar,R237,"1D","f")</f>
        <v>#NAME?</v>
      </c>
      <c r="S238" s="561" t="e">
        <f ca="1">_xll.qlInterpolationInterpolate(B12Minterpolation,R238,TRUE)</f>
        <v>#NAME?</v>
      </c>
    </row>
    <row r="239" spans="18:19" x14ac:dyDescent="0.2">
      <c r="R239" s="562" t="e">
        <f ca="1">_xll.qlCalendarAdvance(Calendar,R238,"1D","f")</f>
        <v>#NAME?</v>
      </c>
      <c r="S239" s="561" t="e">
        <f ca="1">_xll.qlInterpolationInterpolate(B12Minterpolation,R239,TRUE)</f>
        <v>#NAME?</v>
      </c>
    </row>
    <row r="240" spans="18:19" x14ac:dyDescent="0.2">
      <c r="R240" s="562" t="e">
        <f ca="1">_xll.qlCalendarAdvance(Calendar,R239,"1D","f")</f>
        <v>#NAME?</v>
      </c>
      <c r="S240" s="561" t="e">
        <f ca="1">_xll.qlInterpolationInterpolate(B12Minterpolation,R240,TRUE)</f>
        <v>#NAME?</v>
      </c>
    </row>
    <row r="241" spans="18:19" x14ac:dyDescent="0.2">
      <c r="R241" s="562" t="e">
        <f ca="1">_xll.qlCalendarAdvance(Calendar,R240,"1D","f")</f>
        <v>#NAME?</v>
      </c>
      <c r="S241" s="561" t="e">
        <f ca="1">_xll.qlInterpolationInterpolate(B12Minterpolation,R241,TRUE)</f>
        <v>#NAME?</v>
      </c>
    </row>
    <row r="242" spans="18:19" x14ac:dyDescent="0.2">
      <c r="R242" s="562" t="e">
        <f ca="1">_xll.qlCalendarAdvance(Calendar,R241,"1D","f")</f>
        <v>#NAME?</v>
      </c>
      <c r="S242" s="561" t="e">
        <f ca="1">_xll.qlInterpolationInterpolate(B12Minterpolation,R242,TRUE)</f>
        <v>#NAME?</v>
      </c>
    </row>
    <row r="243" spans="18:19" x14ac:dyDescent="0.2">
      <c r="R243" s="562" t="e">
        <f ca="1">_xll.qlCalendarAdvance(Calendar,R242,"1D","f")</f>
        <v>#NAME?</v>
      </c>
      <c r="S243" s="561" t="e">
        <f ca="1">_xll.qlInterpolationInterpolate(B12Minterpolation,R243,TRUE)</f>
        <v>#NAME?</v>
      </c>
    </row>
    <row r="244" spans="18:19" x14ac:dyDescent="0.2">
      <c r="R244" s="562" t="e">
        <f ca="1">_xll.qlCalendarAdvance(Calendar,R243,"1D","f")</f>
        <v>#NAME?</v>
      </c>
      <c r="S244" s="561" t="e">
        <f ca="1">_xll.qlInterpolationInterpolate(B12Minterpolation,R244,TRUE)</f>
        <v>#NAME?</v>
      </c>
    </row>
    <row r="245" spans="18:19" x14ac:dyDescent="0.2">
      <c r="R245" s="562" t="e">
        <f ca="1">_xll.qlCalendarAdvance(Calendar,R244,"1D","f")</f>
        <v>#NAME?</v>
      </c>
      <c r="S245" s="561" t="e">
        <f ca="1">_xll.qlInterpolationInterpolate(B12Minterpolation,R245,TRUE)</f>
        <v>#NAME?</v>
      </c>
    </row>
    <row r="246" spans="18:19" x14ac:dyDescent="0.2">
      <c r="R246" s="562" t="e">
        <f ca="1">_xll.qlCalendarAdvance(Calendar,R245,"1D","f")</f>
        <v>#NAME?</v>
      </c>
      <c r="S246" s="561" t="e">
        <f ca="1">_xll.qlInterpolationInterpolate(B12Minterpolation,R246,TRUE)</f>
        <v>#NAME?</v>
      </c>
    </row>
    <row r="247" spans="18:19" x14ac:dyDescent="0.2">
      <c r="R247" s="562" t="e">
        <f ca="1">_xll.qlCalendarAdvance(Calendar,R246,"1D","f")</f>
        <v>#NAME?</v>
      </c>
      <c r="S247" s="561" t="e">
        <f ca="1">_xll.qlInterpolationInterpolate(B12Minterpolation,R247,TRUE)</f>
        <v>#NAME?</v>
      </c>
    </row>
    <row r="248" spans="18:19" x14ac:dyDescent="0.2">
      <c r="R248" s="562" t="e">
        <f ca="1">_xll.qlCalendarAdvance(Calendar,R247,"1D","f")</f>
        <v>#NAME?</v>
      </c>
      <c r="S248" s="561" t="e">
        <f ca="1">_xll.qlInterpolationInterpolate(B12Minterpolation,R248,TRUE)</f>
        <v>#NAME?</v>
      </c>
    </row>
    <row r="249" spans="18:19" x14ac:dyDescent="0.2">
      <c r="R249" s="562" t="e">
        <f ca="1">_xll.qlCalendarAdvance(Calendar,R248,"1D","f")</f>
        <v>#NAME?</v>
      </c>
      <c r="S249" s="561" t="e">
        <f ca="1">_xll.qlInterpolationInterpolate(B12Minterpolation,R249,TRUE)</f>
        <v>#NAME?</v>
      </c>
    </row>
    <row r="250" spans="18:19" x14ac:dyDescent="0.2">
      <c r="R250" s="562" t="e">
        <f ca="1">_xll.qlCalendarAdvance(Calendar,R249,"1D","f")</f>
        <v>#NAME?</v>
      </c>
      <c r="S250" s="561" t="e">
        <f ca="1">_xll.qlInterpolationInterpolate(B12Minterpolation,R250,TRUE)</f>
        <v>#NAME?</v>
      </c>
    </row>
    <row r="251" spans="18:19" x14ac:dyDescent="0.2">
      <c r="R251" s="562" t="e">
        <f ca="1">_xll.qlCalendarAdvance(Calendar,R250,"1D","f")</f>
        <v>#NAME?</v>
      </c>
      <c r="S251" s="561" t="e">
        <f ca="1">_xll.qlInterpolationInterpolate(B12Minterpolation,R251,TRUE)</f>
        <v>#NAME?</v>
      </c>
    </row>
    <row r="252" spans="18:19" x14ac:dyDescent="0.2">
      <c r="R252" s="562" t="e">
        <f ca="1">_xll.qlCalendarAdvance(Calendar,R251,"1D","f")</f>
        <v>#NAME?</v>
      </c>
      <c r="S252" s="561" t="e">
        <f ca="1">_xll.qlInterpolationInterpolate(B12Minterpolation,R252,TRUE)</f>
        <v>#NAME?</v>
      </c>
    </row>
    <row r="253" spans="18:19" x14ac:dyDescent="0.2">
      <c r="R253" s="562" t="e">
        <f ca="1">_xll.qlCalendarAdvance(Calendar,R252,"1D","f")</f>
        <v>#NAME?</v>
      </c>
      <c r="S253" s="561" t="e">
        <f ca="1">_xll.qlInterpolationInterpolate(B12Minterpolation,R253,TRUE)</f>
        <v>#NAME?</v>
      </c>
    </row>
    <row r="254" spans="18:19" x14ac:dyDescent="0.2">
      <c r="R254" s="562" t="e">
        <f ca="1">_xll.qlCalendarAdvance(Calendar,R253,"1D","f")</f>
        <v>#NAME?</v>
      </c>
      <c r="S254" s="561" t="e">
        <f ca="1">_xll.qlInterpolationInterpolate(B12Minterpolation,R254,TRUE)</f>
        <v>#NAME?</v>
      </c>
    </row>
    <row r="255" spans="18:19" x14ac:dyDescent="0.2">
      <c r="R255" s="562" t="e">
        <f ca="1">_xll.qlCalendarAdvance(Calendar,R254,"1D","f")</f>
        <v>#NAME?</v>
      </c>
      <c r="S255" s="561" t="e">
        <f ca="1">_xll.qlInterpolationInterpolate(B12Minterpolation,R255,TRUE)</f>
        <v>#NAME?</v>
      </c>
    </row>
    <row r="256" spans="18:19" x14ac:dyDescent="0.2">
      <c r="R256" s="562" t="e">
        <f ca="1">_xll.qlCalendarAdvance(Calendar,R255,"1D","f")</f>
        <v>#NAME?</v>
      </c>
      <c r="S256" s="561" t="e">
        <f ca="1">_xll.qlInterpolationInterpolate(B12Minterpolation,R256,TRUE)</f>
        <v>#NAME?</v>
      </c>
    </row>
    <row r="257" spans="18:19" x14ac:dyDescent="0.2">
      <c r="R257" s="562" t="e">
        <f ca="1">_xll.qlCalendarAdvance(Calendar,R256,"1D","f")</f>
        <v>#NAME?</v>
      </c>
      <c r="S257" s="561" t="e">
        <f ca="1">_xll.qlInterpolationInterpolate(B12Minterpolation,R257,TRUE)</f>
        <v>#NAME?</v>
      </c>
    </row>
    <row r="258" spans="18:19" x14ac:dyDescent="0.2">
      <c r="R258" s="562" t="e">
        <f ca="1">_xll.qlCalendarAdvance(Calendar,R257,"1D","f")</f>
        <v>#NAME?</v>
      </c>
      <c r="S258" s="561" t="e">
        <f ca="1">_xll.qlInterpolationInterpolate(B12Minterpolation,R258,TRUE)</f>
        <v>#NAME?</v>
      </c>
    </row>
    <row r="259" spans="18:19" x14ac:dyDescent="0.2">
      <c r="R259" s="562" t="e">
        <f ca="1">_xll.qlCalendarAdvance(Calendar,R258,"1D","f")</f>
        <v>#NAME?</v>
      </c>
      <c r="S259" s="561" t="e">
        <f ca="1">_xll.qlInterpolationInterpolate(B12Minterpolation,R259,TRUE)</f>
        <v>#NAME?</v>
      </c>
    </row>
    <row r="260" spans="18:19" x14ac:dyDescent="0.2">
      <c r="R260" s="562" t="e">
        <f ca="1">_xll.qlCalendarAdvance(Calendar,R259,"1D","f")</f>
        <v>#NAME?</v>
      </c>
      <c r="S260" s="561" t="e">
        <f ca="1">_xll.qlInterpolationInterpolate(B12Minterpolation,R260,TRUE)</f>
        <v>#NAME?</v>
      </c>
    </row>
    <row r="261" spans="18:19" x14ac:dyDescent="0.2">
      <c r="R261" s="562" t="e">
        <f ca="1">_xll.qlCalendarAdvance(Calendar,R260,"1D","f")</f>
        <v>#NAME?</v>
      </c>
      <c r="S261" s="561" t="e">
        <f ca="1">_xll.qlInterpolationInterpolate(B12Minterpolation,R261,TRUE)</f>
        <v>#NAME?</v>
      </c>
    </row>
    <row r="262" spans="18:19" x14ac:dyDescent="0.2">
      <c r="R262" s="560" t="e">
        <f ca="1">_xll.qlCalendarAdvance(Calendar,R261,"1D","f")</f>
        <v>#NAME?</v>
      </c>
      <c r="S262" s="559" t="e">
        <f ca="1">_xll.qlInterpolationInterpolate(B12Minterpolation,R262,TRUE)</f>
        <v>#NAME?</v>
      </c>
    </row>
    <row r="263" spans="18:19" x14ac:dyDescent="0.2">
      <c r="R263" s="558"/>
      <c r="S263" s="557"/>
    </row>
    <row r="264" spans="18:19" x14ac:dyDescent="0.2">
      <c r="R264" s="558"/>
      <c r="S264" s="557"/>
    </row>
    <row r="265" spans="18:19" x14ac:dyDescent="0.2">
      <c r="R265" s="558"/>
      <c r="S265" s="557"/>
    </row>
    <row r="266" spans="18:19" x14ac:dyDescent="0.2">
      <c r="R266" s="558"/>
      <c r="S266" s="557"/>
    </row>
    <row r="267" spans="18:19" x14ac:dyDescent="0.2">
      <c r="R267" s="558"/>
      <c r="S267" s="557"/>
    </row>
    <row r="268" spans="18:19" x14ac:dyDescent="0.2">
      <c r="R268" s="558"/>
      <c r="S268" s="557"/>
    </row>
    <row r="269" spans="18:19" x14ac:dyDescent="0.2">
      <c r="R269" s="558"/>
      <c r="S269" s="557"/>
    </row>
    <row r="270" spans="18:19" x14ac:dyDescent="0.2">
      <c r="R270" s="558"/>
      <c r="S270" s="557"/>
    </row>
    <row r="271" spans="18:19" x14ac:dyDescent="0.2">
      <c r="R271" s="558"/>
      <c r="S271" s="557"/>
    </row>
    <row r="272" spans="18:19" x14ac:dyDescent="0.2">
      <c r="R272" s="558"/>
      <c r="S272" s="557"/>
    </row>
    <row r="273" spans="18:19" x14ac:dyDescent="0.2">
      <c r="R273" s="558"/>
      <c r="S273" s="557"/>
    </row>
    <row r="274" spans="18:19" x14ac:dyDescent="0.2">
      <c r="R274" s="558"/>
      <c r="S274" s="557"/>
    </row>
    <row r="275" spans="18:19" x14ac:dyDescent="0.2">
      <c r="R275" s="558"/>
      <c r="S275" s="557"/>
    </row>
    <row r="276" spans="18:19" x14ac:dyDescent="0.2">
      <c r="R276" s="558"/>
      <c r="S276" s="557"/>
    </row>
    <row r="277" spans="18:19" x14ac:dyDescent="0.2">
      <c r="R277" s="558"/>
      <c r="S277" s="557"/>
    </row>
    <row r="278" spans="18:19" x14ac:dyDescent="0.2">
      <c r="R278" s="558"/>
      <c r="S278" s="557"/>
    </row>
    <row r="279" spans="18:19" x14ac:dyDescent="0.2">
      <c r="R279" s="558"/>
      <c r="S279" s="557"/>
    </row>
    <row r="280" spans="18:19" x14ac:dyDescent="0.2">
      <c r="R280" s="558"/>
      <c r="S280" s="557"/>
    </row>
    <row r="281" spans="18:19" x14ac:dyDescent="0.2">
      <c r="R281" s="558"/>
      <c r="S281" s="557"/>
    </row>
    <row r="282" spans="18:19" x14ac:dyDescent="0.2">
      <c r="R282" s="558"/>
      <c r="S282" s="557"/>
    </row>
    <row r="283" spans="18:19" x14ac:dyDescent="0.2">
      <c r="R283" s="558"/>
      <c r="S283" s="557"/>
    </row>
    <row r="284" spans="18:19" x14ac:dyDescent="0.2">
      <c r="R284" s="558"/>
      <c r="S284" s="557"/>
    </row>
    <row r="285" spans="18:19" x14ac:dyDescent="0.2">
      <c r="R285" s="558"/>
      <c r="S285" s="557"/>
    </row>
    <row r="286" spans="18:19" x14ac:dyDescent="0.2">
      <c r="R286" s="558"/>
      <c r="S286" s="557"/>
    </row>
    <row r="287" spans="18:19" x14ac:dyDescent="0.2">
      <c r="R287" s="558"/>
      <c r="S287" s="557"/>
    </row>
    <row r="288" spans="18:19" x14ac:dyDescent="0.2">
      <c r="R288" s="558"/>
      <c r="S288" s="557"/>
    </row>
    <row r="289" spans="18:19" x14ac:dyDescent="0.2">
      <c r="R289" s="558"/>
      <c r="S289" s="557"/>
    </row>
    <row r="290" spans="18:19" x14ac:dyDescent="0.2">
      <c r="R290" s="558"/>
      <c r="S290" s="557"/>
    </row>
    <row r="291" spans="18:19" x14ac:dyDescent="0.2">
      <c r="R291" s="558"/>
      <c r="S291" s="557"/>
    </row>
    <row r="292" spans="18:19" x14ac:dyDescent="0.2">
      <c r="R292" s="558"/>
      <c r="S292" s="557"/>
    </row>
    <row r="293" spans="18:19" x14ac:dyDescent="0.2">
      <c r="R293" s="558"/>
      <c r="S293" s="557"/>
    </row>
    <row r="294" spans="18:19" x14ac:dyDescent="0.2">
      <c r="R294" s="558"/>
      <c r="S294" s="557"/>
    </row>
    <row r="295" spans="18:19" x14ac:dyDescent="0.2">
      <c r="R295" s="558"/>
      <c r="S295" s="557"/>
    </row>
    <row r="296" spans="18:19" x14ac:dyDescent="0.2">
      <c r="R296" s="558"/>
      <c r="S296" s="557"/>
    </row>
    <row r="297" spans="18:19" x14ac:dyDescent="0.2">
      <c r="R297" s="558"/>
      <c r="S297" s="557"/>
    </row>
    <row r="298" spans="18:19" x14ac:dyDescent="0.2">
      <c r="R298" s="558"/>
      <c r="S298" s="557"/>
    </row>
    <row r="299" spans="18:19" x14ac:dyDescent="0.2">
      <c r="R299" s="558"/>
      <c r="S299" s="557"/>
    </row>
    <row r="300" spans="18:19" x14ac:dyDescent="0.2">
      <c r="R300" s="558"/>
      <c r="S300" s="557"/>
    </row>
    <row r="301" spans="18:19" x14ac:dyDescent="0.2">
      <c r="R301" s="558"/>
      <c r="S301" s="557"/>
    </row>
    <row r="302" spans="18:19" x14ac:dyDescent="0.2">
      <c r="R302" s="558"/>
      <c r="S302" s="557"/>
    </row>
    <row r="303" spans="18:19" x14ac:dyDescent="0.2">
      <c r="R303" s="558"/>
      <c r="S303" s="557"/>
    </row>
    <row r="304" spans="18:19" x14ac:dyDescent="0.2">
      <c r="R304" s="558"/>
      <c r="S304" s="557"/>
    </row>
    <row r="305" spans="18:19" x14ac:dyDescent="0.2">
      <c r="R305" s="558"/>
      <c r="S305" s="557"/>
    </row>
    <row r="306" spans="18:19" x14ac:dyDescent="0.2">
      <c r="R306" s="558"/>
      <c r="S306" s="557"/>
    </row>
    <row r="307" spans="18:19" x14ac:dyDescent="0.2">
      <c r="R307" s="558"/>
      <c r="S307" s="557"/>
    </row>
    <row r="308" spans="18:19" x14ac:dyDescent="0.2">
      <c r="R308" s="558"/>
      <c r="S308" s="557"/>
    </row>
    <row r="309" spans="18:19" x14ac:dyDescent="0.2">
      <c r="R309" s="558"/>
      <c r="S309" s="557"/>
    </row>
    <row r="310" spans="18:19" x14ac:dyDescent="0.2">
      <c r="R310" s="558"/>
      <c r="S310" s="557"/>
    </row>
    <row r="311" spans="18:19" x14ac:dyDescent="0.2">
      <c r="R311" s="558"/>
      <c r="S311" s="557"/>
    </row>
    <row r="312" spans="18:19" x14ac:dyDescent="0.2">
      <c r="R312" s="558"/>
      <c r="S312" s="557"/>
    </row>
    <row r="313" spans="18:19" x14ac:dyDescent="0.2">
      <c r="R313" s="558"/>
      <c r="S313" s="557"/>
    </row>
    <row r="314" spans="18:19" x14ac:dyDescent="0.2">
      <c r="R314" s="558"/>
      <c r="S314" s="557"/>
    </row>
    <row r="315" spans="18:19" x14ac:dyDescent="0.2">
      <c r="R315" s="558"/>
      <c r="S315" s="557"/>
    </row>
    <row r="316" spans="18:19" x14ac:dyDescent="0.2">
      <c r="R316" s="558"/>
      <c r="S316" s="557"/>
    </row>
    <row r="317" spans="18:19" x14ac:dyDescent="0.2">
      <c r="R317" s="558"/>
      <c r="S317" s="557"/>
    </row>
    <row r="318" spans="18:19" x14ac:dyDescent="0.2">
      <c r="R318" s="558"/>
      <c r="S318" s="557"/>
    </row>
    <row r="319" spans="18:19" x14ac:dyDescent="0.2">
      <c r="R319" s="558"/>
      <c r="S319" s="557"/>
    </row>
    <row r="320" spans="18:19" x14ac:dyDescent="0.2">
      <c r="R320" s="558"/>
      <c r="S320" s="557"/>
    </row>
    <row r="321" spans="18:19" x14ac:dyDescent="0.2">
      <c r="R321" s="558"/>
      <c r="S321" s="557"/>
    </row>
    <row r="322" spans="18:19" x14ac:dyDescent="0.2">
      <c r="R322" s="558"/>
      <c r="S322" s="557"/>
    </row>
    <row r="323" spans="18:19" x14ac:dyDescent="0.2">
      <c r="R323" s="558"/>
      <c r="S323" s="557"/>
    </row>
    <row r="324" spans="18:19" x14ac:dyDescent="0.2">
      <c r="R324" s="558"/>
      <c r="S324" s="557"/>
    </row>
    <row r="325" spans="18:19" x14ac:dyDescent="0.2">
      <c r="R325" s="558"/>
      <c r="S325" s="557"/>
    </row>
    <row r="326" spans="18:19" x14ac:dyDescent="0.2">
      <c r="R326" s="558"/>
      <c r="S326" s="557"/>
    </row>
    <row r="327" spans="18:19" x14ac:dyDescent="0.2">
      <c r="R327" s="558"/>
      <c r="S327" s="557"/>
    </row>
    <row r="328" spans="18:19" x14ac:dyDescent="0.2">
      <c r="R328" s="558"/>
      <c r="S328" s="557"/>
    </row>
    <row r="329" spans="18:19" x14ac:dyDescent="0.2">
      <c r="R329" s="558"/>
      <c r="S329" s="557"/>
    </row>
    <row r="330" spans="18:19" x14ac:dyDescent="0.2">
      <c r="R330" s="558"/>
      <c r="S330" s="557"/>
    </row>
    <row r="331" spans="18:19" x14ac:dyDescent="0.2">
      <c r="R331" s="558"/>
      <c r="S331" s="557"/>
    </row>
    <row r="332" spans="18:19" x14ac:dyDescent="0.2">
      <c r="R332" s="558"/>
      <c r="S332" s="557"/>
    </row>
    <row r="333" spans="18:19" x14ac:dyDescent="0.2">
      <c r="R333" s="558"/>
      <c r="S333" s="557"/>
    </row>
    <row r="334" spans="18:19" x14ac:dyDescent="0.2">
      <c r="R334" s="558"/>
      <c r="S334" s="557"/>
    </row>
    <row r="335" spans="18:19" x14ac:dyDescent="0.2">
      <c r="R335" s="558"/>
      <c r="S335" s="557"/>
    </row>
    <row r="336" spans="18:19" x14ac:dyDescent="0.2">
      <c r="R336" s="558"/>
      <c r="S336" s="557"/>
    </row>
    <row r="337" spans="18:19" x14ac:dyDescent="0.2">
      <c r="R337" s="558"/>
      <c r="S337" s="557"/>
    </row>
    <row r="338" spans="18:19" x14ac:dyDescent="0.2">
      <c r="R338" s="558"/>
      <c r="S338" s="557"/>
    </row>
    <row r="339" spans="18:19" x14ac:dyDescent="0.2">
      <c r="R339" s="558"/>
      <c r="S339" s="557"/>
    </row>
    <row r="340" spans="18:19" x14ac:dyDescent="0.2">
      <c r="R340" s="558"/>
      <c r="S340" s="557"/>
    </row>
    <row r="341" spans="18:19" x14ac:dyDescent="0.2">
      <c r="R341" s="558"/>
      <c r="S341" s="557"/>
    </row>
    <row r="342" spans="18:19" x14ac:dyDescent="0.2">
      <c r="R342" s="558"/>
      <c r="S342" s="557"/>
    </row>
    <row r="343" spans="18:19" x14ac:dyDescent="0.2">
      <c r="R343" s="558"/>
      <c r="S343" s="557"/>
    </row>
    <row r="344" spans="18:19" x14ac:dyDescent="0.2">
      <c r="R344" s="558"/>
      <c r="S344" s="557"/>
    </row>
    <row r="345" spans="18:19" x14ac:dyDescent="0.2">
      <c r="R345" s="558"/>
      <c r="S345" s="557"/>
    </row>
    <row r="346" spans="18:19" x14ac:dyDescent="0.2">
      <c r="R346" s="558"/>
      <c r="S346" s="557"/>
    </row>
    <row r="347" spans="18:19" x14ac:dyDescent="0.2">
      <c r="R347" s="558"/>
      <c r="S347" s="557"/>
    </row>
    <row r="348" spans="18:19" x14ac:dyDescent="0.2">
      <c r="R348" s="558"/>
      <c r="S348" s="557"/>
    </row>
    <row r="349" spans="18:19" x14ac:dyDescent="0.2">
      <c r="R349" s="558"/>
      <c r="S349" s="557"/>
    </row>
    <row r="350" spans="18:19" x14ac:dyDescent="0.2">
      <c r="R350" s="558"/>
      <c r="S350" s="557"/>
    </row>
    <row r="351" spans="18:19" x14ac:dyDescent="0.2">
      <c r="R351" s="558"/>
      <c r="S351" s="557"/>
    </row>
    <row r="352" spans="18:19" x14ac:dyDescent="0.2">
      <c r="R352" s="558"/>
      <c r="S352" s="557"/>
    </row>
    <row r="353" spans="18:19" x14ac:dyDescent="0.2">
      <c r="R353" s="558"/>
      <c r="S353" s="557"/>
    </row>
    <row r="354" spans="18:19" x14ac:dyDescent="0.2">
      <c r="R354" s="558"/>
      <c r="S354" s="557"/>
    </row>
    <row r="355" spans="18:19" x14ac:dyDescent="0.2">
      <c r="R355" s="558"/>
      <c r="S355" s="557"/>
    </row>
    <row r="356" spans="18:19" x14ac:dyDescent="0.2">
      <c r="R356" s="558"/>
      <c r="S356" s="557"/>
    </row>
    <row r="357" spans="18:19" x14ac:dyDescent="0.2">
      <c r="R357" s="558"/>
      <c r="S357" s="557"/>
    </row>
    <row r="358" spans="18:19" x14ac:dyDescent="0.2">
      <c r="R358" s="558"/>
      <c r="S358" s="557"/>
    </row>
    <row r="359" spans="18:19" x14ac:dyDescent="0.2">
      <c r="R359" s="558"/>
      <c r="S359" s="557"/>
    </row>
    <row r="360" spans="18:19" x14ac:dyDescent="0.2">
      <c r="R360" s="558"/>
      <c r="S360" s="557"/>
    </row>
    <row r="361" spans="18:19" x14ac:dyDescent="0.2">
      <c r="R361" s="558"/>
      <c r="S361" s="557"/>
    </row>
    <row r="362" spans="18:19" x14ac:dyDescent="0.2">
      <c r="R362" s="558"/>
      <c r="S362" s="557"/>
    </row>
    <row r="363" spans="18:19" x14ac:dyDescent="0.2">
      <c r="R363" s="558"/>
      <c r="S363" s="557"/>
    </row>
    <row r="364" spans="18:19" x14ac:dyDescent="0.2">
      <c r="R364" s="558"/>
      <c r="S364" s="557"/>
    </row>
    <row r="365" spans="18:19" x14ac:dyDescent="0.2">
      <c r="R365" s="558"/>
      <c r="S365" s="557"/>
    </row>
    <row r="366" spans="18:19" x14ac:dyDescent="0.2">
      <c r="R366" s="558"/>
      <c r="S366" s="557"/>
    </row>
    <row r="367" spans="18:19" x14ac:dyDescent="0.2">
      <c r="R367" s="558"/>
      <c r="S367" s="557"/>
    </row>
    <row r="368" spans="18:19" x14ac:dyDescent="0.2">
      <c r="R368" s="558"/>
      <c r="S368" s="557"/>
    </row>
    <row r="369" spans="18:19" x14ac:dyDescent="0.2">
      <c r="R369" s="558"/>
      <c r="S369" s="557"/>
    </row>
    <row r="370" spans="18:19" x14ac:dyDescent="0.2">
      <c r="R370" s="558"/>
      <c r="S370" s="557"/>
    </row>
    <row r="371" spans="18:19" x14ac:dyDescent="0.2">
      <c r="R371" s="558"/>
      <c r="S371" s="557"/>
    </row>
    <row r="372" spans="18:19" x14ac:dyDescent="0.2">
      <c r="R372" s="558"/>
      <c r="S372" s="557"/>
    </row>
    <row r="373" spans="18:19" x14ac:dyDescent="0.2">
      <c r="R373" s="558"/>
      <c r="S373" s="557"/>
    </row>
    <row r="374" spans="18:19" x14ac:dyDescent="0.2">
      <c r="R374" s="558"/>
      <c r="S374" s="557"/>
    </row>
    <row r="375" spans="18:19" x14ac:dyDescent="0.2">
      <c r="R375" s="558"/>
      <c r="S375" s="557"/>
    </row>
    <row r="376" spans="18:19" x14ac:dyDescent="0.2">
      <c r="R376" s="558"/>
      <c r="S376" s="557"/>
    </row>
    <row r="377" spans="18:19" x14ac:dyDescent="0.2">
      <c r="R377" s="558"/>
      <c r="S377" s="557"/>
    </row>
    <row r="378" spans="18:19" x14ac:dyDescent="0.2">
      <c r="R378" s="558"/>
      <c r="S378" s="557"/>
    </row>
    <row r="379" spans="18:19" x14ac:dyDescent="0.2">
      <c r="R379" s="558"/>
      <c r="S379" s="557"/>
    </row>
    <row r="380" spans="18:19" x14ac:dyDescent="0.2">
      <c r="R380" s="558"/>
      <c r="S380" s="557"/>
    </row>
    <row r="381" spans="18:19" x14ac:dyDescent="0.2">
      <c r="R381" s="558"/>
      <c r="S381" s="557"/>
    </row>
    <row r="382" spans="18:19" x14ac:dyDescent="0.2">
      <c r="R382" s="558"/>
      <c r="S382" s="557"/>
    </row>
    <row r="383" spans="18:19" x14ac:dyDescent="0.2">
      <c r="R383" s="558"/>
      <c r="S383" s="557"/>
    </row>
    <row r="384" spans="18:19" x14ac:dyDescent="0.2">
      <c r="R384" s="558"/>
      <c r="S384" s="557"/>
    </row>
  </sheetData>
  <dataValidations count="1">
    <dataValidation type="list" allowBlank="1" showInputMessage="1" showErrorMessage="1" sqref="M3:M15">
      <formula1>"true,false"</formula1>
    </dataValidation>
  </dataValidation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N27"/>
  <sheetViews>
    <sheetView showGridLines="0" workbookViewId="0">
      <selection activeCell="N3" sqref="N3:N4"/>
    </sheetView>
  </sheetViews>
  <sheetFormatPr defaultColWidth="7.140625" defaultRowHeight="11.25" x14ac:dyDescent="0.2"/>
  <cols>
    <col min="1" max="2" width="2.7109375" style="493" customWidth="1"/>
    <col min="3" max="3" width="20.28515625" style="493" bestFit="1" customWidth="1"/>
    <col min="4" max="4" width="27.5703125" style="493" bestFit="1" customWidth="1"/>
    <col min="5" max="7" width="2.7109375" style="493" customWidth="1"/>
    <col min="8" max="8" width="23.42578125" style="493" bestFit="1" customWidth="1"/>
    <col min="9" max="9" width="20.7109375" style="493" customWidth="1"/>
    <col min="10" max="12" width="2.7109375" style="493" customWidth="1"/>
    <col min="13" max="13" width="7.85546875" style="493" customWidth="1"/>
    <col min="14" max="16384" width="7.140625" style="493"/>
  </cols>
  <sheetData>
    <row r="1" spans="2:14" x14ac:dyDescent="0.2">
      <c r="B1" s="493" t="e">
        <f ca="1">_xll.qlxlVersion(TRUE,EvaluationDate)</f>
        <v>#NAME?</v>
      </c>
    </row>
    <row r="2" spans="2:14" ht="19.5" thickBot="1" x14ac:dyDescent="0.25">
      <c r="B2" s="530" t="s">
        <v>232</v>
      </c>
      <c r="C2" s="530"/>
      <c r="D2" s="530"/>
      <c r="E2" s="529"/>
      <c r="G2" s="530" t="s">
        <v>308</v>
      </c>
      <c r="H2" s="530"/>
      <c r="I2" s="530"/>
      <c r="J2" s="529"/>
    </row>
    <row r="3" spans="2:14" ht="15" x14ac:dyDescent="0.25">
      <c r="B3" s="509"/>
      <c r="C3" s="555"/>
      <c r="D3" s="316"/>
      <c r="E3" s="311"/>
      <c r="G3" s="539"/>
      <c r="H3" s="554"/>
      <c r="I3" s="554"/>
      <c r="J3" s="536"/>
      <c r="M3" s="1361" t="s">
        <v>529</v>
      </c>
      <c r="N3" s="1364" t="e">
        <f ca="1">_xll.ohTrigger('General Settings'!Trigger2)</f>
        <v>#NAME?</v>
      </c>
    </row>
    <row r="4" spans="2:14" ht="15.75" thickBot="1" x14ac:dyDescent="0.3">
      <c r="B4" s="509"/>
      <c r="C4" s="553" t="s">
        <v>231</v>
      </c>
      <c r="D4" s="552" t="s">
        <v>230</v>
      </c>
      <c r="E4" s="311"/>
      <c r="G4" s="539"/>
      <c r="H4" s="541" t="s">
        <v>307</v>
      </c>
      <c r="I4" s="551" t="e">
        <f ca="1">_xll.qlSettingsEvaluationDate(Trigger)</f>
        <v>#NAME?</v>
      </c>
      <c r="J4" s="536"/>
      <c r="M4" s="1362" t="s">
        <v>530</v>
      </c>
      <c r="N4" s="1365" t="e">
        <f ca="1">_xll.ohTrigger(RateHelpers!Trigger2,Calculation!Trigger2,Contribution!Trigger2,YieldCurve,I14)</f>
        <v>#NAME?</v>
      </c>
    </row>
    <row r="5" spans="2:14" x14ac:dyDescent="0.2">
      <c r="B5" s="509"/>
      <c r="C5" s="550" t="s">
        <v>306</v>
      </c>
      <c r="D5" s="549" t="s">
        <v>117</v>
      </c>
      <c r="E5" s="311"/>
      <c r="G5" s="539"/>
      <c r="H5" s="505" t="s">
        <v>305</v>
      </c>
      <c r="I5" s="548" t="e">
        <f ca="1">_xll.qlCalendarAdvance(Calendar,EvaluationDate,"2d","f",,Trigger)</f>
        <v>#NAME?</v>
      </c>
      <c r="J5" s="536"/>
    </row>
    <row r="6" spans="2:14" x14ac:dyDescent="0.2">
      <c r="B6" s="501"/>
      <c r="C6" s="547" t="s">
        <v>304</v>
      </c>
      <c r="D6" s="546" t="s">
        <v>303</v>
      </c>
      <c r="E6" s="498"/>
      <c r="G6" s="545"/>
      <c r="H6" s="508"/>
      <c r="I6" s="508"/>
      <c r="J6" s="544"/>
    </row>
    <row r="7" spans="2:14" x14ac:dyDescent="0.2">
      <c r="B7" s="501"/>
      <c r="C7" s="543" t="s">
        <v>302</v>
      </c>
      <c r="D7" s="542" t="s">
        <v>301</v>
      </c>
      <c r="E7" s="498"/>
      <c r="G7" s="539"/>
      <c r="H7" s="541" t="s">
        <v>239</v>
      </c>
      <c r="I7" s="540">
        <v>42357.886365740742</v>
      </c>
      <c r="J7" s="536"/>
    </row>
    <row r="8" spans="2:14" x14ac:dyDescent="0.2">
      <c r="B8" s="509"/>
      <c r="C8" s="527"/>
      <c r="D8" s="527"/>
      <c r="E8" s="526"/>
      <c r="G8" s="539"/>
      <c r="H8" s="538" t="s">
        <v>300</v>
      </c>
      <c r="I8" s="537" t="e">
        <v>#REF!</v>
      </c>
      <c r="J8" s="536"/>
    </row>
    <row r="9" spans="2:14" x14ac:dyDescent="0.2">
      <c r="B9" s="509"/>
      <c r="C9" s="524" t="s">
        <v>293</v>
      </c>
      <c r="D9" s="523" t="e">
        <f ca="1">_xll.qlPiecewiseYieldCurve(,NDays,Calendar,_xll.ohPack(Calculation!A5:A129),DayCounter,,,Accuracy,TraitsID,InterpolatorID)</f>
        <v>#NAME?</v>
      </c>
      <c r="E9" s="311"/>
      <c r="G9" s="509"/>
      <c r="H9" s="535" t="s">
        <v>235</v>
      </c>
      <c r="I9" s="534" t="e">
        <f ca="1">_xll.ohTrigger(Contribution!M1)</f>
        <v>#NAME?</v>
      </c>
      <c r="J9" s="311"/>
    </row>
    <row r="10" spans="2:14" x14ac:dyDescent="0.2">
      <c r="B10" s="509"/>
      <c r="C10" s="519" t="s">
        <v>59</v>
      </c>
      <c r="D10" s="520" t="e">
        <f ca="1">_xll.ohRangeRetrieveError(YieldCurve)</f>
        <v>#NAME?</v>
      </c>
      <c r="E10" s="311"/>
      <c r="G10" s="533"/>
      <c r="H10" s="506"/>
      <c r="I10" s="506"/>
      <c r="J10" s="532"/>
    </row>
    <row r="11" spans="2:14" x14ac:dyDescent="0.2">
      <c r="B11" s="509"/>
      <c r="C11" s="522" t="s">
        <v>299</v>
      </c>
      <c r="D11" s="531">
        <v>2</v>
      </c>
      <c r="E11" s="311"/>
    </row>
    <row r="12" spans="2:14" ht="18.75" x14ac:dyDescent="0.2">
      <c r="B12" s="509"/>
      <c r="C12" s="522" t="s">
        <v>216</v>
      </c>
      <c r="D12" s="528" t="s">
        <v>298</v>
      </c>
      <c r="E12" s="311"/>
      <c r="G12" s="530" t="s">
        <v>297</v>
      </c>
      <c r="H12" s="530"/>
      <c r="I12" s="530"/>
      <c r="J12" s="529"/>
    </row>
    <row r="13" spans="2:14" x14ac:dyDescent="0.2">
      <c r="B13" s="509"/>
      <c r="C13" s="522" t="s">
        <v>296</v>
      </c>
      <c r="D13" s="528" t="s">
        <v>295</v>
      </c>
      <c r="E13" s="311"/>
      <c r="G13" s="509"/>
      <c r="H13" s="527"/>
      <c r="I13" s="527"/>
      <c r="J13" s="526"/>
    </row>
    <row r="14" spans="2:14" x14ac:dyDescent="0.2">
      <c r="B14" s="509"/>
      <c r="C14" s="522" t="s">
        <v>294</v>
      </c>
      <c r="D14" s="525" t="e">
        <f>NA()</f>
        <v>#N/A</v>
      </c>
      <c r="E14" s="311"/>
      <c r="G14" s="509"/>
      <c r="H14" s="524" t="s">
        <v>293</v>
      </c>
      <c r="I14" s="523" t="e">
        <f ca="1">_xll.qlPiecewiseYieldCurve(,NDays,Calendar,_xll.ohPack(Calculation!A5:A129),DayCounter,JumpQuotes,JumpDates,Accuracy,TraitsID,InterpolatorID)</f>
        <v>#NAME?</v>
      </c>
      <c r="J14" s="311"/>
    </row>
    <row r="15" spans="2:14" x14ac:dyDescent="0.2">
      <c r="B15" s="509"/>
      <c r="C15" s="522" t="s">
        <v>292</v>
      </c>
      <c r="D15" s="521" t="s">
        <v>291</v>
      </c>
      <c r="E15" s="311"/>
      <c r="G15" s="509"/>
      <c r="H15" s="519" t="s">
        <v>59</v>
      </c>
      <c r="I15" s="520" t="e">
        <f ca="1">_xll.ohRangeRetrieveError(YieldCurve)</f>
        <v>#NAME?</v>
      </c>
      <c r="J15" s="311"/>
    </row>
    <row r="16" spans="2:14" x14ac:dyDescent="0.2">
      <c r="B16" s="509"/>
      <c r="C16" s="519" t="s">
        <v>290</v>
      </c>
      <c r="D16" s="518" t="s">
        <v>289</v>
      </c>
      <c r="E16" s="311"/>
      <c r="G16" s="509"/>
      <c r="H16" s="517" t="s">
        <v>288</v>
      </c>
      <c r="I16" s="516" t="e">
        <f ca="1">_xll.qlEonia(,$I$14,,I14)</f>
        <v>#NAME?</v>
      </c>
      <c r="J16" s="311"/>
    </row>
    <row r="17" spans="1:10" x14ac:dyDescent="0.2">
      <c r="B17" s="501"/>
      <c r="C17" s="515"/>
      <c r="D17" s="514"/>
      <c r="E17" s="498"/>
      <c r="G17" s="501"/>
      <c r="H17" s="515"/>
      <c r="I17" s="514"/>
      <c r="J17" s="498"/>
    </row>
    <row r="18" spans="1:10" x14ac:dyDescent="0.2">
      <c r="B18" s="501"/>
      <c r="C18" s="513" t="e">
        <f ca="1">_xll.qlTermStructureReferenceDate(YieldCurve)</f>
        <v>#NAME?</v>
      </c>
      <c r="D18" s="512" t="e">
        <f ca="1">_xll.qlYieldTSDiscount(YieldCurve,C18,,Trigger)</f>
        <v>#NAME?</v>
      </c>
      <c r="E18" s="498"/>
      <c r="G18" s="501"/>
      <c r="H18" s="513" t="e">
        <f ca="1">_xll.qlTermStructureReferenceDate(YieldCurve)</f>
        <v>#NAME?</v>
      </c>
      <c r="I18" s="512" t="e">
        <f ca="1">_xll.qlYieldTSDiscount($I$14,H18,,Trigger)</f>
        <v>#NAME?</v>
      </c>
      <c r="J18" s="498"/>
    </row>
    <row r="19" spans="1:10" x14ac:dyDescent="0.2">
      <c r="B19" s="509"/>
      <c r="C19" s="511" t="e">
        <f ca="1">MAX(_xll.ohPack(Calculation!D5:D129))</f>
        <v>#NAME?</v>
      </c>
      <c r="D19" s="510" t="e">
        <f ca="1">_xll.qlYieldTSDiscount(YieldCurve,C19,,Trigger)</f>
        <v>#NAME?</v>
      </c>
      <c r="E19" s="498"/>
      <c r="G19" s="509"/>
      <c r="H19" s="511" t="e">
        <f ca="1">MAX(_xll.ohPack(Calculation!D27:D151))</f>
        <v>#NAME?</v>
      </c>
      <c r="I19" s="510" t="e">
        <f ca="1">_xll.qlYieldTSDiscount($I$14,H19,,Trigger)</f>
        <v>#NAME?</v>
      </c>
      <c r="J19" s="498"/>
    </row>
    <row r="20" spans="1:10" x14ac:dyDescent="0.2">
      <c r="B20" s="509"/>
      <c r="C20" s="508"/>
      <c r="D20" s="508"/>
      <c r="E20" s="498"/>
      <c r="G20" s="507"/>
      <c r="H20" s="506"/>
      <c r="I20" s="506"/>
      <c r="J20" s="495"/>
    </row>
    <row r="21" spans="1:10" x14ac:dyDescent="0.2">
      <c r="B21" s="501"/>
      <c r="C21" s="505" t="s">
        <v>287</v>
      </c>
      <c r="D21" s="504" t="s">
        <v>286</v>
      </c>
      <c r="E21" s="498"/>
    </row>
    <row r="22" spans="1:10" x14ac:dyDescent="0.2">
      <c r="B22" s="501"/>
      <c r="C22" s="503"/>
      <c r="D22" s="503"/>
      <c r="E22" s="498"/>
    </row>
    <row r="23" spans="1:10" x14ac:dyDescent="0.2">
      <c r="B23" s="501"/>
      <c r="C23" s="500" t="s">
        <v>285</v>
      </c>
      <c r="D23" s="502">
        <v>41934.827800925923</v>
      </c>
      <c r="E23" s="498"/>
    </row>
    <row r="24" spans="1:10" x14ac:dyDescent="0.2">
      <c r="A24" s="494"/>
      <c r="B24" s="501"/>
      <c r="C24" s="500" t="s">
        <v>284</v>
      </c>
      <c r="D24" s="499" t="b">
        <v>0</v>
      </c>
      <c r="E24" s="498"/>
    </row>
    <row r="25" spans="1:10" x14ac:dyDescent="0.2">
      <c r="A25" s="494"/>
      <c r="B25" s="497"/>
      <c r="C25" s="496"/>
      <c r="D25" s="496"/>
      <c r="E25" s="495"/>
    </row>
    <row r="26" spans="1:10" x14ac:dyDescent="0.2">
      <c r="A26" s="494"/>
    </row>
    <row r="27" spans="1:10" x14ac:dyDescent="0.2">
      <c r="A27" s="494"/>
    </row>
  </sheetData>
  <conditionalFormatting sqref="D24">
    <cfRule type="cellIs" dxfId="46" priority="1" stopIfTrue="1" operator="equal">
      <formula>TRUE</formula>
    </cfRule>
  </conditionalFormatting>
  <dataValidations count="6">
    <dataValidation type="list" allowBlank="1" showInputMessage="1" showErrorMessage="1" sqref="D21">
      <formula1>"BackwardFlat,ForwardFlat,Linear,Parabolic,MonotonicParabolic,CubicNaturalSpline,MonotonicCubicNaturalSpline,KrugerCubic,FritschButlandCubic,Abcd"</formula1>
    </dataValidation>
    <dataValidation type="list" allowBlank="1" showInputMessage="1" showErrorMessage="1" sqref="D16">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15">
      <formula1>"Discount,ZeroYield,ForwardRate"</formula1>
    </dataValidation>
    <dataValidation type="list" allowBlank="1" showInputMessage="1" showErrorMessage="1" sqref="D13">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2">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N38"/>
  <sheetViews>
    <sheetView showGridLines="0" topLeftCell="D1" workbookViewId="0">
      <selection activeCell="N2" sqref="N2:N3"/>
    </sheetView>
  </sheetViews>
  <sheetFormatPr defaultRowHeight="11.25" outlineLevelCol="1" x14ac:dyDescent="0.2"/>
  <cols>
    <col min="1" max="1" width="17.28515625" style="423" hidden="1" customWidth="1" outlineLevel="1"/>
    <col min="2" max="3" width="4" style="424" hidden="1" customWidth="1" outlineLevel="1"/>
    <col min="4" max="4" width="7" style="424" bestFit="1" customWidth="1" collapsed="1"/>
    <col min="5" max="6" width="21.42578125" style="423" bestFit="1" customWidth="1"/>
    <col min="7" max="7" width="8" style="424" bestFit="1" customWidth="1"/>
    <col min="8" max="8" width="9.85546875" style="424" customWidth="1"/>
    <col min="9" max="9" width="9" style="424" customWidth="1"/>
    <col min="10" max="11" width="17.28515625" style="424" bestFit="1" customWidth="1"/>
    <col min="12" max="12" width="2.7109375" style="423" bestFit="1" customWidth="1"/>
    <col min="13" max="16384" width="9.140625" style="423"/>
  </cols>
  <sheetData>
    <row r="1" spans="1:14" ht="23.25" thickBot="1" x14ac:dyDescent="0.25">
      <c r="B1" s="1380" t="s">
        <v>144</v>
      </c>
      <c r="C1" s="1381"/>
      <c r="D1" s="1382"/>
      <c r="E1" s="492" t="s">
        <v>283</v>
      </c>
      <c r="F1" s="492" t="s">
        <v>282</v>
      </c>
      <c r="G1" s="492" t="s">
        <v>281</v>
      </c>
      <c r="H1" s="492" t="s">
        <v>280</v>
      </c>
      <c r="I1" s="492" t="s">
        <v>279</v>
      </c>
      <c r="J1" s="492" t="s">
        <v>272</v>
      </c>
      <c r="K1" s="492" t="s">
        <v>271</v>
      </c>
    </row>
    <row r="2" spans="1:14" ht="15" x14ac:dyDescent="0.25">
      <c r="B2" s="491"/>
      <c r="C2" s="490"/>
      <c r="D2" s="489" t="s">
        <v>278</v>
      </c>
      <c r="E2" s="488" t="str">
        <f t="shared" ref="E2:E12" si="0">UPPER(Currency)&amp;B2&amp;C2&amp;D2&amp;"_Quote"</f>
        <v>EURSND_Quote</v>
      </c>
      <c r="F2" s="488" t="e">
        <f ca="1">_xll.qlFraRateHelper("W"&amp;Currency&amp;B2&amp;C2&amp;D2,E2,"2d",OvernightIndex,,EvaluationDate)</f>
        <v>#NAME?</v>
      </c>
      <c r="G2" s="487" t="b">
        <v>0</v>
      </c>
      <c r="H2" s="487">
        <v>10</v>
      </c>
      <c r="I2" s="487">
        <v>1</v>
      </c>
      <c r="J2" s="486" t="e">
        <f ca="1">_xll.qlRateHelperEarliestDate($F2)</f>
        <v>#NAME?</v>
      </c>
      <c r="K2" s="486" t="e">
        <f ca="1">qlRateHelperLatestDate($F2)</f>
        <v>#NAME?</v>
      </c>
      <c r="M2" s="1361" t="s">
        <v>529</v>
      </c>
      <c r="N2" s="1364" t="e">
        <f ca="1">_xll.ohTrigger('General Settings_2'!Trigger)</f>
        <v>#NAME?</v>
      </c>
    </row>
    <row r="3" spans="1:14" ht="11.25" customHeight="1" thickBot="1" x14ac:dyDescent="0.3">
      <c r="A3" s="430" t="e">
        <f ca="1">_xll.qlECBNextDate(SettlementDate)</f>
        <v>#NAME?</v>
      </c>
      <c r="B3" s="482" t="s">
        <v>146</v>
      </c>
      <c r="C3" s="482" t="s">
        <v>135</v>
      </c>
      <c r="D3" s="484" t="e">
        <f ca="1">_xll.qlECBcode(A3)</f>
        <v>#NAME?</v>
      </c>
      <c r="E3" s="456" t="e">
        <f t="shared" ca="1" si="0"/>
        <v>#NAME?</v>
      </c>
      <c r="F3" s="456" t="e">
        <f ca="1">_xll.qlDatedOISRateHelper("W"&amp;Currency&amp;B3&amp;C3&amp;D3,A3,A4,E3,OvernightIndex)</f>
        <v>#NAME?</v>
      </c>
      <c r="G3" s="476" t="b">
        <f t="shared" ref="G3:G12" ca="1" si="1">IF(ISERROR(F3),FALSE,TRUE)</f>
        <v>0</v>
      </c>
      <c r="H3" s="480">
        <v>70</v>
      </c>
      <c r="I3" s="480">
        <v>5</v>
      </c>
      <c r="J3" s="479" t="e">
        <f ca="1">_xll.qlRateHelperEarliestDate($F3)</f>
        <v>#NAME?</v>
      </c>
      <c r="K3" s="479" t="e">
        <f ca="1">_xll.qlRateHelperLatestDate($F3)</f>
        <v>#NAME?</v>
      </c>
      <c r="L3" s="447"/>
      <c r="M3" s="1362" t="s">
        <v>530</v>
      </c>
      <c r="N3" s="1365" t="e">
        <f ca="1">_xll.ohTrigger(RateHelpers)</f>
        <v>#NAME?</v>
      </c>
    </row>
    <row r="4" spans="1:14" x14ac:dyDescent="0.2">
      <c r="A4" s="430" t="e">
        <f ca="1">_xll.qlECBNextDate(A3)</f>
        <v>#NAME?</v>
      </c>
      <c r="B4" s="478" t="s">
        <v>146</v>
      </c>
      <c r="C4" s="478" t="s">
        <v>135</v>
      </c>
      <c r="D4" s="483" t="e">
        <f ca="1">_xll.qlECBcode(A4)</f>
        <v>#NAME?</v>
      </c>
      <c r="E4" s="441" t="e">
        <f t="shared" ca="1" si="0"/>
        <v>#NAME?</v>
      </c>
      <c r="F4" s="441" t="e">
        <f ca="1">_xll.qlDatedOISRateHelper("W"&amp;Currency&amp;B4&amp;C4&amp;D4,A4,A5,E4,OvernightIndex)</f>
        <v>#NAME?</v>
      </c>
      <c r="G4" s="476" t="b">
        <f t="shared" ca="1" si="1"/>
        <v>0</v>
      </c>
      <c r="H4" s="476">
        <v>70</v>
      </c>
      <c r="I4" s="476">
        <v>5</v>
      </c>
      <c r="J4" s="475" t="e">
        <f ca="1">_xll.qlRateHelperEarliestDate($F4)</f>
        <v>#NAME?</v>
      </c>
      <c r="K4" s="475" t="e">
        <f ca="1">_xll.qlRateHelperLatestDate($F4)</f>
        <v>#NAME?</v>
      </c>
      <c r="L4" s="485"/>
    </row>
    <row r="5" spans="1:14" x14ac:dyDescent="0.2">
      <c r="A5" s="430" t="e">
        <f ca="1">_xll.qlECBNextDate(A4)</f>
        <v>#NAME?</v>
      </c>
      <c r="B5" s="478" t="s">
        <v>146</v>
      </c>
      <c r="C5" s="478" t="s">
        <v>135</v>
      </c>
      <c r="D5" s="483" t="e">
        <f ca="1">_xll.qlECBcode(A5)</f>
        <v>#NAME?</v>
      </c>
      <c r="E5" s="441" t="e">
        <f t="shared" ca="1" si="0"/>
        <v>#NAME?</v>
      </c>
      <c r="F5" s="441" t="e">
        <f ca="1">_xll.qlDatedOISRateHelper("W"&amp;Currency&amp;B5&amp;C5&amp;D5,A5,A6,E5,OvernightIndex)</f>
        <v>#NAME?</v>
      </c>
      <c r="G5" s="476" t="b">
        <f t="shared" ca="1" si="1"/>
        <v>0</v>
      </c>
      <c r="H5" s="476">
        <v>70</v>
      </c>
      <c r="I5" s="476">
        <v>5</v>
      </c>
      <c r="J5" s="475" t="e">
        <f ca="1">_xll.qlRateHelperEarliestDate($F5)</f>
        <v>#NAME?</v>
      </c>
      <c r="K5" s="475" t="e">
        <f ca="1">_xll.qlRateHelperLatestDate($F5)</f>
        <v>#NAME?</v>
      </c>
    </row>
    <row r="6" spans="1:14" x14ac:dyDescent="0.2">
      <c r="A6" s="430" t="e">
        <f ca="1">_xll.qlECBNextDate(A5)</f>
        <v>#NAME?</v>
      </c>
      <c r="B6" s="478" t="s">
        <v>146</v>
      </c>
      <c r="C6" s="478" t="s">
        <v>135</v>
      </c>
      <c r="D6" s="483" t="e">
        <f ca="1">_xll.qlECBcode(A6)</f>
        <v>#NAME?</v>
      </c>
      <c r="E6" s="441" t="e">
        <f t="shared" ca="1" si="0"/>
        <v>#NAME?</v>
      </c>
      <c r="F6" s="441" t="e">
        <f ca="1">_xll.qlDatedOISRateHelper("W"&amp;Currency&amp;B6&amp;C6&amp;D6,A6,A7,E6,OvernightIndex)</f>
        <v>#NAME?</v>
      </c>
      <c r="G6" s="476" t="b">
        <f t="shared" ca="1" si="1"/>
        <v>0</v>
      </c>
      <c r="H6" s="476">
        <v>70</v>
      </c>
      <c r="I6" s="476">
        <v>5</v>
      </c>
      <c r="J6" s="475" t="e">
        <f ca="1">_xll.qlRateHelperEarliestDate($F6)</f>
        <v>#NAME?</v>
      </c>
      <c r="K6" s="475" t="e">
        <f ca="1">_xll.qlRateHelperLatestDate($F6)</f>
        <v>#NAME?</v>
      </c>
    </row>
    <row r="7" spans="1:14" x14ac:dyDescent="0.2">
      <c r="A7" s="430" t="e">
        <f ca="1">_xll.qlECBNextDate(A6)</f>
        <v>#NAME?</v>
      </c>
      <c r="B7" s="478" t="s">
        <v>146</v>
      </c>
      <c r="C7" s="478" t="s">
        <v>135</v>
      </c>
      <c r="D7" s="483" t="e">
        <f ca="1">_xll.qlECBcode(A7)</f>
        <v>#NAME?</v>
      </c>
      <c r="E7" s="441" t="e">
        <f t="shared" ca="1" si="0"/>
        <v>#NAME?</v>
      </c>
      <c r="F7" s="441" t="e">
        <f ca="1">_xll.qlDatedOISRateHelper("W"&amp;Currency&amp;B7&amp;C7&amp;D7,A7,A8,E7,OvernightIndex)</f>
        <v>#NAME?</v>
      </c>
      <c r="G7" s="476" t="b">
        <f t="shared" ca="1" si="1"/>
        <v>0</v>
      </c>
      <c r="H7" s="476">
        <v>70</v>
      </c>
      <c r="I7" s="476">
        <v>5</v>
      </c>
      <c r="J7" s="475" t="e">
        <f ca="1">_xll.qlRateHelperEarliestDate($F7)</f>
        <v>#NAME?</v>
      </c>
      <c r="K7" s="475" t="e">
        <f ca="1">_xll.qlRateHelperLatestDate($F7)</f>
        <v>#NAME?</v>
      </c>
    </row>
    <row r="8" spans="1:14" x14ac:dyDescent="0.2">
      <c r="A8" s="430" t="e">
        <f ca="1">_xll.qlECBNextDate(A7)</f>
        <v>#NAME?</v>
      </c>
      <c r="B8" s="478" t="s">
        <v>146</v>
      </c>
      <c r="C8" s="478" t="s">
        <v>135</v>
      </c>
      <c r="D8" s="483" t="e">
        <f ca="1">_xll.qlECBcode(A8)</f>
        <v>#NAME?</v>
      </c>
      <c r="E8" s="441" t="e">
        <f t="shared" ca="1" si="0"/>
        <v>#NAME?</v>
      </c>
      <c r="F8" s="441" t="e">
        <f ca="1">_xll.qlDatedOISRateHelper("W"&amp;Currency&amp;B8&amp;C8&amp;D8,A8,A9,E8,OvernightIndex)</f>
        <v>#NAME?</v>
      </c>
      <c r="G8" s="476" t="b">
        <f t="shared" ca="1" si="1"/>
        <v>0</v>
      </c>
      <c r="H8" s="476">
        <v>70</v>
      </c>
      <c r="I8" s="476">
        <v>5</v>
      </c>
      <c r="J8" s="475" t="e">
        <f ca="1">_xll.qlRateHelperEarliestDate($F8)</f>
        <v>#NAME?</v>
      </c>
      <c r="K8" s="475" t="e">
        <f ca="1">_xll.qlRateHelperLatestDate($F8)</f>
        <v>#NAME?</v>
      </c>
    </row>
    <row r="9" spans="1:14" x14ac:dyDescent="0.2">
      <c r="A9" s="430" t="e">
        <f ca="1">_xll.qlECBNextDate(A8)</f>
        <v>#NAME?</v>
      </c>
      <c r="B9" s="478" t="s">
        <v>146</v>
      </c>
      <c r="C9" s="478" t="s">
        <v>135</v>
      </c>
      <c r="D9" s="483" t="e">
        <f ca="1">_xll.qlECBcode(A9)</f>
        <v>#NAME?</v>
      </c>
      <c r="E9" s="441" t="e">
        <f t="shared" ca="1" si="0"/>
        <v>#NAME?</v>
      </c>
      <c r="F9" s="441" t="e">
        <f ca="1">_xll.qlDatedOISRateHelper("W"&amp;Currency&amp;B9&amp;C9&amp;D9,A9,A10,E9,OvernightIndex)</f>
        <v>#NAME?</v>
      </c>
      <c r="G9" s="476" t="b">
        <f t="shared" ca="1" si="1"/>
        <v>0</v>
      </c>
      <c r="H9" s="476">
        <v>70</v>
      </c>
      <c r="I9" s="476">
        <v>5</v>
      </c>
      <c r="J9" s="475" t="e">
        <f ca="1">_xll.qlRateHelperEarliestDate($F9)</f>
        <v>#NAME?</v>
      </c>
      <c r="K9" s="475" t="e">
        <f ca="1">_xll.qlRateHelperLatestDate($F9)</f>
        <v>#NAME?</v>
      </c>
    </row>
    <row r="10" spans="1:14" x14ac:dyDescent="0.2">
      <c r="A10" s="430" t="e">
        <f ca="1">_xll.qlECBNextDate(A9)</f>
        <v>#NAME?</v>
      </c>
      <c r="B10" s="478" t="s">
        <v>146</v>
      </c>
      <c r="C10" s="478" t="s">
        <v>135</v>
      </c>
      <c r="D10" s="483" t="e">
        <f ca="1">_xll.qlECBcode(A10)</f>
        <v>#NAME?</v>
      </c>
      <c r="E10" s="441" t="e">
        <f t="shared" ca="1" si="0"/>
        <v>#NAME?</v>
      </c>
      <c r="F10" s="441" t="e">
        <f ca="1">_xll.qlDatedOISRateHelper("W"&amp;Currency&amp;B10&amp;C10&amp;D10,A10,A11,E10,OvernightIndex)</f>
        <v>#NAME?</v>
      </c>
      <c r="G10" s="476" t="b">
        <f t="shared" ca="1" si="1"/>
        <v>0</v>
      </c>
      <c r="H10" s="476">
        <v>70</v>
      </c>
      <c r="I10" s="476">
        <v>5</v>
      </c>
      <c r="J10" s="475" t="e">
        <f ca="1">_xll.qlRateHelperEarliestDate($F10)</f>
        <v>#NAME?</v>
      </c>
      <c r="K10" s="475" t="e">
        <f ca="1">_xll.qlRateHelperLatestDate($F10)</f>
        <v>#NAME?</v>
      </c>
    </row>
    <row r="11" spans="1:14" x14ac:dyDescent="0.2">
      <c r="A11" s="430" t="e">
        <f ca="1">_xll.qlECBNextDate(A10)</f>
        <v>#NAME?</v>
      </c>
      <c r="B11" s="478" t="s">
        <v>146</v>
      </c>
      <c r="C11" s="478" t="s">
        <v>135</v>
      </c>
      <c r="D11" s="483" t="e">
        <f ca="1">_xll.qlECBcode(A11)</f>
        <v>#NAME?</v>
      </c>
      <c r="E11" s="441" t="e">
        <f t="shared" ca="1" si="0"/>
        <v>#NAME?</v>
      </c>
      <c r="F11" s="441" t="e">
        <f ca="1">_xll.qlDatedOISRateHelper("W"&amp;Currency&amp;B11&amp;C11&amp;D11,A11,A12,E11,OvernightIndex)</f>
        <v>#NAME?</v>
      </c>
      <c r="G11" s="476" t="b">
        <f t="shared" ca="1" si="1"/>
        <v>0</v>
      </c>
      <c r="H11" s="476">
        <v>70</v>
      </c>
      <c r="I11" s="476">
        <v>5</v>
      </c>
      <c r="J11" s="475" t="e">
        <f ca="1">_xll.qlRateHelperEarliestDate($F11)</f>
        <v>#NAME?</v>
      </c>
      <c r="K11" s="475" t="e">
        <f ca="1">_xll.qlRateHelperLatestDate($F11)</f>
        <v>#NAME?</v>
      </c>
    </row>
    <row r="12" spans="1:14" x14ac:dyDescent="0.2">
      <c r="A12" s="430" t="e">
        <f ca="1">_xll.qlECBNextDate(A11)</f>
        <v>#NAME?</v>
      </c>
      <c r="B12" s="478" t="s">
        <v>146</v>
      </c>
      <c r="C12" s="478" t="s">
        <v>135</v>
      </c>
      <c r="D12" s="483" t="e">
        <f ca="1">_xll.qlECBcode(A12)</f>
        <v>#NAME?</v>
      </c>
      <c r="E12" s="441" t="e">
        <f t="shared" ca="1" si="0"/>
        <v>#NAME?</v>
      </c>
      <c r="F12" s="441" t="e">
        <f ca="1">_xll.qlDatedOISRateHelper("W"&amp;Currency&amp;B12&amp;C12&amp;D12,A12,#REF!,E12,OvernightIndex)</f>
        <v>#NAME?</v>
      </c>
      <c r="G12" s="476" t="b">
        <f t="shared" ca="1" si="1"/>
        <v>0</v>
      </c>
      <c r="H12" s="476">
        <v>70</v>
      </c>
      <c r="I12" s="476">
        <v>5</v>
      </c>
      <c r="J12" s="475" t="e">
        <f ca="1">_xll.qlRateHelperEarliestDate($F12)</f>
        <v>#NAME?</v>
      </c>
      <c r="K12" s="475" t="e">
        <f ca="1">_xll.qlRateHelperLatestDate($F12)</f>
        <v>#NAME?</v>
      </c>
    </row>
    <row r="13" spans="1:14" ht="11.25" customHeight="1" x14ac:dyDescent="0.2">
      <c r="A13" s="430" t="b">
        <v>1</v>
      </c>
      <c r="B13" s="482"/>
      <c r="C13" s="482" t="s">
        <v>135</v>
      </c>
      <c r="D13" s="484" t="e">
        <f t="array" aca="1" ref="D13:D17" ca="1">_xll.qlIMMNextCodes(_xll.qlSettingsEvaluationDate(Trigger)-1,$A13:$A17)</f>
        <v>#NAME?</v>
      </c>
      <c r="E13" s="456" t="e">
        <f ca="1">Currency&amp;B13&amp;C13&amp;D13&amp;"_Quote"</f>
        <v>#NAME?</v>
      </c>
      <c r="F13" s="456" t="e">
        <f ca="1">_xll.qlFuturesRateHelper("W"&amp;Currency&amp;C13&amp;D13,E13,D13,PROPER(Currency)&amp;"ibor3M",0,,Trigger)</f>
        <v>#NAME?</v>
      </c>
      <c r="G13" s="480" t="b">
        <v>0</v>
      </c>
      <c r="H13" s="480">
        <v>70</v>
      </c>
      <c r="I13" s="480">
        <v>7</v>
      </c>
      <c r="J13" s="479" t="e">
        <f ca="1">_xll.qlRateHelperEarliestDate($F13)</f>
        <v>#NAME?</v>
      </c>
      <c r="K13" s="479" t="e">
        <f ca="1">_xll.qlRateHelperLatestDate($F13)</f>
        <v>#NAME?</v>
      </c>
    </row>
    <row r="14" spans="1:14" ht="11.25" customHeight="1" x14ac:dyDescent="0.2">
      <c r="A14" s="430" t="b">
        <v>1</v>
      </c>
      <c r="B14" s="478"/>
      <c r="C14" s="478" t="s">
        <v>135</v>
      </c>
      <c r="D14" s="483" t="e">
        <f ca="1"/>
        <v>#NAME?</v>
      </c>
      <c r="E14" s="441" t="e">
        <f ca="1">Currency&amp;B14&amp;C14&amp;D14&amp;"_Quote"</f>
        <v>#NAME?</v>
      </c>
      <c r="F14" s="441" t="e">
        <f ca="1">_xll.qlFuturesRateHelper("W"&amp;Currency&amp;C14&amp;D14,E14,D14,PROPER(Currency)&amp;"ibor3M",0,,Trigger)</f>
        <v>#NAME?</v>
      </c>
      <c r="G14" s="476" t="b">
        <v>0</v>
      </c>
      <c r="H14" s="476">
        <v>70</v>
      </c>
      <c r="I14" s="476">
        <v>7</v>
      </c>
      <c r="J14" s="475" t="e">
        <f ca="1">_xll.qlRateHelperEarliestDate($F14)</f>
        <v>#NAME?</v>
      </c>
      <c r="K14" s="475" t="e">
        <f ca="1">_xll.qlRateHelperLatestDate($F14)</f>
        <v>#NAME?</v>
      </c>
    </row>
    <row r="15" spans="1:14" ht="11.25" customHeight="1" x14ac:dyDescent="0.2">
      <c r="A15" s="430" t="b">
        <v>1</v>
      </c>
      <c r="B15" s="478"/>
      <c r="C15" s="478" t="s">
        <v>135</v>
      </c>
      <c r="D15" s="483" t="e">
        <f ca="1"/>
        <v>#NAME?</v>
      </c>
      <c r="E15" s="441" t="e">
        <f ca="1">Currency&amp;B15&amp;C15&amp;D15&amp;"_Quote"</f>
        <v>#NAME?</v>
      </c>
      <c r="F15" s="441" t="e">
        <f ca="1">_xll.qlFuturesRateHelper("W"&amp;Currency&amp;C15&amp;D15,E15,D15,PROPER(Currency)&amp;"ibor3M",0,,Trigger)</f>
        <v>#NAME?</v>
      </c>
      <c r="G15" s="476" t="b">
        <v>0</v>
      </c>
      <c r="H15" s="476">
        <v>70</v>
      </c>
      <c r="I15" s="476">
        <v>7</v>
      </c>
      <c r="J15" s="475" t="e">
        <f ca="1">_xll.qlRateHelperEarliestDate($F15)</f>
        <v>#NAME?</v>
      </c>
      <c r="K15" s="475" t="e">
        <f ca="1">_xll.qlRateHelperLatestDate($F15)</f>
        <v>#NAME?</v>
      </c>
    </row>
    <row r="16" spans="1:14" ht="11.25" customHeight="1" x14ac:dyDescent="0.2">
      <c r="A16" s="430" t="b">
        <v>1</v>
      </c>
      <c r="B16" s="478"/>
      <c r="C16" s="478" t="s">
        <v>135</v>
      </c>
      <c r="D16" s="483" t="e">
        <f ca="1"/>
        <v>#NAME?</v>
      </c>
      <c r="E16" s="441" t="e">
        <f ca="1">Currency&amp;B16&amp;C16&amp;D16&amp;"_Quote"</f>
        <v>#NAME?</v>
      </c>
      <c r="F16" s="441" t="e">
        <f ca="1">_xll.qlFuturesRateHelper("W"&amp;Currency&amp;C16&amp;D16,E16,D16,PROPER(Currency)&amp;"ibor3M",0,,Trigger)</f>
        <v>#NAME?</v>
      </c>
      <c r="G16" s="476" t="b">
        <v>0</v>
      </c>
      <c r="H16" s="476">
        <v>70</v>
      </c>
      <c r="I16" s="476">
        <v>7</v>
      </c>
      <c r="J16" s="475" t="e">
        <f ca="1">_xll.qlRateHelperEarliestDate($F16)</f>
        <v>#NAME?</v>
      </c>
      <c r="K16" s="475" t="e">
        <f ca="1">_xll.qlRateHelperLatestDate($F16)</f>
        <v>#NAME?</v>
      </c>
    </row>
    <row r="17" spans="1:11" ht="11.25" customHeight="1" x14ac:dyDescent="0.2">
      <c r="A17" s="430" t="b">
        <v>1</v>
      </c>
      <c r="B17" s="478"/>
      <c r="C17" s="474" t="s">
        <v>135</v>
      </c>
      <c r="D17" s="483" t="e">
        <f ca="1"/>
        <v>#NAME?</v>
      </c>
      <c r="E17" s="441" t="e">
        <f ca="1">Currency&amp;B17&amp;C17&amp;D17&amp;"_Quote"</f>
        <v>#NAME?</v>
      </c>
      <c r="F17" s="441" t="e">
        <f ca="1">_xll.qlFuturesRateHelper("W"&amp;Currency&amp;C17&amp;D17,E17,D17,PROPER(Currency)&amp;"ibor3M",0,,Trigger)</f>
        <v>#NAME?</v>
      </c>
      <c r="G17" s="476" t="b">
        <v>0</v>
      </c>
      <c r="H17" s="476">
        <v>70</v>
      </c>
      <c r="I17" s="476">
        <v>7</v>
      </c>
      <c r="J17" s="475" t="e">
        <f ca="1">_xll.qlRateHelperEarliestDate($F17)</f>
        <v>#NAME?</v>
      </c>
      <c r="K17" s="475" t="e">
        <f ca="1">_xll.qlRateHelperLatestDate($F17)</f>
        <v>#NAME?</v>
      </c>
    </row>
    <row r="18" spans="1:11" ht="11.25" customHeight="1" x14ac:dyDescent="0.2">
      <c r="A18" s="430"/>
      <c r="B18" s="482"/>
      <c r="C18" s="482" t="str">
        <f t="shared" ref="C18:C36" si="2">IborType</f>
        <v>EON</v>
      </c>
      <c r="D18" s="481" t="s">
        <v>178</v>
      </c>
      <c r="E18" s="456" t="str">
        <f t="shared" ref="E18:E36" si="3">UPPER(Currency)&amp;B18&amp;C18&amp;D18&amp;"_Quote"</f>
        <v>EUREONSW_Quote</v>
      </c>
      <c r="F18" s="456" t="e">
        <f ca="1">_xll.qlOISRateHelper("W"&amp;Currency&amp;B18&amp;C18&amp;D18,2,"1w",E18,OvernightIndex,,EvaluationDate)</f>
        <v>#NAME?</v>
      </c>
      <c r="G18" s="480" t="b">
        <v>1</v>
      </c>
      <c r="H18" s="480">
        <v>50</v>
      </c>
      <c r="I18" s="480">
        <v>1</v>
      </c>
      <c r="J18" s="479" t="e">
        <f ca="1">_xll.qlRateHelperEarliestDate($F18)</f>
        <v>#NAME?</v>
      </c>
      <c r="K18" s="479" t="e">
        <f ca="1">_xll.qlRateHelperLatestDate($F18)</f>
        <v>#NAME?</v>
      </c>
    </row>
    <row r="19" spans="1:11" x14ac:dyDescent="0.2">
      <c r="B19" s="478"/>
      <c r="C19" s="478" t="str">
        <f t="shared" si="2"/>
        <v>EON</v>
      </c>
      <c r="D19" s="477" t="s">
        <v>177</v>
      </c>
      <c r="E19" s="441" t="str">
        <f t="shared" si="3"/>
        <v>EUREON2W_Quote</v>
      </c>
      <c r="F19" s="441" t="e">
        <f ca="1">_xll.qlOISRateHelper("W"&amp;Currency&amp;B19&amp;C19&amp;D19,2,D19,E19,OvernightIndex,,EvaluationDate)</f>
        <v>#NAME?</v>
      </c>
      <c r="G19" s="476" t="b">
        <v>1</v>
      </c>
      <c r="H19" s="476">
        <v>50</v>
      </c>
      <c r="I19" s="476">
        <v>1</v>
      </c>
      <c r="J19" s="475" t="e">
        <f ca="1">_xll.qlRateHelperEarliestDate($F19)</f>
        <v>#NAME?</v>
      </c>
      <c r="K19" s="475" t="e">
        <f ca="1">_xll.qlRateHelperLatestDate($F19)</f>
        <v>#NAME?</v>
      </c>
    </row>
    <row r="20" spans="1:11" x14ac:dyDescent="0.2">
      <c r="B20" s="478"/>
      <c r="C20" s="478" t="str">
        <f t="shared" si="2"/>
        <v>EON</v>
      </c>
      <c r="D20" s="477" t="s">
        <v>176</v>
      </c>
      <c r="E20" s="441" t="str">
        <f t="shared" si="3"/>
        <v>EUREON3W_Quote</v>
      </c>
      <c r="F20" s="441" t="e">
        <f ca="1">_xll.qlOISRateHelper("W"&amp;Currency&amp;B20&amp;C20&amp;D20,2,D20,E20,OvernightIndex,,EvaluationDate)</f>
        <v>#NAME?</v>
      </c>
      <c r="G20" s="476" t="b">
        <v>1</v>
      </c>
      <c r="H20" s="476">
        <v>50</v>
      </c>
      <c r="I20" s="476">
        <v>1</v>
      </c>
      <c r="J20" s="475" t="e">
        <f ca="1">_xll.qlRateHelperEarliestDate($F20)</f>
        <v>#NAME?</v>
      </c>
      <c r="K20" s="475" t="e">
        <f ca="1">_xll.qlRateHelperLatestDate($F20)</f>
        <v>#NAME?</v>
      </c>
    </row>
    <row r="21" spans="1:11" x14ac:dyDescent="0.2">
      <c r="B21" s="478"/>
      <c r="C21" s="478" t="str">
        <f t="shared" si="2"/>
        <v>EON</v>
      </c>
      <c r="D21" s="477" t="s">
        <v>175</v>
      </c>
      <c r="E21" s="441" t="str">
        <f t="shared" si="3"/>
        <v>EUREON1M_Quote</v>
      </c>
      <c r="F21" s="441" t="e">
        <f ca="1">_xll.qlOISRateHelper("W"&amp;Currency&amp;B21&amp;C21&amp;D21,2,D21,E21,OvernightIndex,,EvaluationDate)</f>
        <v>#NAME?</v>
      </c>
      <c r="G21" s="476" t="b">
        <v>1</v>
      </c>
      <c r="H21" s="476">
        <v>50</v>
      </c>
      <c r="I21" s="476">
        <v>1</v>
      </c>
      <c r="J21" s="475" t="e">
        <f ca="1">_xll.qlRateHelperEarliestDate($F21)</f>
        <v>#NAME?</v>
      </c>
      <c r="K21" s="475" t="e">
        <f ca="1">_xll.qlRateHelperLatestDate($F21)</f>
        <v>#NAME?</v>
      </c>
    </row>
    <row r="22" spans="1:11" x14ac:dyDescent="0.2">
      <c r="B22" s="478"/>
      <c r="C22" s="478" t="str">
        <f t="shared" si="2"/>
        <v>EON</v>
      </c>
      <c r="D22" s="477" t="s">
        <v>174</v>
      </c>
      <c r="E22" s="441" t="str">
        <f t="shared" si="3"/>
        <v>EUREON2M_Quote</v>
      </c>
      <c r="F22" s="441" t="e">
        <f ca="1">_xll.qlOISRateHelper("W"&amp;Currency&amp;B22&amp;C22&amp;D22,2,D22,E22,OvernightIndex,,EvaluationDate)</f>
        <v>#NAME?</v>
      </c>
      <c r="G22" s="476" t="b">
        <v>1</v>
      </c>
      <c r="H22" s="476">
        <v>50</v>
      </c>
      <c r="I22" s="476">
        <v>1</v>
      </c>
      <c r="J22" s="475" t="e">
        <f ca="1">_xll.qlRateHelperEarliestDate($F22)</f>
        <v>#NAME?</v>
      </c>
      <c r="K22" s="475" t="e">
        <f ca="1">_xll.qlRateHelperLatestDate($F22)</f>
        <v>#NAME?</v>
      </c>
    </row>
    <row r="23" spans="1:11" x14ac:dyDescent="0.2">
      <c r="B23" s="478"/>
      <c r="C23" s="478" t="str">
        <f t="shared" si="2"/>
        <v>EON</v>
      </c>
      <c r="D23" s="477" t="s">
        <v>127</v>
      </c>
      <c r="E23" s="441" t="str">
        <f t="shared" si="3"/>
        <v>EUREON3M_Quote</v>
      </c>
      <c r="F23" s="441" t="e">
        <f ca="1">_xll.qlOISRateHelper("W"&amp;Currency&amp;B23&amp;C23&amp;D23,2,D23,E23,OvernightIndex,,EvaluationDate)</f>
        <v>#NAME?</v>
      </c>
      <c r="G23" s="476" t="b">
        <v>1</v>
      </c>
      <c r="H23" s="476">
        <v>50</v>
      </c>
      <c r="I23" s="476">
        <v>1</v>
      </c>
      <c r="J23" s="475" t="e">
        <f ca="1">_xll.qlRateHelperEarliestDate($F23)</f>
        <v>#NAME?</v>
      </c>
      <c r="K23" s="475" t="e">
        <f ca="1">_xll.qlRateHelperLatestDate($F23)</f>
        <v>#NAME?</v>
      </c>
    </row>
    <row r="24" spans="1:11" x14ac:dyDescent="0.2">
      <c r="B24" s="478"/>
      <c r="C24" s="478" t="str">
        <f t="shared" si="2"/>
        <v>EON</v>
      </c>
      <c r="D24" s="477" t="s">
        <v>173</v>
      </c>
      <c r="E24" s="441" t="str">
        <f t="shared" si="3"/>
        <v>EUREON4M_Quote</v>
      </c>
      <c r="F24" s="441" t="e">
        <f ca="1">_xll.qlOISRateHelper("W"&amp;Currency&amp;B24&amp;C24&amp;D24,2,D24,E24,OvernightIndex,,EvaluationDate)</f>
        <v>#NAME?</v>
      </c>
      <c r="G24" s="476" t="b">
        <v>1</v>
      </c>
      <c r="H24" s="476">
        <v>50</v>
      </c>
      <c r="I24" s="476">
        <v>1</v>
      </c>
      <c r="J24" s="475" t="e">
        <f ca="1">_xll.qlRateHelperEarliestDate($F24)</f>
        <v>#NAME?</v>
      </c>
      <c r="K24" s="475" t="e">
        <f ca="1">_xll.qlRateHelperLatestDate($F24)</f>
        <v>#NAME?</v>
      </c>
    </row>
    <row r="25" spans="1:11" x14ac:dyDescent="0.2">
      <c r="B25" s="478"/>
      <c r="C25" s="478" t="str">
        <f t="shared" si="2"/>
        <v>EON</v>
      </c>
      <c r="D25" s="477" t="s">
        <v>172</v>
      </c>
      <c r="E25" s="441" t="str">
        <f t="shared" si="3"/>
        <v>EUREON5M_Quote</v>
      </c>
      <c r="F25" s="441" t="e">
        <f ca="1">_xll.qlOISRateHelper("W"&amp;Currency&amp;B25&amp;C25&amp;D25,2,D25,E25,OvernightIndex,,EvaluationDate)</f>
        <v>#NAME?</v>
      </c>
      <c r="G25" s="476" t="b">
        <v>1</v>
      </c>
      <c r="H25" s="476">
        <v>50</v>
      </c>
      <c r="I25" s="476">
        <v>1</v>
      </c>
      <c r="J25" s="475" t="e">
        <f ca="1">_xll.qlRateHelperEarliestDate($F25)</f>
        <v>#NAME?</v>
      </c>
      <c r="K25" s="475" t="e">
        <f ca="1">_xll.qlRateHelperLatestDate($F25)</f>
        <v>#NAME?</v>
      </c>
    </row>
    <row r="26" spans="1:11" x14ac:dyDescent="0.2">
      <c r="B26" s="478"/>
      <c r="C26" s="478" t="str">
        <f t="shared" si="2"/>
        <v>EON</v>
      </c>
      <c r="D26" s="477" t="s">
        <v>92</v>
      </c>
      <c r="E26" s="441" t="str">
        <f t="shared" si="3"/>
        <v>EUREON6M_Quote</v>
      </c>
      <c r="F26" s="441" t="e">
        <f ca="1">_xll.qlOISRateHelper("W"&amp;Currency&amp;B26&amp;C26&amp;D26,2,D26,E26,OvernightIndex,,EvaluationDate)</f>
        <v>#NAME?</v>
      </c>
      <c r="G26" s="476" t="b">
        <v>1</v>
      </c>
      <c r="H26" s="476">
        <v>50</v>
      </c>
      <c r="I26" s="476">
        <v>1</v>
      </c>
      <c r="J26" s="475" t="e">
        <f ca="1">_xll.qlRateHelperEarliestDate($F26)</f>
        <v>#NAME?</v>
      </c>
      <c r="K26" s="475" t="e">
        <f ca="1">_xll.qlRateHelperLatestDate($F26)</f>
        <v>#NAME?</v>
      </c>
    </row>
    <row r="27" spans="1:11" x14ac:dyDescent="0.2">
      <c r="B27" s="478"/>
      <c r="C27" s="478" t="str">
        <f t="shared" si="2"/>
        <v>EON</v>
      </c>
      <c r="D27" s="477" t="s">
        <v>171</v>
      </c>
      <c r="E27" s="441" t="str">
        <f t="shared" si="3"/>
        <v>EUREON7M_Quote</v>
      </c>
      <c r="F27" s="441" t="e">
        <f ca="1">_xll.qlOISRateHelper("W"&amp;Currency&amp;B27&amp;C27&amp;D27,2,D27,E27,OvernightIndex,,EvaluationDate)</f>
        <v>#NAME?</v>
      </c>
      <c r="G27" s="476" t="b">
        <v>1</v>
      </c>
      <c r="H27" s="476">
        <v>50</v>
      </c>
      <c r="I27" s="476">
        <v>1</v>
      </c>
      <c r="J27" s="475" t="e">
        <f ca="1">_xll.qlRateHelperEarliestDate($F27)</f>
        <v>#NAME?</v>
      </c>
      <c r="K27" s="475" t="e">
        <f ca="1">_xll.qlRateHelperLatestDate($F27)</f>
        <v>#NAME?</v>
      </c>
    </row>
    <row r="28" spans="1:11" x14ac:dyDescent="0.2">
      <c r="B28" s="478"/>
      <c r="C28" s="478" t="str">
        <f t="shared" si="2"/>
        <v>EON</v>
      </c>
      <c r="D28" s="477" t="s">
        <v>170</v>
      </c>
      <c r="E28" s="441" t="str">
        <f t="shared" si="3"/>
        <v>EUREON8M_Quote</v>
      </c>
      <c r="F28" s="441" t="e">
        <f ca="1">_xll.qlOISRateHelper("W"&amp;Currency&amp;B28&amp;C28&amp;D28,2,D28,E28,OvernightIndex,,EvaluationDate)</f>
        <v>#NAME?</v>
      </c>
      <c r="G28" s="476" t="b">
        <v>1</v>
      </c>
      <c r="H28" s="476">
        <v>50</v>
      </c>
      <c r="I28" s="476">
        <v>1</v>
      </c>
      <c r="J28" s="475" t="e">
        <f ca="1">_xll.qlRateHelperEarliestDate($F28)</f>
        <v>#NAME?</v>
      </c>
      <c r="K28" s="475" t="e">
        <f ca="1">_xll.qlRateHelperLatestDate($F28)</f>
        <v>#NAME?</v>
      </c>
    </row>
    <row r="29" spans="1:11" x14ac:dyDescent="0.2">
      <c r="B29" s="478"/>
      <c r="C29" s="478" t="str">
        <f t="shared" si="2"/>
        <v>EON</v>
      </c>
      <c r="D29" s="477" t="s">
        <v>169</v>
      </c>
      <c r="E29" s="441" t="str">
        <f t="shared" si="3"/>
        <v>EUREON9M_Quote</v>
      </c>
      <c r="F29" s="441" t="e">
        <f ca="1">_xll.qlOISRateHelper("W"&amp;Currency&amp;B29&amp;C29&amp;D29,2,D29,E29,OvernightIndex,,EvaluationDate)</f>
        <v>#NAME?</v>
      </c>
      <c r="G29" s="476" t="b">
        <v>1</v>
      </c>
      <c r="H29" s="476">
        <v>50</v>
      </c>
      <c r="I29" s="476">
        <v>1</v>
      </c>
      <c r="J29" s="475" t="e">
        <f ca="1">_xll.qlRateHelperEarliestDate($F29)</f>
        <v>#NAME?</v>
      </c>
      <c r="K29" s="475" t="e">
        <f ca="1">_xll.qlRateHelperLatestDate($F29)</f>
        <v>#NAME?</v>
      </c>
    </row>
    <row r="30" spans="1:11" x14ac:dyDescent="0.2">
      <c r="B30" s="478"/>
      <c r="C30" s="478" t="str">
        <f t="shared" si="2"/>
        <v>EON</v>
      </c>
      <c r="D30" s="477" t="s">
        <v>168</v>
      </c>
      <c r="E30" s="441" t="str">
        <f t="shared" si="3"/>
        <v>EUREON10M_Quote</v>
      </c>
      <c r="F30" s="441" t="e">
        <f ca="1">_xll.qlOISRateHelper("W"&amp;Currency&amp;B30&amp;C30&amp;D30,2,D30,E30,OvernightIndex,,EvaluationDate)</f>
        <v>#NAME?</v>
      </c>
      <c r="G30" s="476" t="b">
        <v>1</v>
      </c>
      <c r="H30" s="476">
        <v>50</v>
      </c>
      <c r="I30" s="476">
        <v>1</v>
      </c>
      <c r="J30" s="475" t="e">
        <f ca="1">_xll.qlRateHelperEarliestDate($F30)</f>
        <v>#NAME?</v>
      </c>
      <c r="K30" s="475" t="e">
        <f ca="1">_xll.qlRateHelperLatestDate($F30)</f>
        <v>#NAME?</v>
      </c>
    </row>
    <row r="31" spans="1:11" x14ac:dyDescent="0.2">
      <c r="B31" s="478"/>
      <c r="C31" s="478" t="str">
        <f t="shared" si="2"/>
        <v>EON</v>
      </c>
      <c r="D31" s="477" t="s">
        <v>167</v>
      </c>
      <c r="E31" s="441" t="str">
        <f t="shared" si="3"/>
        <v>EUREON11M_Quote</v>
      </c>
      <c r="F31" s="441" t="e">
        <f ca="1">_xll.qlOISRateHelper("W"&amp;Currency&amp;B31&amp;C31&amp;D31,2,D31,E31,OvernightIndex,,EvaluationDate)</f>
        <v>#NAME?</v>
      </c>
      <c r="G31" s="476" t="b">
        <v>1</v>
      </c>
      <c r="H31" s="476">
        <v>50</v>
      </c>
      <c r="I31" s="476">
        <v>1</v>
      </c>
      <c r="J31" s="475" t="e">
        <f ca="1">_xll.qlRateHelperEarliestDate($F31)</f>
        <v>#NAME?</v>
      </c>
      <c r="K31" s="475" t="e">
        <f ca="1">_xll.qlRateHelperLatestDate($F31)</f>
        <v>#NAME?</v>
      </c>
    </row>
    <row r="32" spans="1:11" x14ac:dyDescent="0.2">
      <c r="B32" s="478"/>
      <c r="C32" s="478" t="str">
        <f t="shared" si="2"/>
        <v>EON</v>
      </c>
      <c r="D32" s="477" t="s">
        <v>58</v>
      </c>
      <c r="E32" s="441" t="str">
        <f t="shared" si="3"/>
        <v>EUREON1Y_Quote</v>
      </c>
      <c r="F32" s="441" t="e">
        <f ca="1">_xll.qlOISRateHelper("W"&amp;Currency&amp;B32&amp;C32&amp;D32,2,D32,E32,OvernightIndex,,EvaluationDate)</f>
        <v>#NAME?</v>
      </c>
      <c r="G32" s="476" t="b">
        <v>1</v>
      </c>
      <c r="H32" s="476">
        <v>50</v>
      </c>
      <c r="I32" s="476">
        <v>1</v>
      </c>
      <c r="J32" s="475" t="e">
        <f ca="1">_xll.qlRateHelperEarliestDate($F32)</f>
        <v>#NAME?</v>
      </c>
      <c r="K32" s="475" t="e">
        <f ca="1">_xll.qlRateHelperLatestDate($F32)</f>
        <v>#NAME?</v>
      </c>
    </row>
    <row r="33" spans="2:11" x14ac:dyDescent="0.2">
      <c r="B33" s="478"/>
      <c r="C33" s="478" t="str">
        <f t="shared" si="2"/>
        <v>EON</v>
      </c>
      <c r="D33" s="477" t="s">
        <v>57</v>
      </c>
      <c r="E33" s="441" t="str">
        <f t="shared" si="3"/>
        <v>EUREON15M_Quote</v>
      </c>
      <c r="F33" s="441" t="e">
        <f ca="1">_xll.qlOISRateHelper("W"&amp;Currency&amp;B33&amp;C33&amp;D33,2,D33,E33,OvernightIndex,,EvaluationDate)</f>
        <v>#NAME?</v>
      </c>
      <c r="G33" s="476" t="b">
        <v>1</v>
      </c>
      <c r="H33" s="476">
        <v>50</v>
      </c>
      <c r="I33" s="476">
        <v>1</v>
      </c>
      <c r="J33" s="475" t="e">
        <f ca="1">_xll.qlRateHelperEarliestDate($F33)</f>
        <v>#NAME?</v>
      </c>
      <c r="K33" s="475" t="e">
        <f ca="1">_xll.qlRateHelperLatestDate($F33)</f>
        <v>#NAME?</v>
      </c>
    </row>
    <row r="34" spans="2:11" x14ac:dyDescent="0.2">
      <c r="B34" s="478"/>
      <c r="C34" s="478" t="str">
        <f t="shared" si="2"/>
        <v>EON</v>
      </c>
      <c r="D34" s="477" t="s">
        <v>56</v>
      </c>
      <c r="E34" s="441" t="str">
        <f t="shared" si="3"/>
        <v>EUREON18M_Quote</v>
      </c>
      <c r="F34" s="441" t="e">
        <f ca="1">_xll.qlOISRateHelper("W"&amp;Currency&amp;B34&amp;C34&amp;D34,2,D34,E34,OvernightIndex,,EvaluationDate)</f>
        <v>#NAME?</v>
      </c>
      <c r="G34" s="476" t="b">
        <v>1</v>
      </c>
      <c r="H34" s="476">
        <v>50</v>
      </c>
      <c r="I34" s="476">
        <v>1</v>
      </c>
      <c r="J34" s="475" t="e">
        <f ca="1">_xll.qlRateHelperEarliestDate($F34)</f>
        <v>#NAME?</v>
      </c>
      <c r="K34" s="475" t="e">
        <f ca="1">_xll.qlRateHelperLatestDate($F34)</f>
        <v>#NAME?</v>
      </c>
    </row>
    <row r="35" spans="2:11" x14ac:dyDescent="0.2">
      <c r="B35" s="478"/>
      <c r="C35" s="478" t="str">
        <f t="shared" si="2"/>
        <v>EON</v>
      </c>
      <c r="D35" s="477" t="s">
        <v>55</v>
      </c>
      <c r="E35" s="441" t="str">
        <f t="shared" si="3"/>
        <v>EUREON21M_Quote</v>
      </c>
      <c r="F35" s="441" t="e">
        <f ca="1">_xll.qlOISRateHelper("W"&amp;Currency&amp;B35&amp;C35&amp;D35,2,D35,E35,OvernightIndex,,EvaluationDate)</f>
        <v>#NAME?</v>
      </c>
      <c r="G35" s="476" t="b">
        <v>1</v>
      </c>
      <c r="H35" s="476">
        <v>50</v>
      </c>
      <c r="I35" s="476">
        <v>1</v>
      </c>
      <c r="J35" s="475" t="e">
        <f ca="1">_xll.qlRateHelperEarliestDate($F35)</f>
        <v>#NAME?</v>
      </c>
      <c r="K35" s="475" t="e">
        <f ca="1">_xll.qlRateHelperLatestDate($F35)</f>
        <v>#NAME?</v>
      </c>
    </row>
    <row r="36" spans="2:11" x14ac:dyDescent="0.2">
      <c r="B36" s="474"/>
      <c r="C36" s="474" t="str">
        <f t="shared" si="2"/>
        <v>EON</v>
      </c>
      <c r="D36" s="473" t="s">
        <v>54</v>
      </c>
      <c r="E36" s="427" t="str">
        <f t="shared" si="3"/>
        <v>EUREON2Y_Quote</v>
      </c>
      <c r="F36" s="427" t="e">
        <f ca="1">_xll.qlOISRateHelper("W"&amp;Currency&amp;B36&amp;C36&amp;D36,2,D36,E36,OvernightIndex,,EvaluationDate)</f>
        <v>#NAME?</v>
      </c>
      <c r="G36" s="472" t="b">
        <v>1</v>
      </c>
      <c r="H36" s="472">
        <v>50</v>
      </c>
      <c r="I36" s="472">
        <v>1</v>
      </c>
      <c r="J36" s="471" t="e">
        <f ca="1">_xll.qlRateHelperEarliestDate($F36)</f>
        <v>#NAME?</v>
      </c>
      <c r="K36" s="471" t="e">
        <f ca="1">_xll.qlRateHelperLatestDate($F36)</f>
        <v>#NAME?</v>
      </c>
    </row>
    <row r="37" spans="2:11" x14ac:dyDescent="0.2">
      <c r="D37" s="425"/>
      <c r="E37" s="470"/>
      <c r="F37" s="470"/>
      <c r="G37" s="425"/>
      <c r="H37" s="425"/>
      <c r="I37" s="425"/>
      <c r="J37" s="425"/>
      <c r="K37" s="425"/>
    </row>
    <row r="38" spans="2:11" x14ac:dyDescent="0.2">
      <c r="D38" s="423" t="e">
        <f ca="1">_xll.ohTrigger(RateHelpers)</f>
        <v>#NAME?</v>
      </c>
      <c r="E38" s="423" t="e">
        <f ca="1">_xll.ohTrigger(RateHelpers)</f>
        <v>#NAME?</v>
      </c>
      <c r="F38" s="423" t="e">
        <f ca="1">_xll.ohTrigger(RateHelpers)</f>
        <v>#NAME?</v>
      </c>
      <c r="G38" s="423" t="e">
        <f ca="1">_xll.ohTrigger(RateHelpers)</f>
        <v>#NAME?</v>
      </c>
      <c r="H38" s="423" t="e">
        <f ca="1">_xll.ohTrigger(RateHelpers)</f>
        <v>#NAME?</v>
      </c>
      <c r="I38" s="423" t="e">
        <f ca="1">_xll.ohTrigger(RateHelpers)</f>
        <v>#NAME?</v>
      </c>
      <c r="J38" s="423" t="e">
        <f ca="1">_xll.ohTrigger(RateHelpers)</f>
        <v>#NAME?</v>
      </c>
      <c r="K38" s="423" t="e">
        <f ca="1">_xll.ohTrigger(RateHelpers)</f>
        <v>#NAME?</v>
      </c>
    </row>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CE130"/>
  <sheetViews>
    <sheetView showGridLines="0" workbookViewId="0">
      <pane xSplit="11" topLeftCell="BT1" activePane="topRight" state="frozen"/>
      <selection pane="topRight" activeCell="CE4" sqref="CE4:CE5"/>
    </sheetView>
  </sheetViews>
  <sheetFormatPr defaultRowHeight="11.25" outlineLevelCol="1" x14ac:dyDescent="0.2"/>
  <cols>
    <col min="1" max="1" width="16.140625" style="424" hidden="1" customWidth="1" outlineLevel="1"/>
    <col min="2" max="2" width="10" style="424" hidden="1" customWidth="1" outlineLevel="1"/>
    <col min="3" max="4" width="17.28515625" style="424" hidden="1" customWidth="1" outlineLevel="1"/>
    <col min="5" max="5" width="2.7109375" style="423" hidden="1" customWidth="1" outlineLevel="1"/>
    <col min="6" max="6" width="10" style="423" hidden="1" customWidth="1" outlineLevel="1"/>
    <col min="7" max="7" width="7" style="423" hidden="1" customWidth="1" outlineLevel="1"/>
    <col min="8" max="8" width="2.7109375" style="423" customWidth="1" collapsed="1"/>
    <col min="9" max="9" width="17.28515625" style="423" bestFit="1" customWidth="1"/>
    <col min="10" max="10" width="9" style="423" bestFit="1" customWidth="1"/>
    <col min="11" max="11" width="17.28515625" style="423" bestFit="1" customWidth="1"/>
    <col min="12" max="12" width="2.7109375" style="423" customWidth="1"/>
    <col min="13" max="13" width="17.28515625" style="423" bestFit="1" customWidth="1"/>
    <col min="14" max="15" width="10.7109375" style="423" customWidth="1"/>
    <col min="16" max="16" width="2.7109375" style="423" customWidth="1"/>
    <col min="17" max="17" width="17.28515625" style="423" bestFit="1" customWidth="1"/>
    <col min="18" max="19" width="10.7109375" style="423" customWidth="1"/>
    <col min="20" max="20" width="2.7109375" style="423" customWidth="1"/>
    <col min="21" max="21" width="17.28515625" style="423" bestFit="1" customWidth="1"/>
    <col min="22" max="23" width="10.7109375" style="423" customWidth="1"/>
    <col min="24" max="24" width="2.7109375" style="423" customWidth="1"/>
    <col min="25" max="25" width="17.28515625" style="423" bestFit="1" customWidth="1"/>
    <col min="26" max="27" width="10.7109375" style="423" customWidth="1"/>
    <col min="28" max="28" width="2.7109375" style="423" customWidth="1"/>
    <col min="29" max="29" width="17.28515625" style="423" bestFit="1" customWidth="1"/>
    <col min="30" max="31" width="10.7109375" style="423" customWidth="1"/>
    <col min="32" max="32" width="2.7109375" style="423" customWidth="1"/>
    <col min="33" max="33" width="17.28515625" style="423" bestFit="1" customWidth="1"/>
    <col min="34" max="35" width="10.7109375" style="423" customWidth="1"/>
    <col min="36" max="36" width="2.7109375" style="423" customWidth="1"/>
    <col min="37" max="37" width="17.28515625" style="423" bestFit="1" customWidth="1"/>
    <col min="38" max="39" width="10.7109375" style="423" customWidth="1"/>
    <col min="40" max="40" width="2.7109375" style="423" customWidth="1"/>
    <col min="41" max="41" width="17.28515625" style="423" bestFit="1" customWidth="1"/>
    <col min="42" max="43" width="10.7109375" style="423" customWidth="1"/>
    <col min="44" max="44" width="2.7109375" style="423" customWidth="1"/>
    <col min="45" max="45" width="17.28515625" style="423" bestFit="1" customWidth="1"/>
    <col min="46" max="47" width="10.7109375" style="423" customWidth="1"/>
    <col min="48" max="48" width="2.7109375" style="423" customWidth="1"/>
    <col min="49" max="49" width="17.28515625" style="423" bestFit="1" customWidth="1"/>
    <col min="50" max="51" width="10.7109375" style="423" customWidth="1"/>
    <col min="52" max="52" width="2.7109375" style="423" customWidth="1"/>
    <col min="53" max="53" width="17.28515625" style="423" bestFit="1" customWidth="1"/>
    <col min="54" max="55" width="10.7109375" style="423" customWidth="1"/>
    <col min="56" max="56" width="2.7109375" style="423" customWidth="1"/>
    <col min="57" max="57" width="17.28515625" style="423" bestFit="1" customWidth="1"/>
    <col min="58" max="59" width="10.7109375" style="423" customWidth="1"/>
    <col min="60" max="60" width="2.7109375" style="423" customWidth="1"/>
    <col min="61" max="61" width="17.28515625" style="423" bestFit="1" customWidth="1"/>
    <col min="62" max="64" width="10.7109375" style="423" customWidth="1"/>
    <col min="65" max="65" width="17.28515625" style="423" bestFit="1" customWidth="1"/>
    <col min="66" max="66" width="10" style="423" bestFit="1" customWidth="1"/>
    <col min="67" max="67" width="11" style="423" bestFit="1" customWidth="1"/>
    <col min="68" max="68" width="1.7109375" style="423" customWidth="1"/>
    <col min="69" max="69" width="17.28515625" style="423" bestFit="1" customWidth="1"/>
    <col min="70" max="70" width="10" style="423" bestFit="1" customWidth="1"/>
    <col min="71" max="71" width="11" style="423" bestFit="1" customWidth="1"/>
    <col min="72" max="72" width="9.140625" style="423"/>
    <col min="73" max="73" width="17.28515625" style="423" bestFit="1" customWidth="1"/>
    <col min="74" max="16384" width="9.140625" style="423"/>
  </cols>
  <sheetData>
    <row r="1" spans="1:83" x14ac:dyDescent="0.2">
      <c r="A1" s="465" t="s">
        <v>277</v>
      </c>
      <c r="B1" s="469">
        <v>0</v>
      </c>
      <c r="N1" s="460" t="s">
        <v>276</v>
      </c>
      <c r="O1" s="440" t="e">
        <f ca="1">MAX(O5:O129)</f>
        <v>#NAME?</v>
      </c>
      <c r="R1" s="460" t="s">
        <v>276</v>
      </c>
      <c r="S1" s="440" t="e">
        <f ca="1">MAX(S5:S129)</f>
        <v>#NAME?</v>
      </c>
      <c r="V1" s="460" t="s">
        <v>276</v>
      </c>
      <c r="W1" s="440" t="e">
        <f ca="1">MAX(W5:W129)</f>
        <v>#NAME?</v>
      </c>
      <c r="Z1" s="460" t="s">
        <v>276</v>
      </c>
      <c r="AA1" s="440" t="e">
        <f ca="1">MAX(AA5:AA129)</f>
        <v>#NAME?</v>
      </c>
      <c r="AD1" s="460" t="s">
        <v>276</v>
      </c>
      <c r="AE1" s="440" t="e">
        <f ca="1">MAX(AE5:AE129)</f>
        <v>#NAME?</v>
      </c>
      <c r="AH1" s="460" t="s">
        <v>276</v>
      </c>
      <c r="AI1" s="440" t="e">
        <f ca="1">MAX(AI5:AI129)</f>
        <v>#NAME?</v>
      </c>
      <c r="AL1" s="460" t="s">
        <v>276</v>
      </c>
      <c r="AM1" s="440" t="e">
        <f ca="1">MAX(AM5:AM129)</f>
        <v>#NAME?</v>
      </c>
      <c r="AP1" s="460" t="s">
        <v>276</v>
      </c>
      <c r="AQ1" s="440" t="e">
        <f ca="1">MAX(AQ5:AQ129)</f>
        <v>#NAME?</v>
      </c>
      <c r="AT1" s="460" t="s">
        <v>276</v>
      </c>
      <c r="AU1" s="440" t="e">
        <f ca="1">MAX(AU5:AU129)</f>
        <v>#NAME?</v>
      </c>
      <c r="AX1" s="460" t="s">
        <v>276</v>
      </c>
      <c r="AY1" s="440" t="e">
        <f ca="1">MAX(AY5:AY129)</f>
        <v>#NAME?</v>
      </c>
      <c r="BB1" s="460" t="s">
        <v>276</v>
      </c>
      <c r="BC1" s="440" t="e">
        <f ca="1">MAX(BC5:BC129)</f>
        <v>#NAME?</v>
      </c>
      <c r="BF1" s="460" t="s">
        <v>276</v>
      </c>
      <c r="BG1" s="440" t="e">
        <f ca="1">MAX(BG5:BG129)</f>
        <v>#NAME?</v>
      </c>
      <c r="BJ1" s="460" t="s">
        <v>276</v>
      </c>
      <c r="BK1" s="440" t="e">
        <f ca="1">MAX(BK5:BK129)</f>
        <v>#NAME?</v>
      </c>
    </row>
    <row r="2" spans="1:83" x14ac:dyDescent="0.2">
      <c r="I2" s="468" t="e">
        <f ca="1">_xll.qlCalendarEndOfMonth(Calendar,EDATE(DATE(YEAR(K4),MONTH(K4),1),-1))</f>
        <v>#NAME?</v>
      </c>
      <c r="M2" s="462" t="e">
        <f ca="1">_xll.qlCalendarAdvance(Calendar,I2,"1m","mf",TRUE)</f>
        <v>#NAME?</v>
      </c>
      <c r="N2" s="460" t="s">
        <v>275</v>
      </c>
      <c r="O2" s="467" t="e">
        <f ca="1">_xll.qlDayCounterYearFraction(DayCounter,M2,_xll.qlCalendarAdvance(Calendar,M2,"1D"))</f>
        <v>#NAME?</v>
      </c>
      <c r="P2" s="450"/>
      <c r="Q2" s="462" t="e">
        <f ca="1">_xll.qlCalendarAdvance(Calendar,M2,"1m","mf",TRUE)</f>
        <v>#NAME?</v>
      </c>
      <c r="R2" s="460" t="s">
        <v>275</v>
      </c>
      <c r="S2" s="467" t="e">
        <f ca="1">_xll.qlDayCounterYearFraction(DayCounter,Q2,_xll.qlCalendarAdvance(Calendar,Q2,"1D"))</f>
        <v>#NAME?</v>
      </c>
      <c r="T2" s="429"/>
      <c r="U2" s="462" t="e">
        <f ca="1">_xll.qlCalendarAdvance(Calendar,Q2,"1m","mf",TRUE)</f>
        <v>#NAME?</v>
      </c>
      <c r="V2" s="460" t="s">
        <v>275</v>
      </c>
      <c r="W2" s="467" t="e">
        <f ca="1">_xll.qlDayCounterYearFraction(DayCounter,U2,_xll.qlCalendarAdvance(Calendar,U2,"1D"))</f>
        <v>#NAME?</v>
      </c>
      <c r="X2" s="429"/>
      <c r="Y2" s="462" t="e">
        <f ca="1">_xll.qlCalendarAdvance(Calendar,U2,"1m","mf",TRUE)</f>
        <v>#NAME?</v>
      </c>
      <c r="Z2" s="460" t="s">
        <v>275</v>
      </c>
      <c r="AA2" s="467" t="e">
        <f ca="1">_xll.qlDayCounterYearFraction(DayCounter,Y2,_xll.qlCalendarAdvance(Calendar,Y2,"1D"))</f>
        <v>#NAME?</v>
      </c>
      <c r="AB2" s="429"/>
      <c r="AC2" s="462" t="e">
        <f ca="1">_xll.qlCalendarAdvance(Calendar,Y2,"1m","mf",TRUE)</f>
        <v>#NAME?</v>
      </c>
      <c r="AD2" s="460" t="s">
        <v>275</v>
      </c>
      <c r="AE2" s="467" t="e">
        <f ca="1">_xll.qlDayCounterYearFraction(DayCounter,AC2,_xll.qlCalendarAdvance(Calendar,AC2,"1D"))</f>
        <v>#NAME?</v>
      </c>
      <c r="AF2" s="429"/>
      <c r="AG2" s="462" t="e">
        <f ca="1">_xll.qlCalendarAdvance(Calendar,AC2,"1m","mf",TRUE)</f>
        <v>#NAME?</v>
      </c>
      <c r="AH2" s="460" t="s">
        <v>275</v>
      </c>
      <c r="AI2" s="467" t="e">
        <f ca="1">_xll.qlDayCounterYearFraction(DayCounter,AG2,_xll.qlCalendarAdvance(Calendar,AG2,"1D"))</f>
        <v>#NAME?</v>
      </c>
      <c r="AJ2" s="429"/>
      <c r="AK2" s="462" t="e">
        <f ca="1">_xll.qlCalendarAdvance(Calendar,AG2,"1m","mf",TRUE)</f>
        <v>#NAME?</v>
      </c>
      <c r="AL2" s="460" t="s">
        <v>275</v>
      </c>
      <c r="AM2" s="467" t="e">
        <f ca="1">_xll.qlDayCounterYearFraction(DayCounter,AK2,_xll.qlCalendarAdvance(Calendar,AK2,"1D"))</f>
        <v>#NAME?</v>
      </c>
      <c r="AO2" s="462" t="e">
        <f ca="1">_xll.qlCalendarAdvance(Calendar,AK2,"1m","mf",TRUE)</f>
        <v>#NAME?</v>
      </c>
      <c r="AP2" s="460" t="s">
        <v>275</v>
      </c>
      <c r="AQ2" s="467" t="e">
        <f ca="1">_xll.qlDayCounterYearFraction(DayCounter,AO2,_xll.qlCalendarAdvance(Calendar,AO2,"1D"))</f>
        <v>#NAME?</v>
      </c>
      <c r="AS2" s="462" t="e">
        <f ca="1">_xll.qlCalendarAdvance(Calendar,AO2,"1m","mf",TRUE)</f>
        <v>#NAME?</v>
      </c>
      <c r="AT2" s="460" t="s">
        <v>275</v>
      </c>
      <c r="AU2" s="467" t="e">
        <f ca="1">_xll.qlDayCounterYearFraction(DayCounter,AS2,_xll.qlCalendarAdvance(Calendar,AS2,"1D"))</f>
        <v>#NAME?</v>
      </c>
      <c r="AW2" s="462" t="e">
        <f ca="1">_xll.qlCalendarAdvance(Calendar,AS2,"1m","mf",TRUE)</f>
        <v>#NAME?</v>
      </c>
      <c r="AX2" s="460" t="s">
        <v>275</v>
      </c>
      <c r="AY2" s="467" t="e">
        <f ca="1">_xll.qlDayCounterYearFraction(DayCounter,AW2,_xll.qlCalendarAdvance(Calendar,AW2,"1D"))</f>
        <v>#NAME?</v>
      </c>
      <c r="BA2" s="462" t="e">
        <f ca="1">_xll.qlCalendarAdvance(Calendar,AW2,"1m","mf",TRUE)</f>
        <v>#NAME?</v>
      </c>
      <c r="BB2" s="460" t="s">
        <v>275</v>
      </c>
      <c r="BC2" s="467" t="e">
        <f ca="1">_xll.qlDayCounterYearFraction(DayCounter,BA2,_xll.qlCalendarAdvance(Calendar,BA2,"1D"))</f>
        <v>#NAME?</v>
      </c>
      <c r="BE2" s="462" t="e">
        <f ca="1">_xll.qlCalendarAdvance(Calendar,BA2,"1m","mf",TRUE)</f>
        <v>#NAME?</v>
      </c>
      <c r="BF2" s="460" t="s">
        <v>275</v>
      </c>
      <c r="BG2" s="467" t="e">
        <f ca="1">_xll.qlDayCounterYearFraction(DayCounter,BE2,_xll.qlCalendarAdvance(Calendar,BE2,"1D"))</f>
        <v>#NAME?</v>
      </c>
      <c r="BI2" s="462" t="e">
        <f ca="1">_xll.qlCalendarAdjust(Calendar,DATE(YEAR(SettlementDate)+1,12,31),"Preceding",Trigger)</f>
        <v>#NAME?</v>
      </c>
      <c r="BJ2" s="460" t="s">
        <v>275</v>
      </c>
      <c r="BK2" s="467" t="e">
        <f ca="1">_xll.qlDayCounterYearFraction(DayCounter,BI2,_xll.qlCalendarAdvance(Calendar,BI2,"1D"))</f>
        <v>#NAME?</v>
      </c>
    </row>
    <row r="3" spans="1:83" ht="21" customHeight="1" thickBot="1" x14ac:dyDescent="0.25">
      <c r="A3" s="465" t="s">
        <v>274</v>
      </c>
      <c r="B3" s="465" t="s">
        <v>273</v>
      </c>
      <c r="C3" s="465" t="s">
        <v>272</v>
      </c>
      <c r="D3" s="465" t="s">
        <v>271</v>
      </c>
      <c r="E3" s="466"/>
      <c r="F3" s="465" t="s">
        <v>270</v>
      </c>
      <c r="G3" s="465" t="s">
        <v>269</v>
      </c>
      <c r="H3" s="466"/>
      <c r="I3" s="465" t="s">
        <v>268</v>
      </c>
      <c r="J3" s="464" t="s">
        <v>267</v>
      </c>
      <c r="K3" s="463" t="s">
        <v>266</v>
      </c>
      <c r="L3" s="430"/>
      <c r="M3" s="462" t="e">
        <f ca="1">_xll.qlInterpolation(,FwdInterpolation,_xll.ohFilter($F5:$F129,M5:M129),_xll.ohFilter(J5:J129,M5:M129))</f>
        <v>#NAME?</v>
      </c>
      <c r="N3" s="461" t="s">
        <v>265</v>
      </c>
      <c r="O3" s="460" t="s">
        <v>264</v>
      </c>
      <c r="P3" s="450"/>
      <c r="Q3" s="462" t="e">
        <f ca="1">_xll.qlInterpolation(,FwdInterpolation,_xll.ohFilter($F5:$F129,Q5:Q129),_xll.ohFilter(N5:N129,Q5:Q129))</f>
        <v>#NAME?</v>
      </c>
      <c r="R3" s="461" t="s">
        <v>265</v>
      </c>
      <c r="S3" s="460" t="s">
        <v>264</v>
      </c>
      <c r="T3" s="429"/>
      <c r="U3" s="462" t="e">
        <f ca="1">_xll.qlInterpolation(,FwdInterpolation,_xll.ohFilter($F5:$F129,U5:U129),_xll.ohFilter(R5:R129,U5:U129))</f>
        <v>#NAME?</v>
      </c>
      <c r="V3" s="461" t="s">
        <v>265</v>
      </c>
      <c r="W3" s="460" t="s">
        <v>264</v>
      </c>
      <c r="X3" s="429"/>
      <c r="Y3" s="462" t="e">
        <f ca="1">_xll.qlInterpolation(,FwdInterpolation,_xll.ohFilter($F5:$F129,Y5:Y129),_xll.ohFilter(V5:V129,Y5:Y129))</f>
        <v>#NAME?</v>
      </c>
      <c r="Z3" s="461" t="s">
        <v>265</v>
      </c>
      <c r="AA3" s="460" t="s">
        <v>264</v>
      </c>
      <c r="AB3" s="429"/>
      <c r="AC3" s="462" t="e">
        <f ca="1">_xll.qlInterpolation(,FwdInterpolation,_xll.ohFilter($F5:$F129,AC5:AC129),_xll.ohFilter(Z5:Z129,AC5:AC129))</f>
        <v>#NAME?</v>
      </c>
      <c r="AD3" s="461" t="s">
        <v>265</v>
      </c>
      <c r="AE3" s="460" t="s">
        <v>264</v>
      </c>
      <c r="AF3" s="429"/>
      <c r="AG3" s="462" t="e">
        <f ca="1">_xll.qlInterpolation(,FwdInterpolation,_xll.ohFilter($F5:$F129,AG5:AG129),_xll.ohFilter(AD5:AD129,AG5:AG129))</f>
        <v>#NAME?</v>
      </c>
      <c r="AH3" s="461" t="s">
        <v>265</v>
      </c>
      <c r="AI3" s="460" t="s">
        <v>264</v>
      </c>
      <c r="AJ3" s="429"/>
      <c r="AK3" s="462" t="e">
        <f ca="1">_xll.qlInterpolation(,FwdInterpolation,_xll.ohFilter($F5:$F129,AK5:AK129),_xll.ohFilter(AH5:AH129,AK5:AK129))</f>
        <v>#NAME?</v>
      </c>
      <c r="AL3" s="461" t="s">
        <v>265</v>
      </c>
      <c r="AM3" s="460" t="s">
        <v>264</v>
      </c>
      <c r="AO3" s="462" t="e">
        <f ca="1">_xll.qlInterpolation(,FwdInterpolation,_xll.ohFilter($F5:$F129,AO5:AO129),_xll.ohFilter(AL5:AL129,AO5:AO129))</f>
        <v>#NAME?</v>
      </c>
      <c r="AP3" s="461" t="s">
        <v>265</v>
      </c>
      <c r="AQ3" s="460" t="s">
        <v>264</v>
      </c>
      <c r="AS3" s="462" t="e">
        <f ca="1">_xll.qlInterpolation(,FwdInterpolation,_xll.ohFilter($F5:$F129,AS5:AS129),_xll.ohFilter(AP5:AP129,AS5:AS129))</f>
        <v>#NAME?</v>
      </c>
      <c r="AT3" s="461" t="s">
        <v>265</v>
      </c>
      <c r="AU3" s="460" t="s">
        <v>264</v>
      </c>
      <c r="AW3" s="462" t="e">
        <f ca="1">_xll.qlInterpolation(,FwdInterpolation,_xll.ohFilter($F5:$F129,AW5:AW129),_xll.ohFilter(AT5:AT129,AW5:AW129))</f>
        <v>#NAME?</v>
      </c>
      <c r="AX3" s="461" t="s">
        <v>265</v>
      </c>
      <c r="AY3" s="460" t="s">
        <v>264</v>
      </c>
      <c r="BA3" s="462" t="e">
        <f ca="1">_xll.qlInterpolation(,FwdInterpolation,_xll.ohFilter($F5:$F129,BA5:BA129),_xll.ohFilter(AX5:AX129,BA5:BA129))</f>
        <v>#NAME?</v>
      </c>
      <c r="BB3" s="461" t="s">
        <v>265</v>
      </c>
      <c r="BC3" s="460" t="s">
        <v>264</v>
      </c>
      <c r="BE3" s="462" t="e">
        <f ca="1">_xll.qlInterpolation(,FwdInterpolation,_xll.ohFilter($F5:$F129,BE5:BE129),_xll.ohFilter(BB5:BB129,BE5:BE129))</f>
        <v>#NAME?</v>
      </c>
      <c r="BF3" s="461" t="s">
        <v>265</v>
      </c>
      <c r="BG3" s="460" t="s">
        <v>264</v>
      </c>
      <c r="BI3" s="462" t="e">
        <f ca="1">_xll.qlInterpolation(,FwdInterpolation,_xll.ohFilter($F5:$F129,BI5:BI129),_xll.ohFilter(BF5:BF129,BI5:BI129))</f>
        <v>#NAME?</v>
      </c>
      <c r="BJ3" s="461" t="s">
        <v>265</v>
      </c>
      <c r="BK3" s="460" t="s">
        <v>264</v>
      </c>
    </row>
    <row r="4" spans="1:83" ht="13.5" customHeight="1" x14ac:dyDescent="0.25">
      <c r="A4" s="459"/>
      <c r="B4" s="458"/>
      <c r="C4" s="457"/>
      <c r="D4" s="436" t="e">
        <f ca="1">'General Settings_2'!C18</f>
        <v>#NAME?</v>
      </c>
      <c r="F4" s="441"/>
      <c r="G4" s="441"/>
      <c r="I4" s="456" t="b">
        <v>0</v>
      </c>
      <c r="J4" s="455" t="e">
        <f t="array" aca="1" ref="J4:J129" ca="1">_xll.qlPiecewiseYieldCurveData(YieldCurve,InterestRatesTrigger)</f>
        <v>#NAME?</v>
      </c>
      <c r="K4" s="454" t="e">
        <f t="shared" ref="K4:K35" ca="1" si="0">D4</f>
        <v>#NAME?</v>
      </c>
      <c r="L4" s="447"/>
      <c r="M4" s="453" t="b">
        <v>1</v>
      </c>
      <c r="N4" s="452"/>
      <c r="O4" s="451" t="e">
        <f ca="1">-LN(MAX(O5:O33))/O$2</f>
        <v>#NAME?</v>
      </c>
      <c r="P4" s="450"/>
      <c r="Q4" s="453" t="b">
        <v>1</v>
      </c>
      <c r="R4" s="452"/>
      <c r="S4" s="451" t="e">
        <f ca="1">-LN(MAX(S5:S33))/S$2</f>
        <v>#NAME?</v>
      </c>
      <c r="T4" s="429"/>
      <c r="U4" s="453" t="b">
        <v>1</v>
      </c>
      <c r="V4" s="452"/>
      <c r="W4" s="451" t="e">
        <f ca="1">-LN(MAX(W5:W33))/W$2</f>
        <v>#NAME?</v>
      </c>
      <c r="X4" s="429"/>
      <c r="Y4" s="453" t="b">
        <v>1</v>
      </c>
      <c r="Z4" s="452"/>
      <c r="AA4" s="451" t="e">
        <f ca="1">-LN(MAX(AA5:AA33))/AA$2</f>
        <v>#NAME?</v>
      </c>
      <c r="AB4" s="429"/>
      <c r="AC4" s="453" t="b">
        <v>1</v>
      </c>
      <c r="AD4" s="452"/>
      <c r="AE4" s="451" t="e">
        <f ca="1">-LN(MAX(AE5:AE33))/AE$2</f>
        <v>#NAME?</v>
      </c>
      <c r="AF4" s="429"/>
      <c r="AG4" s="453" t="b">
        <v>1</v>
      </c>
      <c r="AH4" s="452"/>
      <c r="AI4" s="451" t="e">
        <f ca="1">-LN(MAX(AI5:AI33))/AI$2</f>
        <v>#NAME?</v>
      </c>
      <c r="AJ4" s="429"/>
      <c r="AK4" s="453" t="b">
        <v>1</v>
      </c>
      <c r="AL4" s="452"/>
      <c r="AM4" s="451" t="e">
        <f ca="1">-LN(MAX(AM5:AM33))/AM$2</f>
        <v>#NAME?</v>
      </c>
      <c r="AO4" s="453" t="b">
        <v>1</v>
      </c>
      <c r="AP4" s="452"/>
      <c r="AQ4" s="451" t="e">
        <f ca="1">-LN(MAX(AQ5:AQ33))/AQ$2</f>
        <v>#NAME?</v>
      </c>
      <c r="AS4" s="453" t="b">
        <v>1</v>
      </c>
      <c r="AT4" s="452"/>
      <c r="AU4" s="451" t="e">
        <f ca="1">-LN(MAX(AU5:AU33))/AU$2</f>
        <v>#NAME?</v>
      </c>
      <c r="AW4" s="453" t="b">
        <v>1</v>
      </c>
      <c r="AX4" s="452"/>
      <c r="AY4" s="451" t="e">
        <f ca="1">-LN(MAX(AY5:AY33))/AY$2</f>
        <v>#NAME?</v>
      </c>
      <c r="BA4" s="453" t="b">
        <v>1</v>
      </c>
      <c r="BB4" s="452"/>
      <c r="BC4" s="451" t="e">
        <f ca="1">-LN(MAX(BC5:BC33))/BC$2</f>
        <v>#NAME?</v>
      </c>
      <c r="BE4" s="453" t="b">
        <v>1</v>
      </c>
      <c r="BF4" s="452"/>
      <c r="BG4" s="451" t="e">
        <f ca="1">-LN(MAX(BG5:BG33))/BG$2</f>
        <v>#NAME?</v>
      </c>
      <c r="BI4" s="453" t="b">
        <v>1</v>
      </c>
      <c r="BJ4" s="452"/>
      <c r="BK4" s="451" t="e">
        <f ca="1">-LN(MAX(BK5:BK33))/BK$2</f>
        <v>#NAME?</v>
      </c>
      <c r="CD4" s="1361" t="s">
        <v>529</v>
      </c>
      <c r="CE4" s="1364" t="e">
        <f ca="1">_xll.ohTrigger('General Settings_2'!Trigger)</f>
        <v>#NAME?</v>
      </c>
    </row>
    <row r="5" spans="1:83" ht="15.75" thickBot="1" x14ac:dyDescent="0.3">
      <c r="A5" s="439" t="e">
        <f t="array" aca="1" ref="A5:A129" ca="1">_xll.qlRateHelperSelection(_xll.ohFilter(RateHelpers,RateHelpersIncluded),_xll.ohFilter(RateHelpersPriority,RateHelpersIncluded),$B$1,0,2,"AllDepos",_xll.ohFilter(MinDistance,RateHelpersIncluded))</f>
        <v>#NAME?</v>
      </c>
      <c r="B5" s="438" t="e">
        <f ca="1">_xll.qlRateHelperRate($A5,InterestRatesTrigger)</f>
        <v>#NAME?</v>
      </c>
      <c r="C5" s="437" t="e">
        <f ca="1">_xll.qlRateHelperEarliestDate($A5)</f>
        <v>#NAME?</v>
      </c>
      <c r="D5" s="436" t="e">
        <f ca="1">_xll.qlRateHelperPillarDate($A5)</f>
        <v>#NAME?</v>
      </c>
      <c r="F5" s="446" t="e">
        <f t="shared" ref="F5:F36" ca="1" si="1">IF(ISERROR(D5),NA(),(D5-D4)/2+D4)</f>
        <v>#N/A</v>
      </c>
      <c r="G5" s="445" t="e">
        <f ca="1">_xll.qlDayCounterYearFraction(DayCounter,D4,D5)</f>
        <v>#NAME?</v>
      </c>
      <c r="H5" s="449"/>
      <c r="I5" s="444" t="b">
        <f t="shared" ref="I5:I36" ca="1" si="2">IF(ISERROR(K5),FALSE,IF(OR(MONTH(K5)-MONTH(K4)=1,YEAR(K5)-YEAR(K4)=1),FALSE,TRUE))</f>
        <v>0</v>
      </c>
      <c r="J5" s="443" t="e">
        <f ca="1"/>
        <v>#NAME?</v>
      </c>
      <c r="K5" s="442" t="e">
        <f t="shared" ca="1" si="0"/>
        <v>#NAME?</v>
      </c>
      <c r="L5" s="447"/>
      <c r="M5" s="441" t="b">
        <f ca="1">IF(AND(NOT(I5),AND(I$4:I4)),TRUE,I5)</f>
        <v>0</v>
      </c>
      <c r="N5" s="440" t="e">
        <f ca="1">IF(AND(NOT(ISBLANK(Jumpoverwrite1)),AND(NOT(M5),AND(M$4:M4))),($J5*$G5-LN(1+Jumpoverwrite1*O$2))/$G5,_xll.qlInterpolationInterpolate(M$3,$F5,TRUE))</f>
        <v>#NAME?</v>
      </c>
      <c r="O5" s="440" t="e">
        <f ca="1">IF(AND(NOT(M5),AND(M$4:M4)),MIN(EXP((N5-$J5)*$G5),1),"")</f>
        <v>#NAME?</v>
      </c>
      <c r="P5" s="450"/>
      <c r="Q5" s="441" t="b">
        <f ca="1">IF(AND(NOT(M5),AND(M$4:M4)),TRUE,M5)</f>
        <v>1</v>
      </c>
      <c r="R5" s="440" t="e">
        <f ca="1">IF(AND(NOT(ISBLANK(Jumpoverwrite2)),AND(NOT(Q5),AND(Q$4:Q4))),($J5*$G5-LN(1+Jumpoverwrite2*S$2))/$G5,_xll.qlInterpolationInterpolate(Q$3,$F5,TRUE))</f>
        <v>#NAME?</v>
      </c>
      <c r="S5" s="440" t="str">
        <f ca="1">IF(AND(NOT(Q5),AND(Q$4:Q4)),MIN(EXP((R5-$J5)*$G5),1),"")</f>
        <v/>
      </c>
      <c r="T5" s="429"/>
      <c r="U5" s="441" t="b">
        <f ca="1">IF(AND(NOT(Q5),AND(Q$4:Q4)),TRUE,Q5)</f>
        <v>1</v>
      </c>
      <c r="V5" s="440" t="e">
        <f ca="1">IF(AND(NOT(ISBLANK(Jumpoverwrite3)),AND(NOT(U5),AND(U$4:U4))),($J5*$G5-LN(1+Jumpoverwrite3*W$2))/$G5,_xll.qlInterpolationInterpolate(U$3,$F5,TRUE))</f>
        <v>#NAME?</v>
      </c>
      <c r="W5" s="440" t="str">
        <f ca="1">IF(AND(NOT(U5),AND(U$4:U4)),MIN(EXP((V5-$J5)*$G5),1),"")</f>
        <v/>
      </c>
      <c r="X5" s="429"/>
      <c r="Y5" s="441" t="b">
        <f ca="1">IF(AND(NOT(U5),AND(U$4:U4)),TRUE,U5)</f>
        <v>1</v>
      </c>
      <c r="Z5" s="440" t="e">
        <f ca="1">IF(AND(NOT(ISBLANK(Jumpoverwrite4)),AND(NOT(Y5),AND(Y$4:Y4))),($J5*$G5-LN(1+Jumpoverwrite4*AA$2))/$G5,_xll.qlInterpolationInterpolate(Y$3,$F5,TRUE))</f>
        <v>#NAME?</v>
      </c>
      <c r="AA5" s="440" t="str">
        <f ca="1">IF(AND(NOT(Y5),AND(Y$4:Y4)),MIN(EXP((Z5-$J5)*$G5),1),"")</f>
        <v/>
      </c>
      <c r="AB5" s="429"/>
      <c r="AC5" s="441" t="b">
        <f ca="1">IF(AND(NOT(Y5),AND(Y$4:Y4)),TRUE,Y5)</f>
        <v>1</v>
      </c>
      <c r="AD5" s="440" t="e">
        <f ca="1">IF(AND(NOT(ISBLANK(Jumpoverwrite5)),AND(NOT(AC5),AND(AC$4:AC4))),($J5*$G5-LN(1+Jumpoverwrite5*AE$2))/$G5,_xll.qlInterpolationInterpolate(AC$3,$F5,TRUE))</f>
        <v>#NAME?</v>
      </c>
      <c r="AE5" s="440" t="str">
        <f ca="1">IF(AND(NOT(AC5),AND(AC$4:AC4)),MIN(EXP((AD5-$J5)*$G5),1),"")</f>
        <v/>
      </c>
      <c r="AF5" s="429"/>
      <c r="AG5" s="441" t="b">
        <f ca="1">IF(AND(NOT(AC5),AND(AC$4:AC4)),TRUE,AC5)</f>
        <v>1</v>
      </c>
      <c r="AH5" s="440" t="e">
        <f ca="1">IF(AND(NOT(ISBLANK(Jumpoverwrite6)),AND(NOT(AG5),AND(AG$4:AG4))),($J5*$G5-LN(1+Jumpoverwrite6*AI$2))/$G5,_xll.qlInterpolationInterpolate(AG$3,$F5,TRUE))</f>
        <v>#NAME?</v>
      </c>
      <c r="AI5" s="440" t="str">
        <f ca="1">IF(AND(NOT(AG5),AND(AG$4:AG4)),MIN(EXP((AH5-$J5)*$G5),1),"")</f>
        <v/>
      </c>
      <c r="AJ5" s="429"/>
      <c r="AK5" s="441" t="b">
        <f ca="1">IF(AND(NOT(AG5),AND(AG$4:AG4)),TRUE,AG5)</f>
        <v>1</v>
      </c>
      <c r="AL5" s="440" t="e">
        <f ca="1">IF(AND(NOT(ISBLANK(Jumpoverwrite7)),AND(NOT(AK5),AND(AK$4:AK4))),($J5*$G5-LN(1+Jumpoverwrite7*AM$2))/$G5,_xll.qlInterpolationInterpolate(AK$3,$F5,TRUE))</f>
        <v>#NAME?</v>
      </c>
      <c r="AM5" s="440" t="str">
        <f ca="1">IF(AND(NOT(AK5),AND(AK$4:AK4)),MIN(EXP((AL5-$J5)*$G5),1),"")</f>
        <v/>
      </c>
      <c r="AO5" s="441" t="b">
        <f ca="1">IF(AND(NOT(AK5),AND(AK$4:AK4)),TRUE,AK5)</f>
        <v>1</v>
      </c>
      <c r="AP5" s="440" t="e">
        <f ca="1">IF(AND(NOT(ISBLANK(Jumpoverwrite8)),AND(NOT(AO5),AND(AO$4:AO4))),($J5*$G5-LN(1+Jumpoverwrite8*AQ$2))/$G5,_xll.qlInterpolationInterpolate(AO$3,$F5,TRUE))</f>
        <v>#NAME?</v>
      </c>
      <c r="AQ5" s="440" t="str">
        <f ca="1">IF(AND(NOT(AO5),AND(AO$4:AO4)),MIN(EXP((AP5-$J5)*$G5),1),"")</f>
        <v/>
      </c>
      <c r="AS5" s="441" t="b">
        <f ca="1">IF(AND(NOT(AO5),AND(AO$4:AO4)),TRUE,AO5)</f>
        <v>1</v>
      </c>
      <c r="AT5" s="440" t="e">
        <f ca="1">IF(AND(NOT(ISBLANK(Jumpoverwrite9)),AND(NOT(AS5),AND(AS$4:AS4))),($J5*$G5-LN(1+Jumpoverwrite9*AU$2))/$G5,_xll.qlInterpolationInterpolate(AS$3,$F5,TRUE))</f>
        <v>#NAME?</v>
      </c>
      <c r="AU5" s="440" t="str">
        <f ca="1">IF(AND(NOT(AS5),AND(AS$4:AS4)),MIN(EXP((AT5-$J5)*$G5),1),"")</f>
        <v/>
      </c>
      <c r="AW5" s="441" t="b">
        <f ca="1">IF(AND(NOT(AS5),AND(AS$4:AS4)),TRUE,AS5)</f>
        <v>1</v>
      </c>
      <c r="AX5" s="440" t="e">
        <f ca="1">IF(AND(NOT(ISBLANK(Jumpoverwrite10)),AND(NOT(AW5),AND(AW$4:AW4))),($J5*$G5-LN(1+Jumpoverwrite10*AY$2))/$G5,_xll.qlInterpolationInterpolate(AW$3,$F5,TRUE))</f>
        <v>#NAME?</v>
      </c>
      <c r="AY5" s="440" t="str">
        <f ca="1">IF(AND(NOT(AW5),AND(AW$4:AW4)),MIN(EXP((AX5-$J5)*$G5),1),"")</f>
        <v/>
      </c>
      <c r="BA5" s="441" t="b">
        <f ca="1">IF(AND(NOT(AW5),AND(AW$4:AW4)),TRUE,AW5)</f>
        <v>1</v>
      </c>
      <c r="BB5" s="440" t="e">
        <f ca="1">IF(AND(NOT(ISBLANK(Jumpoverwrite11)),AND(NOT(BA5),AND(BA$4:BA4))),($J5*$G5-LN(1+Jumpoverwrite11*BC$2))/$G5,_xll.qlInterpolationInterpolate(BA$3,$F5,TRUE))</f>
        <v>#NAME?</v>
      </c>
      <c r="BC5" s="440" t="str">
        <f ca="1">IF(AND(NOT(BA5),AND(BA$4:BA4)),MIN(EXP((BB5-$J5)*$G5),1),"")</f>
        <v/>
      </c>
      <c r="BE5" s="441" t="b">
        <f ca="1">IF(AND(NOT(BA5),AND(BA$4:BA4)),TRUE,BA5)</f>
        <v>1</v>
      </c>
      <c r="BF5" s="440" t="e">
        <f ca="1">IF(AND(NOT(ISBLANK(Jumpoverwrite12)),AND(NOT(BE5),AND(BE$4:BE4))),($J5*$G5-LN(1+Jumpoverwrite12*BG$2))/$G5,_xll.qlInterpolationInterpolate(BE$3,$F5,TRUE))</f>
        <v>#NAME?</v>
      </c>
      <c r="BG5" s="440" t="str">
        <f ca="1">IF(AND(NOT(BE5),AND(BE$4:BE4)),MIN(EXP((BF5-$J5)*$G5),1),"")</f>
        <v/>
      </c>
      <c r="BI5" s="441" t="b">
        <f t="shared" ref="BI5:BI36" ca="1" si="3">IF(ISERROR(K5),FALSE,IF(YEAR(K5)-YEAR(SettlementDate)=2,FALSE,TRUE))</f>
        <v>0</v>
      </c>
      <c r="BJ5" s="440" t="e">
        <f ca="1">IF(AND(NOT(ISBLANK(jumpoverwrite13)),AND(NOT(BI5),AND(BI$4:BI4))),($J5*$G5-LN(1+jumpoverwrite13*BK$2))/$G5,_xll.qlInterpolationInterpolate(BI$3,$F5,TRUE))</f>
        <v>#NAME?</v>
      </c>
      <c r="BK5" s="440" t="e">
        <f ca="1">IF(AND(NOT(BI5),AND(BI$4:BI4)),MIN(EXP((BJ5-$J5)*$G5),1),"")</f>
        <v>#NAME?</v>
      </c>
      <c r="CD5" s="1362" t="s">
        <v>530</v>
      </c>
      <c r="CE5" s="1365" t="e">
        <f ca="1">_xll.ohTrigger(BI4:BI129)</f>
        <v>#NAME?</v>
      </c>
    </row>
    <row r="6" spans="1:83" x14ac:dyDescent="0.2">
      <c r="A6" s="439" t="e">
        <f ca="1"/>
        <v>#NAME?</v>
      </c>
      <c r="B6" s="438" t="e">
        <f ca="1">_xll.qlRateHelperRate($A6,InterestRatesTrigger)</f>
        <v>#NAME?</v>
      </c>
      <c r="C6" s="437" t="e">
        <f ca="1">_xll.qlRateHelperEarliestDate($A6)</f>
        <v>#NAME?</v>
      </c>
      <c r="D6" s="436" t="e">
        <f ca="1">_xll.qlRateHelperPillarDate($A6)</f>
        <v>#NAME?</v>
      </c>
      <c r="F6" s="446" t="e">
        <f t="shared" ca="1" si="1"/>
        <v>#N/A</v>
      </c>
      <c r="G6" s="445" t="e">
        <f ca="1">_xll.qlDayCounterYearFraction(DayCounter,D5,D6)</f>
        <v>#NAME?</v>
      </c>
      <c r="H6" s="449"/>
      <c r="I6" s="444" t="b">
        <f t="shared" ca="1" si="2"/>
        <v>0</v>
      </c>
      <c r="J6" s="443" t="e">
        <f ca="1"/>
        <v>#NAME?</v>
      </c>
      <c r="K6" s="442" t="e">
        <f t="shared" ca="1" si="0"/>
        <v>#NAME?</v>
      </c>
      <c r="L6" s="447"/>
      <c r="M6" s="441" t="b">
        <f ca="1">IF(AND(NOT(I6),AND(I$4:I5)),TRUE,I6)</f>
        <v>0</v>
      </c>
      <c r="N6" s="440" t="e">
        <f ca="1">IF(AND(NOT(ISBLANK(Jumpoverwrite1)),AND(NOT(M6),AND(M$4:M5))),($J6*$G6-LN(1+Jumpoverwrite1*O$2))/$G6,_xll.qlInterpolationInterpolate(M$3,$F6,TRUE))</f>
        <v>#NAME?</v>
      </c>
      <c r="O6" s="440" t="str">
        <f ca="1">IF(AND(NOT(M6),AND(M$4:M5)),MIN(EXP((N6-$J6)*$G6),1),"")</f>
        <v/>
      </c>
      <c r="P6" s="429"/>
      <c r="Q6" s="441" t="b">
        <f ca="1">IF(AND(NOT(M6),AND(M$4:M5)),TRUE,M6)</f>
        <v>0</v>
      </c>
      <c r="R6" s="440" t="e">
        <f ca="1">IF(AND(NOT(ISBLANK(Jumpoverwrite2)),AND(NOT(Q6),AND(Q$4:Q5))),($J6*$G6-LN(1+Jumpoverwrite2*S$2))/$G6,_xll.qlInterpolationInterpolate(Q$3,$F6,TRUE))</f>
        <v>#NAME?</v>
      </c>
      <c r="S6" s="440" t="e">
        <f ca="1">IF(AND(NOT(Q6),AND(Q$4:Q5)),MIN(EXP((R6-$J6)*$G6),1),"")</f>
        <v>#NAME?</v>
      </c>
      <c r="T6" s="429"/>
      <c r="U6" s="441" t="b">
        <f ca="1">IF(AND(NOT(Q6),AND(Q$4:Q5)),TRUE,Q6)</f>
        <v>1</v>
      </c>
      <c r="V6" s="440" t="e">
        <f ca="1">IF(AND(NOT(ISBLANK(Jumpoverwrite3)),AND(NOT(U6),AND(U$4:U5))),($J6*$G6-LN(1+Jumpoverwrite3*W$2))/$G6,_xll.qlInterpolationInterpolate(U$3,$F6,TRUE))</f>
        <v>#NAME?</v>
      </c>
      <c r="W6" s="440" t="str">
        <f ca="1">IF(AND(NOT(U6),AND(U$4:U5)),MIN(EXP((V6-$J6)*$G6),1),"")</f>
        <v/>
      </c>
      <c r="X6" s="429"/>
      <c r="Y6" s="441" t="b">
        <f ca="1">IF(AND(NOT(U6),AND(U$4:U5)),TRUE,U6)</f>
        <v>1</v>
      </c>
      <c r="Z6" s="440" t="e">
        <f ca="1">IF(AND(NOT(ISBLANK(Jumpoverwrite4)),AND(NOT(Y6),AND(Y$4:Y5))),($J6*$G6-LN(1+Jumpoverwrite4*AA$2))/$G6,_xll.qlInterpolationInterpolate(Y$3,$F6,TRUE))</f>
        <v>#NAME?</v>
      </c>
      <c r="AA6" s="440" t="str">
        <f ca="1">IF(AND(NOT(Y6),AND(Y$4:Y5)),MIN(EXP((Z6-$J6)*$G6),1),"")</f>
        <v/>
      </c>
      <c r="AB6" s="429"/>
      <c r="AC6" s="441" t="b">
        <f ca="1">IF(AND(NOT(Y6),AND(Y$4:Y5)),TRUE,Y6)</f>
        <v>1</v>
      </c>
      <c r="AD6" s="440" t="e">
        <f ca="1">IF(AND(NOT(ISBLANK(Jumpoverwrite5)),AND(NOT(AC6),AND(AC$4:AC5))),($J6*$G6-LN(1+Jumpoverwrite5*AE$2))/$G6,_xll.qlInterpolationInterpolate(AC$3,$F6,TRUE))</f>
        <v>#NAME?</v>
      </c>
      <c r="AE6" s="440" t="str">
        <f ca="1">IF(AND(NOT(AC6),AND(AC$4:AC5)),MIN(EXP((AD6-$J6)*$G6),1),"")</f>
        <v/>
      </c>
      <c r="AF6" s="429"/>
      <c r="AG6" s="441" t="b">
        <f ca="1">IF(AND(NOT(AC6),AND(AC$4:AC5)),TRUE,AC6)</f>
        <v>1</v>
      </c>
      <c r="AH6" s="440" t="e">
        <f ca="1">IF(AND(NOT(ISBLANK(Jumpoverwrite6)),AND(NOT(AG6),AND(AG$4:AG5))),($J6*$G6-LN(1+Jumpoverwrite6*AI$2))/$G6,_xll.qlInterpolationInterpolate(AG$3,$F6,TRUE))</f>
        <v>#NAME?</v>
      </c>
      <c r="AI6" s="440" t="str">
        <f ca="1">IF(AND(NOT(AG6),AND(AG$4:AG5)),MIN(EXP((AH6-$J6)*$G6),1),"")</f>
        <v/>
      </c>
      <c r="AJ6" s="429"/>
      <c r="AK6" s="441" t="b">
        <f ca="1">IF(AND(NOT(AG6),AND(AG$4:AG5)),TRUE,AG6)</f>
        <v>1</v>
      </c>
      <c r="AL6" s="440" t="e">
        <f ca="1">IF(AND(NOT(ISBLANK(Jumpoverwrite7)),AND(NOT(AK6),AND(AK$4:AK5))),($J6*$G6-LN(1+Jumpoverwrite7*AM$2))/$G6,_xll.qlInterpolationInterpolate(AK$3,$F6,TRUE))</f>
        <v>#NAME?</v>
      </c>
      <c r="AM6" s="440" t="str">
        <f ca="1">IF(AND(NOT(AK6),AND(AK$4:AK5)),MIN(EXP((AL6-$J6)*$G6),1),"")</f>
        <v/>
      </c>
      <c r="AO6" s="441" t="b">
        <f ca="1">IF(AND(NOT(AK6),AND(AK$4:AK5)),TRUE,AK6)</f>
        <v>1</v>
      </c>
      <c r="AP6" s="440" t="e">
        <f ca="1">IF(AND(NOT(ISBLANK(Jumpoverwrite8)),AND(NOT(AO6),AND(AO$4:AO5))),($J6*$G6-LN(1+Jumpoverwrite8*AQ$2))/$G6,_xll.qlInterpolationInterpolate(AO$3,$F6,TRUE))</f>
        <v>#NAME?</v>
      </c>
      <c r="AQ6" s="440" t="str">
        <f ca="1">IF(AND(NOT(AO6),AND(AO$4:AO5)),MIN(EXP((AP6-$J6)*$G6),1),"")</f>
        <v/>
      </c>
      <c r="AS6" s="441" t="b">
        <f ca="1">IF(AND(NOT(AO6),AND(AO$4:AO5)),TRUE,AO6)</f>
        <v>1</v>
      </c>
      <c r="AT6" s="440" t="e">
        <f ca="1">IF(AND(NOT(ISBLANK(Jumpoverwrite9)),AND(NOT(AS6),AND(AS$4:AS5))),($J6*$G6-LN(1+Jumpoverwrite9*AU$2))/$G6,_xll.qlInterpolationInterpolate(AS$3,$F6,TRUE))</f>
        <v>#NAME?</v>
      </c>
      <c r="AU6" s="440" t="str">
        <f ca="1">IF(AND(NOT(AS6),AND(AS$4:AS5)),MIN(EXP((AT6-$J6)*$G6),1),"")</f>
        <v/>
      </c>
      <c r="AW6" s="441" t="b">
        <f ca="1">IF(AND(NOT(AS6),AND(AS$4:AS5)),TRUE,AS6)</f>
        <v>1</v>
      </c>
      <c r="AX6" s="440" t="e">
        <f ca="1">IF(AND(NOT(ISBLANK(Jumpoverwrite10)),AND(NOT(AW6),AND(AW$4:AW5))),($J6*$G6-LN(1+Jumpoverwrite10*AY$2))/$G6,_xll.qlInterpolationInterpolate(AW$3,$F6,TRUE))</f>
        <v>#NAME?</v>
      </c>
      <c r="AY6" s="440" t="str">
        <f ca="1">IF(AND(NOT(AW6),AND(AW$4:AW5)),MIN(EXP((AX6-$J6)*$G6),1),"")</f>
        <v/>
      </c>
      <c r="BA6" s="441" t="b">
        <f ca="1">IF(AND(NOT(AW6),AND(AW$4:AW5)),TRUE,AW6)</f>
        <v>1</v>
      </c>
      <c r="BB6" s="440" t="e">
        <f ca="1">IF(AND(NOT(ISBLANK(Jumpoverwrite11)),AND(NOT(BA6),AND(BA$4:BA5))),($J6*$G6-LN(1+Jumpoverwrite11*BC$2))/$G6,_xll.qlInterpolationInterpolate(BA$3,$F6,TRUE))</f>
        <v>#NAME?</v>
      </c>
      <c r="BC6" s="440" t="str">
        <f ca="1">IF(AND(NOT(BA6),AND(BA$4:BA5)),MIN(EXP((BB6-$J6)*$G6),1),"")</f>
        <v/>
      </c>
      <c r="BE6" s="441" t="b">
        <f ca="1">IF(AND(NOT(BA6),AND(BA$4:BA5)),TRUE,BA6)</f>
        <v>1</v>
      </c>
      <c r="BF6" s="440" t="e">
        <f ca="1">IF(AND(NOT(ISBLANK(Jumpoverwrite12)),AND(NOT(BE6),AND(BE$4:BE5))),($J6*$G6-LN(1+Jumpoverwrite12*BG$2))/$G6,_xll.qlInterpolationInterpolate(BE$3,$F6,TRUE))</f>
        <v>#NAME?</v>
      </c>
      <c r="BG6" s="440" t="str">
        <f ca="1">IF(AND(NOT(BE6),AND(BE$4:BE5)),MIN(EXP((BF6-$J6)*$G6),1),"")</f>
        <v/>
      </c>
      <c r="BI6" s="441" t="b">
        <f t="shared" ca="1" si="3"/>
        <v>0</v>
      </c>
      <c r="BJ6" s="440" t="e">
        <f ca="1">IF(AND(NOT(ISBLANK(jumpoverwrite13)),AND(NOT(BI6),AND(BI$4:BI5))),($J6*$G6-LN(1+jumpoverwrite13*BK$2))/$G6,_xll.qlInterpolationInterpolate(BI$3,$F6,TRUE))</f>
        <v>#NAME?</v>
      </c>
      <c r="BK6" s="440" t="str">
        <f ca="1">IF(AND(NOT(BI6),AND(BI$4:BI5)),MIN(EXP((BJ6-$J6)*$G6),1),"")</f>
        <v/>
      </c>
    </row>
    <row r="7" spans="1:83" x14ac:dyDescent="0.2">
      <c r="A7" s="439" t="e">
        <f ca="1"/>
        <v>#NAME?</v>
      </c>
      <c r="B7" s="438" t="e">
        <f ca="1">_xll.qlRateHelperRate($A7,InterestRatesTrigger)</f>
        <v>#NAME?</v>
      </c>
      <c r="C7" s="437" t="e">
        <f ca="1">_xll.qlRateHelperEarliestDate($A7)</f>
        <v>#NAME?</v>
      </c>
      <c r="D7" s="436" t="e">
        <f ca="1">_xll.qlRateHelperPillarDate($A7)</f>
        <v>#NAME?</v>
      </c>
      <c r="F7" s="446" t="e">
        <f t="shared" ca="1" si="1"/>
        <v>#N/A</v>
      </c>
      <c r="G7" s="445" t="e">
        <f ca="1">_xll.qlDayCounterYearFraction(DayCounter,D6,D7)</f>
        <v>#NAME?</v>
      </c>
      <c r="I7" s="444" t="b">
        <f t="shared" ca="1" si="2"/>
        <v>0</v>
      </c>
      <c r="J7" s="443" t="e">
        <f ca="1"/>
        <v>#NAME?</v>
      </c>
      <c r="K7" s="442" t="e">
        <f t="shared" ca="1" si="0"/>
        <v>#NAME?</v>
      </c>
      <c r="L7" s="447"/>
      <c r="M7" s="441" t="b">
        <f ca="1">IF(AND(NOT(I7),AND(I$4:I6)),TRUE,I7)</f>
        <v>0</v>
      </c>
      <c r="N7" s="440" t="e">
        <f ca="1">IF(AND(NOT(ISBLANK(Jumpoverwrite1)),AND(NOT(M7),AND(M$4:M6))),($J7*$G7-LN(1+Jumpoverwrite1*O$2))/$G7,_xll.qlInterpolationInterpolate(M$3,$F7,TRUE))</f>
        <v>#NAME?</v>
      </c>
      <c r="O7" s="440" t="str">
        <f ca="1">IF(AND(NOT(M7),AND(M$4:M6)),MIN(EXP((N7-$J7)*$G7),1),"")</f>
        <v/>
      </c>
      <c r="P7" s="448"/>
      <c r="Q7" s="441" t="b">
        <f ca="1">IF(AND(NOT(M7),AND(M$4:M6)),TRUE,M7)</f>
        <v>0</v>
      </c>
      <c r="R7" s="440" t="e">
        <f ca="1">IF(AND(NOT(ISBLANK(Jumpoverwrite2)),AND(NOT(Q7),AND(Q$4:Q6))),($J7*$G7-LN(1+Jumpoverwrite2*S$2))/$G7,_xll.qlInterpolationInterpolate(Q$3,$F7,TRUE))</f>
        <v>#NAME?</v>
      </c>
      <c r="S7" s="440" t="str">
        <f ca="1">IF(AND(NOT(Q7),AND(Q$4:Q6)),MIN(EXP((R7-$J7)*$G7),1),"")</f>
        <v/>
      </c>
      <c r="T7" s="429"/>
      <c r="U7" s="441" t="b">
        <f ca="1">IF(AND(NOT(Q7),AND(Q$4:Q6)),TRUE,Q7)</f>
        <v>0</v>
      </c>
      <c r="V7" s="440" t="e">
        <f ca="1">IF(AND(NOT(ISBLANK(Jumpoverwrite3)),AND(NOT(U7),AND(U$4:U6))),($J7*$G7-LN(1+Jumpoverwrite3*W$2))/$G7,_xll.qlInterpolationInterpolate(U$3,$F7,TRUE))</f>
        <v>#NAME?</v>
      </c>
      <c r="W7" s="440" t="e">
        <f ca="1">IF(AND(NOT(U7),AND(U$4:U6)),MIN(EXP((V7-$J7)*$G7),1),"")</f>
        <v>#NAME?</v>
      </c>
      <c r="X7" s="429"/>
      <c r="Y7" s="441" t="b">
        <f ca="1">IF(AND(NOT(U7),AND(U$4:U6)),TRUE,U7)</f>
        <v>1</v>
      </c>
      <c r="Z7" s="440" t="e">
        <f ca="1">IF(AND(NOT(ISBLANK(Jumpoverwrite4)),AND(NOT(Y7),AND(Y$4:Y6))),($J7*$G7-LN(1+Jumpoverwrite4*AA$2))/$G7,_xll.qlInterpolationInterpolate(Y$3,$F7,TRUE))</f>
        <v>#NAME?</v>
      </c>
      <c r="AA7" s="440" t="str">
        <f ca="1">IF(AND(NOT(Y7),AND(Y$4:Y6)),MIN(EXP((Z7-$J7)*$G7),1),"")</f>
        <v/>
      </c>
      <c r="AB7" s="429"/>
      <c r="AC7" s="441" t="b">
        <f ca="1">IF(AND(NOT(Y7),AND(Y$4:Y6)),TRUE,Y7)</f>
        <v>1</v>
      </c>
      <c r="AD7" s="440" t="e">
        <f ca="1">IF(AND(NOT(ISBLANK(Jumpoverwrite5)),AND(NOT(AC7),AND(AC$4:AC6))),($J7*$G7-LN(1+Jumpoverwrite5*AE$2))/$G7,_xll.qlInterpolationInterpolate(AC$3,$F7,TRUE))</f>
        <v>#NAME?</v>
      </c>
      <c r="AE7" s="440" t="str">
        <f ca="1">IF(AND(NOT(AC7),AND(AC$4:AC6)),MIN(EXP((AD7-$J7)*$G7),1),"")</f>
        <v/>
      </c>
      <c r="AF7" s="429"/>
      <c r="AG7" s="441" t="b">
        <f ca="1">IF(AND(NOT(AC7),AND(AC$4:AC6)),TRUE,AC7)</f>
        <v>1</v>
      </c>
      <c r="AH7" s="440" t="e">
        <f ca="1">IF(AND(NOT(ISBLANK(Jumpoverwrite6)),AND(NOT(AG7),AND(AG$4:AG6))),($J7*$G7-LN(1+Jumpoverwrite6*AI$2))/$G7,_xll.qlInterpolationInterpolate(AG$3,$F7,TRUE))</f>
        <v>#NAME?</v>
      </c>
      <c r="AI7" s="440" t="str">
        <f ca="1">IF(AND(NOT(AG7),AND(AG$4:AG6)),MIN(EXP((AH7-$J7)*$G7),1),"")</f>
        <v/>
      </c>
      <c r="AJ7" s="429"/>
      <c r="AK7" s="441" t="b">
        <f ca="1">IF(AND(NOT(AG7),AND(AG$4:AG6)),TRUE,AG7)</f>
        <v>1</v>
      </c>
      <c r="AL7" s="440" t="e">
        <f ca="1">IF(AND(NOT(ISBLANK(Jumpoverwrite7)),AND(NOT(AK7),AND(AK$4:AK6))),($J7*$G7-LN(1+Jumpoverwrite7*AM$2))/$G7,_xll.qlInterpolationInterpolate(AK$3,$F7,TRUE))</f>
        <v>#NAME?</v>
      </c>
      <c r="AM7" s="440" t="str">
        <f ca="1">IF(AND(NOT(AK7),AND(AK$4:AK6)),MIN(EXP((AL7-$J7)*$G7),1),"")</f>
        <v/>
      </c>
      <c r="AO7" s="441" t="b">
        <f ca="1">IF(AND(NOT(AK7),AND(AK$4:AK6)),TRUE,AK7)</f>
        <v>1</v>
      </c>
      <c r="AP7" s="440" t="e">
        <f ca="1">IF(AND(NOT(ISBLANK(Jumpoverwrite8)),AND(NOT(AO7),AND(AO$4:AO6))),($J7*$G7-LN(1+Jumpoverwrite8*AQ$2))/$G7,_xll.qlInterpolationInterpolate(AO$3,$F7,TRUE))</f>
        <v>#NAME?</v>
      </c>
      <c r="AQ7" s="440" t="str">
        <f ca="1">IF(AND(NOT(AO7),AND(AO$4:AO6)),MIN(EXP((AP7-$J7)*$G7),1),"")</f>
        <v/>
      </c>
      <c r="AS7" s="441" t="b">
        <f ca="1">IF(AND(NOT(AO7),AND(AO$4:AO6)),TRUE,AO7)</f>
        <v>1</v>
      </c>
      <c r="AT7" s="440" t="e">
        <f ca="1">IF(AND(NOT(ISBLANK(Jumpoverwrite9)),AND(NOT(AS7),AND(AS$4:AS6))),($J7*$G7-LN(1+Jumpoverwrite9*AU$2))/$G7,_xll.qlInterpolationInterpolate(AS$3,$F7,TRUE))</f>
        <v>#NAME?</v>
      </c>
      <c r="AU7" s="440" t="str">
        <f ca="1">IF(AND(NOT(AS7),AND(AS$4:AS6)),MIN(EXP((AT7-$J7)*$G7),1),"")</f>
        <v/>
      </c>
      <c r="AW7" s="441" t="b">
        <f ca="1">IF(AND(NOT(AS7),AND(AS$4:AS6)),TRUE,AS7)</f>
        <v>1</v>
      </c>
      <c r="AX7" s="440" t="e">
        <f ca="1">IF(AND(NOT(ISBLANK(Jumpoverwrite10)),AND(NOT(AW7),AND(AW$4:AW6))),($J7*$G7-LN(1+Jumpoverwrite10*AY$2))/$G7,_xll.qlInterpolationInterpolate(AW$3,$F7,TRUE))</f>
        <v>#NAME?</v>
      </c>
      <c r="AY7" s="440" t="str">
        <f ca="1">IF(AND(NOT(AW7),AND(AW$4:AW6)),MIN(EXP((AX7-$J7)*$G7),1),"")</f>
        <v/>
      </c>
      <c r="BA7" s="441" t="b">
        <f ca="1">IF(AND(NOT(AW7),AND(AW$4:AW6)),TRUE,AW7)</f>
        <v>1</v>
      </c>
      <c r="BB7" s="440" t="e">
        <f ca="1">IF(AND(NOT(ISBLANK(Jumpoverwrite11)),AND(NOT(BA7),AND(BA$4:BA6))),($J7*$G7-LN(1+Jumpoverwrite11*BC$2))/$G7,_xll.qlInterpolationInterpolate(BA$3,$F7,TRUE))</f>
        <v>#NAME?</v>
      </c>
      <c r="BC7" s="440" t="str">
        <f ca="1">IF(AND(NOT(BA7),AND(BA$4:BA6)),MIN(EXP((BB7-$J7)*$G7),1),"")</f>
        <v/>
      </c>
      <c r="BE7" s="441" t="b">
        <f ca="1">IF(AND(NOT(BA7),AND(BA$4:BA6)),TRUE,BA7)</f>
        <v>1</v>
      </c>
      <c r="BF7" s="440" t="e">
        <f ca="1">IF(AND(NOT(ISBLANK(Jumpoverwrite12)),AND(NOT(BE7),AND(BE$4:BE6))),($J7*$G7-LN(1+Jumpoverwrite12*BG$2))/$G7,_xll.qlInterpolationInterpolate(BE$3,$F7,TRUE))</f>
        <v>#NAME?</v>
      </c>
      <c r="BG7" s="440" t="str">
        <f ca="1">IF(AND(NOT(BE7),AND(BE$4:BE6)),MIN(EXP((BF7-$J7)*$G7),1),"")</f>
        <v/>
      </c>
      <c r="BI7" s="441" t="b">
        <f t="shared" ca="1" si="3"/>
        <v>0</v>
      </c>
      <c r="BJ7" s="440" t="e">
        <f ca="1">IF(AND(NOT(ISBLANK(jumpoverwrite13)),AND(NOT(BI7),AND(BI$4:BI6))),($J7*$G7-LN(1+jumpoverwrite13*BK$2))/$G7,_xll.qlInterpolationInterpolate(BI$3,$F7,TRUE))</f>
        <v>#NAME?</v>
      </c>
      <c r="BK7" s="440" t="str">
        <f ca="1">IF(AND(NOT(BI7),AND(BI$4:BI6)),MIN(EXP((BJ7-$J7)*$G7),1),"")</f>
        <v/>
      </c>
    </row>
    <row r="8" spans="1:83" x14ac:dyDescent="0.2">
      <c r="A8" s="439" t="e">
        <f ca="1"/>
        <v>#NAME?</v>
      </c>
      <c r="B8" s="438" t="e">
        <f ca="1">_xll.qlRateHelperRate($A8,InterestRatesTrigger)</f>
        <v>#NAME?</v>
      </c>
      <c r="C8" s="437" t="e">
        <f ca="1">_xll.qlRateHelperEarliestDate($A8)</f>
        <v>#NAME?</v>
      </c>
      <c r="D8" s="436" t="e">
        <f ca="1">_xll.qlRateHelperPillarDate($A8)</f>
        <v>#NAME?</v>
      </c>
      <c r="F8" s="446" t="e">
        <f t="shared" ca="1" si="1"/>
        <v>#N/A</v>
      </c>
      <c r="G8" s="445" t="e">
        <f ca="1">_xll.qlDayCounterYearFraction(DayCounter,D7,D8)</f>
        <v>#NAME?</v>
      </c>
      <c r="I8" s="444" t="b">
        <f t="shared" ca="1" si="2"/>
        <v>0</v>
      </c>
      <c r="J8" s="443" t="e">
        <f ca="1"/>
        <v>#NAME?</v>
      </c>
      <c r="K8" s="442" t="e">
        <f t="shared" ca="1" si="0"/>
        <v>#NAME?</v>
      </c>
      <c r="L8" s="447"/>
      <c r="M8" s="441" t="b">
        <f ca="1">IF(AND(NOT(I8),AND(I$4:I7)),TRUE,I8)</f>
        <v>0</v>
      </c>
      <c r="N8" s="440" t="e">
        <f ca="1">IF(AND(NOT(ISBLANK(Jumpoverwrite1)),AND(NOT(M8),AND(M$4:M7))),($J8*$G8-LN(1+Jumpoverwrite1*O$2))/$G8,_xll.qlInterpolationInterpolate(M$3,$F8,TRUE))</f>
        <v>#NAME?</v>
      </c>
      <c r="O8" s="440" t="str">
        <f ca="1">IF(AND(NOT(M8),AND(M$4:M7)),MIN(EXP((N8-$J8)*$G8),1),"")</f>
        <v/>
      </c>
      <c r="P8" s="429"/>
      <c r="Q8" s="441" t="b">
        <f ca="1">IF(AND(NOT(M8),AND(M$4:M7)),TRUE,M8)</f>
        <v>0</v>
      </c>
      <c r="R8" s="440" t="e">
        <f ca="1">IF(AND(NOT(ISBLANK(Jumpoverwrite2)),AND(NOT(Q8),AND(Q$4:Q7))),($J8*$G8-LN(1+Jumpoverwrite2*S$2))/$G8,_xll.qlInterpolationInterpolate(Q$3,$F8,TRUE))</f>
        <v>#NAME?</v>
      </c>
      <c r="S8" s="440" t="str">
        <f ca="1">IF(AND(NOT(Q8),AND(Q$4:Q7)),MIN(EXP((R8-$J8)*$G8),1),"")</f>
        <v/>
      </c>
      <c r="T8" s="429"/>
      <c r="U8" s="441" t="b">
        <f ca="1">IF(AND(NOT(Q8),AND(Q$4:Q7)),TRUE,Q8)</f>
        <v>0</v>
      </c>
      <c r="V8" s="440" t="e">
        <f ca="1">IF(AND(NOT(ISBLANK(Jumpoverwrite3)),AND(NOT(U8),AND(U$4:U7))),($J8*$G8-LN(1+Jumpoverwrite3*W$2))/$G8,_xll.qlInterpolationInterpolate(U$3,$F8,TRUE))</f>
        <v>#NAME?</v>
      </c>
      <c r="W8" s="440" t="str">
        <f ca="1">IF(AND(NOT(U8),AND(U$4:U7)),MIN(EXP((V8-$J8)*$G8),1),"")</f>
        <v/>
      </c>
      <c r="X8" s="429"/>
      <c r="Y8" s="441" t="b">
        <f ca="1">IF(AND(NOT(U8),AND(U$4:U7)),TRUE,U8)</f>
        <v>0</v>
      </c>
      <c r="Z8" s="440" t="e">
        <f ca="1">IF(AND(NOT(ISBLANK(Jumpoverwrite4)),AND(NOT(Y8),AND(Y$4:Y7))),($J8*$G8-LN(1+Jumpoverwrite4*AA$2))/$G8,_xll.qlInterpolationInterpolate(Y$3,$F8,TRUE))</f>
        <v>#NAME?</v>
      </c>
      <c r="AA8" s="440" t="e">
        <f ca="1">IF(AND(NOT(Y8),AND(Y$4:Y7)),MIN(EXP((Z8-$J8)*$G8),1),"")</f>
        <v>#NAME?</v>
      </c>
      <c r="AB8" s="429"/>
      <c r="AC8" s="441" t="b">
        <f ca="1">IF(AND(NOT(Y8),AND(Y$4:Y7)),TRUE,Y8)</f>
        <v>1</v>
      </c>
      <c r="AD8" s="440" t="e">
        <f ca="1">IF(AND(NOT(ISBLANK(Jumpoverwrite5)),AND(NOT(AC8),AND(AC$4:AC7))),($J8*$G8-LN(1+Jumpoverwrite5*AE$2))/$G8,_xll.qlInterpolationInterpolate(AC$3,$F8,TRUE))</f>
        <v>#NAME?</v>
      </c>
      <c r="AE8" s="440" t="str">
        <f ca="1">IF(AND(NOT(AC8),AND(AC$4:AC7)),MIN(EXP((AD8-$J8)*$G8),1),"")</f>
        <v/>
      </c>
      <c r="AF8" s="429"/>
      <c r="AG8" s="441" t="b">
        <f ca="1">IF(AND(NOT(AC8),AND(AC$4:AC7)),TRUE,AC8)</f>
        <v>1</v>
      </c>
      <c r="AH8" s="440" t="e">
        <f ca="1">IF(AND(NOT(ISBLANK(Jumpoverwrite6)),AND(NOT(AG8),AND(AG$4:AG7))),($J8*$G8-LN(1+Jumpoverwrite6*AI$2))/$G8,_xll.qlInterpolationInterpolate(AG$3,$F8,TRUE))</f>
        <v>#NAME?</v>
      </c>
      <c r="AI8" s="440" t="str">
        <f ca="1">IF(AND(NOT(AG8),AND(AG$4:AG7)),MIN(EXP((AH8-$J8)*$G8),1),"")</f>
        <v/>
      </c>
      <c r="AJ8" s="429"/>
      <c r="AK8" s="441" t="b">
        <f ca="1">IF(AND(NOT(AG8),AND(AG$4:AG7)),TRUE,AG8)</f>
        <v>1</v>
      </c>
      <c r="AL8" s="440" t="e">
        <f ca="1">IF(AND(NOT(ISBLANK(Jumpoverwrite7)),AND(NOT(AK8),AND(AK$4:AK7))),($J8*$G8-LN(1+Jumpoverwrite7*AM$2))/$G8,_xll.qlInterpolationInterpolate(AK$3,$F8,TRUE))</f>
        <v>#NAME?</v>
      </c>
      <c r="AM8" s="440" t="str">
        <f ca="1">IF(AND(NOT(AK8),AND(AK$4:AK7)),MIN(EXP((AL8-$J8)*$G8),1),"")</f>
        <v/>
      </c>
      <c r="AO8" s="441" t="b">
        <f ca="1">IF(AND(NOT(AK8),AND(AK$4:AK7)),TRUE,AK8)</f>
        <v>1</v>
      </c>
      <c r="AP8" s="440" t="e">
        <f ca="1">IF(AND(NOT(ISBLANK(Jumpoverwrite8)),AND(NOT(AO8),AND(AO$4:AO7))),($J8*$G8-LN(1+Jumpoverwrite8*AQ$2))/$G8,_xll.qlInterpolationInterpolate(AO$3,$F8,TRUE))</f>
        <v>#NAME?</v>
      </c>
      <c r="AQ8" s="440" t="str">
        <f ca="1">IF(AND(NOT(AO8),AND(AO$4:AO7)),MIN(EXP((AP8-$J8)*$G8),1),"")</f>
        <v/>
      </c>
      <c r="AS8" s="441" t="b">
        <f ca="1">IF(AND(NOT(AO8),AND(AO$4:AO7)),TRUE,AO8)</f>
        <v>1</v>
      </c>
      <c r="AT8" s="440" t="e">
        <f ca="1">IF(AND(NOT(ISBLANK(Jumpoverwrite9)),AND(NOT(AS8),AND(AS$4:AS7))),($J8*$G8-LN(1+Jumpoverwrite9*AU$2))/$G8,_xll.qlInterpolationInterpolate(AS$3,$F8,TRUE))</f>
        <v>#NAME?</v>
      </c>
      <c r="AU8" s="440" t="str">
        <f ca="1">IF(AND(NOT(AS8),AND(AS$4:AS7)),MIN(EXP((AT8-$J8)*$G8),1),"")</f>
        <v/>
      </c>
      <c r="AW8" s="441" t="b">
        <f ca="1">IF(AND(NOT(AS8),AND(AS$4:AS7)),TRUE,AS8)</f>
        <v>1</v>
      </c>
      <c r="AX8" s="440" t="e">
        <f ca="1">IF(AND(NOT(ISBLANK(Jumpoverwrite10)),AND(NOT(AW8),AND(AW$4:AW7))),($J8*$G8-LN(1+Jumpoverwrite10*AY$2))/$G8,_xll.qlInterpolationInterpolate(AW$3,$F8,TRUE))</f>
        <v>#NAME?</v>
      </c>
      <c r="AY8" s="440" t="str">
        <f ca="1">IF(AND(NOT(AW8),AND(AW$4:AW7)),MIN(EXP((AX8-$J8)*$G8),1),"")</f>
        <v/>
      </c>
      <c r="BA8" s="441" t="b">
        <f ca="1">IF(AND(NOT(AW8),AND(AW$4:AW7)),TRUE,AW8)</f>
        <v>1</v>
      </c>
      <c r="BB8" s="440" t="e">
        <f ca="1">IF(AND(NOT(ISBLANK(Jumpoverwrite11)),AND(NOT(BA8),AND(BA$4:BA7))),($J8*$G8-LN(1+Jumpoverwrite11*BC$2))/$G8,_xll.qlInterpolationInterpolate(BA$3,$F8,TRUE))</f>
        <v>#NAME?</v>
      </c>
      <c r="BC8" s="440" t="str">
        <f ca="1">IF(AND(NOT(BA8),AND(BA$4:BA7)),MIN(EXP((BB8-$J8)*$G8),1),"")</f>
        <v/>
      </c>
      <c r="BE8" s="441" t="b">
        <f ca="1">IF(AND(NOT(BA8),AND(BA$4:BA7)),TRUE,BA8)</f>
        <v>1</v>
      </c>
      <c r="BF8" s="440" t="e">
        <f ca="1">IF(AND(NOT(ISBLANK(Jumpoverwrite12)),AND(NOT(BE8),AND(BE$4:BE7))),($J8*$G8-LN(1+Jumpoverwrite12*BG$2))/$G8,_xll.qlInterpolationInterpolate(BE$3,$F8,TRUE))</f>
        <v>#NAME?</v>
      </c>
      <c r="BG8" s="440" t="str">
        <f ca="1">IF(AND(NOT(BE8),AND(BE$4:BE7)),MIN(EXP((BF8-$J8)*$G8),1),"")</f>
        <v/>
      </c>
      <c r="BI8" s="441" t="b">
        <f t="shared" ca="1" si="3"/>
        <v>0</v>
      </c>
      <c r="BJ8" s="440" t="e">
        <f ca="1">IF(AND(NOT(ISBLANK(jumpoverwrite13)),AND(NOT(BI8),AND(BI$4:BI7))),($J8*$G8-LN(1+jumpoverwrite13*BK$2))/$G8,_xll.qlInterpolationInterpolate(BI$3,$F8,TRUE))</f>
        <v>#NAME?</v>
      </c>
      <c r="BK8" s="440" t="str">
        <f ca="1">IF(AND(NOT(BI8),AND(BI$4:BI7)),MIN(EXP((BJ8-$J8)*$G8),1),"")</f>
        <v/>
      </c>
    </row>
    <row r="9" spans="1:83" x14ac:dyDescent="0.2">
      <c r="A9" s="439" t="e">
        <f ca="1"/>
        <v>#NAME?</v>
      </c>
      <c r="B9" s="438" t="e">
        <f ca="1">_xll.qlRateHelperRate($A9,InterestRatesTrigger)</f>
        <v>#NAME?</v>
      </c>
      <c r="C9" s="437" t="e">
        <f ca="1">_xll.qlRateHelperEarliestDate($A9)</f>
        <v>#NAME?</v>
      </c>
      <c r="D9" s="436" t="e">
        <f ca="1">_xll.qlRateHelperPillarDate($A9)</f>
        <v>#NAME?</v>
      </c>
      <c r="F9" s="446" t="e">
        <f t="shared" ca="1" si="1"/>
        <v>#N/A</v>
      </c>
      <c r="G9" s="445" t="e">
        <f ca="1">_xll.qlDayCounterYearFraction(DayCounter,D8,D9)</f>
        <v>#NAME?</v>
      </c>
      <c r="I9" s="444" t="b">
        <f t="shared" ca="1" si="2"/>
        <v>0</v>
      </c>
      <c r="J9" s="443" t="e">
        <f ca="1"/>
        <v>#NAME?</v>
      </c>
      <c r="K9" s="442" t="e">
        <f t="shared" ca="1" si="0"/>
        <v>#NAME?</v>
      </c>
      <c r="L9" s="447"/>
      <c r="M9" s="441" t="b">
        <f ca="1">IF(AND(NOT(I9),AND(I$4:I8)),TRUE,I9)</f>
        <v>0</v>
      </c>
      <c r="N9" s="440" t="e">
        <f ca="1">IF(AND(NOT(ISBLANK(Jumpoverwrite1)),AND(NOT(M9),AND(M$4:M8))),($J9*$G9-LN(1+Jumpoverwrite1*O$2))/$G9,_xll.qlInterpolationInterpolate(M$3,$F9,TRUE))</f>
        <v>#NAME?</v>
      </c>
      <c r="O9" s="440" t="str">
        <f ca="1">IF(AND(NOT(M9),AND(M$4:M8)),MIN(EXP((N9-$J9)*$G9),1),"")</f>
        <v/>
      </c>
      <c r="P9" s="429"/>
      <c r="Q9" s="441" t="b">
        <f ca="1">IF(AND(NOT(M9),AND(M$4:M8)),TRUE,M9)</f>
        <v>0</v>
      </c>
      <c r="R9" s="440" t="e">
        <f ca="1">IF(AND(NOT(ISBLANK(Jumpoverwrite2)),AND(NOT(Q9),AND(Q$4:Q8))),($J9*$G9-LN(1+Jumpoverwrite2*S$2))/$G9,_xll.qlInterpolationInterpolate(Q$3,$F9,TRUE))</f>
        <v>#NAME?</v>
      </c>
      <c r="S9" s="440" t="str">
        <f ca="1">IF(AND(NOT(Q9),AND(Q$4:Q8)),MIN(EXP((R9-$J9)*$G9),1),"")</f>
        <v/>
      </c>
      <c r="T9" s="429"/>
      <c r="U9" s="441" t="b">
        <f ca="1">IF(AND(NOT(Q9),AND(Q$4:Q8)),TRUE,Q9)</f>
        <v>0</v>
      </c>
      <c r="V9" s="440" t="e">
        <f ca="1">IF(AND(NOT(ISBLANK(Jumpoverwrite3)),AND(NOT(U9),AND(U$4:U8))),($J9*$G9-LN(1+Jumpoverwrite3*W$2))/$G9,_xll.qlInterpolationInterpolate(U$3,$F9,TRUE))</f>
        <v>#NAME?</v>
      </c>
      <c r="W9" s="440" t="str">
        <f ca="1">IF(AND(NOT(U9),AND(U$4:U8)),MIN(EXP((V9-$J9)*$G9),1),"")</f>
        <v/>
      </c>
      <c r="X9" s="429"/>
      <c r="Y9" s="441" t="b">
        <f ca="1">IF(AND(NOT(U9),AND(U$4:U8)),TRUE,U9)</f>
        <v>0</v>
      </c>
      <c r="Z9" s="440" t="e">
        <f ca="1">IF(AND(NOT(ISBLANK(Jumpoverwrite4)),AND(NOT(Y9),AND(Y$4:Y8))),($J9*$G9-LN(1+Jumpoverwrite4*AA$2))/$G9,_xll.qlInterpolationInterpolate(Y$3,$F9,TRUE))</f>
        <v>#NAME?</v>
      </c>
      <c r="AA9" s="440" t="str">
        <f ca="1">IF(AND(NOT(Y9),AND(Y$4:Y8)),MIN(EXP((Z9-$J9)*$G9),1),"")</f>
        <v/>
      </c>
      <c r="AB9" s="429"/>
      <c r="AC9" s="441" t="b">
        <f ca="1">IF(AND(NOT(Y9),AND(Y$4:Y8)),TRUE,Y9)</f>
        <v>0</v>
      </c>
      <c r="AD9" s="440" t="e">
        <f ca="1">IF(AND(NOT(ISBLANK(Jumpoverwrite5)),AND(NOT(AC9),AND(AC$4:AC8))),($J9*$G9-LN(1+Jumpoverwrite5*AE$2))/$G9,_xll.qlInterpolationInterpolate(AC$3,$F9,TRUE))</f>
        <v>#NAME?</v>
      </c>
      <c r="AE9" s="440" t="e">
        <f ca="1">IF(AND(NOT(AC9),AND(AC$4:AC8)),MIN(EXP((AD9-$J9)*$G9),1),"")</f>
        <v>#NAME?</v>
      </c>
      <c r="AF9" s="429"/>
      <c r="AG9" s="441" t="b">
        <f ca="1">IF(AND(NOT(AC9),AND(AC$4:AC8)),TRUE,AC9)</f>
        <v>1</v>
      </c>
      <c r="AH9" s="440" t="e">
        <f ca="1">IF(AND(NOT(ISBLANK(Jumpoverwrite6)),AND(NOT(AG9),AND(AG$4:AG8))),($J9*$G9-LN(1+Jumpoverwrite6*AI$2))/$G9,_xll.qlInterpolationInterpolate(AG$3,$F9,TRUE))</f>
        <v>#NAME?</v>
      </c>
      <c r="AI9" s="440" t="str">
        <f ca="1">IF(AND(NOT(AG9),AND(AG$4:AG8)),MIN(EXP((AH9-$J9)*$G9),1),"")</f>
        <v/>
      </c>
      <c r="AJ9" s="429"/>
      <c r="AK9" s="441" t="b">
        <f ca="1">IF(AND(NOT(AG9),AND(AG$4:AG8)),TRUE,AG9)</f>
        <v>1</v>
      </c>
      <c r="AL9" s="440" t="e">
        <f ca="1">IF(AND(NOT(ISBLANK(Jumpoverwrite7)),AND(NOT(AK9),AND(AK$4:AK8))),($J9*$G9-LN(1+Jumpoverwrite7*AM$2))/$G9,_xll.qlInterpolationInterpolate(AK$3,$F9,TRUE))</f>
        <v>#NAME?</v>
      </c>
      <c r="AM9" s="440" t="str">
        <f ca="1">IF(AND(NOT(AK9),AND(AK$4:AK8)),MIN(EXP((AL9-$J9)*$G9),1),"")</f>
        <v/>
      </c>
      <c r="AO9" s="441" t="b">
        <f ca="1">IF(AND(NOT(AK9),AND(AK$4:AK8)),TRUE,AK9)</f>
        <v>1</v>
      </c>
      <c r="AP9" s="440" t="e">
        <f ca="1">IF(AND(NOT(ISBLANK(Jumpoverwrite8)),AND(NOT(AO9),AND(AO$4:AO8))),($J9*$G9-LN(1+Jumpoverwrite8*AQ$2))/$G9,_xll.qlInterpolationInterpolate(AO$3,$F9,TRUE))</f>
        <v>#NAME?</v>
      </c>
      <c r="AQ9" s="440" t="str">
        <f ca="1">IF(AND(NOT(AO9),AND(AO$4:AO8)),MIN(EXP((AP9-$J9)*$G9),1),"")</f>
        <v/>
      </c>
      <c r="AS9" s="441" t="b">
        <f ca="1">IF(AND(NOT(AO9),AND(AO$4:AO8)),TRUE,AO9)</f>
        <v>1</v>
      </c>
      <c r="AT9" s="440" t="e">
        <f ca="1">IF(AND(NOT(ISBLANK(Jumpoverwrite9)),AND(NOT(AS9),AND(AS$4:AS8))),($J9*$G9-LN(1+Jumpoverwrite9*AU$2))/$G9,_xll.qlInterpolationInterpolate(AS$3,$F9,TRUE))</f>
        <v>#NAME?</v>
      </c>
      <c r="AU9" s="440" t="str">
        <f ca="1">IF(AND(NOT(AS9),AND(AS$4:AS8)),MIN(EXP((AT9-$J9)*$G9),1),"")</f>
        <v/>
      </c>
      <c r="AW9" s="441" t="b">
        <f ca="1">IF(AND(NOT(AS9),AND(AS$4:AS8)),TRUE,AS9)</f>
        <v>1</v>
      </c>
      <c r="AX9" s="440" t="e">
        <f ca="1">IF(AND(NOT(ISBLANK(Jumpoverwrite10)),AND(NOT(AW9),AND(AW$4:AW8))),($J9*$G9-LN(1+Jumpoverwrite10*AY$2))/$G9,_xll.qlInterpolationInterpolate(AW$3,$F9,TRUE))</f>
        <v>#NAME?</v>
      </c>
      <c r="AY9" s="440" t="str">
        <f ca="1">IF(AND(NOT(AW9),AND(AW$4:AW8)),MIN(EXP((AX9-$J9)*$G9),1),"")</f>
        <v/>
      </c>
      <c r="BA9" s="441" t="b">
        <f ca="1">IF(AND(NOT(AW9),AND(AW$4:AW8)),TRUE,AW9)</f>
        <v>1</v>
      </c>
      <c r="BB9" s="440" t="e">
        <f ca="1">IF(AND(NOT(ISBLANK(Jumpoverwrite11)),AND(NOT(BA9),AND(BA$4:BA8))),($J9*$G9-LN(1+Jumpoverwrite11*BC$2))/$G9,_xll.qlInterpolationInterpolate(BA$3,$F9,TRUE))</f>
        <v>#NAME?</v>
      </c>
      <c r="BC9" s="440" t="str">
        <f ca="1">IF(AND(NOT(BA9),AND(BA$4:BA8)),MIN(EXP((BB9-$J9)*$G9),1),"")</f>
        <v/>
      </c>
      <c r="BE9" s="441" t="b">
        <f ca="1">IF(AND(NOT(BA9),AND(BA$4:BA8)),TRUE,BA9)</f>
        <v>1</v>
      </c>
      <c r="BF9" s="440" t="e">
        <f ca="1">IF(AND(NOT(ISBLANK(Jumpoverwrite12)),AND(NOT(BE9),AND(BE$4:BE8))),($J9*$G9-LN(1+Jumpoverwrite12*BG$2))/$G9,_xll.qlInterpolationInterpolate(BE$3,$F9,TRUE))</f>
        <v>#NAME?</v>
      </c>
      <c r="BG9" s="440" t="str">
        <f ca="1">IF(AND(NOT(BE9),AND(BE$4:BE8)),MIN(EXP((BF9-$J9)*$G9),1),"")</f>
        <v/>
      </c>
      <c r="BI9" s="441" t="b">
        <f t="shared" ca="1" si="3"/>
        <v>0</v>
      </c>
      <c r="BJ9" s="440" t="e">
        <f ca="1">IF(AND(NOT(ISBLANK(jumpoverwrite13)),AND(NOT(BI9),AND(BI$4:BI8))),($J9*$G9-LN(1+jumpoverwrite13*BK$2))/$G9,_xll.qlInterpolationInterpolate(BI$3,$F9,TRUE))</f>
        <v>#NAME?</v>
      </c>
      <c r="BK9" s="440" t="str">
        <f ca="1">IF(AND(NOT(BI9),AND(BI$4:BI8)),MIN(EXP((BJ9-$J9)*$G9),1),"")</f>
        <v/>
      </c>
    </row>
    <row r="10" spans="1:83" x14ac:dyDescent="0.2">
      <c r="A10" s="439" t="e">
        <f ca="1"/>
        <v>#NAME?</v>
      </c>
      <c r="B10" s="438" t="e">
        <f ca="1">_xll.qlRateHelperRate($A10,InterestRatesTrigger)</f>
        <v>#NAME?</v>
      </c>
      <c r="C10" s="437" t="e">
        <f ca="1">_xll.qlRateHelperEarliestDate($A10)</f>
        <v>#NAME?</v>
      </c>
      <c r="D10" s="436" t="e">
        <f ca="1">_xll.qlRateHelperPillarDate($A10)</f>
        <v>#NAME?</v>
      </c>
      <c r="F10" s="446" t="e">
        <f t="shared" ca="1" si="1"/>
        <v>#N/A</v>
      </c>
      <c r="G10" s="445" t="e">
        <f ca="1">_xll.qlDayCounterYearFraction(DayCounter,D9,D10)</f>
        <v>#NAME?</v>
      </c>
      <c r="I10" s="444" t="b">
        <f t="shared" ca="1" si="2"/>
        <v>0</v>
      </c>
      <c r="J10" s="443" t="e">
        <f ca="1"/>
        <v>#NAME?</v>
      </c>
      <c r="K10" s="442" t="e">
        <f t="shared" ca="1" si="0"/>
        <v>#NAME?</v>
      </c>
      <c r="L10" s="447"/>
      <c r="M10" s="441" t="b">
        <f ca="1">IF(AND(NOT(I10),AND(I$4:I9)),TRUE,I10)</f>
        <v>0</v>
      </c>
      <c r="N10" s="440" t="e">
        <f ca="1">IF(AND(NOT(ISBLANK(Jumpoverwrite1)),AND(NOT(M10),AND(M$4:M9))),($J10*$G10-LN(1+Jumpoverwrite1*O$2))/$G10,_xll.qlInterpolationInterpolate(M$3,$F10,TRUE))</f>
        <v>#NAME?</v>
      </c>
      <c r="O10" s="440" t="str">
        <f ca="1">IF(AND(NOT(M10),AND(M$4:M9)),MIN(EXP((N10-$J10)*$G10),1),"")</f>
        <v/>
      </c>
      <c r="P10" s="429"/>
      <c r="Q10" s="441" t="b">
        <f ca="1">IF(AND(NOT(M10),AND(M$4:M9)),TRUE,M10)</f>
        <v>0</v>
      </c>
      <c r="R10" s="440" t="e">
        <f ca="1">IF(AND(NOT(ISBLANK(Jumpoverwrite2)),AND(NOT(Q10),AND(Q$4:Q9))),($J10*$G10-LN(1+Jumpoverwrite2*S$2))/$G10,_xll.qlInterpolationInterpolate(Q$3,$F10,TRUE))</f>
        <v>#NAME?</v>
      </c>
      <c r="S10" s="440" t="str">
        <f ca="1">IF(AND(NOT(Q10),AND(Q$4:Q9)),MIN(EXP((R10-$J10)*$G10),1),"")</f>
        <v/>
      </c>
      <c r="T10" s="429"/>
      <c r="U10" s="441" t="b">
        <f ca="1">IF(AND(NOT(Q10),AND(Q$4:Q9)),TRUE,Q10)</f>
        <v>0</v>
      </c>
      <c r="V10" s="440" t="e">
        <f ca="1">IF(AND(NOT(ISBLANK(Jumpoverwrite3)),AND(NOT(U10),AND(U$4:U9))),($J10*$G10-LN(1+Jumpoverwrite3*W$2))/$G10,_xll.qlInterpolationInterpolate(U$3,$F10,TRUE))</f>
        <v>#NAME?</v>
      </c>
      <c r="W10" s="440" t="str">
        <f ca="1">IF(AND(NOT(U10),AND(U$4:U9)),MIN(EXP((V10-$J10)*$G10),1),"")</f>
        <v/>
      </c>
      <c r="X10" s="429"/>
      <c r="Y10" s="441" t="b">
        <f ca="1">IF(AND(NOT(U10),AND(U$4:U9)),TRUE,U10)</f>
        <v>0</v>
      </c>
      <c r="Z10" s="440" t="e">
        <f ca="1">IF(AND(NOT(ISBLANK(Jumpoverwrite4)),AND(NOT(Y10),AND(Y$4:Y9))),($J10*$G10-LN(1+Jumpoverwrite4*AA$2))/$G10,_xll.qlInterpolationInterpolate(Y$3,$F10,TRUE))</f>
        <v>#NAME?</v>
      </c>
      <c r="AA10" s="440" t="str">
        <f ca="1">IF(AND(NOT(Y10),AND(Y$4:Y9)),MIN(EXP((Z10-$J10)*$G10),1),"")</f>
        <v/>
      </c>
      <c r="AB10" s="429"/>
      <c r="AC10" s="441" t="b">
        <f ca="1">IF(AND(NOT(Y10),AND(Y$4:Y9)),TRUE,Y10)</f>
        <v>0</v>
      </c>
      <c r="AD10" s="440" t="e">
        <f ca="1">IF(AND(NOT(ISBLANK(Jumpoverwrite5)),AND(NOT(AC10),AND(AC$4:AC9))),($J10*$G10-LN(1+Jumpoverwrite5*AE$2))/$G10,_xll.qlInterpolationInterpolate(AC$3,$F10,TRUE))</f>
        <v>#NAME?</v>
      </c>
      <c r="AE10" s="440" t="str">
        <f ca="1">IF(AND(NOT(AC10),AND(AC$4:AC9)),MIN(EXP((AD10-$J10)*$G10),1),"")</f>
        <v/>
      </c>
      <c r="AF10" s="429"/>
      <c r="AG10" s="441" t="b">
        <f ca="1">IF(AND(NOT(AC10),AND(AC$4:AC9)),TRUE,AC10)</f>
        <v>0</v>
      </c>
      <c r="AH10" s="440" t="e">
        <f ca="1">IF(AND(NOT(ISBLANK(Jumpoverwrite6)),AND(NOT(AG10),AND(AG$4:AG9))),($J10*$G10-LN(1+Jumpoverwrite6*AI$2))/$G10,_xll.qlInterpolationInterpolate(AG$3,$F10,TRUE))</f>
        <v>#NAME?</v>
      </c>
      <c r="AI10" s="440" t="e">
        <f ca="1">IF(AND(NOT(AG10),AND(AG$4:AG9)),MIN(EXP((AH10-$J10)*$G10),1),"")</f>
        <v>#NAME?</v>
      </c>
      <c r="AJ10" s="429"/>
      <c r="AK10" s="441" t="b">
        <f ca="1">IF(AND(NOT(AG10),AND(AG$4:AG9)),TRUE,AG10)</f>
        <v>1</v>
      </c>
      <c r="AL10" s="440" t="e">
        <f ca="1">IF(AND(NOT(ISBLANK(Jumpoverwrite7)),AND(NOT(AK10),AND(AK$4:AK9))),($J10*$G10-LN(1+Jumpoverwrite7*AM$2))/$G10,_xll.qlInterpolationInterpolate(AK$3,$F10,TRUE))</f>
        <v>#NAME?</v>
      </c>
      <c r="AM10" s="440" t="str">
        <f ca="1">IF(AND(NOT(AK10),AND(AK$4:AK9)),MIN(EXP((AL10-$J10)*$G10),1),"")</f>
        <v/>
      </c>
      <c r="AO10" s="441" t="b">
        <f ca="1">IF(AND(NOT(AK10),AND(AK$4:AK9)),TRUE,AK10)</f>
        <v>1</v>
      </c>
      <c r="AP10" s="440" t="e">
        <f ca="1">IF(AND(NOT(ISBLANK(Jumpoverwrite8)),AND(NOT(AO10),AND(AO$4:AO9))),($J10*$G10-LN(1+Jumpoverwrite8*AQ$2))/$G10,_xll.qlInterpolationInterpolate(AO$3,$F10,TRUE))</f>
        <v>#NAME?</v>
      </c>
      <c r="AQ10" s="440" t="str">
        <f ca="1">IF(AND(NOT(AO10),AND(AO$4:AO9)),MIN(EXP((AP10-$J10)*$G10),1),"")</f>
        <v/>
      </c>
      <c r="AS10" s="441" t="b">
        <f ca="1">IF(AND(NOT(AO10),AND(AO$4:AO9)),TRUE,AO10)</f>
        <v>1</v>
      </c>
      <c r="AT10" s="440" t="e">
        <f ca="1">IF(AND(NOT(ISBLANK(Jumpoverwrite9)),AND(NOT(AS10),AND(AS$4:AS9))),($J10*$G10-LN(1+Jumpoverwrite9*AU$2))/$G10,_xll.qlInterpolationInterpolate(AS$3,$F10,TRUE))</f>
        <v>#NAME?</v>
      </c>
      <c r="AU10" s="440" t="str">
        <f ca="1">IF(AND(NOT(AS10),AND(AS$4:AS9)),MIN(EXP((AT10-$J10)*$G10),1),"")</f>
        <v/>
      </c>
      <c r="AW10" s="441" t="b">
        <f ca="1">IF(AND(NOT(AS10),AND(AS$4:AS9)),TRUE,AS10)</f>
        <v>1</v>
      </c>
      <c r="AX10" s="440" t="e">
        <f ca="1">IF(AND(NOT(ISBLANK(Jumpoverwrite10)),AND(NOT(AW10),AND(AW$4:AW9))),($J10*$G10-LN(1+Jumpoverwrite10*AY$2))/$G10,_xll.qlInterpolationInterpolate(AW$3,$F10,TRUE))</f>
        <v>#NAME?</v>
      </c>
      <c r="AY10" s="440" t="str">
        <f ca="1">IF(AND(NOT(AW10),AND(AW$4:AW9)),MIN(EXP((AX10-$J10)*$G10),1),"")</f>
        <v/>
      </c>
      <c r="BA10" s="441" t="b">
        <f ca="1">IF(AND(NOT(AW10),AND(AW$4:AW9)),TRUE,AW10)</f>
        <v>1</v>
      </c>
      <c r="BB10" s="440" t="e">
        <f ca="1">IF(AND(NOT(ISBLANK(Jumpoverwrite11)),AND(NOT(BA10),AND(BA$4:BA9))),($J10*$G10-LN(1+Jumpoverwrite11*BC$2))/$G10,_xll.qlInterpolationInterpolate(BA$3,$F10,TRUE))</f>
        <v>#NAME?</v>
      </c>
      <c r="BC10" s="440" t="str">
        <f ca="1">IF(AND(NOT(BA10),AND(BA$4:BA9)),MIN(EXP((BB10-$J10)*$G10),1),"")</f>
        <v/>
      </c>
      <c r="BE10" s="441" t="b">
        <f ca="1">IF(AND(NOT(BA10),AND(BA$4:BA9)),TRUE,BA10)</f>
        <v>1</v>
      </c>
      <c r="BF10" s="440" t="e">
        <f ca="1">IF(AND(NOT(ISBLANK(Jumpoverwrite12)),AND(NOT(BE10),AND(BE$4:BE9))),($J10*$G10-LN(1+Jumpoverwrite12*BG$2))/$G10,_xll.qlInterpolationInterpolate(BE$3,$F10,TRUE))</f>
        <v>#NAME?</v>
      </c>
      <c r="BG10" s="440" t="str">
        <f ca="1">IF(AND(NOT(BE10),AND(BE$4:BE9)),MIN(EXP((BF10-$J10)*$G10),1),"")</f>
        <v/>
      </c>
      <c r="BI10" s="441" t="b">
        <f t="shared" ca="1" si="3"/>
        <v>0</v>
      </c>
      <c r="BJ10" s="440" t="e">
        <f ca="1">IF(AND(NOT(ISBLANK(jumpoverwrite13)),AND(NOT(BI10),AND(BI$4:BI9))),($J10*$G10-LN(1+jumpoverwrite13*BK$2))/$G10,_xll.qlInterpolationInterpolate(BI$3,$F10,TRUE))</f>
        <v>#NAME?</v>
      </c>
      <c r="BK10" s="440" t="str">
        <f ca="1">IF(AND(NOT(BI10),AND(BI$4:BI9)),MIN(EXP((BJ10-$J10)*$G10),1),"")</f>
        <v/>
      </c>
    </row>
    <row r="11" spans="1:83" x14ac:dyDescent="0.2">
      <c r="A11" s="439" t="e">
        <f ca="1"/>
        <v>#NAME?</v>
      </c>
      <c r="B11" s="438" t="e">
        <f ca="1">_xll.qlRateHelperRate($A11,InterestRatesTrigger)</f>
        <v>#NAME?</v>
      </c>
      <c r="C11" s="437" t="e">
        <f ca="1">_xll.qlRateHelperEarliestDate($A11)</f>
        <v>#NAME?</v>
      </c>
      <c r="D11" s="436" t="e">
        <f ca="1">_xll.qlRateHelperPillarDate($A11)</f>
        <v>#NAME?</v>
      </c>
      <c r="F11" s="446" t="e">
        <f t="shared" ca="1" si="1"/>
        <v>#N/A</v>
      </c>
      <c r="G11" s="445" t="e">
        <f ca="1">_xll.qlDayCounterYearFraction(DayCounter,D10,D11)</f>
        <v>#NAME?</v>
      </c>
      <c r="I11" s="444" t="b">
        <f t="shared" ca="1" si="2"/>
        <v>0</v>
      </c>
      <c r="J11" s="443" t="e">
        <f ca="1"/>
        <v>#NAME?</v>
      </c>
      <c r="K11" s="442" t="e">
        <f t="shared" ca="1" si="0"/>
        <v>#NAME?</v>
      </c>
      <c r="L11" s="447"/>
      <c r="M11" s="441" t="b">
        <f ca="1">IF(AND(NOT(I11),AND(I$4:I10)),TRUE,I11)</f>
        <v>0</v>
      </c>
      <c r="N11" s="440" t="e">
        <f ca="1">IF(AND(NOT(ISBLANK(Jumpoverwrite1)),AND(NOT(M11),AND(M$4:M10))),($J11*$G11-LN(1+Jumpoverwrite1*O$2))/$G11,_xll.qlInterpolationInterpolate(M$3,$F11,TRUE))</f>
        <v>#NAME?</v>
      </c>
      <c r="O11" s="440" t="str">
        <f ca="1">IF(AND(NOT(M11),AND(M$4:M10)),MIN(EXP((N11-$J11)*$G11),1),"")</f>
        <v/>
      </c>
      <c r="P11" s="429"/>
      <c r="Q11" s="441" t="b">
        <f ca="1">IF(AND(NOT(M11),AND(M$4:M10)),TRUE,M11)</f>
        <v>0</v>
      </c>
      <c r="R11" s="440" t="e">
        <f ca="1">IF(AND(NOT(ISBLANK(Jumpoverwrite2)),AND(NOT(Q11),AND(Q$4:Q10))),($J11*$G11-LN(1+Jumpoverwrite2*S$2))/$G11,_xll.qlInterpolationInterpolate(Q$3,$F11,TRUE))</f>
        <v>#NAME?</v>
      </c>
      <c r="S11" s="440" t="str">
        <f ca="1">IF(AND(NOT(Q11),AND(Q$4:Q10)),MIN(EXP((R11-$J11)*$G11),1),"")</f>
        <v/>
      </c>
      <c r="T11" s="429"/>
      <c r="U11" s="441" t="b">
        <f ca="1">IF(AND(NOT(Q11),AND(Q$4:Q10)),TRUE,Q11)</f>
        <v>0</v>
      </c>
      <c r="V11" s="440" t="e">
        <f ca="1">IF(AND(NOT(ISBLANK(Jumpoverwrite3)),AND(NOT(U11),AND(U$4:U10))),($J11*$G11-LN(1+Jumpoverwrite3*W$2))/$G11,_xll.qlInterpolationInterpolate(U$3,$F11,TRUE))</f>
        <v>#NAME?</v>
      </c>
      <c r="W11" s="440" t="str">
        <f ca="1">IF(AND(NOT(U11),AND(U$4:U10)),MIN(EXP((V11-$J11)*$G11),1),"")</f>
        <v/>
      </c>
      <c r="X11" s="429"/>
      <c r="Y11" s="441" t="b">
        <f ca="1">IF(AND(NOT(U11),AND(U$4:U10)),TRUE,U11)</f>
        <v>0</v>
      </c>
      <c r="Z11" s="440" t="e">
        <f ca="1">IF(AND(NOT(ISBLANK(Jumpoverwrite4)),AND(NOT(Y11),AND(Y$4:Y10))),($J11*$G11-LN(1+Jumpoverwrite4*AA$2))/$G11,_xll.qlInterpolationInterpolate(Y$3,$F11,TRUE))</f>
        <v>#NAME?</v>
      </c>
      <c r="AA11" s="440" t="str">
        <f ca="1">IF(AND(NOT(Y11),AND(Y$4:Y10)),MIN(EXP((Z11-$J11)*$G11),1),"")</f>
        <v/>
      </c>
      <c r="AB11" s="429"/>
      <c r="AC11" s="441" t="b">
        <f ca="1">IF(AND(NOT(Y11),AND(Y$4:Y10)),TRUE,Y11)</f>
        <v>0</v>
      </c>
      <c r="AD11" s="440" t="e">
        <f ca="1">IF(AND(NOT(ISBLANK(Jumpoverwrite5)),AND(NOT(AC11),AND(AC$4:AC10))),($J11*$G11-LN(1+Jumpoverwrite5*AE$2))/$G11,_xll.qlInterpolationInterpolate(AC$3,$F11,TRUE))</f>
        <v>#NAME?</v>
      </c>
      <c r="AE11" s="440" t="str">
        <f ca="1">IF(AND(NOT(AC11),AND(AC$4:AC10)),MIN(EXP((AD11-$J11)*$G11),1),"")</f>
        <v/>
      </c>
      <c r="AF11" s="429"/>
      <c r="AG11" s="441" t="b">
        <f ca="1">IF(AND(NOT(AC11),AND(AC$4:AC10)),TRUE,AC11)</f>
        <v>0</v>
      </c>
      <c r="AH11" s="440" t="e">
        <f ca="1">IF(AND(NOT(ISBLANK(Jumpoverwrite6)),AND(NOT(AG11),AND(AG$4:AG10))),($J11*$G11-LN(1+Jumpoverwrite6*AI$2))/$G11,_xll.qlInterpolationInterpolate(AG$3,$F11,TRUE))</f>
        <v>#NAME?</v>
      </c>
      <c r="AI11" s="440" t="str">
        <f ca="1">IF(AND(NOT(AG11),AND(AG$4:AG10)),MIN(EXP((AH11-$J11)*$G11),1),"")</f>
        <v/>
      </c>
      <c r="AJ11" s="429"/>
      <c r="AK11" s="441" t="b">
        <f ca="1">IF(AND(NOT(AG11),AND(AG$4:AG10)),TRUE,AG11)</f>
        <v>0</v>
      </c>
      <c r="AL11" s="440" t="e">
        <f ca="1">IF(AND(NOT(ISBLANK(Jumpoverwrite7)),AND(NOT(AK11),AND(AK$4:AK10))),($J11*$G11-LN(1+Jumpoverwrite7*AM$2))/$G11,_xll.qlInterpolationInterpolate(AK$3,$F11,TRUE))</f>
        <v>#NAME?</v>
      </c>
      <c r="AM11" s="440" t="e">
        <f ca="1">IF(AND(NOT(AK11),AND(AK$4:AK10)),MIN(EXP((AL11-$J11)*$G11),1),"")</f>
        <v>#NAME?</v>
      </c>
      <c r="AO11" s="441" t="b">
        <f ca="1">IF(AND(NOT(AK11),AND(AK$4:AK10)),TRUE,AK11)</f>
        <v>1</v>
      </c>
      <c r="AP11" s="440" t="e">
        <f ca="1">IF(AND(NOT(ISBLANK(Jumpoverwrite8)),AND(NOT(AO11),AND(AO$4:AO10))),($J11*$G11-LN(1+Jumpoverwrite8*AQ$2))/$G11,_xll.qlInterpolationInterpolate(AO$3,$F11,TRUE))</f>
        <v>#NAME?</v>
      </c>
      <c r="AQ11" s="440" t="str">
        <f ca="1">IF(AND(NOT(AO11),AND(AO$4:AO10)),MIN(EXP((AP11-$J11)*$G11),1),"")</f>
        <v/>
      </c>
      <c r="AS11" s="441" t="b">
        <f ca="1">IF(AND(NOT(AO11),AND(AO$4:AO10)),TRUE,AO11)</f>
        <v>1</v>
      </c>
      <c r="AT11" s="440" t="e">
        <f ca="1">IF(AND(NOT(ISBLANK(Jumpoverwrite9)),AND(NOT(AS11),AND(AS$4:AS10))),($J11*$G11-LN(1+Jumpoverwrite9*AU$2))/$G11,_xll.qlInterpolationInterpolate(AS$3,$F11,TRUE))</f>
        <v>#NAME?</v>
      </c>
      <c r="AU11" s="440" t="str">
        <f ca="1">IF(AND(NOT(AS11),AND(AS$4:AS10)),MIN(EXP((AT11-$J11)*$G11),1),"")</f>
        <v/>
      </c>
      <c r="AW11" s="441" t="b">
        <f ca="1">IF(AND(NOT(AS11),AND(AS$4:AS10)),TRUE,AS11)</f>
        <v>1</v>
      </c>
      <c r="AX11" s="440" t="e">
        <f ca="1">IF(AND(NOT(ISBLANK(Jumpoverwrite10)),AND(NOT(AW11),AND(AW$4:AW10))),($J11*$G11-LN(1+Jumpoverwrite10*AY$2))/$G11,_xll.qlInterpolationInterpolate(AW$3,$F11,TRUE))</f>
        <v>#NAME?</v>
      </c>
      <c r="AY11" s="440" t="str">
        <f ca="1">IF(AND(NOT(AW11),AND(AW$4:AW10)),MIN(EXP((AX11-$J11)*$G11),1),"")</f>
        <v/>
      </c>
      <c r="BA11" s="441" t="b">
        <f ca="1">IF(AND(NOT(AW11),AND(AW$4:AW10)),TRUE,AW11)</f>
        <v>1</v>
      </c>
      <c r="BB11" s="440" t="e">
        <f ca="1">IF(AND(NOT(ISBLANK(Jumpoverwrite11)),AND(NOT(BA11),AND(BA$4:BA10))),($J11*$G11-LN(1+Jumpoverwrite11*BC$2))/$G11,_xll.qlInterpolationInterpolate(BA$3,$F11,TRUE))</f>
        <v>#NAME?</v>
      </c>
      <c r="BC11" s="440" t="str">
        <f ca="1">IF(AND(NOT(BA11),AND(BA$4:BA10)),MIN(EXP((BB11-$J11)*$G11),1),"")</f>
        <v/>
      </c>
      <c r="BE11" s="441" t="b">
        <f ca="1">IF(AND(NOT(BA11),AND(BA$4:BA10)),TRUE,BA11)</f>
        <v>1</v>
      </c>
      <c r="BF11" s="440" t="e">
        <f ca="1">IF(AND(NOT(ISBLANK(Jumpoverwrite12)),AND(NOT(BE11),AND(BE$4:BE10))),($J11*$G11-LN(1+Jumpoverwrite12*BG$2))/$G11,_xll.qlInterpolationInterpolate(BE$3,$F11,TRUE))</f>
        <v>#NAME?</v>
      </c>
      <c r="BG11" s="440" t="str">
        <f ca="1">IF(AND(NOT(BE11),AND(BE$4:BE10)),MIN(EXP((BF11-$J11)*$G11),1),"")</f>
        <v/>
      </c>
      <c r="BI11" s="441" t="b">
        <f t="shared" ca="1" si="3"/>
        <v>0</v>
      </c>
      <c r="BJ11" s="440" t="e">
        <f ca="1">IF(AND(NOT(ISBLANK(jumpoverwrite13)),AND(NOT(BI11),AND(BI$4:BI10))),($J11*$G11-LN(1+jumpoverwrite13*BK$2))/$G11,_xll.qlInterpolationInterpolate(BI$3,$F11,TRUE))</f>
        <v>#NAME?</v>
      </c>
      <c r="BK11" s="440" t="str">
        <f ca="1">IF(AND(NOT(BI11),AND(BI$4:BI10)),MIN(EXP((BJ11-$J11)*$G11),1),"")</f>
        <v/>
      </c>
    </row>
    <row r="12" spans="1:83" x14ac:dyDescent="0.2">
      <c r="A12" s="439" t="e">
        <f ca="1"/>
        <v>#NAME?</v>
      </c>
      <c r="B12" s="438" t="e">
        <f ca="1">_xll.qlRateHelperRate($A12,InterestRatesTrigger)</f>
        <v>#NAME?</v>
      </c>
      <c r="C12" s="437" t="e">
        <f ca="1">_xll.qlRateHelperEarliestDate($A12)</f>
        <v>#NAME?</v>
      </c>
      <c r="D12" s="436" t="e">
        <f ca="1">_xll.qlRateHelperPillarDate($A12)</f>
        <v>#NAME?</v>
      </c>
      <c r="F12" s="446" t="e">
        <f t="shared" ca="1" si="1"/>
        <v>#N/A</v>
      </c>
      <c r="G12" s="445" t="e">
        <f ca="1">_xll.qlDayCounterYearFraction(DayCounter,D11,D12)</f>
        <v>#NAME?</v>
      </c>
      <c r="I12" s="444" t="b">
        <f t="shared" ca="1" si="2"/>
        <v>0</v>
      </c>
      <c r="J12" s="443" t="e">
        <f ca="1"/>
        <v>#NAME?</v>
      </c>
      <c r="K12" s="442" t="e">
        <f t="shared" ca="1" si="0"/>
        <v>#NAME?</v>
      </c>
      <c r="L12" s="447"/>
      <c r="M12" s="441" t="b">
        <f ca="1">IF(AND(NOT(I12),AND(I$4:I11)),TRUE,I12)</f>
        <v>0</v>
      </c>
      <c r="N12" s="440" t="e">
        <f ca="1">IF(AND(NOT(ISBLANK(Jumpoverwrite1)),AND(NOT(M12),AND(M$4:M11))),($J12*$G12-LN(1+Jumpoverwrite1*O$2))/$G12,_xll.qlInterpolationInterpolate(M$3,$F12,TRUE))</f>
        <v>#NAME?</v>
      </c>
      <c r="O12" s="440" t="str">
        <f ca="1">IF(AND(NOT(M12),AND(M$4:M11)),MIN(EXP((N12-$J12)*$G12),1),"")</f>
        <v/>
      </c>
      <c r="P12" s="429"/>
      <c r="Q12" s="441" t="b">
        <f ca="1">IF(AND(NOT(M12),AND(M$4:M11)),TRUE,M12)</f>
        <v>0</v>
      </c>
      <c r="R12" s="440" t="e">
        <f ca="1">IF(AND(NOT(ISBLANK(Jumpoverwrite2)),AND(NOT(Q12),AND(Q$4:Q11))),($J12*$G12-LN(1+Jumpoverwrite2*S$2))/$G12,_xll.qlInterpolationInterpolate(Q$3,$F12,TRUE))</f>
        <v>#NAME?</v>
      </c>
      <c r="S12" s="440" t="str">
        <f ca="1">IF(AND(NOT(Q12),AND(Q$4:Q11)),MIN(EXP((R12-$J12)*$G12),1),"")</f>
        <v/>
      </c>
      <c r="T12" s="429"/>
      <c r="U12" s="441" t="b">
        <f ca="1">IF(AND(NOT(Q12),AND(Q$4:Q11)),TRUE,Q12)</f>
        <v>0</v>
      </c>
      <c r="V12" s="440" t="e">
        <f ca="1">IF(AND(NOT(ISBLANK(Jumpoverwrite3)),AND(NOT(U12),AND(U$4:U11))),($J12*$G12-LN(1+Jumpoverwrite3*W$2))/$G12,_xll.qlInterpolationInterpolate(U$3,$F12,TRUE))</f>
        <v>#NAME?</v>
      </c>
      <c r="W12" s="440" t="str">
        <f ca="1">IF(AND(NOT(U12),AND(U$4:U11)),MIN(EXP((V12-$J12)*$G12),1),"")</f>
        <v/>
      </c>
      <c r="X12" s="429"/>
      <c r="Y12" s="441" t="b">
        <f ca="1">IF(AND(NOT(U12),AND(U$4:U11)),TRUE,U12)</f>
        <v>0</v>
      </c>
      <c r="Z12" s="440" t="e">
        <f ca="1">IF(AND(NOT(ISBLANK(Jumpoverwrite4)),AND(NOT(Y12),AND(Y$4:Y11))),($J12*$G12-LN(1+Jumpoverwrite4*AA$2))/$G12,_xll.qlInterpolationInterpolate(Y$3,$F12,TRUE))</f>
        <v>#NAME?</v>
      </c>
      <c r="AA12" s="440" t="str">
        <f ca="1">IF(AND(NOT(Y12),AND(Y$4:Y11)),MIN(EXP((Z12-$J12)*$G12),1),"")</f>
        <v/>
      </c>
      <c r="AB12" s="429"/>
      <c r="AC12" s="441" t="b">
        <f ca="1">IF(AND(NOT(Y12),AND(Y$4:Y11)),TRUE,Y12)</f>
        <v>0</v>
      </c>
      <c r="AD12" s="440" t="e">
        <f ca="1">IF(AND(NOT(ISBLANK(Jumpoverwrite5)),AND(NOT(AC12),AND(AC$4:AC11))),($J12*$G12-LN(1+Jumpoverwrite5*AE$2))/$G12,_xll.qlInterpolationInterpolate(AC$3,$F12,TRUE))</f>
        <v>#NAME?</v>
      </c>
      <c r="AE12" s="440" t="str">
        <f ca="1">IF(AND(NOT(AC12),AND(AC$4:AC11)),MIN(EXP((AD12-$J12)*$G12),1),"")</f>
        <v/>
      </c>
      <c r="AF12" s="429"/>
      <c r="AG12" s="441" t="b">
        <f ca="1">IF(AND(NOT(AC12),AND(AC$4:AC11)),TRUE,AC12)</f>
        <v>0</v>
      </c>
      <c r="AH12" s="440" t="e">
        <f ca="1">IF(AND(NOT(ISBLANK(Jumpoverwrite6)),AND(NOT(AG12),AND(AG$4:AG11))),($J12*$G12-LN(1+Jumpoverwrite6*AI$2))/$G12,_xll.qlInterpolationInterpolate(AG$3,$F12,TRUE))</f>
        <v>#NAME?</v>
      </c>
      <c r="AI12" s="440" t="str">
        <f ca="1">IF(AND(NOT(AG12),AND(AG$4:AG11)),MIN(EXP((AH12-$J12)*$G12),1),"")</f>
        <v/>
      </c>
      <c r="AJ12" s="429"/>
      <c r="AK12" s="441" t="b">
        <f ca="1">IF(AND(NOT(AG12),AND(AG$4:AG11)),TRUE,AG12)</f>
        <v>0</v>
      </c>
      <c r="AL12" s="440" t="e">
        <f ca="1">IF(AND(NOT(ISBLANK(Jumpoverwrite7)),AND(NOT(AK12),AND(AK$4:AK11))),($J12*$G12-LN(1+Jumpoverwrite7*AM$2))/$G12,_xll.qlInterpolationInterpolate(AK$3,$F12,TRUE))</f>
        <v>#NAME?</v>
      </c>
      <c r="AM12" s="440" t="str">
        <f ca="1">IF(AND(NOT(AK12),AND(AK$4:AK11)),MIN(EXP((AL12-$J12)*$G12),1),"")</f>
        <v/>
      </c>
      <c r="AO12" s="441" t="b">
        <f ca="1">IF(AND(NOT(AK12),AND(AK$4:AK11)),TRUE,AK12)</f>
        <v>0</v>
      </c>
      <c r="AP12" s="440" t="e">
        <f ca="1">IF(AND(NOT(ISBLANK(Jumpoverwrite8)),AND(NOT(AO12),AND(AO$4:AO11))),($J12*$G12-LN(1+Jumpoverwrite8*AQ$2))/$G12,_xll.qlInterpolationInterpolate(AO$3,$F12,TRUE))</f>
        <v>#NAME?</v>
      </c>
      <c r="AQ12" s="440" t="e">
        <f ca="1">IF(AND(NOT(AO12),AND(AO$4:AO11)),MIN(EXP((AP12-$J12)*$G12),1),"")</f>
        <v>#NAME?</v>
      </c>
      <c r="AS12" s="441" t="b">
        <f ca="1">IF(AND(NOT(AO12),AND(AO$4:AO11)),TRUE,AO12)</f>
        <v>1</v>
      </c>
      <c r="AT12" s="440" t="e">
        <f ca="1">IF(AND(NOT(ISBLANK(Jumpoverwrite9)),AND(NOT(AS12),AND(AS$4:AS11))),($J12*$G12-LN(1+Jumpoverwrite9*AU$2))/$G12,_xll.qlInterpolationInterpolate(AS$3,$F12,TRUE))</f>
        <v>#NAME?</v>
      </c>
      <c r="AU12" s="440" t="str">
        <f ca="1">IF(AND(NOT(AS12),AND(AS$4:AS11)),MIN(EXP((AT12-$J12)*$G12),1),"")</f>
        <v/>
      </c>
      <c r="AW12" s="441" t="b">
        <f ca="1">IF(AND(NOT(AS12),AND(AS$4:AS11)),TRUE,AS12)</f>
        <v>1</v>
      </c>
      <c r="AX12" s="440" t="e">
        <f ca="1">IF(AND(NOT(ISBLANK(Jumpoverwrite10)),AND(NOT(AW12),AND(AW$4:AW11))),($J12*$G12-LN(1+Jumpoverwrite10*AY$2))/$G12,_xll.qlInterpolationInterpolate(AW$3,$F12,TRUE))</f>
        <v>#NAME?</v>
      </c>
      <c r="AY12" s="440" t="str">
        <f ca="1">IF(AND(NOT(AW12),AND(AW$4:AW11)),MIN(EXP((AX12-$J12)*$G12),1),"")</f>
        <v/>
      </c>
      <c r="BA12" s="441" t="b">
        <f ca="1">IF(AND(NOT(AW12),AND(AW$4:AW11)),TRUE,AW12)</f>
        <v>1</v>
      </c>
      <c r="BB12" s="440" t="e">
        <f ca="1">IF(AND(NOT(ISBLANK(Jumpoverwrite11)),AND(NOT(BA12),AND(BA$4:BA11))),($J12*$G12-LN(1+Jumpoverwrite11*BC$2))/$G12,_xll.qlInterpolationInterpolate(BA$3,$F12,TRUE))</f>
        <v>#NAME?</v>
      </c>
      <c r="BC12" s="440" t="str">
        <f ca="1">IF(AND(NOT(BA12),AND(BA$4:BA11)),MIN(EXP((BB12-$J12)*$G12),1),"")</f>
        <v/>
      </c>
      <c r="BE12" s="441" t="b">
        <f ca="1">IF(AND(NOT(BA12),AND(BA$4:BA11)),TRUE,BA12)</f>
        <v>1</v>
      </c>
      <c r="BF12" s="440" t="e">
        <f ca="1">IF(AND(NOT(ISBLANK(Jumpoverwrite12)),AND(NOT(BE12),AND(BE$4:BE11))),($J12*$G12-LN(1+Jumpoverwrite12*BG$2))/$G12,_xll.qlInterpolationInterpolate(BE$3,$F12,TRUE))</f>
        <v>#NAME?</v>
      </c>
      <c r="BG12" s="440" t="str">
        <f ca="1">IF(AND(NOT(BE12),AND(BE$4:BE11)),MIN(EXP((BF12-$J12)*$G12),1),"")</f>
        <v/>
      </c>
      <c r="BI12" s="441" t="b">
        <f t="shared" ca="1" si="3"/>
        <v>0</v>
      </c>
      <c r="BJ12" s="440" t="e">
        <f ca="1">IF(AND(NOT(ISBLANK(jumpoverwrite13)),AND(NOT(BI12),AND(BI$4:BI11))),($J12*$G12-LN(1+jumpoverwrite13*BK$2))/$G12,_xll.qlInterpolationInterpolate(BI$3,$F12,TRUE))</f>
        <v>#NAME?</v>
      </c>
      <c r="BK12" s="440" t="str">
        <f ca="1">IF(AND(NOT(BI12),AND(BI$4:BI11)),MIN(EXP((BJ12-$J12)*$G12),1),"")</f>
        <v/>
      </c>
    </row>
    <row r="13" spans="1:83" x14ac:dyDescent="0.2">
      <c r="A13" s="439" t="e">
        <f ca="1"/>
        <v>#NAME?</v>
      </c>
      <c r="B13" s="438" t="e">
        <f ca="1">_xll.qlRateHelperRate($A13,InterestRatesTrigger)</f>
        <v>#NAME?</v>
      </c>
      <c r="C13" s="437" t="e">
        <f ca="1">_xll.qlRateHelperEarliestDate($A13)</f>
        <v>#NAME?</v>
      </c>
      <c r="D13" s="436" t="e">
        <f ca="1">_xll.qlRateHelperPillarDate($A13)</f>
        <v>#NAME?</v>
      </c>
      <c r="F13" s="446" t="e">
        <f t="shared" ca="1" si="1"/>
        <v>#N/A</v>
      </c>
      <c r="G13" s="445" t="e">
        <f ca="1">_xll.qlDayCounterYearFraction(DayCounter,D12,D13)</f>
        <v>#NAME?</v>
      </c>
      <c r="I13" s="444" t="b">
        <f t="shared" ca="1" si="2"/>
        <v>0</v>
      </c>
      <c r="J13" s="443" t="e">
        <f ca="1"/>
        <v>#NAME?</v>
      </c>
      <c r="K13" s="442" t="e">
        <f t="shared" ca="1" si="0"/>
        <v>#NAME?</v>
      </c>
      <c r="L13" s="447"/>
      <c r="M13" s="441" t="b">
        <f ca="1">IF(AND(NOT(I13),AND(I$4:I12)),TRUE,I13)</f>
        <v>0</v>
      </c>
      <c r="N13" s="440" t="e">
        <f ca="1">IF(AND(NOT(ISBLANK(Jumpoverwrite1)),AND(NOT(M13),AND(M$4:M12))),($J13*$G13-LN(1+Jumpoverwrite1*O$2))/$G13,_xll.qlInterpolationInterpolate(M$3,$F13,TRUE))</f>
        <v>#NAME?</v>
      </c>
      <c r="O13" s="440" t="str">
        <f ca="1">IF(AND(NOT(M13),AND(M$4:M12)),MIN(EXP((N13-$J13)*$G13),1),"")</f>
        <v/>
      </c>
      <c r="P13" s="429"/>
      <c r="Q13" s="441" t="b">
        <f ca="1">IF(AND(NOT(M13),AND(M$4:M12)),TRUE,M13)</f>
        <v>0</v>
      </c>
      <c r="R13" s="440" t="e">
        <f ca="1">IF(AND(NOT(ISBLANK(Jumpoverwrite2)),AND(NOT(Q13),AND(Q$4:Q12))),($J13*$G13-LN(1+Jumpoverwrite2*S$2))/$G13,_xll.qlInterpolationInterpolate(Q$3,$F13,TRUE))</f>
        <v>#NAME?</v>
      </c>
      <c r="S13" s="440" t="str">
        <f ca="1">IF(AND(NOT(Q13),AND(Q$4:Q12)),MIN(EXP((R13-$J13)*$G13),1),"")</f>
        <v/>
      </c>
      <c r="T13" s="429"/>
      <c r="U13" s="441" t="b">
        <f ca="1">IF(AND(NOT(Q13),AND(Q$4:Q12)),TRUE,Q13)</f>
        <v>0</v>
      </c>
      <c r="V13" s="440" t="e">
        <f ca="1">IF(AND(NOT(ISBLANK(Jumpoverwrite3)),AND(NOT(U13),AND(U$4:U12))),($J13*$G13-LN(1+Jumpoverwrite3*W$2))/$G13,_xll.qlInterpolationInterpolate(U$3,$F13,TRUE))</f>
        <v>#NAME?</v>
      </c>
      <c r="W13" s="440" t="str">
        <f ca="1">IF(AND(NOT(U13),AND(U$4:U12)),MIN(EXP((V13-$J13)*$G13),1),"")</f>
        <v/>
      </c>
      <c r="X13" s="429"/>
      <c r="Y13" s="441" t="b">
        <f ca="1">IF(AND(NOT(U13),AND(U$4:U12)),TRUE,U13)</f>
        <v>0</v>
      </c>
      <c r="Z13" s="440" t="e">
        <f ca="1">IF(AND(NOT(ISBLANK(Jumpoverwrite4)),AND(NOT(Y13),AND(Y$4:Y12))),($J13*$G13-LN(1+Jumpoverwrite4*AA$2))/$G13,_xll.qlInterpolationInterpolate(Y$3,$F13,TRUE))</f>
        <v>#NAME?</v>
      </c>
      <c r="AA13" s="440" t="str">
        <f ca="1">IF(AND(NOT(Y13),AND(Y$4:Y12)),MIN(EXP((Z13-$J13)*$G13),1),"")</f>
        <v/>
      </c>
      <c r="AB13" s="429"/>
      <c r="AC13" s="441" t="b">
        <f ca="1">IF(AND(NOT(Y13),AND(Y$4:Y12)),TRUE,Y13)</f>
        <v>0</v>
      </c>
      <c r="AD13" s="440" t="e">
        <f ca="1">IF(AND(NOT(ISBLANK(Jumpoverwrite5)),AND(NOT(AC13),AND(AC$4:AC12))),($J13*$G13-LN(1+Jumpoverwrite5*AE$2))/$G13,_xll.qlInterpolationInterpolate(AC$3,$F13,TRUE))</f>
        <v>#NAME?</v>
      </c>
      <c r="AE13" s="440" t="str">
        <f ca="1">IF(AND(NOT(AC13),AND(AC$4:AC12)),MIN(EXP((AD13-$J13)*$G13),1),"")</f>
        <v/>
      </c>
      <c r="AF13" s="429"/>
      <c r="AG13" s="441" t="b">
        <f ca="1">IF(AND(NOT(AC13),AND(AC$4:AC12)),TRUE,AC13)</f>
        <v>0</v>
      </c>
      <c r="AH13" s="440" t="e">
        <f ca="1">IF(AND(NOT(ISBLANK(Jumpoverwrite6)),AND(NOT(AG13),AND(AG$4:AG12))),($J13*$G13-LN(1+Jumpoverwrite6*AI$2))/$G13,_xll.qlInterpolationInterpolate(AG$3,$F13,TRUE))</f>
        <v>#NAME?</v>
      </c>
      <c r="AI13" s="440" t="str">
        <f ca="1">IF(AND(NOT(AG13),AND(AG$4:AG12)),MIN(EXP((AH13-$J13)*$G13),1),"")</f>
        <v/>
      </c>
      <c r="AJ13" s="429"/>
      <c r="AK13" s="441" t="b">
        <f ca="1">IF(AND(NOT(AG13),AND(AG$4:AG12)),TRUE,AG13)</f>
        <v>0</v>
      </c>
      <c r="AL13" s="440" t="e">
        <f ca="1">IF(AND(NOT(ISBLANK(Jumpoverwrite7)),AND(NOT(AK13),AND(AK$4:AK12))),($J13*$G13-LN(1+Jumpoverwrite7*AM$2))/$G13,_xll.qlInterpolationInterpolate(AK$3,$F13,TRUE))</f>
        <v>#NAME?</v>
      </c>
      <c r="AM13" s="440" t="str">
        <f ca="1">IF(AND(NOT(AK13),AND(AK$4:AK12)),MIN(EXP((AL13-$J13)*$G13),1),"")</f>
        <v/>
      </c>
      <c r="AO13" s="441" t="b">
        <f ca="1">IF(AND(NOT(AK13),AND(AK$4:AK12)),TRUE,AK13)</f>
        <v>0</v>
      </c>
      <c r="AP13" s="440" t="e">
        <f ca="1">IF(AND(NOT(ISBLANK(Jumpoverwrite8)),AND(NOT(AO13),AND(AO$4:AO12))),($J13*$G13-LN(1+Jumpoverwrite8*AQ$2))/$G13,_xll.qlInterpolationInterpolate(AO$3,$F13,TRUE))</f>
        <v>#NAME?</v>
      </c>
      <c r="AQ13" s="440" t="str">
        <f ca="1">IF(AND(NOT(AO13),AND(AO$4:AO12)),MIN(EXP((AP13-$J13)*$G13),1),"")</f>
        <v/>
      </c>
      <c r="AS13" s="441" t="b">
        <f ca="1">IF(AND(NOT(AO13),AND(AO$4:AO12)),TRUE,AO13)</f>
        <v>0</v>
      </c>
      <c r="AT13" s="440" t="e">
        <f ca="1">IF(AND(NOT(ISBLANK(Jumpoverwrite9)),AND(NOT(AS13),AND(AS$4:AS12))),($J13*$G13-LN(1+Jumpoverwrite9*AU$2))/$G13,_xll.qlInterpolationInterpolate(AS$3,$F13,TRUE))</f>
        <v>#NAME?</v>
      </c>
      <c r="AU13" s="440" t="e">
        <f ca="1">IF(AND(NOT(AS13),AND(AS$4:AS12)),MIN(EXP((AT13-$J13)*$G13),1),"")</f>
        <v>#NAME?</v>
      </c>
      <c r="AW13" s="441" t="b">
        <f ca="1">IF(AND(NOT(AS13),AND(AS$4:AS12)),TRUE,AS13)</f>
        <v>1</v>
      </c>
      <c r="AX13" s="440" t="e">
        <f ca="1">IF(AND(NOT(ISBLANK(Jumpoverwrite10)),AND(NOT(AW13),AND(AW$4:AW12))),($J13*$G13-LN(1+Jumpoverwrite10*AY$2))/$G13,_xll.qlInterpolationInterpolate(AW$3,$F13,TRUE))</f>
        <v>#NAME?</v>
      </c>
      <c r="AY13" s="440" t="str">
        <f ca="1">IF(AND(NOT(AW13),AND(AW$4:AW12)),MIN(EXP((AX13-$J13)*$G13),1),"")</f>
        <v/>
      </c>
      <c r="BA13" s="441" t="b">
        <f ca="1">IF(AND(NOT(AW13),AND(AW$4:AW12)),TRUE,AW13)</f>
        <v>1</v>
      </c>
      <c r="BB13" s="440" t="e">
        <f ca="1">IF(AND(NOT(ISBLANK(Jumpoverwrite11)),AND(NOT(BA13),AND(BA$4:BA12))),($J13*$G13-LN(1+Jumpoverwrite11*BC$2))/$G13,_xll.qlInterpolationInterpolate(BA$3,$F13,TRUE))</f>
        <v>#NAME?</v>
      </c>
      <c r="BC13" s="440" t="str">
        <f ca="1">IF(AND(NOT(BA13),AND(BA$4:BA12)),MIN(EXP((BB13-$J13)*$G13),1),"")</f>
        <v/>
      </c>
      <c r="BE13" s="441" t="b">
        <f ca="1">IF(AND(NOT(BA13),AND(BA$4:BA12)),TRUE,BA13)</f>
        <v>1</v>
      </c>
      <c r="BF13" s="440" t="e">
        <f ca="1">IF(AND(NOT(ISBLANK(Jumpoverwrite12)),AND(NOT(BE13),AND(BE$4:BE12))),($J13*$G13-LN(1+Jumpoverwrite12*BG$2))/$G13,_xll.qlInterpolationInterpolate(BE$3,$F13,TRUE))</f>
        <v>#NAME?</v>
      </c>
      <c r="BG13" s="440" t="str">
        <f ca="1">IF(AND(NOT(BE13),AND(BE$4:BE12)),MIN(EXP((BF13-$J13)*$G13),1),"")</f>
        <v/>
      </c>
      <c r="BI13" s="441" t="b">
        <f t="shared" ca="1" si="3"/>
        <v>0</v>
      </c>
      <c r="BJ13" s="440" t="e">
        <f ca="1">IF(AND(NOT(ISBLANK(jumpoverwrite13)),AND(NOT(BI13),AND(BI$4:BI12))),($J13*$G13-LN(1+jumpoverwrite13*BK$2))/$G13,_xll.qlInterpolationInterpolate(BI$3,$F13,TRUE))</f>
        <v>#NAME?</v>
      </c>
      <c r="BK13" s="440" t="str">
        <f ca="1">IF(AND(NOT(BI13),AND(BI$4:BI12)),MIN(EXP((BJ13-$J13)*$G13),1),"")</f>
        <v/>
      </c>
    </row>
    <row r="14" spans="1:83" x14ac:dyDescent="0.2">
      <c r="A14" s="439" t="e">
        <f ca="1"/>
        <v>#NAME?</v>
      </c>
      <c r="B14" s="438" t="e">
        <f ca="1">_xll.qlRateHelperRate($A14,InterestRatesTrigger)</f>
        <v>#NAME?</v>
      </c>
      <c r="C14" s="437" t="e">
        <f ca="1">_xll.qlRateHelperEarliestDate($A14)</f>
        <v>#NAME?</v>
      </c>
      <c r="D14" s="436" t="e">
        <f ca="1">_xll.qlRateHelperPillarDate($A14)</f>
        <v>#NAME?</v>
      </c>
      <c r="F14" s="446" t="e">
        <f t="shared" ca="1" si="1"/>
        <v>#N/A</v>
      </c>
      <c r="G14" s="445" t="e">
        <f ca="1">_xll.qlDayCounterYearFraction(DayCounter,D13,D14)</f>
        <v>#NAME?</v>
      </c>
      <c r="I14" s="444" t="b">
        <f t="shared" ca="1" si="2"/>
        <v>0</v>
      </c>
      <c r="J14" s="443" t="e">
        <f ca="1"/>
        <v>#NAME?</v>
      </c>
      <c r="K14" s="442" t="e">
        <f t="shared" ca="1" si="0"/>
        <v>#NAME?</v>
      </c>
      <c r="L14" s="447"/>
      <c r="M14" s="441" t="b">
        <f ca="1">IF(AND(NOT(I14),AND(I$4:I13)),TRUE,I14)</f>
        <v>0</v>
      </c>
      <c r="N14" s="440" t="e">
        <f ca="1">IF(AND(NOT(ISBLANK(Jumpoverwrite1)),AND(NOT(M14),AND(M$4:M13))),($J14*$G14-LN(1+Jumpoverwrite1*O$2))/$G14,_xll.qlInterpolationInterpolate(M$3,$F14,TRUE))</f>
        <v>#NAME?</v>
      </c>
      <c r="O14" s="440" t="str">
        <f ca="1">IF(AND(NOT(M14),AND(M$4:M13)),MIN(EXP((N14-$J14)*$G14),1),"")</f>
        <v/>
      </c>
      <c r="P14" s="429"/>
      <c r="Q14" s="441" t="b">
        <f ca="1">IF(AND(NOT(M14),AND(M$4:M13)),TRUE,M14)</f>
        <v>0</v>
      </c>
      <c r="R14" s="440" t="e">
        <f ca="1">IF(AND(NOT(ISBLANK(Jumpoverwrite2)),AND(NOT(Q14),AND(Q$4:Q13))),($J14*$G14-LN(1+Jumpoverwrite2*S$2))/$G14,_xll.qlInterpolationInterpolate(Q$3,$F14,TRUE))</f>
        <v>#NAME?</v>
      </c>
      <c r="S14" s="440" t="str">
        <f ca="1">IF(AND(NOT(Q14),AND(Q$4:Q13)),MIN(EXP((R14-$J14)*$G14),1),"")</f>
        <v/>
      </c>
      <c r="T14" s="429"/>
      <c r="U14" s="441" t="b">
        <f ca="1">IF(AND(NOT(Q14),AND(Q$4:Q13)),TRUE,Q14)</f>
        <v>0</v>
      </c>
      <c r="V14" s="440" t="e">
        <f ca="1">IF(AND(NOT(ISBLANK(Jumpoverwrite3)),AND(NOT(U14),AND(U$4:U13))),($J14*$G14-LN(1+Jumpoverwrite3*W$2))/$G14,_xll.qlInterpolationInterpolate(U$3,$F14,TRUE))</f>
        <v>#NAME?</v>
      </c>
      <c r="W14" s="440" t="str">
        <f ca="1">IF(AND(NOT(U14),AND(U$4:U13)),MIN(EXP((V14-$J14)*$G14),1),"")</f>
        <v/>
      </c>
      <c r="X14" s="429"/>
      <c r="Y14" s="441" t="b">
        <f ca="1">IF(AND(NOT(U14),AND(U$4:U13)),TRUE,U14)</f>
        <v>0</v>
      </c>
      <c r="Z14" s="440" t="e">
        <f ca="1">IF(AND(NOT(ISBLANK(Jumpoverwrite4)),AND(NOT(Y14),AND(Y$4:Y13))),($J14*$G14-LN(1+Jumpoverwrite4*AA$2))/$G14,_xll.qlInterpolationInterpolate(Y$3,$F14,TRUE))</f>
        <v>#NAME?</v>
      </c>
      <c r="AA14" s="440" t="str">
        <f ca="1">IF(AND(NOT(Y14),AND(Y$4:Y13)),MIN(EXP((Z14-$J14)*$G14),1),"")</f>
        <v/>
      </c>
      <c r="AB14" s="429"/>
      <c r="AC14" s="441" t="b">
        <f ca="1">IF(AND(NOT(Y14),AND(Y$4:Y13)),TRUE,Y14)</f>
        <v>0</v>
      </c>
      <c r="AD14" s="440" t="e">
        <f ca="1">IF(AND(NOT(ISBLANK(Jumpoverwrite5)),AND(NOT(AC14),AND(AC$4:AC13))),($J14*$G14-LN(1+Jumpoverwrite5*AE$2))/$G14,_xll.qlInterpolationInterpolate(AC$3,$F14,TRUE))</f>
        <v>#NAME?</v>
      </c>
      <c r="AE14" s="440" t="str">
        <f ca="1">IF(AND(NOT(AC14),AND(AC$4:AC13)),MIN(EXP((AD14-$J14)*$G14),1),"")</f>
        <v/>
      </c>
      <c r="AF14" s="429"/>
      <c r="AG14" s="441" t="b">
        <f ca="1">IF(AND(NOT(AC14),AND(AC$4:AC13)),TRUE,AC14)</f>
        <v>0</v>
      </c>
      <c r="AH14" s="440" t="e">
        <f ca="1">IF(AND(NOT(ISBLANK(Jumpoverwrite6)),AND(NOT(AG14),AND(AG$4:AG13))),($J14*$G14-LN(1+Jumpoverwrite6*AI$2))/$G14,_xll.qlInterpolationInterpolate(AG$3,$F14,TRUE))</f>
        <v>#NAME?</v>
      </c>
      <c r="AI14" s="440" t="str">
        <f ca="1">IF(AND(NOT(AG14),AND(AG$4:AG13)),MIN(EXP((AH14-$J14)*$G14),1),"")</f>
        <v/>
      </c>
      <c r="AJ14" s="429"/>
      <c r="AK14" s="441" t="b">
        <f ca="1">IF(AND(NOT(AG14),AND(AG$4:AG13)),TRUE,AG14)</f>
        <v>0</v>
      </c>
      <c r="AL14" s="440" t="e">
        <f ca="1">IF(AND(NOT(ISBLANK(Jumpoverwrite7)),AND(NOT(AK14),AND(AK$4:AK13))),($J14*$G14-LN(1+Jumpoverwrite7*AM$2))/$G14,_xll.qlInterpolationInterpolate(AK$3,$F14,TRUE))</f>
        <v>#NAME?</v>
      </c>
      <c r="AM14" s="440" t="str">
        <f ca="1">IF(AND(NOT(AK14),AND(AK$4:AK13)),MIN(EXP((AL14-$J14)*$G14),1),"")</f>
        <v/>
      </c>
      <c r="AO14" s="441" t="b">
        <f ca="1">IF(AND(NOT(AK14),AND(AK$4:AK13)),TRUE,AK14)</f>
        <v>0</v>
      </c>
      <c r="AP14" s="440" t="e">
        <f ca="1">IF(AND(NOT(ISBLANK(Jumpoverwrite8)),AND(NOT(AO14),AND(AO$4:AO13))),($J14*$G14-LN(1+Jumpoverwrite8*AQ$2))/$G14,_xll.qlInterpolationInterpolate(AO$3,$F14,TRUE))</f>
        <v>#NAME?</v>
      </c>
      <c r="AQ14" s="440" t="str">
        <f ca="1">IF(AND(NOT(AO14),AND(AO$4:AO13)),MIN(EXP((AP14-$J14)*$G14),1),"")</f>
        <v/>
      </c>
      <c r="AS14" s="441" t="b">
        <f ca="1">IF(AND(NOT(AO14),AND(AO$4:AO13)),TRUE,AO14)</f>
        <v>0</v>
      </c>
      <c r="AT14" s="440" t="e">
        <f ca="1">IF(AND(NOT(ISBLANK(Jumpoverwrite9)),AND(NOT(AS14),AND(AS$4:AS13))),($J14*$G14-LN(1+Jumpoverwrite9*AU$2))/$G14,_xll.qlInterpolationInterpolate(AS$3,$F14,TRUE))</f>
        <v>#NAME?</v>
      </c>
      <c r="AU14" s="440" t="str">
        <f ca="1">IF(AND(NOT(AS14),AND(AS$4:AS13)),MIN(EXP((AT14-$J14)*$G14),1),"")</f>
        <v/>
      </c>
      <c r="AW14" s="441" t="b">
        <f ca="1">IF(AND(NOT(AS14),AND(AS$4:AS13)),TRUE,AS14)</f>
        <v>0</v>
      </c>
      <c r="AX14" s="440" t="e">
        <f ca="1">IF(AND(NOT(ISBLANK(Jumpoverwrite10)),AND(NOT(AW14),AND(AW$4:AW13))),($J14*$G14-LN(1+Jumpoverwrite10*AY$2))/$G14,_xll.qlInterpolationInterpolate(AW$3,$F14,TRUE))</f>
        <v>#NAME?</v>
      </c>
      <c r="AY14" s="440" t="e">
        <f ca="1">IF(AND(NOT(AW14),AND(AW$4:AW13)),MIN(EXP((AX14-$J14)*$G14),1),"")</f>
        <v>#NAME?</v>
      </c>
      <c r="BA14" s="441" t="b">
        <f ca="1">IF(AND(NOT(AW14),AND(AW$4:AW13)),TRUE,AW14)</f>
        <v>1</v>
      </c>
      <c r="BB14" s="440" t="e">
        <f ca="1">IF(AND(NOT(ISBLANK(Jumpoverwrite11)),AND(NOT(BA14),AND(BA$4:BA13))),($J14*$G14-LN(1+Jumpoverwrite11*BC$2))/$G14,_xll.qlInterpolationInterpolate(BA$3,$F14,TRUE))</f>
        <v>#NAME?</v>
      </c>
      <c r="BC14" s="440" t="str">
        <f ca="1">IF(AND(NOT(BA14),AND(BA$4:BA13)),MIN(EXP((BB14-$J14)*$G14),1),"")</f>
        <v/>
      </c>
      <c r="BE14" s="441" t="b">
        <f ca="1">IF(AND(NOT(BA14),AND(BA$4:BA13)),TRUE,BA14)</f>
        <v>1</v>
      </c>
      <c r="BF14" s="440" t="e">
        <f ca="1">IF(AND(NOT(ISBLANK(Jumpoverwrite12)),AND(NOT(BE14),AND(BE$4:BE13))),($J14*$G14-LN(1+Jumpoverwrite12*BG$2))/$G14,_xll.qlInterpolationInterpolate(BE$3,$F14,TRUE))</f>
        <v>#NAME?</v>
      </c>
      <c r="BG14" s="440" t="str">
        <f ca="1">IF(AND(NOT(BE14),AND(BE$4:BE13)),MIN(EXP((BF14-$J14)*$G14),1),"")</f>
        <v/>
      </c>
      <c r="BI14" s="441" t="b">
        <f t="shared" ca="1" si="3"/>
        <v>0</v>
      </c>
      <c r="BJ14" s="440" t="e">
        <f ca="1">IF(AND(NOT(ISBLANK(jumpoverwrite13)),AND(NOT(BI14),AND(BI$4:BI13))),($J14*$G14-LN(1+jumpoverwrite13*BK$2))/$G14,_xll.qlInterpolationInterpolate(BI$3,$F14,TRUE))</f>
        <v>#NAME?</v>
      </c>
      <c r="BK14" s="440" t="str">
        <f ca="1">IF(AND(NOT(BI14),AND(BI$4:BI13)),MIN(EXP((BJ14-$J14)*$G14),1),"")</f>
        <v/>
      </c>
    </row>
    <row r="15" spans="1:83" x14ac:dyDescent="0.2">
      <c r="A15" s="439" t="e">
        <f ca="1"/>
        <v>#NAME?</v>
      </c>
      <c r="B15" s="438" t="e">
        <f ca="1">_xll.qlRateHelperRate($A15,InterestRatesTrigger)</f>
        <v>#NAME?</v>
      </c>
      <c r="C15" s="437" t="e">
        <f ca="1">_xll.qlRateHelperEarliestDate($A15)</f>
        <v>#NAME?</v>
      </c>
      <c r="D15" s="436" t="e">
        <f ca="1">_xll.qlRateHelperPillarDate($A15)</f>
        <v>#NAME?</v>
      </c>
      <c r="F15" s="446" t="e">
        <f t="shared" ca="1" si="1"/>
        <v>#N/A</v>
      </c>
      <c r="G15" s="445" t="e">
        <f ca="1">_xll.qlDayCounterYearFraction(DayCounter,D14,D15)</f>
        <v>#NAME?</v>
      </c>
      <c r="I15" s="444" t="b">
        <f t="shared" ca="1" si="2"/>
        <v>0</v>
      </c>
      <c r="J15" s="443" t="e">
        <f ca="1"/>
        <v>#NAME?</v>
      </c>
      <c r="K15" s="442" t="e">
        <f t="shared" ca="1" si="0"/>
        <v>#NAME?</v>
      </c>
      <c r="L15" s="447"/>
      <c r="M15" s="441" t="b">
        <f ca="1">IF(AND(NOT(I15),AND(I$4:I14)),TRUE,I15)</f>
        <v>0</v>
      </c>
      <c r="N15" s="440" t="e">
        <f ca="1">IF(AND(NOT(ISBLANK(Jumpoverwrite1)),AND(NOT(M15),AND(M$4:M14))),($J15*$G15-LN(1+Jumpoverwrite1*O$2))/$G15,_xll.qlInterpolationInterpolate(M$3,$F15,TRUE))</f>
        <v>#NAME?</v>
      </c>
      <c r="O15" s="440" t="str">
        <f ca="1">IF(AND(NOT(M15),AND(M$4:M14)),MIN(EXP((N15-$J15)*$G15),1),"")</f>
        <v/>
      </c>
      <c r="P15" s="429"/>
      <c r="Q15" s="441" t="b">
        <f ca="1">IF(AND(NOT(M15),AND(M$4:M14)),TRUE,M15)</f>
        <v>0</v>
      </c>
      <c r="R15" s="440" t="e">
        <f ca="1">IF(AND(NOT(ISBLANK(Jumpoverwrite2)),AND(NOT(Q15),AND(Q$4:Q14))),($J15*$G15-LN(1+Jumpoverwrite2*S$2))/$G15,_xll.qlInterpolationInterpolate(Q$3,$F15,TRUE))</f>
        <v>#NAME?</v>
      </c>
      <c r="S15" s="440" t="str">
        <f ca="1">IF(AND(NOT(Q15),AND(Q$4:Q14)),MIN(EXP((R15-$J15)*$G15),1),"")</f>
        <v/>
      </c>
      <c r="T15" s="429"/>
      <c r="U15" s="441" t="b">
        <f ca="1">IF(AND(NOT(Q15),AND(Q$4:Q14)),TRUE,Q15)</f>
        <v>0</v>
      </c>
      <c r="V15" s="440" t="e">
        <f ca="1">IF(AND(NOT(ISBLANK(Jumpoverwrite3)),AND(NOT(U15),AND(U$4:U14))),($J15*$G15-LN(1+Jumpoverwrite3*W$2))/$G15,_xll.qlInterpolationInterpolate(U$3,$F15,TRUE))</f>
        <v>#NAME?</v>
      </c>
      <c r="W15" s="440" t="str">
        <f ca="1">IF(AND(NOT(U15),AND(U$4:U14)),MIN(EXP((V15-$J15)*$G15),1),"")</f>
        <v/>
      </c>
      <c r="X15" s="429"/>
      <c r="Y15" s="441" t="b">
        <f ca="1">IF(AND(NOT(U15),AND(U$4:U14)),TRUE,U15)</f>
        <v>0</v>
      </c>
      <c r="Z15" s="440" t="e">
        <f ca="1">IF(AND(NOT(ISBLANK(Jumpoverwrite4)),AND(NOT(Y15),AND(Y$4:Y14))),($J15*$G15-LN(1+Jumpoverwrite4*AA$2))/$G15,_xll.qlInterpolationInterpolate(Y$3,$F15,TRUE))</f>
        <v>#NAME?</v>
      </c>
      <c r="AA15" s="440" t="str">
        <f ca="1">IF(AND(NOT(Y15),AND(Y$4:Y14)),MIN(EXP((Z15-$J15)*$G15),1),"")</f>
        <v/>
      </c>
      <c r="AB15" s="429"/>
      <c r="AC15" s="441" t="b">
        <f ca="1">IF(AND(NOT(Y15),AND(Y$4:Y14)),TRUE,Y15)</f>
        <v>0</v>
      </c>
      <c r="AD15" s="440" t="e">
        <f ca="1">IF(AND(NOT(ISBLANK(Jumpoverwrite5)),AND(NOT(AC15),AND(AC$4:AC14))),($J15*$G15-LN(1+Jumpoverwrite5*AE$2))/$G15,_xll.qlInterpolationInterpolate(AC$3,$F15,TRUE))</f>
        <v>#NAME?</v>
      </c>
      <c r="AE15" s="440" t="str">
        <f ca="1">IF(AND(NOT(AC15),AND(AC$4:AC14)),MIN(EXP((AD15-$J15)*$G15),1),"")</f>
        <v/>
      </c>
      <c r="AF15" s="429"/>
      <c r="AG15" s="441" t="b">
        <f ca="1">IF(AND(NOT(AC15),AND(AC$4:AC14)),TRUE,AC15)</f>
        <v>0</v>
      </c>
      <c r="AH15" s="440" t="e">
        <f ca="1">IF(AND(NOT(ISBLANK(Jumpoverwrite6)),AND(NOT(AG15),AND(AG$4:AG14))),($J15*$G15-LN(1+Jumpoverwrite6*AI$2))/$G15,_xll.qlInterpolationInterpolate(AG$3,$F15,TRUE))</f>
        <v>#NAME?</v>
      </c>
      <c r="AI15" s="440" t="str">
        <f ca="1">IF(AND(NOT(AG15),AND(AG$4:AG14)),MIN(EXP((AH15-$J15)*$G15),1),"")</f>
        <v/>
      </c>
      <c r="AJ15" s="429"/>
      <c r="AK15" s="441" t="b">
        <f ca="1">IF(AND(NOT(AG15),AND(AG$4:AG14)),TRUE,AG15)</f>
        <v>0</v>
      </c>
      <c r="AL15" s="440" t="e">
        <f ca="1">IF(AND(NOT(ISBLANK(Jumpoverwrite7)),AND(NOT(AK15),AND(AK$4:AK14))),($J15*$G15-LN(1+Jumpoverwrite7*AM$2))/$G15,_xll.qlInterpolationInterpolate(AK$3,$F15,TRUE))</f>
        <v>#NAME?</v>
      </c>
      <c r="AM15" s="440" t="str">
        <f ca="1">IF(AND(NOT(AK15),AND(AK$4:AK14)),MIN(EXP((AL15-$J15)*$G15),1),"")</f>
        <v/>
      </c>
      <c r="AO15" s="441" t="b">
        <f ca="1">IF(AND(NOT(AK15),AND(AK$4:AK14)),TRUE,AK15)</f>
        <v>0</v>
      </c>
      <c r="AP15" s="440" t="e">
        <f ca="1">IF(AND(NOT(ISBLANK(Jumpoverwrite8)),AND(NOT(AO15),AND(AO$4:AO14))),($J15*$G15-LN(1+Jumpoverwrite8*AQ$2))/$G15,_xll.qlInterpolationInterpolate(AO$3,$F15,TRUE))</f>
        <v>#NAME?</v>
      </c>
      <c r="AQ15" s="440" t="str">
        <f ca="1">IF(AND(NOT(AO15),AND(AO$4:AO14)),MIN(EXP((AP15-$J15)*$G15),1),"")</f>
        <v/>
      </c>
      <c r="AS15" s="441" t="b">
        <f ca="1">IF(AND(NOT(AO15),AND(AO$4:AO14)),TRUE,AO15)</f>
        <v>0</v>
      </c>
      <c r="AT15" s="440" t="e">
        <f ca="1">IF(AND(NOT(ISBLANK(Jumpoverwrite9)),AND(NOT(AS15),AND(AS$4:AS14))),($J15*$G15-LN(1+Jumpoverwrite9*AU$2))/$G15,_xll.qlInterpolationInterpolate(AS$3,$F15,TRUE))</f>
        <v>#NAME?</v>
      </c>
      <c r="AU15" s="440" t="str">
        <f ca="1">IF(AND(NOT(AS15),AND(AS$4:AS14)),MIN(EXP((AT15-$J15)*$G15),1),"")</f>
        <v/>
      </c>
      <c r="AW15" s="441" t="b">
        <f ca="1">IF(AND(NOT(AS15),AND(AS$4:AS14)),TRUE,AS15)</f>
        <v>0</v>
      </c>
      <c r="AX15" s="440" t="e">
        <f ca="1">IF(AND(NOT(ISBLANK(Jumpoverwrite10)),AND(NOT(AW15),AND(AW$4:AW14))),($J15*$G15-LN(1+Jumpoverwrite10*AY$2))/$G15,_xll.qlInterpolationInterpolate(AW$3,$F15,TRUE))</f>
        <v>#NAME?</v>
      </c>
      <c r="AY15" s="440" t="str">
        <f ca="1">IF(AND(NOT(AW15),AND(AW$4:AW14)),MIN(EXP((AX15-$J15)*$G15),1),"")</f>
        <v/>
      </c>
      <c r="BA15" s="441" t="b">
        <f ca="1">IF(AND(NOT(AW15),AND(AW$4:AW14)),TRUE,AW15)</f>
        <v>0</v>
      </c>
      <c r="BB15" s="440" t="e">
        <f ca="1">IF(AND(NOT(ISBLANK(Jumpoverwrite11)),AND(NOT(BA15),AND(BA$4:BA14))),($J15*$G15-LN(1+Jumpoverwrite11*BC$2))/$G15,_xll.qlInterpolationInterpolate(BA$3,$F15,TRUE))</f>
        <v>#NAME?</v>
      </c>
      <c r="BC15" s="440" t="e">
        <f ca="1">IF(AND(NOT(BA15),AND(BA$4:BA14)),MIN(EXP((BB15-$J15)*$G15),1),"")</f>
        <v>#NAME?</v>
      </c>
      <c r="BE15" s="441" t="b">
        <f ca="1">IF(AND(NOT(BA15),AND(BA$4:BA14)),TRUE,BA15)</f>
        <v>1</v>
      </c>
      <c r="BF15" s="440" t="e">
        <f ca="1">IF(AND(NOT(ISBLANK(Jumpoverwrite12)),AND(NOT(BE15),AND(BE$4:BE14))),($J15*$G15-LN(1+Jumpoverwrite12*BG$2))/$G15,_xll.qlInterpolationInterpolate(BE$3,$F15,TRUE))</f>
        <v>#NAME?</v>
      </c>
      <c r="BG15" s="440" t="str">
        <f ca="1">IF(AND(NOT(BE15),AND(BE$4:BE14)),MIN(EXP((BF15-$J15)*$G15),1),"")</f>
        <v/>
      </c>
      <c r="BI15" s="441" t="b">
        <f t="shared" ca="1" si="3"/>
        <v>0</v>
      </c>
      <c r="BJ15" s="440" t="e">
        <f ca="1">IF(AND(NOT(ISBLANK(jumpoverwrite13)),AND(NOT(BI15),AND(BI$4:BI14))),($J15*$G15-LN(1+jumpoverwrite13*BK$2))/$G15,_xll.qlInterpolationInterpolate(BI$3,$F15,TRUE))</f>
        <v>#NAME?</v>
      </c>
      <c r="BK15" s="440" t="str">
        <f ca="1">IF(AND(NOT(BI15),AND(BI$4:BI14)),MIN(EXP((BJ15-$J15)*$G15),1),"")</f>
        <v/>
      </c>
    </row>
    <row r="16" spans="1:83" x14ac:dyDescent="0.2">
      <c r="A16" s="439" t="e">
        <f ca="1"/>
        <v>#NAME?</v>
      </c>
      <c r="B16" s="438" t="e">
        <f ca="1">_xll.qlRateHelperRate($A16,InterestRatesTrigger)</f>
        <v>#NAME?</v>
      </c>
      <c r="C16" s="437" t="e">
        <f ca="1">_xll.qlRateHelperEarliestDate($A16)</f>
        <v>#NAME?</v>
      </c>
      <c r="D16" s="436" t="e">
        <f ca="1">_xll.qlRateHelperPillarDate($A16)</f>
        <v>#NAME?</v>
      </c>
      <c r="F16" s="446" t="e">
        <f t="shared" ca="1" si="1"/>
        <v>#N/A</v>
      </c>
      <c r="G16" s="445" t="e">
        <f ca="1">_xll.qlDayCounterYearFraction(DayCounter,D15,D16)</f>
        <v>#NAME?</v>
      </c>
      <c r="I16" s="444" t="b">
        <f t="shared" ca="1" si="2"/>
        <v>0</v>
      </c>
      <c r="J16" s="443" t="e">
        <f ca="1"/>
        <v>#NAME?</v>
      </c>
      <c r="K16" s="442" t="e">
        <f t="shared" ca="1" si="0"/>
        <v>#NAME?</v>
      </c>
      <c r="L16" s="447"/>
      <c r="M16" s="441" t="b">
        <f ca="1">IF(AND(NOT(I16),AND(I$4:I15)),TRUE,I16)</f>
        <v>0</v>
      </c>
      <c r="N16" s="440" t="e">
        <f ca="1">IF(AND(NOT(ISBLANK(Jumpoverwrite1)),AND(NOT(M16),AND(M$4:M15))),($J16*$G16-LN(1+Jumpoverwrite1*O$2))/$G16,_xll.qlInterpolationInterpolate(M$3,$F16,TRUE))</f>
        <v>#NAME?</v>
      </c>
      <c r="O16" s="440" t="str">
        <f ca="1">IF(AND(NOT(M16),AND(M$4:M15)),MIN(EXP((N16-$J16)*$G16),1),"")</f>
        <v/>
      </c>
      <c r="P16" s="429"/>
      <c r="Q16" s="441" t="b">
        <f ca="1">IF(AND(NOT(M16),AND(M$4:M15)),TRUE,M16)</f>
        <v>0</v>
      </c>
      <c r="R16" s="440" t="e">
        <f ca="1">IF(AND(NOT(ISBLANK(Jumpoverwrite2)),AND(NOT(Q16),AND(Q$4:Q15))),($J16*$G16-LN(1+Jumpoverwrite2*S$2))/$G16,_xll.qlInterpolationInterpolate(Q$3,$F16,TRUE))</f>
        <v>#NAME?</v>
      </c>
      <c r="S16" s="440" t="str">
        <f ca="1">IF(AND(NOT(Q16),AND(Q$4:Q15)),MIN(EXP((R16-$J16)*$G16),1),"")</f>
        <v/>
      </c>
      <c r="T16" s="429"/>
      <c r="U16" s="441" t="b">
        <f ca="1">IF(AND(NOT(Q16),AND(Q$4:Q15)),TRUE,Q16)</f>
        <v>0</v>
      </c>
      <c r="V16" s="440" t="e">
        <f ca="1">IF(AND(NOT(ISBLANK(Jumpoverwrite3)),AND(NOT(U16),AND(U$4:U15))),($J16*$G16-LN(1+Jumpoverwrite3*W$2))/$G16,_xll.qlInterpolationInterpolate(U$3,$F16,TRUE))</f>
        <v>#NAME?</v>
      </c>
      <c r="W16" s="440" t="str">
        <f ca="1">IF(AND(NOT(U16),AND(U$4:U15)),MIN(EXP((V16-$J16)*$G16),1),"")</f>
        <v/>
      </c>
      <c r="X16" s="429"/>
      <c r="Y16" s="441" t="b">
        <f ca="1">IF(AND(NOT(U16),AND(U$4:U15)),TRUE,U16)</f>
        <v>0</v>
      </c>
      <c r="Z16" s="440" t="e">
        <f ca="1">IF(AND(NOT(ISBLANK(Jumpoverwrite4)),AND(NOT(Y16),AND(Y$4:Y15))),($J16*$G16-LN(1+Jumpoverwrite4*AA$2))/$G16,_xll.qlInterpolationInterpolate(Y$3,$F16,TRUE))</f>
        <v>#NAME?</v>
      </c>
      <c r="AA16" s="440" t="str">
        <f ca="1">IF(AND(NOT(Y16),AND(Y$4:Y15)),MIN(EXP((Z16-$J16)*$G16),1),"")</f>
        <v/>
      </c>
      <c r="AB16" s="429"/>
      <c r="AC16" s="441" t="b">
        <f ca="1">IF(AND(NOT(Y16),AND(Y$4:Y15)),TRUE,Y16)</f>
        <v>0</v>
      </c>
      <c r="AD16" s="440" t="e">
        <f ca="1">IF(AND(NOT(ISBLANK(Jumpoverwrite5)),AND(NOT(AC16),AND(AC$4:AC15))),($J16*$G16-LN(1+Jumpoverwrite5*AE$2))/$G16,_xll.qlInterpolationInterpolate(AC$3,$F16,TRUE))</f>
        <v>#NAME?</v>
      </c>
      <c r="AE16" s="440" t="str">
        <f ca="1">IF(AND(NOT(AC16),AND(AC$4:AC15)),MIN(EXP((AD16-$J16)*$G16),1),"")</f>
        <v/>
      </c>
      <c r="AF16" s="429"/>
      <c r="AG16" s="441" t="b">
        <f ca="1">IF(AND(NOT(AC16),AND(AC$4:AC15)),TRUE,AC16)</f>
        <v>0</v>
      </c>
      <c r="AH16" s="440" t="e">
        <f ca="1">IF(AND(NOT(ISBLANK(Jumpoverwrite6)),AND(NOT(AG16),AND(AG$4:AG15))),($J16*$G16-LN(1+Jumpoverwrite6*AI$2))/$G16,_xll.qlInterpolationInterpolate(AG$3,$F16,TRUE))</f>
        <v>#NAME?</v>
      </c>
      <c r="AI16" s="440" t="str">
        <f ca="1">IF(AND(NOT(AG16),AND(AG$4:AG15)),MIN(EXP((AH16-$J16)*$G16),1),"")</f>
        <v/>
      </c>
      <c r="AJ16" s="429"/>
      <c r="AK16" s="441" t="b">
        <f ca="1">IF(AND(NOT(AG16),AND(AG$4:AG15)),TRUE,AG16)</f>
        <v>0</v>
      </c>
      <c r="AL16" s="440" t="e">
        <f ca="1">IF(AND(NOT(ISBLANK(Jumpoverwrite7)),AND(NOT(AK16),AND(AK$4:AK15))),($J16*$G16-LN(1+Jumpoverwrite7*AM$2))/$G16,_xll.qlInterpolationInterpolate(AK$3,$F16,TRUE))</f>
        <v>#NAME?</v>
      </c>
      <c r="AM16" s="440" t="str">
        <f ca="1">IF(AND(NOT(AK16),AND(AK$4:AK15)),MIN(EXP((AL16-$J16)*$G16),1),"")</f>
        <v/>
      </c>
      <c r="AO16" s="441" t="b">
        <f ca="1">IF(AND(NOT(AK16),AND(AK$4:AK15)),TRUE,AK16)</f>
        <v>0</v>
      </c>
      <c r="AP16" s="440" t="e">
        <f ca="1">IF(AND(NOT(ISBLANK(Jumpoverwrite8)),AND(NOT(AO16),AND(AO$4:AO15))),($J16*$G16-LN(1+Jumpoverwrite8*AQ$2))/$G16,_xll.qlInterpolationInterpolate(AO$3,$F16,TRUE))</f>
        <v>#NAME?</v>
      </c>
      <c r="AQ16" s="440" t="str">
        <f ca="1">IF(AND(NOT(AO16),AND(AO$4:AO15)),MIN(EXP((AP16-$J16)*$G16),1),"")</f>
        <v/>
      </c>
      <c r="AS16" s="441" t="b">
        <f ca="1">IF(AND(NOT(AO16),AND(AO$4:AO15)),TRUE,AO16)</f>
        <v>0</v>
      </c>
      <c r="AT16" s="440" t="e">
        <f ca="1">IF(AND(NOT(ISBLANK(Jumpoverwrite9)),AND(NOT(AS16),AND(AS$4:AS15))),($J16*$G16-LN(1+Jumpoverwrite9*AU$2))/$G16,_xll.qlInterpolationInterpolate(AS$3,$F16,TRUE))</f>
        <v>#NAME?</v>
      </c>
      <c r="AU16" s="440" t="str">
        <f ca="1">IF(AND(NOT(AS16),AND(AS$4:AS15)),MIN(EXP((AT16-$J16)*$G16),1),"")</f>
        <v/>
      </c>
      <c r="AW16" s="441" t="b">
        <f ca="1">IF(AND(NOT(AS16),AND(AS$4:AS15)),TRUE,AS16)</f>
        <v>0</v>
      </c>
      <c r="AX16" s="440" t="e">
        <f ca="1">IF(AND(NOT(ISBLANK(Jumpoverwrite10)),AND(NOT(AW16),AND(AW$4:AW15))),($J16*$G16-LN(1+Jumpoverwrite10*AY$2))/$G16,_xll.qlInterpolationInterpolate(AW$3,$F16,TRUE))</f>
        <v>#NAME?</v>
      </c>
      <c r="AY16" s="440" t="str">
        <f ca="1">IF(AND(NOT(AW16),AND(AW$4:AW15)),MIN(EXP((AX16-$J16)*$G16),1),"")</f>
        <v/>
      </c>
      <c r="BA16" s="441" t="b">
        <f ca="1">IF(AND(NOT(AW16),AND(AW$4:AW15)),TRUE,AW16)</f>
        <v>0</v>
      </c>
      <c r="BB16" s="440" t="e">
        <f ca="1">IF(AND(NOT(ISBLANK(Jumpoverwrite11)),AND(NOT(BA16),AND(BA$4:BA15))),($J16*$G16-LN(1+Jumpoverwrite11*BC$2))/$G16,_xll.qlInterpolationInterpolate(BA$3,$F16,TRUE))</f>
        <v>#NAME?</v>
      </c>
      <c r="BC16" s="440" t="str">
        <f ca="1">IF(AND(NOT(BA16),AND(BA$4:BA15)),MIN(EXP((BB16-$J16)*$G16),1),"")</f>
        <v/>
      </c>
      <c r="BE16" s="441" t="b">
        <f ca="1">IF(AND(NOT(BA16),AND(BA$4:BA15)),TRUE,BA16)</f>
        <v>0</v>
      </c>
      <c r="BF16" s="440" t="e">
        <f ca="1">IF(AND(NOT(ISBLANK(Jumpoverwrite12)),AND(NOT(BE16),AND(BE$4:BE15))),($J16*$G16-LN(1+Jumpoverwrite12*BG$2))/$G16,_xll.qlInterpolationInterpolate(BE$3,$F16,TRUE))</f>
        <v>#NAME?</v>
      </c>
      <c r="BG16" s="440" t="e">
        <f ca="1">IF(AND(NOT(BE16),AND(BE$4:BE15)),MIN(EXP((BF16-$J16)*$G16),1),"")</f>
        <v>#NAME?</v>
      </c>
      <c r="BI16" s="441" t="b">
        <f t="shared" ca="1" si="3"/>
        <v>0</v>
      </c>
      <c r="BJ16" s="440" t="e">
        <f ca="1">IF(AND(NOT(ISBLANK(jumpoverwrite13)),AND(NOT(BI16),AND(BI$4:BI15))),($J16*$G16-LN(1+jumpoverwrite13*BK$2))/$G16,_xll.qlInterpolationInterpolate(BI$3,$F16,TRUE))</f>
        <v>#NAME?</v>
      </c>
      <c r="BK16" s="440" t="str">
        <f ca="1">IF(AND(NOT(BI16),AND(BI$4:BI15)),MIN(EXP((BJ16-$J16)*$G16),1),"")</f>
        <v/>
      </c>
    </row>
    <row r="17" spans="1:63" x14ac:dyDescent="0.2">
      <c r="A17" s="439" t="e">
        <f ca="1"/>
        <v>#NAME?</v>
      </c>
      <c r="B17" s="438" t="e">
        <f ca="1">_xll.qlRateHelperRate($A17,InterestRatesTrigger)</f>
        <v>#NAME?</v>
      </c>
      <c r="C17" s="437" t="e">
        <f ca="1">_xll.qlRateHelperEarliestDate($A17)</f>
        <v>#NAME?</v>
      </c>
      <c r="D17" s="436" t="e">
        <f ca="1">_xll.qlRateHelperPillarDate($A17)</f>
        <v>#NAME?</v>
      </c>
      <c r="F17" s="446" t="e">
        <f t="shared" ca="1" si="1"/>
        <v>#N/A</v>
      </c>
      <c r="G17" s="445" t="e">
        <f ca="1">_xll.qlDayCounterYearFraction(DayCounter,D16,D17)</f>
        <v>#NAME?</v>
      </c>
      <c r="I17" s="444" t="b">
        <f t="shared" ca="1" si="2"/>
        <v>0</v>
      </c>
      <c r="J17" s="443" t="e">
        <f ca="1"/>
        <v>#NAME?</v>
      </c>
      <c r="K17" s="442" t="e">
        <f t="shared" ca="1" si="0"/>
        <v>#NAME?</v>
      </c>
      <c r="L17" s="447"/>
      <c r="M17" s="441" t="b">
        <f ca="1">IF(AND(NOT(I17),AND(I$4:I16)),TRUE,I17)</f>
        <v>0</v>
      </c>
      <c r="N17" s="440" t="e">
        <f ca="1">IF(AND(NOT(ISBLANK(Jumpoverwrite1)),AND(NOT(M17),AND(M$4:M16))),($J17*$G17-LN(1+Jumpoverwrite1*O$2))/$G17,_xll.qlInterpolationInterpolate(M$3,$F17,TRUE))</f>
        <v>#NAME?</v>
      </c>
      <c r="O17" s="440" t="str">
        <f ca="1">IF(AND(NOT(M17),AND(M$4:M16)),MIN(EXP((N17-$J17)*$G17),1),"")</f>
        <v/>
      </c>
      <c r="P17" s="429"/>
      <c r="Q17" s="441" t="b">
        <f ca="1">IF(AND(NOT(M17),AND(M$4:M16)),TRUE,M17)</f>
        <v>0</v>
      </c>
      <c r="R17" s="440" t="e">
        <f ca="1">IF(AND(NOT(ISBLANK(Jumpoverwrite2)),AND(NOT(Q17),AND(Q$4:Q16))),($J17*$G17-LN(1+Jumpoverwrite2*S$2))/$G17,_xll.qlInterpolationInterpolate(Q$3,$F17,TRUE))</f>
        <v>#NAME?</v>
      </c>
      <c r="S17" s="440" t="str">
        <f ca="1">IF(AND(NOT(Q17),AND(Q$4:Q16)),MIN(EXP((R17-$J17)*$G17),1),"")</f>
        <v/>
      </c>
      <c r="T17" s="429"/>
      <c r="U17" s="441" t="b">
        <f ca="1">IF(AND(NOT(Q17),AND(Q$4:Q16)),TRUE,Q17)</f>
        <v>0</v>
      </c>
      <c r="V17" s="440" t="e">
        <f ca="1">IF(AND(NOT(ISBLANK(Jumpoverwrite3)),AND(NOT(U17),AND(U$4:U16))),($J17*$G17-LN(1+Jumpoverwrite3*W$2))/$G17,_xll.qlInterpolationInterpolate(U$3,$F17,TRUE))</f>
        <v>#NAME?</v>
      </c>
      <c r="W17" s="440" t="str">
        <f ca="1">IF(AND(NOT(U17),AND(U$4:U16)),MIN(EXP((V17-$J17)*$G17),1),"")</f>
        <v/>
      </c>
      <c r="X17" s="429"/>
      <c r="Y17" s="441" t="b">
        <f ca="1">IF(AND(NOT(U17),AND(U$4:U16)),TRUE,U17)</f>
        <v>0</v>
      </c>
      <c r="Z17" s="440" t="e">
        <f ca="1">IF(AND(NOT(ISBLANK(Jumpoverwrite4)),AND(NOT(Y17),AND(Y$4:Y16))),($J17*$G17-LN(1+Jumpoverwrite4*AA$2))/$G17,_xll.qlInterpolationInterpolate(Y$3,$F17,TRUE))</f>
        <v>#NAME?</v>
      </c>
      <c r="AA17" s="440" t="str">
        <f ca="1">IF(AND(NOT(Y17),AND(Y$4:Y16)),MIN(EXP((Z17-$J17)*$G17),1),"")</f>
        <v/>
      </c>
      <c r="AB17" s="429"/>
      <c r="AC17" s="441" t="b">
        <f ca="1">IF(AND(NOT(Y17),AND(Y$4:Y16)),TRUE,Y17)</f>
        <v>0</v>
      </c>
      <c r="AD17" s="440" t="e">
        <f ca="1">IF(AND(NOT(ISBLANK(Jumpoverwrite5)),AND(NOT(AC17),AND(AC$4:AC16))),($J17*$G17-LN(1+Jumpoverwrite5*AE$2))/$G17,_xll.qlInterpolationInterpolate(AC$3,$F17,TRUE))</f>
        <v>#NAME?</v>
      </c>
      <c r="AE17" s="440" t="str">
        <f ca="1">IF(AND(NOT(AC17),AND(AC$4:AC16)),MIN(EXP((AD17-$J17)*$G17),1),"")</f>
        <v/>
      </c>
      <c r="AF17" s="429"/>
      <c r="AG17" s="441" t="b">
        <f ca="1">IF(AND(NOT(AC17),AND(AC$4:AC16)),TRUE,AC17)</f>
        <v>0</v>
      </c>
      <c r="AH17" s="440" t="e">
        <f ca="1">IF(AND(NOT(ISBLANK(Jumpoverwrite6)),AND(NOT(AG17),AND(AG$4:AG16))),($J17*$G17-LN(1+Jumpoverwrite6*AI$2))/$G17,_xll.qlInterpolationInterpolate(AG$3,$F17,TRUE))</f>
        <v>#NAME?</v>
      </c>
      <c r="AI17" s="440" t="str">
        <f ca="1">IF(AND(NOT(AG17),AND(AG$4:AG16)),MIN(EXP((AH17-$J17)*$G17),1),"")</f>
        <v/>
      </c>
      <c r="AJ17" s="429"/>
      <c r="AK17" s="441" t="b">
        <f ca="1">IF(AND(NOT(AG17),AND(AG$4:AG16)),TRUE,AG17)</f>
        <v>0</v>
      </c>
      <c r="AL17" s="440" t="e">
        <f ca="1">IF(AND(NOT(ISBLANK(Jumpoverwrite7)),AND(NOT(AK17),AND(AK$4:AK16))),($J17*$G17-LN(1+Jumpoverwrite7*AM$2))/$G17,_xll.qlInterpolationInterpolate(AK$3,$F17,TRUE))</f>
        <v>#NAME?</v>
      </c>
      <c r="AM17" s="440" t="str">
        <f ca="1">IF(AND(NOT(AK17),AND(AK$4:AK16)),MIN(EXP((AL17-$J17)*$G17),1),"")</f>
        <v/>
      </c>
      <c r="AO17" s="441" t="b">
        <f ca="1">IF(AND(NOT(AK17),AND(AK$4:AK16)),TRUE,AK17)</f>
        <v>0</v>
      </c>
      <c r="AP17" s="440" t="e">
        <f ca="1">IF(AND(NOT(ISBLANK(Jumpoverwrite8)),AND(NOT(AO17),AND(AO$4:AO16))),($J17*$G17-LN(1+Jumpoverwrite8*AQ$2))/$G17,_xll.qlInterpolationInterpolate(AO$3,$F17,TRUE))</f>
        <v>#NAME?</v>
      </c>
      <c r="AQ17" s="440" t="str">
        <f ca="1">IF(AND(NOT(AO17),AND(AO$4:AO16)),MIN(EXP((AP17-$J17)*$G17),1),"")</f>
        <v/>
      </c>
      <c r="AS17" s="441" t="b">
        <f ca="1">IF(AND(NOT(AO17),AND(AO$4:AO16)),TRUE,AO17)</f>
        <v>0</v>
      </c>
      <c r="AT17" s="440" t="e">
        <f ca="1">IF(AND(NOT(ISBLANK(Jumpoverwrite9)),AND(NOT(AS17),AND(AS$4:AS16))),($J17*$G17-LN(1+Jumpoverwrite9*AU$2))/$G17,_xll.qlInterpolationInterpolate(AS$3,$F17,TRUE))</f>
        <v>#NAME?</v>
      </c>
      <c r="AU17" s="440" t="str">
        <f ca="1">IF(AND(NOT(AS17),AND(AS$4:AS16)),MIN(EXP((AT17-$J17)*$G17),1),"")</f>
        <v/>
      </c>
      <c r="AW17" s="441" t="b">
        <f ca="1">IF(AND(NOT(AS17),AND(AS$4:AS16)),TRUE,AS17)</f>
        <v>0</v>
      </c>
      <c r="AX17" s="440" t="e">
        <f ca="1">IF(AND(NOT(ISBLANK(Jumpoverwrite10)),AND(NOT(AW17),AND(AW$4:AW16))),($J17*$G17-LN(1+Jumpoverwrite10*AY$2))/$G17,_xll.qlInterpolationInterpolate(AW$3,$F17,TRUE))</f>
        <v>#NAME?</v>
      </c>
      <c r="AY17" s="440" t="str">
        <f ca="1">IF(AND(NOT(AW17),AND(AW$4:AW16)),MIN(EXP((AX17-$J17)*$G17),1),"")</f>
        <v/>
      </c>
      <c r="BA17" s="441" t="b">
        <f ca="1">IF(AND(NOT(AW17),AND(AW$4:AW16)),TRUE,AW17)</f>
        <v>0</v>
      </c>
      <c r="BB17" s="440" t="e">
        <f ca="1">IF(AND(NOT(ISBLANK(Jumpoverwrite11)),AND(NOT(BA17),AND(BA$4:BA16))),($J17*$G17-LN(1+Jumpoverwrite11*BC$2))/$G17,_xll.qlInterpolationInterpolate(BA$3,$F17,TRUE))</f>
        <v>#NAME?</v>
      </c>
      <c r="BC17" s="440" t="str">
        <f ca="1">IF(AND(NOT(BA17),AND(BA$4:BA16)),MIN(EXP((BB17-$J17)*$G17),1),"")</f>
        <v/>
      </c>
      <c r="BE17" s="441" t="b">
        <f ca="1">IF(AND(NOT(BA17),AND(BA$4:BA16)),TRUE,BA17)</f>
        <v>0</v>
      </c>
      <c r="BF17" s="440" t="e">
        <f ca="1">IF(AND(NOT(ISBLANK(Jumpoverwrite12)),AND(NOT(BE17),AND(BE$4:BE16))),($J17*$G17-LN(1+Jumpoverwrite12*BG$2))/$G17,_xll.qlInterpolationInterpolate(BE$3,$F17,TRUE))</f>
        <v>#NAME?</v>
      </c>
      <c r="BG17" s="440" t="str">
        <f ca="1">IF(AND(NOT(BE17),AND(BE$4:BE16)),MIN(EXP((BF17-$J17)*$G17),1),"")</f>
        <v/>
      </c>
      <c r="BI17" s="441" t="b">
        <f t="shared" ca="1" si="3"/>
        <v>0</v>
      </c>
      <c r="BJ17" s="440" t="e">
        <f ca="1">IF(AND(NOT(ISBLANK(jumpoverwrite13)),AND(NOT(BI17),AND(BI$4:BI16))),($J17*$G17-LN(1+jumpoverwrite13*BK$2))/$G17,_xll.qlInterpolationInterpolate(BI$3,$F17,TRUE))</f>
        <v>#NAME?</v>
      </c>
      <c r="BK17" s="440" t="str">
        <f ca="1">IF(AND(NOT(BI17),AND(BI$4:BI16)),MIN(EXP((BJ17-$J17)*$G17),1),"")</f>
        <v/>
      </c>
    </row>
    <row r="18" spans="1:63" x14ac:dyDescent="0.2">
      <c r="A18" s="439" t="e">
        <f ca="1"/>
        <v>#NAME?</v>
      </c>
      <c r="B18" s="438" t="e">
        <f ca="1">_xll.qlRateHelperRate($A18,InterestRatesTrigger)</f>
        <v>#NAME?</v>
      </c>
      <c r="C18" s="437" t="e">
        <f ca="1">_xll.qlRateHelperEarliestDate($A18)</f>
        <v>#NAME?</v>
      </c>
      <c r="D18" s="436" t="e">
        <f ca="1">_xll.qlRateHelperPillarDate($A18)</f>
        <v>#NAME?</v>
      </c>
      <c r="F18" s="446" t="e">
        <f t="shared" ca="1" si="1"/>
        <v>#N/A</v>
      </c>
      <c r="G18" s="445" t="e">
        <f ca="1">_xll.qlDayCounterYearFraction(DayCounter,D17,D18)</f>
        <v>#NAME?</v>
      </c>
      <c r="I18" s="444" t="b">
        <f t="shared" ca="1" si="2"/>
        <v>0</v>
      </c>
      <c r="J18" s="443" t="e">
        <f ca="1"/>
        <v>#NAME?</v>
      </c>
      <c r="K18" s="442" t="e">
        <f t="shared" ca="1" si="0"/>
        <v>#NAME?</v>
      </c>
      <c r="L18" s="447"/>
      <c r="M18" s="441" t="b">
        <f ca="1">IF(AND(NOT(I18),AND(I$4:I17)),TRUE,I18)</f>
        <v>0</v>
      </c>
      <c r="N18" s="440" t="e">
        <f ca="1">IF(AND(NOT(ISBLANK(Jumpoverwrite1)),AND(NOT(M18),AND(M$4:M17))),($J18*$G18-LN(1+Jumpoverwrite1*O$2))/$G18,_xll.qlInterpolationInterpolate(M$3,$F18,TRUE))</f>
        <v>#NAME?</v>
      </c>
      <c r="O18" s="440" t="str">
        <f ca="1">IF(AND(NOT(M18),AND(M$4:M17)),MIN(EXP((N18-$J18)*$G18),1),"")</f>
        <v/>
      </c>
      <c r="P18" s="429"/>
      <c r="Q18" s="441" t="b">
        <f ca="1">IF(AND(NOT(M18),AND(M$4:M17)),TRUE,M18)</f>
        <v>0</v>
      </c>
      <c r="R18" s="440" t="e">
        <f ca="1">IF(AND(NOT(ISBLANK(Jumpoverwrite2)),AND(NOT(Q18),AND(Q$4:Q17))),($J18*$G18-LN(1+Jumpoverwrite2*S$2))/$G18,_xll.qlInterpolationInterpolate(Q$3,$F18,TRUE))</f>
        <v>#NAME?</v>
      </c>
      <c r="S18" s="440" t="str">
        <f ca="1">IF(AND(NOT(Q18),AND(Q$4:Q17)),MIN(EXP((R18-$J18)*$G18),1),"")</f>
        <v/>
      </c>
      <c r="T18" s="429"/>
      <c r="U18" s="441" t="b">
        <f ca="1">IF(AND(NOT(Q18),AND(Q$4:Q17)),TRUE,Q18)</f>
        <v>0</v>
      </c>
      <c r="V18" s="440" t="e">
        <f ca="1">IF(AND(NOT(ISBLANK(Jumpoverwrite3)),AND(NOT(U18),AND(U$4:U17))),($J18*$G18-LN(1+Jumpoverwrite3*W$2))/$G18,_xll.qlInterpolationInterpolate(U$3,$F18,TRUE))</f>
        <v>#NAME?</v>
      </c>
      <c r="W18" s="440" t="str">
        <f ca="1">IF(AND(NOT(U18),AND(U$4:U17)),MIN(EXP((V18-$J18)*$G18),1),"")</f>
        <v/>
      </c>
      <c r="X18" s="429"/>
      <c r="Y18" s="441" t="b">
        <f ca="1">IF(AND(NOT(U18),AND(U$4:U17)),TRUE,U18)</f>
        <v>0</v>
      </c>
      <c r="Z18" s="440" t="e">
        <f ca="1">IF(AND(NOT(ISBLANK(Jumpoverwrite4)),AND(NOT(Y18),AND(Y$4:Y17))),($J18*$G18-LN(1+Jumpoverwrite4*AA$2))/$G18,_xll.qlInterpolationInterpolate(Y$3,$F18,TRUE))</f>
        <v>#NAME?</v>
      </c>
      <c r="AA18" s="440" t="str">
        <f ca="1">IF(AND(NOT(Y18),AND(Y$4:Y17)),MIN(EXP((Z18-$J18)*$G18),1),"")</f>
        <v/>
      </c>
      <c r="AB18" s="429"/>
      <c r="AC18" s="441" t="b">
        <f ca="1">IF(AND(NOT(Y18),AND(Y$4:Y17)),TRUE,Y18)</f>
        <v>0</v>
      </c>
      <c r="AD18" s="440" t="e">
        <f ca="1">IF(AND(NOT(ISBLANK(Jumpoverwrite5)),AND(NOT(AC18),AND(AC$4:AC17))),($J18*$G18-LN(1+Jumpoverwrite5*AE$2))/$G18,_xll.qlInterpolationInterpolate(AC$3,$F18,TRUE))</f>
        <v>#NAME?</v>
      </c>
      <c r="AE18" s="440" t="str">
        <f ca="1">IF(AND(NOT(AC18),AND(AC$4:AC17)),MIN(EXP((AD18-$J18)*$G18),1),"")</f>
        <v/>
      </c>
      <c r="AF18" s="429"/>
      <c r="AG18" s="441" t="b">
        <f ca="1">IF(AND(NOT(AC18),AND(AC$4:AC17)),TRUE,AC18)</f>
        <v>0</v>
      </c>
      <c r="AH18" s="440" t="e">
        <f ca="1">IF(AND(NOT(ISBLANK(Jumpoverwrite6)),AND(NOT(AG18),AND(AG$4:AG17))),($J18*$G18-LN(1+Jumpoverwrite6*AI$2))/$G18,_xll.qlInterpolationInterpolate(AG$3,$F18,TRUE))</f>
        <v>#NAME?</v>
      </c>
      <c r="AI18" s="440" t="str">
        <f ca="1">IF(AND(NOT(AG18),AND(AG$4:AG17)),MIN(EXP((AH18-$J18)*$G18),1),"")</f>
        <v/>
      </c>
      <c r="AJ18" s="429"/>
      <c r="AK18" s="441" t="b">
        <f ca="1">IF(AND(NOT(AG18),AND(AG$4:AG17)),TRUE,AG18)</f>
        <v>0</v>
      </c>
      <c r="AL18" s="440" t="e">
        <f ca="1">IF(AND(NOT(ISBLANK(Jumpoverwrite7)),AND(NOT(AK18),AND(AK$4:AK17))),($J18*$G18-LN(1+Jumpoverwrite7*AM$2))/$G18,_xll.qlInterpolationInterpolate(AK$3,$F18,TRUE))</f>
        <v>#NAME?</v>
      </c>
      <c r="AM18" s="440" t="str">
        <f ca="1">IF(AND(NOT(AK18),AND(AK$4:AK17)),MIN(EXP((AL18-$J18)*$G18),1),"")</f>
        <v/>
      </c>
      <c r="AO18" s="441" t="b">
        <f ca="1">IF(AND(NOT(AK18),AND(AK$4:AK17)),TRUE,AK18)</f>
        <v>0</v>
      </c>
      <c r="AP18" s="440" t="e">
        <f ca="1">IF(AND(NOT(ISBLANK(Jumpoverwrite8)),AND(NOT(AO18),AND(AO$4:AO17))),($J18*$G18-LN(1+Jumpoverwrite8*AQ$2))/$G18,_xll.qlInterpolationInterpolate(AO$3,$F18,TRUE))</f>
        <v>#NAME?</v>
      </c>
      <c r="AQ18" s="440" t="str">
        <f ca="1">IF(AND(NOT(AO18),AND(AO$4:AO17)),MIN(EXP((AP18-$J18)*$G18),1),"")</f>
        <v/>
      </c>
      <c r="AS18" s="441" t="b">
        <f ca="1">IF(AND(NOT(AO18),AND(AO$4:AO17)),TRUE,AO18)</f>
        <v>0</v>
      </c>
      <c r="AT18" s="440" t="e">
        <f ca="1">IF(AND(NOT(ISBLANK(Jumpoverwrite9)),AND(NOT(AS18),AND(AS$4:AS17))),($J18*$G18-LN(1+Jumpoverwrite9*AU$2))/$G18,_xll.qlInterpolationInterpolate(AS$3,$F18,TRUE))</f>
        <v>#NAME?</v>
      </c>
      <c r="AU18" s="440" t="str">
        <f ca="1">IF(AND(NOT(AS18),AND(AS$4:AS17)),MIN(EXP((AT18-$J18)*$G18),1),"")</f>
        <v/>
      </c>
      <c r="AW18" s="441" t="b">
        <f ca="1">IF(AND(NOT(AS18),AND(AS$4:AS17)),TRUE,AS18)</f>
        <v>0</v>
      </c>
      <c r="AX18" s="440" t="e">
        <f ca="1">IF(AND(NOT(ISBLANK(Jumpoverwrite10)),AND(NOT(AW18),AND(AW$4:AW17))),($J18*$G18-LN(1+Jumpoverwrite10*AY$2))/$G18,_xll.qlInterpolationInterpolate(AW$3,$F18,TRUE))</f>
        <v>#NAME?</v>
      </c>
      <c r="AY18" s="440" t="str">
        <f ca="1">IF(AND(NOT(AW18),AND(AW$4:AW17)),MIN(EXP((AX18-$J18)*$G18),1),"")</f>
        <v/>
      </c>
      <c r="BA18" s="441" t="b">
        <f ca="1">IF(AND(NOT(AW18),AND(AW$4:AW17)),TRUE,AW18)</f>
        <v>0</v>
      </c>
      <c r="BB18" s="440" t="e">
        <f ca="1">IF(AND(NOT(ISBLANK(Jumpoverwrite11)),AND(NOT(BA18),AND(BA$4:BA17))),($J18*$G18-LN(1+Jumpoverwrite11*BC$2))/$G18,_xll.qlInterpolationInterpolate(BA$3,$F18,TRUE))</f>
        <v>#NAME?</v>
      </c>
      <c r="BC18" s="440" t="str">
        <f ca="1">IF(AND(NOT(BA18),AND(BA$4:BA17)),MIN(EXP((BB18-$J18)*$G18),1),"")</f>
        <v/>
      </c>
      <c r="BE18" s="441" t="b">
        <f ca="1">IF(AND(NOT(BA18),AND(BA$4:BA17)),TRUE,BA18)</f>
        <v>0</v>
      </c>
      <c r="BF18" s="440" t="e">
        <f ca="1">IF(AND(NOT(ISBLANK(Jumpoverwrite12)),AND(NOT(BE18),AND(BE$4:BE17))),($J18*$G18-LN(1+Jumpoverwrite12*BG$2))/$G18,_xll.qlInterpolationInterpolate(BE$3,$F18,TRUE))</f>
        <v>#NAME?</v>
      </c>
      <c r="BG18" s="440" t="str">
        <f ca="1">IF(AND(NOT(BE18),AND(BE$4:BE17)),MIN(EXP((BF18-$J18)*$G18),1),"")</f>
        <v/>
      </c>
      <c r="BI18" s="441" t="b">
        <f t="shared" ca="1" si="3"/>
        <v>0</v>
      </c>
      <c r="BJ18" s="440" t="e">
        <f ca="1">IF(AND(NOT(ISBLANK(jumpoverwrite13)),AND(NOT(BI18),AND(BI$4:BI17))),($J18*$G18-LN(1+jumpoverwrite13*BK$2))/$G18,_xll.qlInterpolationInterpolate(BI$3,$F18,TRUE))</f>
        <v>#NAME?</v>
      </c>
      <c r="BK18" s="440" t="str">
        <f ca="1">IF(AND(NOT(BI18),AND(BI$4:BI17)),MIN(EXP((BJ18-$J18)*$G18),1),"")</f>
        <v/>
      </c>
    </row>
    <row r="19" spans="1:63" x14ac:dyDescent="0.2">
      <c r="A19" s="439" t="e">
        <f ca="1"/>
        <v>#NAME?</v>
      </c>
      <c r="B19" s="438" t="e">
        <f ca="1">_xll.qlRateHelperRate($A19,InterestRatesTrigger)</f>
        <v>#NAME?</v>
      </c>
      <c r="C19" s="437" t="e">
        <f ca="1">_xll.qlRateHelperEarliestDate($A19)</f>
        <v>#NAME?</v>
      </c>
      <c r="D19" s="436" t="e">
        <f ca="1">_xll.qlRateHelperPillarDate($A19)</f>
        <v>#NAME?</v>
      </c>
      <c r="F19" s="446" t="e">
        <f t="shared" ca="1" si="1"/>
        <v>#N/A</v>
      </c>
      <c r="G19" s="445" t="e">
        <f ca="1">_xll.qlDayCounterYearFraction(DayCounter,D18,D19)</f>
        <v>#NAME?</v>
      </c>
      <c r="I19" s="444" t="b">
        <f t="shared" ca="1" si="2"/>
        <v>0</v>
      </c>
      <c r="J19" s="443" t="e">
        <f ca="1"/>
        <v>#NAME?</v>
      </c>
      <c r="K19" s="442" t="e">
        <f t="shared" ca="1" si="0"/>
        <v>#NAME?</v>
      </c>
      <c r="L19" s="447"/>
      <c r="M19" s="441" t="b">
        <f ca="1">IF(AND(NOT(I19),AND(I$4:I18)),TRUE,I19)</f>
        <v>0</v>
      </c>
      <c r="N19" s="440" t="e">
        <f ca="1">IF(AND(NOT(ISBLANK(Jumpoverwrite1)),AND(NOT(M19),AND(M$4:M18))),($J19*$G19-LN(1+Jumpoverwrite1*O$2))/$G19,_xll.qlInterpolationInterpolate(M$3,$F19,TRUE))</f>
        <v>#NAME?</v>
      </c>
      <c r="O19" s="440" t="str">
        <f ca="1">IF(AND(NOT(M19),AND(M$4:M18)),MIN(EXP((N19-$J19)*$G19),1),"")</f>
        <v/>
      </c>
      <c r="P19" s="429"/>
      <c r="Q19" s="441" t="b">
        <f ca="1">IF(AND(NOT(M19),AND(M$4:M18)),TRUE,M19)</f>
        <v>0</v>
      </c>
      <c r="R19" s="440" t="e">
        <f ca="1">IF(AND(NOT(ISBLANK(Jumpoverwrite2)),AND(NOT(Q19),AND(Q$4:Q18))),($J19*$G19-LN(1+Jumpoverwrite2*S$2))/$G19,_xll.qlInterpolationInterpolate(Q$3,$F19,TRUE))</f>
        <v>#NAME?</v>
      </c>
      <c r="S19" s="440" t="str">
        <f ca="1">IF(AND(NOT(Q19),AND(Q$4:Q18)),MIN(EXP((R19-$J19)*$G19),1),"")</f>
        <v/>
      </c>
      <c r="T19" s="429"/>
      <c r="U19" s="441" t="b">
        <f ca="1">IF(AND(NOT(Q19),AND(Q$4:Q18)),TRUE,Q19)</f>
        <v>0</v>
      </c>
      <c r="V19" s="440" t="e">
        <f ca="1">IF(AND(NOT(ISBLANK(Jumpoverwrite3)),AND(NOT(U19),AND(U$4:U18))),($J19*$G19-LN(1+Jumpoverwrite3*W$2))/$G19,_xll.qlInterpolationInterpolate(U$3,$F19,TRUE))</f>
        <v>#NAME?</v>
      </c>
      <c r="W19" s="440" t="str">
        <f ca="1">IF(AND(NOT(U19),AND(U$4:U18)),MIN(EXP((V19-$J19)*$G19),1),"")</f>
        <v/>
      </c>
      <c r="X19" s="429"/>
      <c r="Y19" s="441" t="b">
        <f ca="1">IF(AND(NOT(U19),AND(U$4:U18)),TRUE,U19)</f>
        <v>0</v>
      </c>
      <c r="Z19" s="440" t="e">
        <f ca="1">IF(AND(NOT(ISBLANK(Jumpoverwrite4)),AND(NOT(Y19),AND(Y$4:Y18))),($J19*$G19-LN(1+Jumpoverwrite4*AA$2))/$G19,_xll.qlInterpolationInterpolate(Y$3,$F19,TRUE))</f>
        <v>#NAME?</v>
      </c>
      <c r="AA19" s="440" t="str">
        <f ca="1">IF(AND(NOT(Y19),AND(Y$4:Y18)),MIN(EXP((Z19-$J19)*$G19),1),"")</f>
        <v/>
      </c>
      <c r="AB19" s="429"/>
      <c r="AC19" s="441" t="b">
        <f ca="1">IF(AND(NOT(Y19),AND(Y$4:Y18)),TRUE,Y19)</f>
        <v>0</v>
      </c>
      <c r="AD19" s="440" t="e">
        <f ca="1">IF(AND(NOT(ISBLANK(Jumpoverwrite5)),AND(NOT(AC19),AND(AC$4:AC18))),($J19*$G19-LN(1+Jumpoverwrite5*AE$2))/$G19,_xll.qlInterpolationInterpolate(AC$3,$F19,TRUE))</f>
        <v>#NAME?</v>
      </c>
      <c r="AE19" s="440" t="str">
        <f ca="1">IF(AND(NOT(AC19),AND(AC$4:AC18)),MIN(EXP((AD19-$J19)*$G19),1),"")</f>
        <v/>
      </c>
      <c r="AF19" s="429"/>
      <c r="AG19" s="441" t="b">
        <f ca="1">IF(AND(NOT(AC19),AND(AC$4:AC18)),TRUE,AC19)</f>
        <v>0</v>
      </c>
      <c r="AH19" s="440" t="e">
        <f ca="1">IF(AND(NOT(ISBLANK(Jumpoverwrite6)),AND(NOT(AG19),AND(AG$4:AG18))),($J19*$G19-LN(1+Jumpoverwrite6*AI$2))/$G19,_xll.qlInterpolationInterpolate(AG$3,$F19,TRUE))</f>
        <v>#NAME?</v>
      </c>
      <c r="AI19" s="440" t="str">
        <f ca="1">IF(AND(NOT(AG19),AND(AG$4:AG18)),MIN(EXP((AH19-$J19)*$G19),1),"")</f>
        <v/>
      </c>
      <c r="AJ19" s="429"/>
      <c r="AK19" s="441" t="b">
        <f ca="1">IF(AND(NOT(AG19),AND(AG$4:AG18)),TRUE,AG19)</f>
        <v>0</v>
      </c>
      <c r="AL19" s="440" t="e">
        <f ca="1">IF(AND(NOT(ISBLANK(Jumpoverwrite7)),AND(NOT(AK19),AND(AK$4:AK18))),($J19*$G19-LN(1+Jumpoverwrite7*AM$2))/$G19,_xll.qlInterpolationInterpolate(AK$3,$F19,TRUE))</f>
        <v>#NAME?</v>
      </c>
      <c r="AM19" s="440" t="str">
        <f ca="1">IF(AND(NOT(AK19),AND(AK$4:AK18)),MIN(EXP((AL19-$J19)*$G19),1),"")</f>
        <v/>
      </c>
      <c r="AO19" s="441" t="b">
        <f ca="1">IF(AND(NOT(AK19),AND(AK$4:AK18)),TRUE,AK19)</f>
        <v>0</v>
      </c>
      <c r="AP19" s="440" t="e">
        <f ca="1">IF(AND(NOT(ISBLANK(Jumpoverwrite8)),AND(NOT(AO19),AND(AO$4:AO18))),($J19*$G19-LN(1+Jumpoverwrite8*AQ$2))/$G19,_xll.qlInterpolationInterpolate(AO$3,$F19,TRUE))</f>
        <v>#NAME?</v>
      </c>
      <c r="AQ19" s="440" t="str">
        <f ca="1">IF(AND(NOT(AO19),AND(AO$4:AO18)),MIN(EXP((AP19-$J19)*$G19),1),"")</f>
        <v/>
      </c>
      <c r="AS19" s="441" t="b">
        <f ca="1">IF(AND(NOT(AO19),AND(AO$4:AO18)),TRUE,AO19)</f>
        <v>0</v>
      </c>
      <c r="AT19" s="440" t="e">
        <f ca="1">IF(AND(NOT(ISBLANK(Jumpoverwrite9)),AND(NOT(AS19),AND(AS$4:AS18))),($J19*$G19-LN(1+Jumpoverwrite9*AU$2))/$G19,_xll.qlInterpolationInterpolate(AS$3,$F19,TRUE))</f>
        <v>#NAME?</v>
      </c>
      <c r="AU19" s="440" t="str">
        <f ca="1">IF(AND(NOT(AS19),AND(AS$4:AS18)),MIN(EXP((AT19-$J19)*$G19),1),"")</f>
        <v/>
      </c>
      <c r="AW19" s="441" t="b">
        <f ca="1">IF(AND(NOT(AS19),AND(AS$4:AS18)),TRUE,AS19)</f>
        <v>0</v>
      </c>
      <c r="AX19" s="440" t="e">
        <f ca="1">IF(AND(NOT(ISBLANK(Jumpoverwrite10)),AND(NOT(AW19),AND(AW$4:AW18))),($J19*$G19-LN(1+Jumpoverwrite10*AY$2))/$G19,_xll.qlInterpolationInterpolate(AW$3,$F19,TRUE))</f>
        <v>#NAME?</v>
      </c>
      <c r="AY19" s="440" t="str">
        <f ca="1">IF(AND(NOT(AW19),AND(AW$4:AW18)),MIN(EXP((AX19-$J19)*$G19),1),"")</f>
        <v/>
      </c>
      <c r="BA19" s="441" t="b">
        <f ca="1">IF(AND(NOT(AW19),AND(AW$4:AW18)),TRUE,AW19)</f>
        <v>0</v>
      </c>
      <c r="BB19" s="440" t="e">
        <f ca="1">IF(AND(NOT(ISBLANK(Jumpoverwrite11)),AND(NOT(BA19),AND(BA$4:BA18))),($J19*$G19-LN(1+Jumpoverwrite11*BC$2))/$G19,_xll.qlInterpolationInterpolate(BA$3,$F19,TRUE))</f>
        <v>#NAME?</v>
      </c>
      <c r="BC19" s="440" t="str">
        <f ca="1">IF(AND(NOT(BA19),AND(BA$4:BA18)),MIN(EXP((BB19-$J19)*$G19),1),"")</f>
        <v/>
      </c>
      <c r="BE19" s="441" t="b">
        <f ca="1">IF(AND(NOT(BA19),AND(BA$4:BA18)),TRUE,BA19)</f>
        <v>0</v>
      </c>
      <c r="BF19" s="440" t="e">
        <f ca="1">IF(AND(NOT(ISBLANK(Jumpoverwrite12)),AND(NOT(BE19),AND(BE$4:BE18))),($J19*$G19-LN(1+Jumpoverwrite12*BG$2))/$G19,_xll.qlInterpolationInterpolate(BE$3,$F19,TRUE))</f>
        <v>#NAME?</v>
      </c>
      <c r="BG19" s="440" t="str">
        <f ca="1">IF(AND(NOT(BE19),AND(BE$4:BE18)),MIN(EXP((BF19-$J19)*$G19),1),"")</f>
        <v/>
      </c>
      <c r="BI19" s="441" t="b">
        <f t="shared" ca="1" si="3"/>
        <v>0</v>
      </c>
      <c r="BJ19" s="440" t="e">
        <f ca="1">IF(AND(NOT(ISBLANK(jumpoverwrite13)),AND(NOT(BI19),AND(BI$4:BI18))),($J19*$G19-LN(1+jumpoverwrite13*BK$2))/$G19,_xll.qlInterpolationInterpolate(BI$3,$F19,TRUE))</f>
        <v>#NAME?</v>
      </c>
      <c r="BK19" s="440" t="str">
        <f ca="1">IF(AND(NOT(BI19),AND(BI$4:BI18)),MIN(EXP((BJ19-$J19)*$G19),1),"")</f>
        <v/>
      </c>
    </row>
    <row r="20" spans="1:63" x14ac:dyDescent="0.2">
      <c r="A20" s="439" t="e">
        <f ca="1"/>
        <v>#NAME?</v>
      </c>
      <c r="B20" s="438" t="e">
        <f ca="1">_xll.qlRateHelperRate($A20,InterestRatesTrigger)</f>
        <v>#NAME?</v>
      </c>
      <c r="C20" s="437" t="e">
        <f ca="1">_xll.qlRateHelperEarliestDate($A20)</f>
        <v>#NAME?</v>
      </c>
      <c r="D20" s="436" t="e">
        <f ca="1">_xll.qlRateHelperPillarDate($A20)</f>
        <v>#NAME?</v>
      </c>
      <c r="F20" s="446" t="e">
        <f t="shared" ca="1" si="1"/>
        <v>#N/A</v>
      </c>
      <c r="G20" s="445" t="e">
        <f ca="1">_xll.qlDayCounterYearFraction(DayCounter,D19,D20)</f>
        <v>#NAME?</v>
      </c>
      <c r="I20" s="444" t="b">
        <f t="shared" ca="1" si="2"/>
        <v>0</v>
      </c>
      <c r="J20" s="443" t="e">
        <f ca="1"/>
        <v>#NAME?</v>
      </c>
      <c r="K20" s="442" t="e">
        <f t="shared" ca="1" si="0"/>
        <v>#NAME?</v>
      </c>
      <c r="L20" s="447"/>
      <c r="M20" s="441" t="b">
        <f ca="1">IF(AND(NOT(I20),AND(I$4:I19)),TRUE,I20)</f>
        <v>0</v>
      </c>
      <c r="N20" s="440" t="e">
        <f ca="1">IF(AND(NOT(ISBLANK(Jumpoverwrite1)),AND(NOT(M20),AND(M$4:M19))),($J20*$G20-LN(1+Jumpoverwrite1*O$2))/$G20,_xll.qlInterpolationInterpolate(M$3,$F20,TRUE))</f>
        <v>#NAME?</v>
      </c>
      <c r="O20" s="440" t="str">
        <f ca="1">IF(AND(NOT(M20),AND(M$4:M19)),MIN(EXP((N20-$J20)*$G20),1),"")</f>
        <v/>
      </c>
      <c r="P20" s="429"/>
      <c r="Q20" s="441" t="b">
        <f ca="1">IF(AND(NOT(M20),AND(M$4:M19)),TRUE,M20)</f>
        <v>0</v>
      </c>
      <c r="R20" s="440" t="e">
        <f ca="1">IF(AND(NOT(ISBLANK(Jumpoverwrite2)),AND(NOT(Q20),AND(Q$4:Q19))),($J20*$G20-LN(1+Jumpoverwrite2*S$2))/$G20,_xll.qlInterpolationInterpolate(Q$3,$F20,TRUE))</f>
        <v>#NAME?</v>
      </c>
      <c r="S20" s="440" t="str">
        <f ca="1">IF(AND(NOT(Q20),AND(Q$4:Q19)),MIN(EXP((R20-$J20)*$G20),1),"")</f>
        <v/>
      </c>
      <c r="T20" s="429"/>
      <c r="U20" s="441" t="b">
        <f ca="1">IF(AND(NOT(Q20),AND(Q$4:Q19)),TRUE,Q20)</f>
        <v>0</v>
      </c>
      <c r="V20" s="440" t="e">
        <f ca="1">IF(AND(NOT(ISBLANK(Jumpoverwrite3)),AND(NOT(U20),AND(U$4:U19))),($J20*$G20-LN(1+Jumpoverwrite3*W$2))/$G20,_xll.qlInterpolationInterpolate(U$3,$F20,TRUE))</f>
        <v>#NAME?</v>
      </c>
      <c r="W20" s="440" t="str">
        <f ca="1">IF(AND(NOT(U20),AND(U$4:U19)),MIN(EXP((V20-$J20)*$G20),1),"")</f>
        <v/>
      </c>
      <c r="X20" s="429"/>
      <c r="Y20" s="441" t="b">
        <f ca="1">IF(AND(NOT(U20),AND(U$4:U19)),TRUE,U20)</f>
        <v>0</v>
      </c>
      <c r="Z20" s="440" t="e">
        <f ca="1">IF(AND(NOT(ISBLANK(Jumpoverwrite4)),AND(NOT(Y20),AND(Y$4:Y19))),($J20*$G20-LN(1+Jumpoverwrite4*AA$2))/$G20,_xll.qlInterpolationInterpolate(Y$3,$F20,TRUE))</f>
        <v>#NAME?</v>
      </c>
      <c r="AA20" s="440" t="str">
        <f ca="1">IF(AND(NOT(Y20),AND(Y$4:Y19)),MIN(EXP((Z20-$J20)*$G20),1),"")</f>
        <v/>
      </c>
      <c r="AB20" s="429"/>
      <c r="AC20" s="441" t="b">
        <f ca="1">IF(AND(NOT(Y20),AND(Y$4:Y19)),TRUE,Y20)</f>
        <v>0</v>
      </c>
      <c r="AD20" s="440" t="e">
        <f ca="1">IF(AND(NOT(ISBLANK(Jumpoverwrite5)),AND(NOT(AC20),AND(AC$4:AC19))),($J20*$G20-LN(1+Jumpoverwrite5*AE$2))/$G20,_xll.qlInterpolationInterpolate(AC$3,$F20,TRUE))</f>
        <v>#NAME?</v>
      </c>
      <c r="AE20" s="440" t="str">
        <f ca="1">IF(AND(NOT(AC20),AND(AC$4:AC19)),MIN(EXP((AD20-$J20)*$G20),1),"")</f>
        <v/>
      </c>
      <c r="AF20" s="429"/>
      <c r="AG20" s="441" t="b">
        <f ca="1">IF(AND(NOT(AC20),AND(AC$4:AC19)),TRUE,AC20)</f>
        <v>0</v>
      </c>
      <c r="AH20" s="440" t="e">
        <f ca="1">IF(AND(NOT(ISBLANK(Jumpoverwrite6)),AND(NOT(AG20),AND(AG$4:AG19))),($J20*$G20-LN(1+Jumpoverwrite6*AI$2))/$G20,_xll.qlInterpolationInterpolate(AG$3,$F20,TRUE))</f>
        <v>#NAME?</v>
      </c>
      <c r="AI20" s="440" t="str">
        <f ca="1">IF(AND(NOT(AG20),AND(AG$4:AG19)),MIN(EXP((AH20-$J20)*$G20),1),"")</f>
        <v/>
      </c>
      <c r="AJ20" s="429"/>
      <c r="AK20" s="441" t="b">
        <f ca="1">IF(AND(NOT(AG20),AND(AG$4:AG19)),TRUE,AG20)</f>
        <v>0</v>
      </c>
      <c r="AL20" s="440" t="e">
        <f ca="1">IF(AND(NOT(ISBLANK(Jumpoverwrite7)),AND(NOT(AK20),AND(AK$4:AK19))),($J20*$G20-LN(1+Jumpoverwrite7*AM$2))/$G20,_xll.qlInterpolationInterpolate(AK$3,$F20,TRUE))</f>
        <v>#NAME?</v>
      </c>
      <c r="AM20" s="440" t="str">
        <f ca="1">IF(AND(NOT(AK20),AND(AK$4:AK19)),MIN(EXP((AL20-$J20)*$G20),1),"")</f>
        <v/>
      </c>
      <c r="AO20" s="441" t="b">
        <f ca="1">IF(AND(NOT(AK20),AND(AK$4:AK19)),TRUE,AK20)</f>
        <v>0</v>
      </c>
      <c r="AP20" s="440" t="e">
        <f ca="1">IF(AND(NOT(ISBLANK(Jumpoverwrite8)),AND(NOT(AO20),AND(AO$4:AO19))),($J20*$G20-LN(1+Jumpoverwrite8*AQ$2))/$G20,_xll.qlInterpolationInterpolate(AO$3,$F20,TRUE))</f>
        <v>#NAME?</v>
      </c>
      <c r="AQ20" s="440" t="str">
        <f ca="1">IF(AND(NOT(AO20),AND(AO$4:AO19)),MIN(EXP((AP20-$J20)*$G20),1),"")</f>
        <v/>
      </c>
      <c r="AS20" s="441" t="b">
        <f ca="1">IF(AND(NOT(AO20),AND(AO$4:AO19)),TRUE,AO20)</f>
        <v>0</v>
      </c>
      <c r="AT20" s="440" t="e">
        <f ca="1">IF(AND(NOT(ISBLANK(Jumpoverwrite9)),AND(NOT(AS20),AND(AS$4:AS19))),($J20*$G20-LN(1+Jumpoverwrite9*AU$2))/$G20,_xll.qlInterpolationInterpolate(AS$3,$F20,TRUE))</f>
        <v>#NAME?</v>
      </c>
      <c r="AU20" s="440" t="str">
        <f ca="1">IF(AND(NOT(AS20),AND(AS$4:AS19)),MIN(EXP((AT20-$J20)*$G20),1),"")</f>
        <v/>
      </c>
      <c r="AW20" s="441" t="b">
        <f ca="1">IF(AND(NOT(AS20),AND(AS$4:AS19)),TRUE,AS20)</f>
        <v>0</v>
      </c>
      <c r="AX20" s="440" t="e">
        <f ca="1">IF(AND(NOT(ISBLANK(Jumpoverwrite10)),AND(NOT(AW20),AND(AW$4:AW19))),($J20*$G20-LN(1+Jumpoverwrite10*AY$2))/$G20,_xll.qlInterpolationInterpolate(AW$3,$F20,TRUE))</f>
        <v>#NAME?</v>
      </c>
      <c r="AY20" s="440" t="str">
        <f ca="1">IF(AND(NOT(AW20),AND(AW$4:AW19)),MIN(EXP((AX20-$J20)*$G20),1),"")</f>
        <v/>
      </c>
      <c r="BA20" s="441" t="b">
        <f ca="1">IF(AND(NOT(AW20),AND(AW$4:AW19)),TRUE,AW20)</f>
        <v>0</v>
      </c>
      <c r="BB20" s="440" t="e">
        <f ca="1">IF(AND(NOT(ISBLANK(Jumpoverwrite11)),AND(NOT(BA20),AND(BA$4:BA19))),($J20*$G20-LN(1+Jumpoverwrite11*BC$2))/$G20,_xll.qlInterpolationInterpolate(BA$3,$F20,TRUE))</f>
        <v>#NAME?</v>
      </c>
      <c r="BC20" s="440" t="str">
        <f ca="1">IF(AND(NOT(BA20),AND(BA$4:BA19)),MIN(EXP((BB20-$J20)*$G20),1),"")</f>
        <v/>
      </c>
      <c r="BE20" s="441" t="b">
        <f ca="1">IF(AND(NOT(BA20),AND(BA$4:BA19)),TRUE,BA20)</f>
        <v>0</v>
      </c>
      <c r="BF20" s="440" t="e">
        <f ca="1">IF(AND(NOT(ISBLANK(Jumpoverwrite12)),AND(NOT(BE20),AND(BE$4:BE19))),($J20*$G20-LN(1+Jumpoverwrite12*BG$2))/$G20,_xll.qlInterpolationInterpolate(BE$3,$F20,TRUE))</f>
        <v>#NAME?</v>
      </c>
      <c r="BG20" s="440" t="str">
        <f ca="1">IF(AND(NOT(BE20),AND(BE$4:BE19)),MIN(EXP((BF20-$J20)*$G20),1),"")</f>
        <v/>
      </c>
      <c r="BI20" s="441" t="b">
        <f t="shared" ca="1" si="3"/>
        <v>0</v>
      </c>
      <c r="BJ20" s="440" t="e">
        <f ca="1">IF(AND(NOT(ISBLANK(jumpoverwrite13)),AND(NOT(BI20),AND(BI$4:BI19))),($J20*$G20-LN(1+jumpoverwrite13*BK$2))/$G20,_xll.qlInterpolationInterpolate(BI$3,$F20,TRUE))</f>
        <v>#NAME?</v>
      </c>
      <c r="BK20" s="440" t="str">
        <f ca="1">IF(AND(NOT(BI20),AND(BI$4:BI19)),MIN(EXP((BJ20-$J20)*$G20),1),"")</f>
        <v/>
      </c>
    </row>
    <row r="21" spans="1:63" x14ac:dyDescent="0.2">
      <c r="A21" s="439" t="e">
        <f ca="1"/>
        <v>#NAME?</v>
      </c>
      <c r="B21" s="438" t="e">
        <f ca="1">_xll.qlRateHelperRate($A21,InterestRatesTrigger)</f>
        <v>#NAME?</v>
      </c>
      <c r="C21" s="437" t="e">
        <f ca="1">_xll.qlRateHelperEarliestDate($A21)</f>
        <v>#NAME?</v>
      </c>
      <c r="D21" s="436" t="e">
        <f ca="1">_xll.qlRateHelperPillarDate($A21)</f>
        <v>#NAME?</v>
      </c>
      <c r="F21" s="446" t="e">
        <f t="shared" ca="1" si="1"/>
        <v>#N/A</v>
      </c>
      <c r="G21" s="445" t="e">
        <f ca="1">_xll.qlDayCounterYearFraction(DayCounter,D20,D21)</f>
        <v>#NAME?</v>
      </c>
      <c r="I21" s="444" t="b">
        <f t="shared" ca="1" si="2"/>
        <v>0</v>
      </c>
      <c r="J21" s="443" t="e">
        <f ca="1"/>
        <v>#NAME?</v>
      </c>
      <c r="K21" s="442" t="e">
        <f t="shared" ca="1" si="0"/>
        <v>#NAME?</v>
      </c>
      <c r="L21" s="447"/>
      <c r="M21" s="441" t="b">
        <f ca="1">IF(AND(NOT(I21),AND(I$4:I20)),TRUE,I21)</f>
        <v>0</v>
      </c>
      <c r="N21" s="440" t="e">
        <f ca="1">IF(AND(NOT(ISBLANK(Jumpoverwrite1)),AND(NOT(M21),AND(M$4:M20))),($J21*$G21-LN(1+Jumpoverwrite1*O$2))/$G21,_xll.qlInterpolationInterpolate(M$3,$F21,TRUE))</f>
        <v>#NAME?</v>
      </c>
      <c r="O21" s="440" t="str">
        <f ca="1">IF(AND(NOT(M21),AND(M$4:M20)),MIN(EXP((N21-$J21)*$G21),1),"")</f>
        <v/>
      </c>
      <c r="P21" s="429"/>
      <c r="Q21" s="441" t="b">
        <f ca="1">IF(AND(NOT(M21),AND(M$4:M20)),TRUE,M21)</f>
        <v>0</v>
      </c>
      <c r="R21" s="440" t="e">
        <f ca="1">IF(AND(NOT(ISBLANK(Jumpoverwrite2)),AND(NOT(Q21),AND(Q$4:Q20))),($J21*$G21-LN(1+Jumpoverwrite2*S$2))/$G21,_xll.qlInterpolationInterpolate(Q$3,$F21,TRUE))</f>
        <v>#NAME?</v>
      </c>
      <c r="S21" s="440" t="str">
        <f ca="1">IF(AND(NOT(Q21),AND(Q$4:Q20)),MIN(EXP((R21-$J21)*$G21),1),"")</f>
        <v/>
      </c>
      <c r="T21" s="429"/>
      <c r="U21" s="441" t="b">
        <f ca="1">IF(AND(NOT(Q21),AND(Q$4:Q20)),TRUE,Q21)</f>
        <v>0</v>
      </c>
      <c r="V21" s="440" t="e">
        <f ca="1">IF(AND(NOT(ISBLANK(Jumpoverwrite3)),AND(NOT(U21),AND(U$4:U20))),($J21*$G21-LN(1+Jumpoverwrite3*W$2))/$G21,_xll.qlInterpolationInterpolate(U$3,$F21,TRUE))</f>
        <v>#NAME?</v>
      </c>
      <c r="W21" s="440" t="str">
        <f ca="1">IF(AND(NOT(U21),AND(U$4:U20)),MIN(EXP((V21-$J21)*$G21),1),"")</f>
        <v/>
      </c>
      <c r="X21" s="429"/>
      <c r="Y21" s="441" t="b">
        <f ca="1">IF(AND(NOT(U21),AND(U$4:U20)),TRUE,U21)</f>
        <v>0</v>
      </c>
      <c r="Z21" s="440" t="e">
        <f ca="1">IF(AND(NOT(ISBLANK(Jumpoverwrite4)),AND(NOT(Y21),AND(Y$4:Y20))),($J21*$G21-LN(1+Jumpoverwrite4*AA$2))/$G21,_xll.qlInterpolationInterpolate(Y$3,$F21,TRUE))</f>
        <v>#NAME?</v>
      </c>
      <c r="AA21" s="440" t="str">
        <f ca="1">IF(AND(NOT(Y21),AND(Y$4:Y20)),MIN(EXP((Z21-$J21)*$G21),1),"")</f>
        <v/>
      </c>
      <c r="AB21" s="429"/>
      <c r="AC21" s="441" t="b">
        <f ca="1">IF(AND(NOT(Y21),AND(Y$4:Y20)),TRUE,Y21)</f>
        <v>0</v>
      </c>
      <c r="AD21" s="440" t="e">
        <f ca="1">IF(AND(NOT(ISBLANK(Jumpoverwrite5)),AND(NOT(AC21),AND(AC$4:AC20))),($J21*$G21-LN(1+Jumpoverwrite5*AE$2))/$G21,_xll.qlInterpolationInterpolate(AC$3,$F21,TRUE))</f>
        <v>#NAME?</v>
      </c>
      <c r="AE21" s="440" t="str">
        <f ca="1">IF(AND(NOT(AC21),AND(AC$4:AC20)),MIN(EXP((AD21-$J21)*$G21),1),"")</f>
        <v/>
      </c>
      <c r="AF21" s="429"/>
      <c r="AG21" s="441" t="b">
        <f ca="1">IF(AND(NOT(AC21),AND(AC$4:AC20)),TRUE,AC21)</f>
        <v>0</v>
      </c>
      <c r="AH21" s="440" t="e">
        <f ca="1">IF(AND(NOT(ISBLANK(Jumpoverwrite6)),AND(NOT(AG21),AND(AG$4:AG20))),($J21*$G21-LN(1+Jumpoverwrite6*AI$2))/$G21,_xll.qlInterpolationInterpolate(AG$3,$F21,TRUE))</f>
        <v>#NAME?</v>
      </c>
      <c r="AI21" s="440" t="str">
        <f ca="1">IF(AND(NOT(AG21),AND(AG$4:AG20)),MIN(EXP((AH21-$J21)*$G21),1),"")</f>
        <v/>
      </c>
      <c r="AJ21" s="429"/>
      <c r="AK21" s="441" t="b">
        <f ca="1">IF(AND(NOT(AG21),AND(AG$4:AG20)),TRUE,AG21)</f>
        <v>0</v>
      </c>
      <c r="AL21" s="440" t="e">
        <f ca="1">IF(AND(NOT(ISBLANK(Jumpoverwrite7)),AND(NOT(AK21),AND(AK$4:AK20))),($J21*$G21-LN(1+Jumpoverwrite7*AM$2))/$G21,_xll.qlInterpolationInterpolate(AK$3,$F21,TRUE))</f>
        <v>#NAME?</v>
      </c>
      <c r="AM21" s="440" t="str">
        <f ca="1">IF(AND(NOT(AK21),AND(AK$4:AK20)),MIN(EXP((AL21-$J21)*$G21),1),"")</f>
        <v/>
      </c>
      <c r="AO21" s="441" t="b">
        <f ca="1">IF(AND(NOT(AK21),AND(AK$4:AK20)),TRUE,AK21)</f>
        <v>0</v>
      </c>
      <c r="AP21" s="440" t="e">
        <f ca="1">IF(AND(NOT(ISBLANK(Jumpoverwrite8)),AND(NOT(AO21),AND(AO$4:AO20))),($J21*$G21-LN(1+Jumpoverwrite8*AQ$2))/$G21,_xll.qlInterpolationInterpolate(AO$3,$F21,TRUE))</f>
        <v>#NAME?</v>
      </c>
      <c r="AQ21" s="440" t="str">
        <f ca="1">IF(AND(NOT(AO21),AND(AO$4:AO20)),MIN(EXP((AP21-$J21)*$G21),1),"")</f>
        <v/>
      </c>
      <c r="AS21" s="441" t="b">
        <f ca="1">IF(AND(NOT(AO21),AND(AO$4:AO20)),TRUE,AO21)</f>
        <v>0</v>
      </c>
      <c r="AT21" s="440" t="e">
        <f ca="1">IF(AND(NOT(ISBLANK(Jumpoverwrite9)),AND(NOT(AS21),AND(AS$4:AS20))),($J21*$G21-LN(1+Jumpoverwrite9*AU$2))/$G21,_xll.qlInterpolationInterpolate(AS$3,$F21,TRUE))</f>
        <v>#NAME?</v>
      </c>
      <c r="AU21" s="440" t="str">
        <f ca="1">IF(AND(NOT(AS21),AND(AS$4:AS20)),MIN(EXP((AT21-$J21)*$G21),1),"")</f>
        <v/>
      </c>
      <c r="AW21" s="441" t="b">
        <f ca="1">IF(AND(NOT(AS21),AND(AS$4:AS20)),TRUE,AS21)</f>
        <v>0</v>
      </c>
      <c r="AX21" s="440" t="e">
        <f ca="1">IF(AND(NOT(ISBLANK(Jumpoverwrite10)),AND(NOT(AW21),AND(AW$4:AW20))),($J21*$G21-LN(1+Jumpoverwrite10*AY$2))/$G21,_xll.qlInterpolationInterpolate(AW$3,$F21,TRUE))</f>
        <v>#NAME?</v>
      </c>
      <c r="AY21" s="440" t="str">
        <f ca="1">IF(AND(NOT(AW21),AND(AW$4:AW20)),MIN(EXP((AX21-$J21)*$G21),1),"")</f>
        <v/>
      </c>
      <c r="BA21" s="441" t="b">
        <f ca="1">IF(AND(NOT(AW21),AND(AW$4:AW20)),TRUE,AW21)</f>
        <v>0</v>
      </c>
      <c r="BB21" s="440" t="e">
        <f ca="1">IF(AND(NOT(ISBLANK(Jumpoverwrite11)),AND(NOT(BA21),AND(BA$4:BA20))),($J21*$G21-LN(1+Jumpoverwrite11*BC$2))/$G21,_xll.qlInterpolationInterpolate(BA$3,$F21,TRUE))</f>
        <v>#NAME?</v>
      </c>
      <c r="BC21" s="440" t="str">
        <f ca="1">IF(AND(NOT(BA21),AND(BA$4:BA20)),MIN(EXP((BB21-$J21)*$G21),1),"")</f>
        <v/>
      </c>
      <c r="BE21" s="441" t="b">
        <f ca="1">IF(AND(NOT(BA21),AND(BA$4:BA20)),TRUE,BA21)</f>
        <v>0</v>
      </c>
      <c r="BF21" s="440" t="e">
        <f ca="1">IF(AND(NOT(ISBLANK(Jumpoverwrite12)),AND(NOT(BE21),AND(BE$4:BE20))),($J21*$G21-LN(1+Jumpoverwrite12*BG$2))/$G21,_xll.qlInterpolationInterpolate(BE$3,$F21,TRUE))</f>
        <v>#NAME?</v>
      </c>
      <c r="BG21" s="440" t="str">
        <f ca="1">IF(AND(NOT(BE21),AND(BE$4:BE20)),MIN(EXP((BF21-$J21)*$G21),1),"")</f>
        <v/>
      </c>
      <c r="BI21" s="441" t="b">
        <f t="shared" ca="1" si="3"/>
        <v>0</v>
      </c>
      <c r="BJ21" s="440" t="e">
        <f ca="1">IF(AND(NOT(ISBLANK(jumpoverwrite13)),AND(NOT(BI21),AND(BI$4:BI20))),($J21*$G21-LN(1+jumpoverwrite13*BK$2))/$G21,_xll.qlInterpolationInterpolate(BI$3,$F21,TRUE))</f>
        <v>#NAME?</v>
      </c>
      <c r="BK21" s="440" t="str">
        <f ca="1">IF(AND(NOT(BI21),AND(BI$4:BI20)),MIN(EXP((BJ21-$J21)*$G21),1),"")</f>
        <v/>
      </c>
    </row>
    <row r="22" spans="1:63" x14ac:dyDescent="0.2">
      <c r="A22" s="439" t="e">
        <f ca="1"/>
        <v>#NAME?</v>
      </c>
      <c r="B22" s="438" t="e">
        <f ca="1">_xll.qlRateHelperRate($A22,InterestRatesTrigger)</f>
        <v>#NAME?</v>
      </c>
      <c r="C22" s="437" t="e">
        <f ca="1">_xll.qlRateHelperEarliestDate($A22)</f>
        <v>#NAME?</v>
      </c>
      <c r="D22" s="436" t="e">
        <f ca="1">_xll.qlRateHelperPillarDate($A22)</f>
        <v>#NAME?</v>
      </c>
      <c r="F22" s="446" t="e">
        <f t="shared" ca="1" si="1"/>
        <v>#N/A</v>
      </c>
      <c r="G22" s="445" t="e">
        <f ca="1">_xll.qlDayCounterYearFraction(DayCounter,D21,D22)</f>
        <v>#NAME?</v>
      </c>
      <c r="I22" s="444" t="b">
        <f t="shared" ca="1" si="2"/>
        <v>0</v>
      </c>
      <c r="J22" s="443" t="e">
        <f ca="1"/>
        <v>#NAME?</v>
      </c>
      <c r="K22" s="442" t="e">
        <f t="shared" ca="1" si="0"/>
        <v>#NAME?</v>
      </c>
      <c r="L22" s="447"/>
      <c r="M22" s="441" t="b">
        <f ca="1">IF(AND(NOT(I22),AND(I$4:I21)),TRUE,I22)</f>
        <v>0</v>
      </c>
      <c r="N22" s="440" t="e">
        <f ca="1">IF(AND(NOT(ISBLANK(Jumpoverwrite1)),AND(NOT(M22),AND(M$4:M21))),($J22*$G22-LN(1+Jumpoverwrite1*O$2))/$G22,_xll.qlInterpolationInterpolate(M$3,$F22,TRUE))</f>
        <v>#NAME?</v>
      </c>
      <c r="O22" s="440" t="str">
        <f ca="1">IF(AND(NOT(M22),AND(M$4:M21)),MIN(EXP((N22-$J22)*$G22),1),"")</f>
        <v/>
      </c>
      <c r="P22" s="429"/>
      <c r="Q22" s="441" t="b">
        <f ca="1">IF(AND(NOT(M22),AND(M$4:M21)),TRUE,M22)</f>
        <v>0</v>
      </c>
      <c r="R22" s="440" t="e">
        <f ca="1">IF(AND(NOT(ISBLANK(Jumpoverwrite2)),AND(NOT(Q22),AND(Q$4:Q21))),($J22*$G22-LN(1+Jumpoverwrite2*S$2))/$G22,_xll.qlInterpolationInterpolate(Q$3,$F22,TRUE))</f>
        <v>#NAME?</v>
      </c>
      <c r="S22" s="440" t="str">
        <f ca="1">IF(AND(NOT(Q22),AND(Q$4:Q21)),MIN(EXP((R22-$J22)*$G22),1),"")</f>
        <v/>
      </c>
      <c r="T22" s="429"/>
      <c r="U22" s="441" t="b">
        <f ca="1">IF(AND(NOT(Q22),AND(Q$4:Q21)),TRUE,Q22)</f>
        <v>0</v>
      </c>
      <c r="V22" s="440" t="e">
        <f ca="1">IF(AND(NOT(ISBLANK(Jumpoverwrite3)),AND(NOT(U22),AND(U$4:U21))),($J22*$G22-LN(1+Jumpoverwrite3*W$2))/$G22,_xll.qlInterpolationInterpolate(U$3,$F22,TRUE))</f>
        <v>#NAME?</v>
      </c>
      <c r="W22" s="440" t="str">
        <f ca="1">IF(AND(NOT(U22),AND(U$4:U21)),MIN(EXP((V22-$J22)*$G22),1),"")</f>
        <v/>
      </c>
      <c r="X22" s="429"/>
      <c r="Y22" s="441" t="b">
        <f ca="1">IF(AND(NOT(U22),AND(U$4:U21)),TRUE,U22)</f>
        <v>0</v>
      </c>
      <c r="Z22" s="440" t="e">
        <f ca="1">IF(AND(NOT(ISBLANK(Jumpoverwrite4)),AND(NOT(Y22),AND(Y$4:Y21))),($J22*$G22-LN(1+Jumpoverwrite4*AA$2))/$G22,_xll.qlInterpolationInterpolate(Y$3,$F22,TRUE))</f>
        <v>#NAME?</v>
      </c>
      <c r="AA22" s="440" t="str">
        <f ca="1">IF(AND(NOT(Y22),AND(Y$4:Y21)),MIN(EXP((Z22-$J22)*$G22),1),"")</f>
        <v/>
      </c>
      <c r="AB22" s="429"/>
      <c r="AC22" s="441" t="b">
        <f ca="1">IF(AND(NOT(Y22),AND(Y$4:Y21)),TRUE,Y22)</f>
        <v>0</v>
      </c>
      <c r="AD22" s="440" t="e">
        <f ca="1">IF(AND(NOT(ISBLANK(Jumpoverwrite5)),AND(NOT(AC22),AND(AC$4:AC21))),($J22*$G22-LN(1+Jumpoverwrite5*AE$2))/$G22,_xll.qlInterpolationInterpolate(AC$3,$F22,TRUE))</f>
        <v>#NAME?</v>
      </c>
      <c r="AE22" s="440" t="str">
        <f ca="1">IF(AND(NOT(AC22),AND(AC$4:AC21)),MIN(EXP((AD22-$J22)*$G22),1),"")</f>
        <v/>
      </c>
      <c r="AF22" s="429"/>
      <c r="AG22" s="441" t="b">
        <f ca="1">IF(AND(NOT(AC22),AND(AC$4:AC21)),TRUE,AC22)</f>
        <v>0</v>
      </c>
      <c r="AH22" s="440" t="e">
        <f ca="1">IF(AND(NOT(ISBLANK(Jumpoverwrite6)),AND(NOT(AG22),AND(AG$4:AG21))),($J22*$G22-LN(1+Jumpoverwrite6*AI$2))/$G22,_xll.qlInterpolationInterpolate(AG$3,$F22,TRUE))</f>
        <v>#NAME?</v>
      </c>
      <c r="AI22" s="440" t="str">
        <f ca="1">IF(AND(NOT(AG22),AND(AG$4:AG21)),MIN(EXP((AH22-$J22)*$G22),1),"")</f>
        <v/>
      </c>
      <c r="AJ22" s="429"/>
      <c r="AK22" s="441" t="b">
        <f ca="1">IF(AND(NOT(AG22),AND(AG$4:AG21)),TRUE,AG22)</f>
        <v>0</v>
      </c>
      <c r="AL22" s="440" t="e">
        <f ca="1">IF(AND(NOT(ISBLANK(Jumpoverwrite7)),AND(NOT(AK22),AND(AK$4:AK21))),($J22*$G22-LN(1+Jumpoverwrite7*AM$2))/$G22,_xll.qlInterpolationInterpolate(AK$3,$F22,TRUE))</f>
        <v>#NAME?</v>
      </c>
      <c r="AM22" s="440" t="str">
        <f ca="1">IF(AND(NOT(AK22),AND(AK$4:AK21)),MIN(EXP((AL22-$J22)*$G22),1),"")</f>
        <v/>
      </c>
      <c r="AO22" s="441" t="b">
        <f ca="1">IF(AND(NOT(AK22),AND(AK$4:AK21)),TRUE,AK22)</f>
        <v>0</v>
      </c>
      <c r="AP22" s="440" t="e">
        <f ca="1">IF(AND(NOT(ISBLANK(Jumpoverwrite8)),AND(NOT(AO22),AND(AO$4:AO21))),($J22*$G22-LN(1+Jumpoverwrite8*AQ$2))/$G22,_xll.qlInterpolationInterpolate(AO$3,$F22,TRUE))</f>
        <v>#NAME?</v>
      </c>
      <c r="AQ22" s="440" t="str">
        <f ca="1">IF(AND(NOT(AO22),AND(AO$4:AO21)),MIN(EXP((AP22-$J22)*$G22),1),"")</f>
        <v/>
      </c>
      <c r="AS22" s="441" t="b">
        <f ca="1">IF(AND(NOT(AO22),AND(AO$4:AO21)),TRUE,AO22)</f>
        <v>0</v>
      </c>
      <c r="AT22" s="440" t="e">
        <f ca="1">IF(AND(NOT(ISBLANK(Jumpoverwrite9)),AND(NOT(AS22),AND(AS$4:AS21))),($J22*$G22-LN(1+Jumpoverwrite9*AU$2))/$G22,_xll.qlInterpolationInterpolate(AS$3,$F22,TRUE))</f>
        <v>#NAME?</v>
      </c>
      <c r="AU22" s="440" t="str">
        <f ca="1">IF(AND(NOT(AS22),AND(AS$4:AS21)),MIN(EXP((AT22-$J22)*$G22),1),"")</f>
        <v/>
      </c>
      <c r="AW22" s="441" t="b">
        <f ca="1">IF(AND(NOT(AS22),AND(AS$4:AS21)),TRUE,AS22)</f>
        <v>0</v>
      </c>
      <c r="AX22" s="440" t="e">
        <f ca="1">IF(AND(NOT(ISBLANK(Jumpoverwrite10)),AND(NOT(AW22),AND(AW$4:AW21))),($J22*$G22-LN(1+Jumpoverwrite10*AY$2))/$G22,_xll.qlInterpolationInterpolate(AW$3,$F22,TRUE))</f>
        <v>#NAME?</v>
      </c>
      <c r="AY22" s="440" t="str">
        <f ca="1">IF(AND(NOT(AW22),AND(AW$4:AW21)),MIN(EXP((AX22-$J22)*$G22),1),"")</f>
        <v/>
      </c>
      <c r="BA22" s="441" t="b">
        <f ca="1">IF(AND(NOT(AW22),AND(AW$4:AW21)),TRUE,AW22)</f>
        <v>0</v>
      </c>
      <c r="BB22" s="440" t="e">
        <f ca="1">IF(AND(NOT(ISBLANK(Jumpoverwrite11)),AND(NOT(BA22),AND(BA$4:BA21))),($J22*$G22-LN(1+Jumpoverwrite11*BC$2))/$G22,_xll.qlInterpolationInterpolate(BA$3,$F22,TRUE))</f>
        <v>#NAME?</v>
      </c>
      <c r="BC22" s="440" t="str">
        <f ca="1">IF(AND(NOT(BA22),AND(BA$4:BA21)),MIN(EXP((BB22-$J22)*$G22),1),"")</f>
        <v/>
      </c>
      <c r="BE22" s="441" t="b">
        <f ca="1">IF(AND(NOT(BA22),AND(BA$4:BA21)),TRUE,BA22)</f>
        <v>0</v>
      </c>
      <c r="BF22" s="440" t="e">
        <f ca="1">IF(AND(NOT(ISBLANK(Jumpoverwrite12)),AND(NOT(BE22),AND(BE$4:BE21))),($J22*$G22-LN(1+Jumpoverwrite12*BG$2))/$G22,_xll.qlInterpolationInterpolate(BE$3,$F22,TRUE))</f>
        <v>#NAME?</v>
      </c>
      <c r="BG22" s="440" t="str">
        <f ca="1">IF(AND(NOT(BE22),AND(BE$4:BE21)),MIN(EXP((BF22-$J22)*$G22),1),"")</f>
        <v/>
      </c>
      <c r="BI22" s="441" t="b">
        <f t="shared" ca="1" si="3"/>
        <v>0</v>
      </c>
      <c r="BJ22" s="440" t="e">
        <f ca="1">IF(AND(NOT(ISBLANK(jumpoverwrite13)),AND(NOT(BI22),AND(BI$4:BI21))),($J22*$G22-LN(1+jumpoverwrite13*BK$2))/$G22,_xll.qlInterpolationInterpolate(BI$3,$F22,TRUE))</f>
        <v>#NAME?</v>
      </c>
      <c r="BK22" s="440" t="str">
        <f ca="1">IF(AND(NOT(BI22),AND(BI$4:BI21)),MIN(EXP((BJ22-$J22)*$G22),1),"")</f>
        <v/>
      </c>
    </row>
    <row r="23" spans="1:63" x14ac:dyDescent="0.2">
      <c r="A23" s="439" t="e">
        <f ca="1"/>
        <v>#NAME?</v>
      </c>
      <c r="B23" s="438" t="e">
        <f ca="1">_xll.qlRateHelperRate($A23,InterestRatesTrigger)</f>
        <v>#NAME?</v>
      </c>
      <c r="C23" s="437" t="e">
        <f ca="1">_xll.qlRateHelperEarliestDate($A23)</f>
        <v>#NAME?</v>
      </c>
      <c r="D23" s="436" t="e">
        <f ca="1">_xll.qlRateHelperPillarDate($A23)</f>
        <v>#NAME?</v>
      </c>
      <c r="F23" s="446" t="e">
        <f t="shared" ca="1" si="1"/>
        <v>#N/A</v>
      </c>
      <c r="G23" s="445" t="e">
        <f ca="1">_xll.qlDayCounterYearFraction(DayCounter,D22,D23)</f>
        <v>#NAME?</v>
      </c>
      <c r="I23" s="444" t="b">
        <f t="shared" ca="1" si="2"/>
        <v>0</v>
      </c>
      <c r="J23" s="443" t="e">
        <f ca="1"/>
        <v>#NAME?</v>
      </c>
      <c r="K23" s="442" t="e">
        <f t="shared" ca="1" si="0"/>
        <v>#NAME?</v>
      </c>
      <c r="L23" s="447"/>
      <c r="M23" s="441" t="b">
        <f ca="1">IF(AND(NOT(I23),AND(I$4:I22)),TRUE,I23)</f>
        <v>0</v>
      </c>
      <c r="N23" s="440" t="e">
        <f ca="1">IF(AND(NOT(ISBLANK(Jumpoverwrite1)),AND(NOT(M23),AND(M$4:M22))),($J23*$G23-LN(1+Jumpoverwrite1*O$2))/$G23,_xll.qlInterpolationInterpolate(M$3,$F23,TRUE))</f>
        <v>#NAME?</v>
      </c>
      <c r="O23" s="440" t="str">
        <f ca="1">IF(AND(NOT(M23),AND(M$4:M22)),MIN(EXP((N23-$J23)*$G23),1),"")</f>
        <v/>
      </c>
      <c r="P23" s="429"/>
      <c r="Q23" s="441" t="b">
        <f ca="1">IF(AND(NOT(M23),AND(M$4:M22)),TRUE,M23)</f>
        <v>0</v>
      </c>
      <c r="R23" s="440" t="e">
        <f ca="1">IF(AND(NOT(ISBLANK(Jumpoverwrite2)),AND(NOT(Q23),AND(Q$4:Q22))),($J23*$G23-LN(1+Jumpoverwrite2*S$2))/$G23,_xll.qlInterpolationInterpolate(Q$3,$F23,TRUE))</f>
        <v>#NAME?</v>
      </c>
      <c r="S23" s="440" t="str">
        <f ca="1">IF(AND(NOT(Q23),AND(Q$4:Q22)),MIN(EXP((R23-$J23)*$G23),1),"")</f>
        <v/>
      </c>
      <c r="T23" s="429"/>
      <c r="U23" s="441" t="b">
        <f ca="1">IF(AND(NOT(Q23),AND(Q$4:Q22)),TRUE,Q23)</f>
        <v>0</v>
      </c>
      <c r="V23" s="440" t="e">
        <f ca="1">IF(AND(NOT(ISBLANK(Jumpoverwrite3)),AND(NOT(U23),AND(U$4:U22))),($J23*$G23-LN(1+Jumpoverwrite3*W$2))/$G23,_xll.qlInterpolationInterpolate(U$3,$F23,TRUE))</f>
        <v>#NAME?</v>
      </c>
      <c r="W23" s="440" t="str">
        <f ca="1">IF(AND(NOT(U23),AND(U$4:U22)),MIN(EXP((V23-$J23)*$G23),1),"")</f>
        <v/>
      </c>
      <c r="X23" s="429"/>
      <c r="Y23" s="441" t="b">
        <f ca="1">IF(AND(NOT(U23),AND(U$4:U22)),TRUE,U23)</f>
        <v>0</v>
      </c>
      <c r="Z23" s="440" t="e">
        <f ca="1">IF(AND(NOT(ISBLANK(Jumpoverwrite4)),AND(NOT(Y23),AND(Y$4:Y22))),($J23*$G23-LN(1+Jumpoverwrite4*AA$2))/$G23,_xll.qlInterpolationInterpolate(Y$3,$F23,TRUE))</f>
        <v>#NAME?</v>
      </c>
      <c r="AA23" s="440" t="str">
        <f ca="1">IF(AND(NOT(Y23),AND(Y$4:Y22)),MIN(EXP((Z23-$J23)*$G23),1),"")</f>
        <v/>
      </c>
      <c r="AB23" s="429"/>
      <c r="AC23" s="441" t="b">
        <f ca="1">IF(AND(NOT(Y23),AND(Y$4:Y22)),TRUE,Y23)</f>
        <v>0</v>
      </c>
      <c r="AD23" s="440" t="e">
        <f ca="1">IF(AND(NOT(ISBLANK(Jumpoverwrite5)),AND(NOT(AC23),AND(AC$4:AC22))),($J23*$G23-LN(1+Jumpoverwrite5*AE$2))/$G23,_xll.qlInterpolationInterpolate(AC$3,$F23,TRUE))</f>
        <v>#NAME?</v>
      </c>
      <c r="AE23" s="440" t="str">
        <f ca="1">IF(AND(NOT(AC23),AND(AC$4:AC22)),MIN(EXP((AD23-$J23)*$G23),1),"")</f>
        <v/>
      </c>
      <c r="AF23" s="429"/>
      <c r="AG23" s="441" t="b">
        <f ca="1">IF(AND(NOT(AC23),AND(AC$4:AC22)),TRUE,AC23)</f>
        <v>0</v>
      </c>
      <c r="AH23" s="440" t="e">
        <f ca="1">IF(AND(NOT(ISBLANK(Jumpoverwrite6)),AND(NOT(AG23),AND(AG$4:AG22))),($J23*$G23-LN(1+Jumpoverwrite6*AI$2))/$G23,_xll.qlInterpolationInterpolate(AG$3,$F23,TRUE))</f>
        <v>#NAME?</v>
      </c>
      <c r="AI23" s="440" t="str">
        <f ca="1">IF(AND(NOT(AG23),AND(AG$4:AG22)),MIN(EXP((AH23-$J23)*$G23),1),"")</f>
        <v/>
      </c>
      <c r="AJ23" s="429"/>
      <c r="AK23" s="441" t="b">
        <f ca="1">IF(AND(NOT(AG23),AND(AG$4:AG22)),TRUE,AG23)</f>
        <v>0</v>
      </c>
      <c r="AL23" s="440" t="e">
        <f ca="1">IF(AND(NOT(ISBLANK(Jumpoverwrite7)),AND(NOT(AK23),AND(AK$4:AK22))),($J23*$G23-LN(1+Jumpoverwrite7*AM$2))/$G23,_xll.qlInterpolationInterpolate(AK$3,$F23,TRUE))</f>
        <v>#NAME?</v>
      </c>
      <c r="AM23" s="440" t="str">
        <f ca="1">IF(AND(NOT(AK23),AND(AK$4:AK22)),MIN(EXP((AL23-$J23)*$G23),1),"")</f>
        <v/>
      </c>
      <c r="AO23" s="441" t="b">
        <f ca="1">IF(AND(NOT(AK23),AND(AK$4:AK22)),TRUE,AK23)</f>
        <v>0</v>
      </c>
      <c r="AP23" s="440" t="e">
        <f ca="1">IF(AND(NOT(ISBLANK(Jumpoverwrite8)),AND(NOT(AO23),AND(AO$4:AO22))),($J23*$G23-LN(1+Jumpoverwrite8*AQ$2))/$G23,_xll.qlInterpolationInterpolate(AO$3,$F23,TRUE))</f>
        <v>#NAME?</v>
      </c>
      <c r="AQ23" s="440" t="str">
        <f ca="1">IF(AND(NOT(AO23),AND(AO$4:AO22)),MIN(EXP((AP23-$J23)*$G23),1),"")</f>
        <v/>
      </c>
      <c r="AS23" s="441" t="b">
        <f ca="1">IF(AND(NOT(AO23),AND(AO$4:AO22)),TRUE,AO23)</f>
        <v>0</v>
      </c>
      <c r="AT23" s="440" t="e">
        <f ca="1">IF(AND(NOT(ISBLANK(Jumpoverwrite9)),AND(NOT(AS23),AND(AS$4:AS22))),($J23*$G23-LN(1+Jumpoverwrite9*AU$2))/$G23,_xll.qlInterpolationInterpolate(AS$3,$F23,TRUE))</f>
        <v>#NAME?</v>
      </c>
      <c r="AU23" s="440" t="str">
        <f ca="1">IF(AND(NOT(AS23),AND(AS$4:AS22)),MIN(EXP((AT23-$J23)*$G23),1),"")</f>
        <v/>
      </c>
      <c r="AW23" s="441" t="b">
        <f ca="1">IF(AND(NOT(AS23),AND(AS$4:AS22)),TRUE,AS23)</f>
        <v>0</v>
      </c>
      <c r="AX23" s="440" t="e">
        <f ca="1">IF(AND(NOT(ISBLANK(Jumpoverwrite10)),AND(NOT(AW23),AND(AW$4:AW22))),($J23*$G23-LN(1+Jumpoverwrite10*AY$2))/$G23,_xll.qlInterpolationInterpolate(AW$3,$F23,TRUE))</f>
        <v>#NAME?</v>
      </c>
      <c r="AY23" s="440" t="str">
        <f ca="1">IF(AND(NOT(AW23),AND(AW$4:AW22)),MIN(EXP((AX23-$J23)*$G23),1),"")</f>
        <v/>
      </c>
      <c r="BA23" s="441" t="b">
        <f ca="1">IF(AND(NOT(AW23),AND(AW$4:AW22)),TRUE,AW23)</f>
        <v>0</v>
      </c>
      <c r="BB23" s="440" t="e">
        <f ca="1">IF(AND(NOT(ISBLANK(Jumpoverwrite11)),AND(NOT(BA23),AND(BA$4:BA22))),($J23*$G23-LN(1+Jumpoverwrite11*BC$2))/$G23,_xll.qlInterpolationInterpolate(BA$3,$F23,TRUE))</f>
        <v>#NAME?</v>
      </c>
      <c r="BC23" s="440" t="str">
        <f ca="1">IF(AND(NOT(BA23),AND(BA$4:BA22)),MIN(EXP((BB23-$J23)*$G23),1),"")</f>
        <v/>
      </c>
      <c r="BE23" s="441" t="b">
        <f ca="1">IF(AND(NOT(BA23),AND(BA$4:BA22)),TRUE,BA23)</f>
        <v>0</v>
      </c>
      <c r="BF23" s="440" t="e">
        <f ca="1">IF(AND(NOT(ISBLANK(Jumpoverwrite12)),AND(NOT(BE23),AND(BE$4:BE22))),($J23*$G23-LN(1+Jumpoverwrite12*BG$2))/$G23,_xll.qlInterpolationInterpolate(BE$3,$F23,TRUE))</f>
        <v>#NAME?</v>
      </c>
      <c r="BG23" s="440" t="str">
        <f ca="1">IF(AND(NOT(BE23),AND(BE$4:BE22)),MIN(EXP((BF23-$J23)*$G23),1),"")</f>
        <v/>
      </c>
      <c r="BI23" s="441" t="b">
        <f t="shared" ca="1" si="3"/>
        <v>0</v>
      </c>
      <c r="BJ23" s="440" t="e">
        <f ca="1">IF(AND(NOT(ISBLANK(jumpoverwrite13)),AND(NOT(BI23),AND(BI$4:BI22))),($J23*$G23-LN(1+jumpoverwrite13*BK$2))/$G23,_xll.qlInterpolationInterpolate(BI$3,$F23,TRUE))</f>
        <v>#NAME?</v>
      </c>
      <c r="BK23" s="440" t="str">
        <f ca="1">IF(AND(NOT(BI23),AND(BI$4:BI22)),MIN(EXP((BJ23-$J23)*$G23),1),"")</f>
        <v/>
      </c>
    </row>
    <row r="24" spans="1:63" x14ac:dyDescent="0.2">
      <c r="A24" s="439" t="e">
        <f ca="1"/>
        <v>#NAME?</v>
      </c>
      <c r="B24" s="438" t="e">
        <f ca="1">_xll.qlRateHelperRate($A24,InterestRatesTrigger)</f>
        <v>#NAME?</v>
      </c>
      <c r="C24" s="437" t="e">
        <f ca="1">_xll.qlRateHelperEarliestDate($A24)</f>
        <v>#NAME?</v>
      </c>
      <c r="D24" s="436" t="e">
        <f ca="1">_xll.qlRateHelperPillarDate($A24)</f>
        <v>#NAME?</v>
      </c>
      <c r="F24" s="446" t="e">
        <f t="shared" ca="1" si="1"/>
        <v>#N/A</v>
      </c>
      <c r="G24" s="445" t="e">
        <f ca="1">_xll.qlDayCounterYearFraction(DayCounter,D23,D24)</f>
        <v>#NAME?</v>
      </c>
      <c r="I24" s="444" t="b">
        <f t="shared" ca="1" si="2"/>
        <v>0</v>
      </c>
      <c r="J24" s="443" t="e">
        <f ca="1"/>
        <v>#NAME?</v>
      </c>
      <c r="K24" s="442" t="e">
        <f t="shared" ca="1" si="0"/>
        <v>#NAME?</v>
      </c>
      <c r="L24" s="447"/>
      <c r="M24" s="441" t="b">
        <f ca="1">IF(AND(NOT(I24),AND(I$4:I23)),TRUE,I24)</f>
        <v>0</v>
      </c>
      <c r="N24" s="440" t="e">
        <f ca="1">IF(AND(NOT(ISBLANK(Jumpoverwrite1)),AND(NOT(M24),AND(M$4:M23))),($J24*$G24-LN(1+Jumpoverwrite1*O$2))/$G24,_xll.qlInterpolationInterpolate(M$3,$F24,TRUE))</f>
        <v>#NAME?</v>
      </c>
      <c r="O24" s="440" t="str">
        <f ca="1">IF(AND(NOT(M24),AND(M$4:M23)),MIN(EXP((N24-$J24)*$G24),1),"")</f>
        <v/>
      </c>
      <c r="P24" s="429"/>
      <c r="Q24" s="441" t="b">
        <f ca="1">IF(AND(NOT(M24),AND(M$4:M23)),TRUE,M24)</f>
        <v>0</v>
      </c>
      <c r="R24" s="440" t="e">
        <f ca="1">IF(AND(NOT(ISBLANK(Jumpoverwrite2)),AND(NOT(Q24),AND(Q$4:Q23))),($J24*$G24-LN(1+Jumpoverwrite2*S$2))/$G24,_xll.qlInterpolationInterpolate(Q$3,$F24,TRUE))</f>
        <v>#NAME?</v>
      </c>
      <c r="S24" s="440" t="str">
        <f ca="1">IF(AND(NOT(Q24),AND(Q$4:Q23)),MIN(EXP((R24-$J24)*$G24),1),"")</f>
        <v/>
      </c>
      <c r="T24" s="429"/>
      <c r="U24" s="441" t="b">
        <f ca="1">IF(AND(NOT(Q24),AND(Q$4:Q23)),TRUE,Q24)</f>
        <v>0</v>
      </c>
      <c r="V24" s="440" t="e">
        <f ca="1">IF(AND(NOT(ISBLANK(Jumpoverwrite3)),AND(NOT(U24),AND(U$4:U23))),($J24*$G24-LN(1+Jumpoverwrite3*W$2))/$G24,_xll.qlInterpolationInterpolate(U$3,$F24,TRUE))</f>
        <v>#NAME?</v>
      </c>
      <c r="W24" s="440" t="str">
        <f ca="1">IF(AND(NOT(U24),AND(U$4:U23)),MIN(EXP((V24-$J24)*$G24),1),"")</f>
        <v/>
      </c>
      <c r="X24" s="429"/>
      <c r="Y24" s="441" t="b">
        <f ca="1">IF(AND(NOT(U24),AND(U$4:U23)),TRUE,U24)</f>
        <v>0</v>
      </c>
      <c r="Z24" s="440" t="e">
        <f ca="1">IF(AND(NOT(ISBLANK(Jumpoverwrite4)),AND(NOT(Y24),AND(Y$4:Y23))),($J24*$G24-LN(1+Jumpoverwrite4*AA$2))/$G24,_xll.qlInterpolationInterpolate(Y$3,$F24,TRUE))</f>
        <v>#NAME?</v>
      </c>
      <c r="AA24" s="440" t="str">
        <f ca="1">IF(AND(NOT(Y24),AND(Y$4:Y23)),MIN(EXP((Z24-$J24)*$G24),1),"")</f>
        <v/>
      </c>
      <c r="AB24" s="429"/>
      <c r="AC24" s="441" t="b">
        <f ca="1">IF(AND(NOT(Y24),AND(Y$4:Y23)),TRUE,Y24)</f>
        <v>0</v>
      </c>
      <c r="AD24" s="440" t="e">
        <f ca="1">IF(AND(NOT(ISBLANK(Jumpoverwrite5)),AND(NOT(AC24),AND(AC$4:AC23))),($J24*$G24-LN(1+Jumpoverwrite5*AE$2))/$G24,_xll.qlInterpolationInterpolate(AC$3,$F24,TRUE))</f>
        <v>#NAME?</v>
      </c>
      <c r="AE24" s="440" t="str">
        <f ca="1">IF(AND(NOT(AC24),AND(AC$4:AC23)),MIN(EXP((AD24-$J24)*$G24),1),"")</f>
        <v/>
      </c>
      <c r="AF24" s="429"/>
      <c r="AG24" s="441" t="b">
        <f ca="1">IF(AND(NOT(AC24),AND(AC$4:AC23)),TRUE,AC24)</f>
        <v>0</v>
      </c>
      <c r="AH24" s="440" t="e">
        <f ca="1">IF(AND(NOT(ISBLANK(Jumpoverwrite6)),AND(NOT(AG24),AND(AG$4:AG23))),($J24*$G24-LN(1+Jumpoverwrite6*AI$2))/$G24,_xll.qlInterpolationInterpolate(AG$3,$F24,TRUE))</f>
        <v>#NAME?</v>
      </c>
      <c r="AI24" s="440" t="str">
        <f ca="1">IF(AND(NOT(AG24),AND(AG$4:AG23)),MIN(EXP((AH24-$J24)*$G24),1),"")</f>
        <v/>
      </c>
      <c r="AJ24" s="429"/>
      <c r="AK24" s="441" t="b">
        <f ca="1">IF(AND(NOT(AG24),AND(AG$4:AG23)),TRUE,AG24)</f>
        <v>0</v>
      </c>
      <c r="AL24" s="440" t="e">
        <f ca="1">IF(AND(NOT(ISBLANK(Jumpoverwrite7)),AND(NOT(AK24),AND(AK$4:AK23))),($J24*$G24-LN(1+Jumpoverwrite7*AM$2))/$G24,_xll.qlInterpolationInterpolate(AK$3,$F24,TRUE))</f>
        <v>#NAME?</v>
      </c>
      <c r="AM24" s="440" t="str">
        <f ca="1">IF(AND(NOT(AK24),AND(AK$4:AK23)),MIN(EXP((AL24-$J24)*$G24),1),"")</f>
        <v/>
      </c>
      <c r="AO24" s="441" t="b">
        <f ca="1">IF(AND(NOT(AK24),AND(AK$4:AK23)),TRUE,AK24)</f>
        <v>0</v>
      </c>
      <c r="AP24" s="440" t="e">
        <f ca="1">IF(AND(NOT(ISBLANK(Jumpoverwrite8)),AND(NOT(AO24),AND(AO$4:AO23))),($J24*$G24-LN(1+Jumpoverwrite8*AQ$2))/$G24,_xll.qlInterpolationInterpolate(AO$3,$F24,TRUE))</f>
        <v>#NAME?</v>
      </c>
      <c r="AQ24" s="440" t="str">
        <f ca="1">IF(AND(NOT(AO24),AND(AO$4:AO23)),MIN(EXP((AP24-$J24)*$G24),1),"")</f>
        <v/>
      </c>
      <c r="AS24" s="441" t="b">
        <f ca="1">IF(AND(NOT(AO24),AND(AO$4:AO23)),TRUE,AO24)</f>
        <v>0</v>
      </c>
      <c r="AT24" s="440" t="e">
        <f ca="1">IF(AND(NOT(ISBLANK(Jumpoverwrite9)),AND(NOT(AS24),AND(AS$4:AS23))),($J24*$G24-LN(1+Jumpoverwrite9*AU$2))/$G24,_xll.qlInterpolationInterpolate(AS$3,$F24,TRUE))</f>
        <v>#NAME?</v>
      </c>
      <c r="AU24" s="440" t="str">
        <f ca="1">IF(AND(NOT(AS24),AND(AS$4:AS23)),MIN(EXP((AT24-$J24)*$G24),1),"")</f>
        <v/>
      </c>
      <c r="AW24" s="441" t="b">
        <f ca="1">IF(AND(NOT(AS24),AND(AS$4:AS23)),TRUE,AS24)</f>
        <v>0</v>
      </c>
      <c r="AX24" s="440" t="e">
        <f ca="1">IF(AND(NOT(ISBLANK(Jumpoverwrite10)),AND(NOT(AW24),AND(AW$4:AW23))),($J24*$G24-LN(1+Jumpoverwrite10*AY$2))/$G24,_xll.qlInterpolationInterpolate(AW$3,$F24,TRUE))</f>
        <v>#NAME?</v>
      </c>
      <c r="AY24" s="440" t="str">
        <f ca="1">IF(AND(NOT(AW24),AND(AW$4:AW23)),MIN(EXP((AX24-$J24)*$G24),1),"")</f>
        <v/>
      </c>
      <c r="BA24" s="441" t="b">
        <f ca="1">IF(AND(NOT(AW24),AND(AW$4:AW23)),TRUE,AW24)</f>
        <v>0</v>
      </c>
      <c r="BB24" s="440" t="e">
        <f ca="1">IF(AND(NOT(ISBLANK(Jumpoverwrite11)),AND(NOT(BA24),AND(BA$4:BA23))),($J24*$G24-LN(1+Jumpoverwrite11*BC$2))/$G24,_xll.qlInterpolationInterpolate(BA$3,$F24,TRUE))</f>
        <v>#NAME?</v>
      </c>
      <c r="BC24" s="440" t="str">
        <f ca="1">IF(AND(NOT(BA24),AND(BA$4:BA23)),MIN(EXP((BB24-$J24)*$G24),1),"")</f>
        <v/>
      </c>
      <c r="BE24" s="441" t="b">
        <f ca="1">IF(AND(NOT(BA24),AND(BA$4:BA23)),TRUE,BA24)</f>
        <v>0</v>
      </c>
      <c r="BF24" s="440" t="e">
        <f ca="1">IF(AND(NOT(ISBLANK(Jumpoverwrite12)),AND(NOT(BE24),AND(BE$4:BE23))),($J24*$G24-LN(1+Jumpoverwrite12*BG$2))/$G24,_xll.qlInterpolationInterpolate(BE$3,$F24,TRUE))</f>
        <v>#NAME?</v>
      </c>
      <c r="BG24" s="440" t="str">
        <f ca="1">IF(AND(NOT(BE24),AND(BE$4:BE23)),MIN(EXP((BF24-$J24)*$G24),1),"")</f>
        <v/>
      </c>
      <c r="BI24" s="441" t="b">
        <f t="shared" ca="1" si="3"/>
        <v>0</v>
      </c>
      <c r="BJ24" s="440" t="e">
        <f ca="1">IF(AND(NOT(ISBLANK(jumpoverwrite13)),AND(NOT(BI24),AND(BI$4:BI23))),($J24*$G24-LN(1+jumpoverwrite13*BK$2))/$G24,_xll.qlInterpolationInterpolate(BI$3,$F24,TRUE))</f>
        <v>#NAME?</v>
      </c>
      <c r="BK24" s="440" t="str">
        <f ca="1">IF(AND(NOT(BI24),AND(BI$4:BI23)),MIN(EXP((BJ24-$J24)*$G24),1),"")</f>
        <v/>
      </c>
    </row>
    <row r="25" spans="1:63" x14ac:dyDescent="0.2">
      <c r="A25" s="439" t="e">
        <f ca="1"/>
        <v>#NAME?</v>
      </c>
      <c r="B25" s="438" t="e">
        <f ca="1">_xll.qlRateHelperRate($A25,InterestRatesTrigger)</f>
        <v>#NAME?</v>
      </c>
      <c r="C25" s="437" t="e">
        <f ca="1">_xll.qlRateHelperEarliestDate($A25)</f>
        <v>#NAME?</v>
      </c>
      <c r="D25" s="436" t="e">
        <f ca="1">_xll.qlRateHelperPillarDate($A25)</f>
        <v>#NAME?</v>
      </c>
      <c r="F25" s="446" t="e">
        <f t="shared" ca="1" si="1"/>
        <v>#N/A</v>
      </c>
      <c r="G25" s="445" t="e">
        <f ca="1">_xll.qlDayCounterYearFraction(DayCounter,D24,D25)</f>
        <v>#NAME?</v>
      </c>
      <c r="I25" s="444" t="b">
        <f t="shared" ca="1" si="2"/>
        <v>0</v>
      </c>
      <c r="J25" s="443" t="e">
        <f ca="1"/>
        <v>#NAME?</v>
      </c>
      <c r="K25" s="442" t="e">
        <f t="shared" ca="1" si="0"/>
        <v>#NAME?</v>
      </c>
      <c r="L25" s="447"/>
      <c r="M25" s="441" t="b">
        <f ca="1">IF(AND(NOT(I25),AND(I$4:I24)),TRUE,I25)</f>
        <v>0</v>
      </c>
      <c r="N25" s="440" t="e">
        <f ca="1">IF(AND(NOT(ISBLANK(Jumpoverwrite1)),AND(NOT(M25),AND(M$4:M24))),($J25*$G25-LN(1+Jumpoverwrite1*O$2))/$G25,_xll.qlInterpolationInterpolate(M$3,$F25,TRUE))</f>
        <v>#NAME?</v>
      </c>
      <c r="O25" s="440" t="str">
        <f ca="1">IF(AND(NOT(M25),AND(M$4:M24)),MIN(EXP((N25-$J25)*$G25),1),"")</f>
        <v/>
      </c>
      <c r="P25" s="429"/>
      <c r="Q25" s="441" t="b">
        <f ca="1">IF(AND(NOT(M25),AND(M$4:M24)),TRUE,M25)</f>
        <v>0</v>
      </c>
      <c r="R25" s="440" t="e">
        <f ca="1">IF(AND(NOT(ISBLANK(Jumpoverwrite2)),AND(NOT(Q25),AND(Q$4:Q24))),($J25*$G25-LN(1+Jumpoverwrite2*S$2))/$G25,_xll.qlInterpolationInterpolate(Q$3,$F25,TRUE))</f>
        <v>#NAME?</v>
      </c>
      <c r="S25" s="440" t="str">
        <f ca="1">IF(AND(NOT(Q25),AND(Q$4:Q24)),MIN(EXP((R25-$J25)*$G25),1),"")</f>
        <v/>
      </c>
      <c r="T25" s="429"/>
      <c r="U25" s="441" t="b">
        <f ca="1">IF(AND(NOT(Q25),AND(Q$4:Q24)),TRUE,Q25)</f>
        <v>0</v>
      </c>
      <c r="V25" s="440" t="e">
        <f ca="1">IF(AND(NOT(ISBLANK(Jumpoverwrite3)),AND(NOT(U25),AND(U$4:U24))),($J25*$G25-LN(1+Jumpoverwrite3*W$2))/$G25,_xll.qlInterpolationInterpolate(U$3,$F25,TRUE))</f>
        <v>#NAME?</v>
      </c>
      <c r="W25" s="440" t="str">
        <f ca="1">IF(AND(NOT(U25),AND(U$4:U24)),MIN(EXP((V25-$J25)*$G25),1),"")</f>
        <v/>
      </c>
      <c r="X25" s="429"/>
      <c r="Y25" s="441" t="b">
        <f ca="1">IF(AND(NOT(U25),AND(U$4:U24)),TRUE,U25)</f>
        <v>0</v>
      </c>
      <c r="Z25" s="440" t="e">
        <f ca="1">IF(AND(NOT(ISBLANK(Jumpoverwrite4)),AND(NOT(Y25),AND(Y$4:Y24))),($J25*$G25-LN(1+Jumpoverwrite4*AA$2))/$G25,_xll.qlInterpolationInterpolate(Y$3,$F25,TRUE))</f>
        <v>#NAME?</v>
      </c>
      <c r="AA25" s="440" t="str">
        <f ca="1">IF(AND(NOT(Y25),AND(Y$4:Y24)),MIN(EXP((Z25-$J25)*$G25),1),"")</f>
        <v/>
      </c>
      <c r="AB25" s="429"/>
      <c r="AC25" s="441" t="b">
        <f ca="1">IF(AND(NOT(Y25),AND(Y$4:Y24)),TRUE,Y25)</f>
        <v>0</v>
      </c>
      <c r="AD25" s="440" t="e">
        <f ca="1">IF(AND(NOT(ISBLANK(Jumpoverwrite5)),AND(NOT(AC25),AND(AC$4:AC24))),($J25*$G25-LN(1+Jumpoverwrite5*AE$2))/$G25,_xll.qlInterpolationInterpolate(AC$3,$F25,TRUE))</f>
        <v>#NAME?</v>
      </c>
      <c r="AE25" s="440" t="str">
        <f ca="1">IF(AND(NOT(AC25),AND(AC$4:AC24)),MIN(EXP((AD25-$J25)*$G25),1),"")</f>
        <v/>
      </c>
      <c r="AF25" s="429"/>
      <c r="AG25" s="441" t="b">
        <f ca="1">IF(AND(NOT(AC25),AND(AC$4:AC24)),TRUE,AC25)</f>
        <v>0</v>
      </c>
      <c r="AH25" s="440" t="e">
        <f ca="1">IF(AND(NOT(ISBLANK(Jumpoverwrite6)),AND(NOT(AG25),AND(AG$4:AG24))),($J25*$G25-LN(1+Jumpoverwrite6*AI$2))/$G25,_xll.qlInterpolationInterpolate(AG$3,$F25,TRUE))</f>
        <v>#NAME?</v>
      </c>
      <c r="AI25" s="440" t="str">
        <f ca="1">IF(AND(NOT(AG25),AND(AG$4:AG24)),MIN(EXP((AH25-$J25)*$G25),1),"")</f>
        <v/>
      </c>
      <c r="AJ25" s="429"/>
      <c r="AK25" s="441" t="b">
        <f ca="1">IF(AND(NOT(AG25),AND(AG$4:AG24)),TRUE,AG25)</f>
        <v>0</v>
      </c>
      <c r="AL25" s="440" t="e">
        <f ca="1">IF(AND(NOT(ISBLANK(Jumpoverwrite7)),AND(NOT(AK25),AND(AK$4:AK24))),($J25*$G25-LN(1+Jumpoverwrite7*AM$2))/$G25,_xll.qlInterpolationInterpolate(AK$3,$F25,TRUE))</f>
        <v>#NAME?</v>
      </c>
      <c r="AM25" s="440" t="str">
        <f ca="1">IF(AND(NOT(AK25),AND(AK$4:AK24)),MIN(EXP((AL25-$J25)*$G25),1),"")</f>
        <v/>
      </c>
      <c r="AO25" s="441" t="b">
        <f ca="1">IF(AND(NOT(AK25),AND(AK$4:AK24)),TRUE,AK25)</f>
        <v>0</v>
      </c>
      <c r="AP25" s="440" t="e">
        <f ca="1">IF(AND(NOT(ISBLANK(Jumpoverwrite8)),AND(NOT(AO25),AND(AO$4:AO24))),($J25*$G25-LN(1+Jumpoverwrite8*AQ$2))/$G25,_xll.qlInterpolationInterpolate(AO$3,$F25,TRUE))</f>
        <v>#NAME?</v>
      </c>
      <c r="AQ25" s="440" t="str">
        <f ca="1">IF(AND(NOT(AO25),AND(AO$4:AO24)),MIN(EXP((AP25-$J25)*$G25),1),"")</f>
        <v/>
      </c>
      <c r="AS25" s="441" t="b">
        <f ca="1">IF(AND(NOT(AO25),AND(AO$4:AO24)),TRUE,AO25)</f>
        <v>0</v>
      </c>
      <c r="AT25" s="440" t="e">
        <f ca="1">IF(AND(NOT(ISBLANK(Jumpoverwrite9)),AND(NOT(AS25),AND(AS$4:AS24))),($J25*$G25-LN(1+Jumpoverwrite9*AU$2))/$G25,_xll.qlInterpolationInterpolate(AS$3,$F25,TRUE))</f>
        <v>#NAME?</v>
      </c>
      <c r="AU25" s="440" t="str">
        <f ca="1">IF(AND(NOT(AS25),AND(AS$4:AS24)),MIN(EXP((AT25-$J25)*$G25),1),"")</f>
        <v/>
      </c>
      <c r="AW25" s="441" t="b">
        <f ca="1">IF(AND(NOT(AS25),AND(AS$4:AS24)),TRUE,AS25)</f>
        <v>0</v>
      </c>
      <c r="AX25" s="440" t="e">
        <f ca="1">IF(AND(NOT(ISBLANK(Jumpoverwrite10)),AND(NOT(AW25),AND(AW$4:AW24))),($J25*$G25-LN(1+Jumpoverwrite10*AY$2))/$G25,_xll.qlInterpolationInterpolate(AW$3,$F25,TRUE))</f>
        <v>#NAME?</v>
      </c>
      <c r="AY25" s="440" t="str">
        <f ca="1">IF(AND(NOT(AW25),AND(AW$4:AW24)),MIN(EXP((AX25-$J25)*$G25),1),"")</f>
        <v/>
      </c>
      <c r="BA25" s="441" t="b">
        <f ca="1">IF(AND(NOT(AW25),AND(AW$4:AW24)),TRUE,AW25)</f>
        <v>0</v>
      </c>
      <c r="BB25" s="440" t="e">
        <f ca="1">IF(AND(NOT(ISBLANK(Jumpoverwrite11)),AND(NOT(BA25),AND(BA$4:BA24))),($J25*$G25-LN(1+Jumpoverwrite11*BC$2))/$G25,_xll.qlInterpolationInterpolate(BA$3,$F25,TRUE))</f>
        <v>#NAME?</v>
      </c>
      <c r="BC25" s="440" t="str">
        <f ca="1">IF(AND(NOT(BA25),AND(BA$4:BA24)),MIN(EXP((BB25-$J25)*$G25),1),"")</f>
        <v/>
      </c>
      <c r="BE25" s="441" t="b">
        <f ca="1">IF(AND(NOT(BA25),AND(BA$4:BA24)),TRUE,BA25)</f>
        <v>0</v>
      </c>
      <c r="BF25" s="440" t="e">
        <f ca="1">IF(AND(NOT(ISBLANK(Jumpoverwrite12)),AND(NOT(BE25),AND(BE$4:BE24))),($J25*$G25-LN(1+Jumpoverwrite12*BG$2))/$G25,_xll.qlInterpolationInterpolate(BE$3,$F25,TRUE))</f>
        <v>#NAME?</v>
      </c>
      <c r="BG25" s="440" t="str">
        <f ca="1">IF(AND(NOT(BE25),AND(BE$4:BE24)),MIN(EXP((BF25-$J25)*$G25),1),"")</f>
        <v/>
      </c>
      <c r="BI25" s="441" t="b">
        <f t="shared" ca="1" si="3"/>
        <v>0</v>
      </c>
      <c r="BJ25" s="440" t="e">
        <f ca="1">IF(AND(NOT(ISBLANK(jumpoverwrite13)),AND(NOT(BI25),AND(BI$4:BI24))),($J25*$G25-LN(1+jumpoverwrite13*BK$2))/$G25,_xll.qlInterpolationInterpolate(BI$3,$F25,TRUE))</f>
        <v>#NAME?</v>
      </c>
      <c r="BK25" s="440" t="str">
        <f ca="1">IF(AND(NOT(BI25),AND(BI$4:BI24)),MIN(EXP((BJ25-$J25)*$G25),1),"")</f>
        <v/>
      </c>
    </row>
    <row r="26" spans="1:63" x14ac:dyDescent="0.2">
      <c r="A26" s="439" t="e">
        <f ca="1"/>
        <v>#NAME?</v>
      </c>
      <c r="B26" s="438" t="e">
        <f ca="1">_xll.qlRateHelperRate($A26,InterestRatesTrigger)</f>
        <v>#NAME?</v>
      </c>
      <c r="C26" s="437" t="e">
        <f ca="1">_xll.qlRateHelperEarliestDate($A26)</f>
        <v>#NAME?</v>
      </c>
      <c r="D26" s="436" t="e">
        <f ca="1">_xll.qlRateHelperPillarDate($A26)</f>
        <v>#NAME?</v>
      </c>
      <c r="F26" s="446" t="e">
        <f t="shared" ca="1" si="1"/>
        <v>#N/A</v>
      </c>
      <c r="G26" s="445" t="e">
        <f ca="1">_xll.qlDayCounterYearFraction(DayCounter,D25,D26)</f>
        <v>#NAME?</v>
      </c>
      <c r="I26" s="444" t="b">
        <f t="shared" ca="1" si="2"/>
        <v>0</v>
      </c>
      <c r="J26" s="443" t="e">
        <f ca="1"/>
        <v>#NAME?</v>
      </c>
      <c r="K26" s="442" t="e">
        <f t="shared" ca="1" si="0"/>
        <v>#NAME?</v>
      </c>
      <c r="L26" s="447"/>
      <c r="M26" s="441" t="b">
        <f ca="1">IF(AND(NOT(I26),AND(I$4:I25)),TRUE,I26)</f>
        <v>0</v>
      </c>
      <c r="N26" s="440" t="e">
        <f ca="1">IF(AND(NOT(ISBLANK(Jumpoverwrite1)),AND(NOT(M26),AND(M$4:M25))),($J26*$G26-LN(1+Jumpoverwrite1*O$2))/$G26,_xll.qlInterpolationInterpolate(M$3,$F26,TRUE))</f>
        <v>#NAME?</v>
      </c>
      <c r="O26" s="440" t="str">
        <f ca="1">IF(AND(NOT(M26),AND(M$4:M25)),MIN(EXP((N26-$J26)*$G26),1),"")</f>
        <v/>
      </c>
      <c r="P26" s="429"/>
      <c r="Q26" s="441" t="b">
        <f ca="1">IF(AND(NOT(M26),AND(M$4:M25)),TRUE,M26)</f>
        <v>0</v>
      </c>
      <c r="R26" s="440" t="e">
        <f ca="1">IF(AND(NOT(ISBLANK(Jumpoverwrite2)),AND(NOT(Q26),AND(Q$4:Q25))),($J26*$G26-LN(1+Jumpoverwrite2*S$2))/$G26,_xll.qlInterpolationInterpolate(Q$3,$F26,TRUE))</f>
        <v>#NAME?</v>
      </c>
      <c r="S26" s="440" t="str">
        <f ca="1">IF(AND(NOT(Q26),AND(Q$4:Q25)),MIN(EXP((R26-$J26)*$G26),1),"")</f>
        <v/>
      </c>
      <c r="T26" s="429"/>
      <c r="U26" s="441" t="b">
        <f ca="1">IF(AND(NOT(Q26),AND(Q$4:Q25)),TRUE,Q26)</f>
        <v>0</v>
      </c>
      <c r="V26" s="440" t="e">
        <f ca="1">IF(AND(NOT(ISBLANK(Jumpoverwrite3)),AND(NOT(U26),AND(U$4:U25))),($J26*$G26-LN(1+Jumpoverwrite3*W$2))/$G26,_xll.qlInterpolationInterpolate(U$3,$F26,TRUE))</f>
        <v>#NAME?</v>
      </c>
      <c r="W26" s="440" t="str">
        <f ca="1">IF(AND(NOT(U26),AND(U$4:U25)),MIN(EXP((V26-$J26)*$G26),1),"")</f>
        <v/>
      </c>
      <c r="X26" s="429"/>
      <c r="Y26" s="441" t="b">
        <f ca="1">IF(AND(NOT(U26),AND(U$4:U25)),TRUE,U26)</f>
        <v>0</v>
      </c>
      <c r="Z26" s="440" t="e">
        <f ca="1">IF(AND(NOT(ISBLANK(Jumpoverwrite4)),AND(NOT(Y26),AND(Y$4:Y25))),($J26*$G26-LN(1+Jumpoverwrite4*AA$2))/$G26,_xll.qlInterpolationInterpolate(Y$3,$F26,TRUE))</f>
        <v>#NAME?</v>
      </c>
      <c r="AA26" s="440" t="str">
        <f ca="1">IF(AND(NOT(Y26),AND(Y$4:Y25)),MIN(EXP((Z26-$J26)*$G26),1),"")</f>
        <v/>
      </c>
      <c r="AB26" s="429"/>
      <c r="AC26" s="441" t="b">
        <f ca="1">IF(AND(NOT(Y26),AND(Y$4:Y25)),TRUE,Y26)</f>
        <v>0</v>
      </c>
      <c r="AD26" s="440" t="e">
        <f ca="1">IF(AND(NOT(ISBLANK(Jumpoverwrite5)),AND(NOT(AC26),AND(AC$4:AC25))),($J26*$G26-LN(1+Jumpoverwrite5*AE$2))/$G26,_xll.qlInterpolationInterpolate(AC$3,$F26,TRUE))</f>
        <v>#NAME?</v>
      </c>
      <c r="AE26" s="440" t="str">
        <f ca="1">IF(AND(NOT(AC26),AND(AC$4:AC25)),MIN(EXP((AD26-$J26)*$G26),1),"")</f>
        <v/>
      </c>
      <c r="AF26" s="429"/>
      <c r="AG26" s="441" t="b">
        <f ca="1">IF(AND(NOT(AC26),AND(AC$4:AC25)),TRUE,AC26)</f>
        <v>0</v>
      </c>
      <c r="AH26" s="440" t="e">
        <f ca="1">IF(AND(NOT(ISBLANK(Jumpoverwrite6)),AND(NOT(AG26),AND(AG$4:AG25))),($J26*$G26-LN(1+Jumpoverwrite6*AI$2))/$G26,_xll.qlInterpolationInterpolate(AG$3,$F26,TRUE))</f>
        <v>#NAME?</v>
      </c>
      <c r="AI26" s="440" t="str">
        <f ca="1">IF(AND(NOT(AG26),AND(AG$4:AG25)),MIN(EXP((AH26-$J26)*$G26),1),"")</f>
        <v/>
      </c>
      <c r="AJ26" s="429"/>
      <c r="AK26" s="441" t="b">
        <f ca="1">IF(AND(NOT(AG26),AND(AG$4:AG25)),TRUE,AG26)</f>
        <v>0</v>
      </c>
      <c r="AL26" s="440" t="e">
        <f ca="1">IF(AND(NOT(ISBLANK(Jumpoverwrite7)),AND(NOT(AK26),AND(AK$4:AK25))),($J26*$G26-LN(1+Jumpoverwrite7*AM$2))/$G26,_xll.qlInterpolationInterpolate(AK$3,$F26,TRUE))</f>
        <v>#NAME?</v>
      </c>
      <c r="AM26" s="440" t="str">
        <f ca="1">IF(AND(NOT(AK26),AND(AK$4:AK25)),MIN(EXP((AL26-$J26)*$G26),1),"")</f>
        <v/>
      </c>
      <c r="AO26" s="441" t="b">
        <f ca="1">IF(AND(NOT(AK26),AND(AK$4:AK25)),TRUE,AK26)</f>
        <v>0</v>
      </c>
      <c r="AP26" s="440" t="e">
        <f ca="1">IF(AND(NOT(ISBLANK(Jumpoverwrite8)),AND(NOT(AO26),AND(AO$4:AO25))),($J26*$G26-LN(1+Jumpoverwrite8*AQ$2))/$G26,_xll.qlInterpolationInterpolate(AO$3,$F26,TRUE))</f>
        <v>#NAME?</v>
      </c>
      <c r="AQ26" s="440" t="str">
        <f ca="1">IF(AND(NOT(AO26),AND(AO$4:AO25)),MIN(EXP((AP26-$J26)*$G26),1),"")</f>
        <v/>
      </c>
      <c r="AS26" s="441" t="b">
        <f ca="1">IF(AND(NOT(AO26),AND(AO$4:AO25)),TRUE,AO26)</f>
        <v>0</v>
      </c>
      <c r="AT26" s="440" t="e">
        <f ca="1">IF(AND(NOT(ISBLANK(Jumpoverwrite9)),AND(NOT(AS26),AND(AS$4:AS25))),($J26*$G26-LN(1+Jumpoverwrite9*AU$2))/$G26,_xll.qlInterpolationInterpolate(AS$3,$F26,TRUE))</f>
        <v>#NAME?</v>
      </c>
      <c r="AU26" s="440" t="str">
        <f ca="1">IF(AND(NOT(AS26),AND(AS$4:AS25)),MIN(EXP((AT26-$J26)*$G26),1),"")</f>
        <v/>
      </c>
      <c r="AW26" s="441" t="b">
        <f ca="1">IF(AND(NOT(AS26),AND(AS$4:AS25)),TRUE,AS26)</f>
        <v>0</v>
      </c>
      <c r="AX26" s="440" t="e">
        <f ca="1">IF(AND(NOT(ISBLANK(Jumpoverwrite10)),AND(NOT(AW26),AND(AW$4:AW25))),($J26*$G26-LN(1+Jumpoverwrite10*AY$2))/$G26,_xll.qlInterpolationInterpolate(AW$3,$F26,TRUE))</f>
        <v>#NAME?</v>
      </c>
      <c r="AY26" s="440" t="str">
        <f ca="1">IF(AND(NOT(AW26),AND(AW$4:AW25)),MIN(EXP((AX26-$J26)*$G26),1),"")</f>
        <v/>
      </c>
      <c r="BA26" s="441" t="b">
        <f ca="1">IF(AND(NOT(AW26),AND(AW$4:AW25)),TRUE,AW26)</f>
        <v>0</v>
      </c>
      <c r="BB26" s="440" t="e">
        <f ca="1">IF(AND(NOT(ISBLANK(Jumpoverwrite11)),AND(NOT(BA26),AND(BA$4:BA25))),($J26*$G26-LN(1+Jumpoverwrite11*BC$2))/$G26,_xll.qlInterpolationInterpolate(BA$3,$F26,TRUE))</f>
        <v>#NAME?</v>
      </c>
      <c r="BC26" s="440" t="str">
        <f ca="1">IF(AND(NOT(BA26),AND(BA$4:BA25)),MIN(EXP((BB26-$J26)*$G26),1),"")</f>
        <v/>
      </c>
      <c r="BE26" s="441" t="b">
        <f ca="1">IF(AND(NOT(BA26),AND(BA$4:BA25)),TRUE,BA26)</f>
        <v>0</v>
      </c>
      <c r="BF26" s="440" t="e">
        <f ca="1">IF(AND(NOT(ISBLANK(Jumpoverwrite12)),AND(NOT(BE26),AND(BE$4:BE25))),($J26*$G26-LN(1+Jumpoverwrite12*BG$2))/$G26,_xll.qlInterpolationInterpolate(BE$3,$F26,TRUE))</f>
        <v>#NAME?</v>
      </c>
      <c r="BG26" s="440" t="str">
        <f ca="1">IF(AND(NOT(BE26),AND(BE$4:BE25)),MIN(EXP((BF26-$J26)*$G26),1),"")</f>
        <v/>
      </c>
      <c r="BI26" s="441" t="b">
        <f t="shared" ca="1" si="3"/>
        <v>0</v>
      </c>
      <c r="BJ26" s="440" t="e">
        <f ca="1">IF(AND(NOT(ISBLANK(jumpoverwrite13)),AND(NOT(BI26),AND(BI$4:BI25))),($J26*$G26-LN(1+jumpoverwrite13*BK$2))/$G26,_xll.qlInterpolationInterpolate(BI$3,$F26,TRUE))</f>
        <v>#NAME?</v>
      </c>
      <c r="BK26" s="440" t="str">
        <f ca="1">IF(AND(NOT(BI26),AND(BI$4:BI25)),MIN(EXP((BJ26-$J26)*$G26),1),"")</f>
        <v/>
      </c>
    </row>
    <row r="27" spans="1:63" x14ac:dyDescent="0.2">
      <c r="A27" s="439" t="e">
        <f ca="1"/>
        <v>#NAME?</v>
      </c>
      <c r="B27" s="438" t="e">
        <f ca="1">_xll.qlRateHelperRate($A27,InterestRatesTrigger)</f>
        <v>#NAME?</v>
      </c>
      <c r="C27" s="437" t="e">
        <f ca="1">_xll.qlRateHelperEarliestDate($A27)</f>
        <v>#NAME?</v>
      </c>
      <c r="D27" s="436" t="e">
        <f ca="1">_xll.qlRateHelperPillarDate($A27)</f>
        <v>#NAME?</v>
      </c>
      <c r="F27" s="446" t="e">
        <f t="shared" ca="1" si="1"/>
        <v>#N/A</v>
      </c>
      <c r="G27" s="445" t="e">
        <f ca="1">_xll.qlDayCounterYearFraction(DayCounter,D26,D27)</f>
        <v>#NAME?</v>
      </c>
      <c r="I27" s="444" t="b">
        <f t="shared" ca="1" si="2"/>
        <v>0</v>
      </c>
      <c r="J27" s="443" t="e">
        <f ca="1"/>
        <v>#NAME?</v>
      </c>
      <c r="K27" s="442" t="e">
        <f t="shared" ca="1" si="0"/>
        <v>#NAME?</v>
      </c>
      <c r="L27" s="447"/>
      <c r="M27" s="441" t="b">
        <f ca="1">IF(AND(NOT(I27),AND(I$4:I26)),TRUE,I27)</f>
        <v>0</v>
      </c>
      <c r="N27" s="440" t="e">
        <f ca="1">IF(AND(NOT(ISBLANK(Jumpoverwrite1)),AND(NOT(M27),AND(M$4:M26))),($J27*$G27-LN(1+Jumpoverwrite1*O$2))/$G27,_xll.qlInterpolationInterpolate(M$3,$F27,TRUE))</f>
        <v>#NAME?</v>
      </c>
      <c r="O27" s="440" t="str">
        <f ca="1">IF(AND(NOT(M27),AND(M$4:M26)),MIN(EXP((N27-$J27)*$G27),1),"")</f>
        <v/>
      </c>
      <c r="P27" s="429"/>
      <c r="Q27" s="441" t="b">
        <f ca="1">IF(AND(NOT(M27),AND(M$4:M26)),TRUE,M27)</f>
        <v>0</v>
      </c>
      <c r="R27" s="440" t="e">
        <f ca="1">IF(AND(NOT(ISBLANK(Jumpoverwrite2)),AND(NOT(Q27),AND(Q$4:Q26))),($J27*$G27-LN(1+Jumpoverwrite2*S$2))/$G27,_xll.qlInterpolationInterpolate(Q$3,$F27,TRUE))</f>
        <v>#NAME?</v>
      </c>
      <c r="S27" s="440" t="str">
        <f ca="1">IF(AND(NOT(Q27),AND(Q$4:Q26)),MIN(EXP((R27-$J27)*$G27),1),"")</f>
        <v/>
      </c>
      <c r="T27" s="429"/>
      <c r="U27" s="441" t="b">
        <f ca="1">IF(AND(NOT(Q27),AND(Q$4:Q26)),TRUE,Q27)</f>
        <v>0</v>
      </c>
      <c r="V27" s="440" t="e">
        <f ca="1">IF(AND(NOT(ISBLANK(Jumpoverwrite3)),AND(NOT(U27),AND(U$4:U26))),($J27*$G27-LN(1+Jumpoverwrite3*W$2))/$G27,_xll.qlInterpolationInterpolate(U$3,$F27,TRUE))</f>
        <v>#NAME?</v>
      </c>
      <c r="W27" s="440" t="str">
        <f ca="1">IF(AND(NOT(U27),AND(U$4:U26)),MIN(EXP((V27-$J27)*$G27),1),"")</f>
        <v/>
      </c>
      <c r="X27" s="429"/>
      <c r="Y27" s="441" t="b">
        <f ca="1">IF(AND(NOT(U27),AND(U$4:U26)),TRUE,U27)</f>
        <v>0</v>
      </c>
      <c r="Z27" s="440" t="e">
        <f ca="1">IF(AND(NOT(ISBLANK(Jumpoverwrite4)),AND(NOT(Y27),AND(Y$4:Y26))),($J27*$G27-LN(1+Jumpoverwrite4*AA$2))/$G27,_xll.qlInterpolationInterpolate(Y$3,$F27,TRUE))</f>
        <v>#NAME?</v>
      </c>
      <c r="AA27" s="440" t="str">
        <f ca="1">IF(AND(NOT(Y27),AND(Y$4:Y26)),MIN(EXP((Z27-$J27)*$G27),1),"")</f>
        <v/>
      </c>
      <c r="AB27" s="429"/>
      <c r="AC27" s="441" t="b">
        <f ca="1">IF(AND(NOT(Y27),AND(Y$4:Y26)),TRUE,Y27)</f>
        <v>0</v>
      </c>
      <c r="AD27" s="440" t="e">
        <f ca="1">IF(AND(NOT(ISBLANK(Jumpoverwrite5)),AND(NOT(AC27),AND(AC$4:AC26))),($J27*$G27-LN(1+Jumpoverwrite5*AE$2))/$G27,_xll.qlInterpolationInterpolate(AC$3,$F27,TRUE))</f>
        <v>#NAME?</v>
      </c>
      <c r="AE27" s="440" t="str">
        <f ca="1">IF(AND(NOT(AC27),AND(AC$4:AC26)),MIN(EXP((AD27-$J27)*$G27),1),"")</f>
        <v/>
      </c>
      <c r="AF27" s="429"/>
      <c r="AG27" s="441" t="b">
        <f ca="1">IF(AND(NOT(AC27),AND(AC$4:AC26)),TRUE,AC27)</f>
        <v>0</v>
      </c>
      <c r="AH27" s="440" t="e">
        <f ca="1">IF(AND(NOT(ISBLANK(Jumpoverwrite6)),AND(NOT(AG27),AND(AG$4:AG26))),($J27*$G27-LN(1+Jumpoverwrite6*AI$2))/$G27,_xll.qlInterpolationInterpolate(AG$3,$F27,TRUE))</f>
        <v>#NAME?</v>
      </c>
      <c r="AI27" s="440" t="str">
        <f ca="1">IF(AND(NOT(AG27),AND(AG$4:AG26)),MIN(EXP((AH27-$J27)*$G27),1),"")</f>
        <v/>
      </c>
      <c r="AJ27" s="429"/>
      <c r="AK27" s="441" t="b">
        <f ca="1">IF(AND(NOT(AG27),AND(AG$4:AG26)),TRUE,AG27)</f>
        <v>0</v>
      </c>
      <c r="AL27" s="440" t="e">
        <f ca="1">IF(AND(NOT(ISBLANK(Jumpoverwrite7)),AND(NOT(AK27),AND(AK$4:AK26))),($J27*$G27-LN(1+Jumpoverwrite7*AM$2))/$G27,_xll.qlInterpolationInterpolate(AK$3,$F27,TRUE))</f>
        <v>#NAME?</v>
      </c>
      <c r="AM27" s="440" t="str">
        <f ca="1">IF(AND(NOT(AK27),AND(AK$4:AK26)),MIN(EXP((AL27-$J27)*$G27),1),"")</f>
        <v/>
      </c>
      <c r="AO27" s="441" t="b">
        <f ca="1">IF(AND(NOT(AK27),AND(AK$4:AK26)),TRUE,AK27)</f>
        <v>0</v>
      </c>
      <c r="AP27" s="440" t="e">
        <f ca="1">IF(AND(NOT(ISBLANK(Jumpoverwrite8)),AND(NOT(AO27),AND(AO$4:AO26))),($J27*$G27-LN(1+Jumpoverwrite8*AQ$2))/$G27,_xll.qlInterpolationInterpolate(AO$3,$F27,TRUE))</f>
        <v>#NAME?</v>
      </c>
      <c r="AQ27" s="440" t="str">
        <f ca="1">IF(AND(NOT(AO27),AND(AO$4:AO26)),MIN(EXP((AP27-$J27)*$G27),1),"")</f>
        <v/>
      </c>
      <c r="AS27" s="441" t="b">
        <f ca="1">IF(AND(NOT(AO27),AND(AO$4:AO26)),TRUE,AO27)</f>
        <v>0</v>
      </c>
      <c r="AT27" s="440" t="e">
        <f ca="1">IF(AND(NOT(ISBLANK(Jumpoverwrite9)),AND(NOT(AS27),AND(AS$4:AS26))),($J27*$G27-LN(1+Jumpoverwrite9*AU$2))/$G27,_xll.qlInterpolationInterpolate(AS$3,$F27,TRUE))</f>
        <v>#NAME?</v>
      </c>
      <c r="AU27" s="440" t="str">
        <f ca="1">IF(AND(NOT(AS27),AND(AS$4:AS26)),MIN(EXP((AT27-$J27)*$G27),1),"")</f>
        <v/>
      </c>
      <c r="AW27" s="441" t="b">
        <f ca="1">IF(AND(NOT(AS27),AND(AS$4:AS26)),TRUE,AS27)</f>
        <v>0</v>
      </c>
      <c r="AX27" s="440" t="e">
        <f ca="1">IF(AND(NOT(ISBLANK(Jumpoverwrite10)),AND(NOT(AW27),AND(AW$4:AW26))),($J27*$G27-LN(1+Jumpoverwrite10*AY$2))/$G27,_xll.qlInterpolationInterpolate(AW$3,$F27,TRUE))</f>
        <v>#NAME?</v>
      </c>
      <c r="AY27" s="440" t="str">
        <f ca="1">IF(AND(NOT(AW27),AND(AW$4:AW26)),MIN(EXP((AX27-$J27)*$G27),1),"")</f>
        <v/>
      </c>
      <c r="BA27" s="441" t="b">
        <f ca="1">IF(AND(NOT(AW27),AND(AW$4:AW26)),TRUE,AW27)</f>
        <v>0</v>
      </c>
      <c r="BB27" s="440" t="e">
        <f ca="1">IF(AND(NOT(ISBLANK(Jumpoverwrite11)),AND(NOT(BA27),AND(BA$4:BA26))),($J27*$G27-LN(1+Jumpoverwrite11*BC$2))/$G27,_xll.qlInterpolationInterpolate(BA$3,$F27,TRUE))</f>
        <v>#NAME?</v>
      </c>
      <c r="BC27" s="440" t="str">
        <f ca="1">IF(AND(NOT(BA27),AND(BA$4:BA26)),MIN(EXP((BB27-$J27)*$G27),1),"")</f>
        <v/>
      </c>
      <c r="BE27" s="441" t="b">
        <f ca="1">IF(AND(NOT(BA27),AND(BA$4:BA26)),TRUE,BA27)</f>
        <v>0</v>
      </c>
      <c r="BF27" s="440" t="e">
        <f ca="1">IF(AND(NOT(ISBLANK(Jumpoverwrite12)),AND(NOT(BE27),AND(BE$4:BE26))),($J27*$G27-LN(1+Jumpoverwrite12*BG$2))/$G27,_xll.qlInterpolationInterpolate(BE$3,$F27,TRUE))</f>
        <v>#NAME?</v>
      </c>
      <c r="BG27" s="440" t="str">
        <f ca="1">IF(AND(NOT(BE27),AND(BE$4:BE26)),MIN(EXP((BF27-$J27)*$G27),1),"")</f>
        <v/>
      </c>
      <c r="BI27" s="441" t="b">
        <f t="shared" ca="1" si="3"/>
        <v>0</v>
      </c>
      <c r="BJ27" s="440" t="e">
        <f ca="1">IF(AND(NOT(ISBLANK(jumpoverwrite13)),AND(NOT(BI27),AND(BI$4:BI26))),($J27*$G27-LN(1+jumpoverwrite13*BK$2))/$G27,_xll.qlInterpolationInterpolate(BI$3,$F27,TRUE))</f>
        <v>#NAME?</v>
      </c>
      <c r="BK27" s="440" t="str">
        <f ca="1">IF(AND(NOT(BI27),AND(BI$4:BI26)),MIN(EXP((BJ27-$J27)*$G27),1),"")</f>
        <v/>
      </c>
    </row>
    <row r="28" spans="1:63" x14ac:dyDescent="0.2">
      <c r="A28" s="439" t="e">
        <f ca="1"/>
        <v>#NAME?</v>
      </c>
      <c r="B28" s="438" t="e">
        <f ca="1">_xll.qlRateHelperRate($A28,InterestRatesTrigger)</f>
        <v>#NAME?</v>
      </c>
      <c r="C28" s="437" t="e">
        <f ca="1">_xll.qlRateHelperEarliestDate($A28)</f>
        <v>#NAME?</v>
      </c>
      <c r="D28" s="436" t="e">
        <f ca="1">_xll.qlRateHelperPillarDate($A28)</f>
        <v>#NAME?</v>
      </c>
      <c r="F28" s="446" t="e">
        <f t="shared" ca="1" si="1"/>
        <v>#N/A</v>
      </c>
      <c r="G28" s="445" t="e">
        <f ca="1">_xll.qlDayCounterYearFraction(DayCounter,D27,D28)</f>
        <v>#NAME?</v>
      </c>
      <c r="I28" s="444" t="b">
        <f t="shared" ca="1" si="2"/>
        <v>0</v>
      </c>
      <c r="J28" s="443" t="e">
        <f ca="1"/>
        <v>#NAME?</v>
      </c>
      <c r="K28" s="442" t="e">
        <f t="shared" ca="1" si="0"/>
        <v>#NAME?</v>
      </c>
      <c r="L28" s="447"/>
      <c r="M28" s="441" t="b">
        <f ca="1">IF(AND(NOT(I28),AND(I$4:I27)),TRUE,I28)</f>
        <v>0</v>
      </c>
      <c r="N28" s="440" t="e">
        <f ca="1">IF(AND(NOT(ISBLANK(Jumpoverwrite1)),AND(NOT(M28),AND(M$4:M27))),($J28*$G28-LN(1+Jumpoverwrite1*O$2))/$G28,_xll.qlInterpolationInterpolate(M$3,$F28,TRUE))</f>
        <v>#NAME?</v>
      </c>
      <c r="O28" s="440" t="str">
        <f ca="1">IF(AND(NOT(M28),AND(M$4:M27)),MIN(EXP((N28-$J28)*$G28),1),"")</f>
        <v/>
      </c>
      <c r="P28" s="429"/>
      <c r="Q28" s="441" t="b">
        <f ca="1">IF(AND(NOT(M28),AND(M$4:M27)),TRUE,M28)</f>
        <v>0</v>
      </c>
      <c r="R28" s="440" t="e">
        <f ca="1">IF(AND(NOT(ISBLANK(Jumpoverwrite2)),AND(NOT(Q28),AND(Q$4:Q27))),($J28*$G28-LN(1+Jumpoverwrite2*S$2))/$G28,_xll.qlInterpolationInterpolate(Q$3,$F28,TRUE))</f>
        <v>#NAME?</v>
      </c>
      <c r="S28" s="440" t="str">
        <f ca="1">IF(AND(NOT(Q28),AND(Q$4:Q27)),MIN(EXP((R28-$J28)*$G28),1),"")</f>
        <v/>
      </c>
      <c r="T28" s="429"/>
      <c r="U28" s="441" t="b">
        <f ca="1">IF(AND(NOT(Q28),AND(Q$4:Q27)),TRUE,Q28)</f>
        <v>0</v>
      </c>
      <c r="V28" s="440" t="e">
        <f ca="1">IF(AND(NOT(ISBLANK(Jumpoverwrite3)),AND(NOT(U28),AND(U$4:U27))),($J28*$G28-LN(1+Jumpoverwrite3*W$2))/$G28,_xll.qlInterpolationInterpolate(U$3,$F28,TRUE))</f>
        <v>#NAME?</v>
      </c>
      <c r="W28" s="440" t="str">
        <f ca="1">IF(AND(NOT(U28),AND(U$4:U27)),MIN(EXP((V28-$J28)*$G28),1),"")</f>
        <v/>
      </c>
      <c r="X28" s="429"/>
      <c r="Y28" s="441" t="b">
        <f ca="1">IF(AND(NOT(U28),AND(U$4:U27)),TRUE,U28)</f>
        <v>0</v>
      </c>
      <c r="Z28" s="440" t="e">
        <f ca="1">IF(AND(NOT(ISBLANK(Jumpoverwrite4)),AND(NOT(Y28),AND(Y$4:Y27))),($J28*$G28-LN(1+Jumpoverwrite4*AA$2))/$G28,_xll.qlInterpolationInterpolate(Y$3,$F28,TRUE))</f>
        <v>#NAME?</v>
      </c>
      <c r="AA28" s="440" t="str">
        <f ca="1">IF(AND(NOT(Y28),AND(Y$4:Y27)),MIN(EXP((Z28-$J28)*$G28),1),"")</f>
        <v/>
      </c>
      <c r="AB28" s="429"/>
      <c r="AC28" s="441" t="b">
        <f ca="1">IF(AND(NOT(Y28),AND(Y$4:Y27)),TRUE,Y28)</f>
        <v>0</v>
      </c>
      <c r="AD28" s="440" t="e">
        <f ca="1">IF(AND(NOT(ISBLANK(Jumpoverwrite5)),AND(NOT(AC28),AND(AC$4:AC27))),($J28*$G28-LN(1+Jumpoverwrite5*AE$2))/$G28,_xll.qlInterpolationInterpolate(AC$3,$F28,TRUE))</f>
        <v>#NAME?</v>
      </c>
      <c r="AE28" s="440" t="str">
        <f ca="1">IF(AND(NOT(AC28),AND(AC$4:AC27)),MIN(EXP((AD28-$J28)*$G28),1),"")</f>
        <v/>
      </c>
      <c r="AF28" s="429"/>
      <c r="AG28" s="441" t="b">
        <f ca="1">IF(AND(NOT(AC28),AND(AC$4:AC27)),TRUE,AC28)</f>
        <v>0</v>
      </c>
      <c r="AH28" s="440" t="e">
        <f ca="1">IF(AND(NOT(ISBLANK(Jumpoverwrite6)),AND(NOT(AG28),AND(AG$4:AG27))),($J28*$G28-LN(1+Jumpoverwrite6*AI$2))/$G28,_xll.qlInterpolationInterpolate(AG$3,$F28,TRUE))</f>
        <v>#NAME?</v>
      </c>
      <c r="AI28" s="440" t="str">
        <f ca="1">IF(AND(NOT(AG28),AND(AG$4:AG27)),MIN(EXP((AH28-$J28)*$G28),1),"")</f>
        <v/>
      </c>
      <c r="AJ28" s="429"/>
      <c r="AK28" s="441" t="b">
        <f ca="1">IF(AND(NOT(AG28),AND(AG$4:AG27)),TRUE,AG28)</f>
        <v>0</v>
      </c>
      <c r="AL28" s="440" t="e">
        <f ca="1">IF(AND(NOT(ISBLANK(Jumpoverwrite7)),AND(NOT(AK28),AND(AK$4:AK27))),($J28*$G28-LN(1+Jumpoverwrite7*AM$2))/$G28,_xll.qlInterpolationInterpolate(AK$3,$F28,TRUE))</f>
        <v>#NAME?</v>
      </c>
      <c r="AM28" s="440" t="str">
        <f ca="1">IF(AND(NOT(AK28),AND(AK$4:AK27)),MIN(EXP((AL28-$J28)*$G28),1),"")</f>
        <v/>
      </c>
      <c r="AO28" s="441" t="b">
        <f ca="1">IF(AND(NOT(AK28),AND(AK$4:AK27)),TRUE,AK28)</f>
        <v>0</v>
      </c>
      <c r="AP28" s="440" t="e">
        <f ca="1">IF(AND(NOT(ISBLANK(Jumpoverwrite8)),AND(NOT(AO28),AND(AO$4:AO27))),($J28*$G28-LN(1+Jumpoverwrite8*AQ$2))/$G28,_xll.qlInterpolationInterpolate(AO$3,$F28,TRUE))</f>
        <v>#NAME?</v>
      </c>
      <c r="AQ28" s="440" t="str">
        <f ca="1">IF(AND(NOT(AO28),AND(AO$4:AO27)),MIN(EXP((AP28-$J28)*$G28),1),"")</f>
        <v/>
      </c>
      <c r="AS28" s="441" t="b">
        <f ca="1">IF(AND(NOT(AO28),AND(AO$4:AO27)),TRUE,AO28)</f>
        <v>0</v>
      </c>
      <c r="AT28" s="440" t="e">
        <f ca="1">IF(AND(NOT(ISBLANK(Jumpoverwrite9)),AND(NOT(AS28),AND(AS$4:AS27))),($J28*$G28-LN(1+Jumpoverwrite9*AU$2))/$G28,_xll.qlInterpolationInterpolate(AS$3,$F28,TRUE))</f>
        <v>#NAME?</v>
      </c>
      <c r="AU28" s="440" t="str">
        <f ca="1">IF(AND(NOT(AS28),AND(AS$4:AS27)),MIN(EXP((AT28-$J28)*$G28),1),"")</f>
        <v/>
      </c>
      <c r="AW28" s="441" t="b">
        <f ca="1">IF(AND(NOT(AS28),AND(AS$4:AS27)),TRUE,AS28)</f>
        <v>0</v>
      </c>
      <c r="AX28" s="440" t="e">
        <f ca="1">IF(AND(NOT(ISBLANK(Jumpoverwrite10)),AND(NOT(AW28),AND(AW$4:AW27))),($J28*$G28-LN(1+Jumpoverwrite10*AY$2))/$G28,_xll.qlInterpolationInterpolate(AW$3,$F28,TRUE))</f>
        <v>#NAME?</v>
      </c>
      <c r="AY28" s="440" t="str">
        <f ca="1">IF(AND(NOT(AW28),AND(AW$4:AW27)),MIN(EXP((AX28-$J28)*$G28),1),"")</f>
        <v/>
      </c>
      <c r="BA28" s="441" t="b">
        <f ca="1">IF(AND(NOT(AW28),AND(AW$4:AW27)),TRUE,AW28)</f>
        <v>0</v>
      </c>
      <c r="BB28" s="440" t="e">
        <f ca="1">IF(AND(NOT(ISBLANK(Jumpoverwrite11)),AND(NOT(BA28),AND(BA$4:BA27))),($J28*$G28-LN(1+Jumpoverwrite11*BC$2))/$G28,_xll.qlInterpolationInterpolate(BA$3,$F28,TRUE))</f>
        <v>#NAME?</v>
      </c>
      <c r="BC28" s="440" t="str">
        <f ca="1">IF(AND(NOT(BA28),AND(BA$4:BA27)),MIN(EXP((BB28-$J28)*$G28),1),"")</f>
        <v/>
      </c>
      <c r="BE28" s="441" t="b">
        <f ca="1">IF(AND(NOT(BA28),AND(BA$4:BA27)),TRUE,BA28)</f>
        <v>0</v>
      </c>
      <c r="BF28" s="440" t="e">
        <f ca="1">IF(AND(NOT(ISBLANK(Jumpoverwrite12)),AND(NOT(BE28),AND(BE$4:BE27))),($J28*$G28-LN(1+Jumpoverwrite12*BG$2))/$G28,_xll.qlInterpolationInterpolate(BE$3,$F28,TRUE))</f>
        <v>#NAME?</v>
      </c>
      <c r="BG28" s="440" t="str">
        <f ca="1">IF(AND(NOT(BE28),AND(BE$4:BE27)),MIN(EXP((BF28-$J28)*$G28),1),"")</f>
        <v/>
      </c>
      <c r="BI28" s="441" t="b">
        <f t="shared" ca="1" si="3"/>
        <v>0</v>
      </c>
      <c r="BJ28" s="440" t="e">
        <f ca="1">IF(AND(NOT(ISBLANK(jumpoverwrite13)),AND(NOT(BI28),AND(BI$4:BI27))),($J28*$G28-LN(1+jumpoverwrite13*BK$2))/$G28,_xll.qlInterpolationInterpolate(BI$3,$F28,TRUE))</f>
        <v>#NAME?</v>
      </c>
      <c r="BK28" s="440" t="str">
        <f ca="1">IF(AND(NOT(BI28),AND(BI$4:BI27)),MIN(EXP((BJ28-$J28)*$G28),1),"")</f>
        <v/>
      </c>
    </row>
    <row r="29" spans="1:63" x14ac:dyDescent="0.2">
      <c r="A29" s="439" t="e">
        <f ca="1"/>
        <v>#NAME?</v>
      </c>
      <c r="B29" s="438" t="e">
        <f ca="1">_xll.qlRateHelperRate($A29,InterestRatesTrigger)</f>
        <v>#NAME?</v>
      </c>
      <c r="C29" s="437" t="e">
        <f ca="1">_xll.qlRateHelperEarliestDate($A29)</f>
        <v>#NAME?</v>
      </c>
      <c r="D29" s="436" t="e">
        <f ca="1">_xll.qlRateHelperPillarDate($A29)</f>
        <v>#NAME?</v>
      </c>
      <c r="F29" s="446" t="e">
        <f t="shared" ca="1" si="1"/>
        <v>#N/A</v>
      </c>
      <c r="G29" s="445" t="e">
        <f ca="1">_xll.qlDayCounterYearFraction(DayCounter,D28,D29)</f>
        <v>#NAME?</v>
      </c>
      <c r="I29" s="444" t="b">
        <f t="shared" ca="1" si="2"/>
        <v>0</v>
      </c>
      <c r="J29" s="443" t="e">
        <f ca="1"/>
        <v>#NAME?</v>
      </c>
      <c r="K29" s="442" t="e">
        <f t="shared" ca="1" si="0"/>
        <v>#NAME?</v>
      </c>
      <c r="L29" s="447"/>
      <c r="M29" s="441" t="b">
        <f ca="1">IF(AND(NOT(I29),AND(I$4:I28)),TRUE,I29)</f>
        <v>0</v>
      </c>
      <c r="N29" s="440" t="e">
        <f ca="1">IF(AND(NOT(ISBLANK(Jumpoverwrite1)),AND(NOT(M29),AND(M$4:M28))),($J29*$G29-LN(1+Jumpoverwrite1*O$2))/$G29,_xll.qlInterpolationInterpolate(M$3,$F29,TRUE))</f>
        <v>#NAME?</v>
      </c>
      <c r="O29" s="440" t="str">
        <f ca="1">IF(AND(NOT(M29),AND(M$4:M28)),MIN(EXP((N29-$J29)*$G29),1),"")</f>
        <v/>
      </c>
      <c r="P29" s="429"/>
      <c r="Q29" s="441" t="b">
        <f ca="1">IF(AND(NOT(M29),AND(M$4:M28)),TRUE,M29)</f>
        <v>0</v>
      </c>
      <c r="R29" s="440" t="e">
        <f ca="1">IF(AND(NOT(ISBLANK(Jumpoverwrite2)),AND(NOT(Q29),AND(Q$4:Q28))),($J29*$G29-LN(1+Jumpoverwrite2*S$2))/$G29,_xll.qlInterpolationInterpolate(Q$3,$F29,TRUE))</f>
        <v>#NAME?</v>
      </c>
      <c r="S29" s="440" t="str">
        <f ca="1">IF(AND(NOT(Q29),AND(Q$4:Q28)),MIN(EXP((R29-$J29)*$G29),1),"")</f>
        <v/>
      </c>
      <c r="T29" s="429"/>
      <c r="U29" s="441" t="b">
        <f ca="1">IF(AND(NOT(Q29),AND(Q$4:Q28)),TRUE,Q29)</f>
        <v>0</v>
      </c>
      <c r="V29" s="440" t="e">
        <f ca="1">IF(AND(NOT(ISBLANK(Jumpoverwrite3)),AND(NOT(U29),AND(U$4:U28))),($J29*$G29-LN(1+Jumpoverwrite3*W$2))/$G29,_xll.qlInterpolationInterpolate(U$3,$F29,TRUE))</f>
        <v>#NAME?</v>
      </c>
      <c r="W29" s="440" t="str">
        <f ca="1">IF(AND(NOT(U29),AND(U$4:U28)),MIN(EXP((V29-$J29)*$G29),1),"")</f>
        <v/>
      </c>
      <c r="X29" s="429"/>
      <c r="Y29" s="441" t="b">
        <f ca="1">IF(AND(NOT(U29),AND(U$4:U28)),TRUE,U29)</f>
        <v>0</v>
      </c>
      <c r="Z29" s="440" t="e">
        <f ca="1">IF(AND(NOT(ISBLANK(Jumpoverwrite4)),AND(NOT(Y29),AND(Y$4:Y28))),($J29*$G29-LN(1+Jumpoverwrite4*AA$2))/$G29,_xll.qlInterpolationInterpolate(Y$3,$F29,TRUE))</f>
        <v>#NAME?</v>
      </c>
      <c r="AA29" s="440" t="str">
        <f ca="1">IF(AND(NOT(Y29),AND(Y$4:Y28)),MIN(EXP((Z29-$J29)*$G29),1),"")</f>
        <v/>
      </c>
      <c r="AB29" s="429"/>
      <c r="AC29" s="441" t="b">
        <f ca="1">IF(AND(NOT(Y29),AND(Y$4:Y28)),TRUE,Y29)</f>
        <v>0</v>
      </c>
      <c r="AD29" s="440" t="e">
        <f ca="1">IF(AND(NOT(ISBLANK(Jumpoverwrite5)),AND(NOT(AC29),AND(AC$4:AC28))),($J29*$G29-LN(1+Jumpoverwrite5*AE$2))/$G29,_xll.qlInterpolationInterpolate(AC$3,$F29,TRUE))</f>
        <v>#NAME?</v>
      </c>
      <c r="AE29" s="440" t="str">
        <f ca="1">IF(AND(NOT(AC29),AND(AC$4:AC28)),MIN(EXP((AD29-$J29)*$G29),1),"")</f>
        <v/>
      </c>
      <c r="AF29" s="429"/>
      <c r="AG29" s="441" t="b">
        <f ca="1">IF(AND(NOT(AC29),AND(AC$4:AC28)),TRUE,AC29)</f>
        <v>0</v>
      </c>
      <c r="AH29" s="440" t="e">
        <f ca="1">IF(AND(NOT(ISBLANK(Jumpoverwrite6)),AND(NOT(AG29),AND(AG$4:AG28))),($J29*$G29-LN(1+Jumpoverwrite6*AI$2))/$G29,_xll.qlInterpolationInterpolate(AG$3,$F29,TRUE))</f>
        <v>#NAME?</v>
      </c>
      <c r="AI29" s="440" t="str">
        <f ca="1">IF(AND(NOT(AG29),AND(AG$4:AG28)),MIN(EXP((AH29-$J29)*$G29),1),"")</f>
        <v/>
      </c>
      <c r="AJ29" s="429"/>
      <c r="AK29" s="441" t="b">
        <f ca="1">IF(AND(NOT(AG29),AND(AG$4:AG28)),TRUE,AG29)</f>
        <v>0</v>
      </c>
      <c r="AL29" s="440" t="e">
        <f ca="1">IF(AND(NOT(ISBLANK(Jumpoverwrite7)),AND(NOT(AK29),AND(AK$4:AK28))),($J29*$G29-LN(1+Jumpoverwrite7*AM$2))/$G29,_xll.qlInterpolationInterpolate(AK$3,$F29,TRUE))</f>
        <v>#NAME?</v>
      </c>
      <c r="AM29" s="440" t="str">
        <f ca="1">IF(AND(NOT(AK29),AND(AK$4:AK28)),MIN(EXP((AL29-$J29)*$G29),1),"")</f>
        <v/>
      </c>
      <c r="AO29" s="441" t="b">
        <f ca="1">IF(AND(NOT(AK29),AND(AK$4:AK28)),TRUE,AK29)</f>
        <v>0</v>
      </c>
      <c r="AP29" s="440" t="e">
        <f ca="1">IF(AND(NOT(ISBLANK(Jumpoverwrite8)),AND(NOT(AO29),AND(AO$4:AO28))),($J29*$G29-LN(1+Jumpoverwrite8*AQ$2))/$G29,_xll.qlInterpolationInterpolate(AO$3,$F29,TRUE))</f>
        <v>#NAME?</v>
      </c>
      <c r="AQ29" s="440" t="str">
        <f ca="1">IF(AND(NOT(AO29),AND(AO$4:AO28)),MIN(EXP((AP29-$J29)*$G29),1),"")</f>
        <v/>
      </c>
      <c r="AS29" s="441" t="b">
        <f ca="1">IF(AND(NOT(AO29),AND(AO$4:AO28)),TRUE,AO29)</f>
        <v>0</v>
      </c>
      <c r="AT29" s="440" t="e">
        <f ca="1">IF(AND(NOT(ISBLANK(Jumpoverwrite9)),AND(NOT(AS29),AND(AS$4:AS28))),($J29*$G29-LN(1+Jumpoverwrite9*AU$2))/$G29,_xll.qlInterpolationInterpolate(AS$3,$F29,TRUE))</f>
        <v>#NAME?</v>
      </c>
      <c r="AU29" s="440" t="str">
        <f ca="1">IF(AND(NOT(AS29),AND(AS$4:AS28)),MIN(EXP((AT29-$J29)*$G29),1),"")</f>
        <v/>
      </c>
      <c r="AW29" s="441" t="b">
        <f ca="1">IF(AND(NOT(AS29),AND(AS$4:AS28)),TRUE,AS29)</f>
        <v>0</v>
      </c>
      <c r="AX29" s="440" t="e">
        <f ca="1">IF(AND(NOT(ISBLANK(Jumpoverwrite10)),AND(NOT(AW29),AND(AW$4:AW28))),($J29*$G29-LN(1+Jumpoverwrite10*AY$2))/$G29,_xll.qlInterpolationInterpolate(AW$3,$F29,TRUE))</f>
        <v>#NAME?</v>
      </c>
      <c r="AY29" s="440" t="str">
        <f ca="1">IF(AND(NOT(AW29),AND(AW$4:AW28)),MIN(EXP((AX29-$J29)*$G29),1),"")</f>
        <v/>
      </c>
      <c r="BA29" s="441" t="b">
        <f ca="1">IF(AND(NOT(AW29),AND(AW$4:AW28)),TRUE,AW29)</f>
        <v>0</v>
      </c>
      <c r="BB29" s="440" t="e">
        <f ca="1">IF(AND(NOT(ISBLANK(Jumpoverwrite11)),AND(NOT(BA29),AND(BA$4:BA28))),($J29*$G29-LN(1+Jumpoverwrite11*BC$2))/$G29,_xll.qlInterpolationInterpolate(BA$3,$F29,TRUE))</f>
        <v>#NAME?</v>
      </c>
      <c r="BC29" s="440" t="str">
        <f ca="1">IF(AND(NOT(BA29),AND(BA$4:BA28)),MIN(EXP((BB29-$J29)*$G29),1),"")</f>
        <v/>
      </c>
      <c r="BE29" s="441" t="b">
        <f ca="1">IF(AND(NOT(BA29),AND(BA$4:BA28)),TRUE,BA29)</f>
        <v>0</v>
      </c>
      <c r="BF29" s="440" t="e">
        <f ca="1">IF(AND(NOT(ISBLANK(Jumpoverwrite12)),AND(NOT(BE29),AND(BE$4:BE28))),($J29*$G29-LN(1+Jumpoverwrite12*BG$2))/$G29,_xll.qlInterpolationInterpolate(BE$3,$F29,TRUE))</f>
        <v>#NAME?</v>
      </c>
      <c r="BG29" s="440" t="str">
        <f ca="1">IF(AND(NOT(BE29),AND(BE$4:BE28)),MIN(EXP((BF29-$J29)*$G29),1),"")</f>
        <v/>
      </c>
      <c r="BI29" s="441" t="b">
        <f t="shared" ca="1" si="3"/>
        <v>0</v>
      </c>
      <c r="BJ29" s="440" t="e">
        <f ca="1">IF(AND(NOT(ISBLANK(jumpoverwrite13)),AND(NOT(BI29),AND(BI$4:BI28))),($J29*$G29-LN(1+jumpoverwrite13*BK$2))/$G29,_xll.qlInterpolationInterpolate(BI$3,$F29,TRUE))</f>
        <v>#NAME?</v>
      </c>
      <c r="BK29" s="440" t="str">
        <f ca="1">IF(AND(NOT(BI29),AND(BI$4:BI28)),MIN(EXP((BJ29-$J29)*$G29),1),"")</f>
        <v/>
      </c>
    </row>
    <row r="30" spans="1:63" x14ac:dyDescent="0.2">
      <c r="A30" s="439" t="e">
        <f ca="1"/>
        <v>#NAME?</v>
      </c>
      <c r="B30" s="438" t="e">
        <f ca="1">_xll.qlRateHelperRate($A30,InterestRatesTrigger)</f>
        <v>#NAME?</v>
      </c>
      <c r="C30" s="437" t="e">
        <f ca="1">_xll.qlRateHelperEarliestDate($A30)</f>
        <v>#NAME?</v>
      </c>
      <c r="D30" s="436" t="e">
        <f ca="1">_xll.qlRateHelperPillarDate($A30)</f>
        <v>#NAME?</v>
      </c>
      <c r="F30" s="446" t="e">
        <f t="shared" ca="1" si="1"/>
        <v>#N/A</v>
      </c>
      <c r="G30" s="445" t="e">
        <f ca="1">_xll.qlDayCounterYearFraction(DayCounter,D29,D30)</f>
        <v>#NAME?</v>
      </c>
      <c r="I30" s="444" t="b">
        <f t="shared" ca="1" si="2"/>
        <v>0</v>
      </c>
      <c r="J30" s="443" t="e">
        <f ca="1"/>
        <v>#NAME?</v>
      </c>
      <c r="K30" s="442" t="e">
        <f t="shared" ca="1" si="0"/>
        <v>#NAME?</v>
      </c>
      <c r="L30" s="447"/>
      <c r="M30" s="441" t="b">
        <f ca="1">IF(AND(NOT(I30),AND(I$4:I29)),TRUE,I30)</f>
        <v>0</v>
      </c>
      <c r="N30" s="440" t="e">
        <f ca="1">IF(AND(NOT(ISBLANK(Jumpoverwrite1)),AND(NOT(M30),AND(M$4:M29))),($J30*$G30-LN(1+Jumpoverwrite1*O$2))/$G30,_xll.qlInterpolationInterpolate(M$3,$F30,TRUE))</f>
        <v>#NAME?</v>
      </c>
      <c r="O30" s="440" t="str">
        <f ca="1">IF(AND(NOT(M30),AND(M$4:M29)),MIN(EXP((N30-$J30)*$G30),1),"")</f>
        <v/>
      </c>
      <c r="P30" s="429"/>
      <c r="Q30" s="441" t="b">
        <f ca="1">IF(AND(NOT(M30),AND(M$4:M29)),TRUE,M30)</f>
        <v>0</v>
      </c>
      <c r="R30" s="440" t="e">
        <f ca="1">IF(AND(NOT(ISBLANK(Jumpoverwrite2)),AND(NOT(Q30),AND(Q$4:Q29))),($J30*$G30-LN(1+Jumpoverwrite2*S$2))/$G30,_xll.qlInterpolationInterpolate(Q$3,$F30,TRUE))</f>
        <v>#NAME?</v>
      </c>
      <c r="S30" s="440" t="str">
        <f ca="1">IF(AND(NOT(Q30),AND(Q$4:Q29)),MIN(EXP((R30-$J30)*$G30),1),"")</f>
        <v/>
      </c>
      <c r="T30" s="429"/>
      <c r="U30" s="441" t="b">
        <f ca="1">IF(AND(NOT(Q30),AND(Q$4:Q29)),TRUE,Q30)</f>
        <v>0</v>
      </c>
      <c r="V30" s="440" t="e">
        <f ca="1">IF(AND(NOT(ISBLANK(Jumpoverwrite3)),AND(NOT(U30),AND(U$4:U29))),($J30*$G30-LN(1+Jumpoverwrite3*W$2))/$G30,_xll.qlInterpolationInterpolate(U$3,$F30,TRUE))</f>
        <v>#NAME?</v>
      </c>
      <c r="W30" s="440" t="str">
        <f ca="1">IF(AND(NOT(U30),AND(U$4:U29)),MIN(EXP((V30-$J30)*$G30),1),"")</f>
        <v/>
      </c>
      <c r="X30" s="429"/>
      <c r="Y30" s="441" t="b">
        <f ca="1">IF(AND(NOT(U30),AND(U$4:U29)),TRUE,U30)</f>
        <v>0</v>
      </c>
      <c r="Z30" s="440" t="e">
        <f ca="1">IF(AND(NOT(ISBLANK(Jumpoverwrite4)),AND(NOT(Y30),AND(Y$4:Y29))),($J30*$G30-LN(1+Jumpoverwrite4*AA$2))/$G30,_xll.qlInterpolationInterpolate(Y$3,$F30,TRUE))</f>
        <v>#NAME?</v>
      </c>
      <c r="AA30" s="440" t="str">
        <f ca="1">IF(AND(NOT(Y30),AND(Y$4:Y29)),MIN(EXP((Z30-$J30)*$G30),1),"")</f>
        <v/>
      </c>
      <c r="AB30" s="429"/>
      <c r="AC30" s="441" t="b">
        <f ca="1">IF(AND(NOT(Y30),AND(Y$4:Y29)),TRUE,Y30)</f>
        <v>0</v>
      </c>
      <c r="AD30" s="440" t="e">
        <f ca="1">IF(AND(NOT(ISBLANK(Jumpoverwrite5)),AND(NOT(AC30),AND(AC$4:AC29))),($J30*$G30-LN(1+Jumpoverwrite5*AE$2))/$G30,_xll.qlInterpolationInterpolate(AC$3,$F30,TRUE))</f>
        <v>#NAME?</v>
      </c>
      <c r="AE30" s="440" t="str">
        <f ca="1">IF(AND(NOT(AC30),AND(AC$4:AC29)),MIN(EXP((AD30-$J30)*$G30),1),"")</f>
        <v/>
      </c>
      <c r="AF30" s="429"/>
      <c r="AG30" s="441" t="b">
        <f ca="1">IF(AND(NOT(AC30),AND(AC$4:AC29)),TRUE,AC30)</f>
        <v>0</v>
      </c>
      <c r="AH30" s="440" t="e">
        <f ca="1">IF(AND(NOT(ISBLANK(Jumpoverwrite6)),AND(NOT(AG30),AND(AG$4:AG29))),($J30*$G30-LN(1+Jumpoverwrite6*AI$2))/$G30,_xll.qlInterpolationInterpolate(AG$3,$F30,TRUE))</f>
        <v>#NAME?</v>
      </c>
      <c r="AI30" s="440" t="str">
        <f ca="1">IF(AND(NOT(AG30),AND(AG$4:AG29)),MIN(EXP((AH30-$J30)*$G30),1),"")</f>
        <v/>
      </c>
      <c r="AJ30" s="429"/>
      <c r="AK30" s="441" t="b">
        <f ca="1">IF(AND(NOT(AG30),AND(AG$4:AG29)),TRUE,AG30)</f>
        <v>0</v>
      </c>
      <c r="AL30" s="440" t="e">
        <f ca="1">IF(AND(NOT(ISBLANK(Jumpoverwrite7)),AND(NOT(AK30),AND(AK$4:AK29))),($J30*$G30-LN(1+Jumpoverwrite7*AM$2))/$G30,_xll.qlInterpolationInterpolate(AK$3,$F30,TRUE))</f>
        <v>#NAME?</v>
      </c>
      <c r="AM30" s="440" t="str">
        <f ca="1">IF(AND(NOT(AK30),AND(AK$4:AK29)),MIN(EXP((AL30-$J30)*$G30),1),"")</f>
        <v/>
      </c>
      <c r="AO30" s="441" t="b">
        <f ca="1">IF(AND(NOT(AK30),AND(AK$4:AK29)),TRUE,AK30)</f>
        <v>0</v>
      </c>
      <c r="AP30" s="440" t="e">
        <f ca="1">IF(AND(NOT(ISBLANK(Jumpoverwrite8)),AND(NOT(AO30),AND(AO$4:AO29))),($J30*$G30-LN(1+Jumpoverwrite8*AQ$2))/$G30,_xll.qlInterpolationInterpolate(AO$3,$F30,TRUE))</f>
        <v>#NAME?</v>
      </c>
      <c r="AQ30" s="440" t="str">
        <f ca="1">IF(AND(NOT(AO30),AND(AO$4:AO29)),MIN(EXP((AP30-$J30)*$G30),1),"")</f>
        <v/>
      </c>
      <c r="AS30" s="441" t="b">
        <f ca="1">IF(AND(NOT(AO30),AND(AO$4:AO29)),TRUE,AO30)</f>
        <v>0</v>
      </c>
      <c r="AT30" s="440" t="e">
        <f ca="1">IF(AND(NOT(ISBLANK(Jumpoverwrite9)),AND(NOT(AS30),AND(AS$4:AS29))),($J30*$G30-LN(1+Jumpoverwrite9*AU$2))/$G30,_xll.qlInterpolationInterpolate(AS$3,$F30,TRUE))</f>
        <v>#NAME?</v>
      </c>
      <c r="AU30" s="440" t="str">
        <f ca="1">IF(AND(NOT(AS30),AND(AS$4:AS29)),MIN(EXP((AT30-$J30)*$G30),1),"")</f>
        <v/>
      </c>
      <c r="AW30" s="441" t="b">
        <f ca="1">IF(AND(NOT(AS30),AND(AS$4:AS29)),TRUE,AS30)</f>
        <v>0</v>
      </c>
      <c r="AX30" s="440" t="e">
        <f ca="1">IF(AND(NOT(ISBLANK(Jumpoverwrite10)),AND(NOT(AW30),AND(AW$4:AW29))),($J30*$G30-LN(1+Jumpoverwrite10*AY$2))/$G30,_xll.qlInterpolationInterpolate(AW$3,$F30,TRUE))</f>
        <v>#NAME?</v>
      </c>
      <c r="AY30" s="440" t="str">
        <f ca="1">IF(AND(NOT(AW30),AND(AW$4:AW29)),MIN(EXP((AX30-$J30)*$G30),1),"")</f>
        <v/>
      </c>
      <c r="BA30" s="441" t="b">
        <f ca="1">IF(AND(NOT(AW30),AND(AW$4:AW29)),TRUE,AW30)</f>
        <v>0</v>
      </c>
      <c r="BB30" s="440" t="e">
        <f ca="1">IF(AND(NOT(ISBLANK(Jumpoverwrite11)),AND(NOT(BA30),AND(BA$4:BA29))),($J30*$G30-LN(1+Jumpoverwrite11*BC$2))/$G30,_xll.qlInterpolationInterpolate(BA$3,$F30,TRUE))</f>
        <v>#NAME?</v>
      </c>
      <c r="BC30" s="440" t="str">
        <f ca="1">IF(AND(NOT(BA30),AND(BA$4:BA29)),MIN(EXP((BB30-$J30)*$G30),1),"")</f>
        <v/>
      </c>
      <c r="BE30" s="441" t="b">
        <f ca="1">IF(AND(NOT(BA30),AND(BA$4:BA29)),TRUE,BA30)</f>
        <v>0</v>
      </c>
      <c r="BF30" s="440" t="e">
        <f ca="1">IF(AND(NOT(ISBLANK(Jumpoverwrite12)),AND(NOT(BE30),AND(BE$4:BE29))),($J30*$G30-LN(1+Jumpoverwrite12*BG$2))/$G30,_xll.qlInterpolationInterpolate(BE$3,$F30,TRUE))</f>
        <v>#NAME?</v>
      </c>
      <c r="BG30" s="440" t="str">
        <f ca="1">IF(AND(NOT(BE30),AND(BE$4:BE29)),MIN(EXP((BF30-$J30)*$G30),1),"")</f>
        <v/>
      </c>
      <c r="BI30" s="441" t="b">
        <f t="shared" ca="1" si="3"/>
        <v>0</v>
      </c>
      <c r="BJ30" s="440" t="e">
        <f ca="1">IF(AND(NOT(ISBLANK(jumpoverwrite13)),AND(NOT(BI30),AND(BI$4:BI29))),($J30*$G30-LN(1+jumpoverwrite13*BK$2))/$G30,_xll.qlInterpolationInterpolate(BI$3,$F30,TRUE))</f>
        <v>#NAME?</v>
      </c>
      <c r="BK30" s="440" t="str">
        <f ca="1">IF(AND(NOT(BI30),AND(BI$4:BI29)),MIN(EXP((BJ30-$J30)*$G30),1),"")</f>
        <v/>
      </c>
    </row>
    <row r="31" spans="1:63" x14ac:dyDescent="0.2">
      <c r="A31" s="439" t="e">
        <f ca="1"/>
        <v>#NAME?</v>
      </c>
      <c r="B31" s="438" t="e">
        <f ca="1">_xll.qlRateHelperRate($A31,InterestRatesTrigger)</f>
        <v>#NAME?</v>
      </c>
      <c r="C31" s="437" t="e">
        <f ca="1">_xll.qlRateHelperEarliestDate($A31)</f>
        <v>#NAME?</v>
      </c>
      <c r="D31" s="436" t="e">
        <f ca="1">_xll.qlRateHelperPillarDate($A31)</f>
        <v>#NAME?</v>
      </c>
      <c r="F31" s="446" t="e">
        <f t="shared" ca="1" si="1"/>
        <v>#N/A</v>
      </c>
      <c r="G31" s="445" t="e">
        <f ca="1">_xll.qlDayCounterYearFraction(DayCounter,D30,D31)</f>
        <v>#NAME?</v>
      </c>
      <c r="I31" s="444" t="b">
        <f t="shared" ca="1" si="2"/>
        <v>0</v>
      </c>
      <c r="J31" s="443" t="e">
        <f ca="1"/>
        <v>#NAME?</v>
      </c>
      <c r="K31" s="442" t="e">
        <f t="shared" ca="1" si="0"/>
        <v>#NAME?</v>
      </c>
      <c r="L31" s="430"/>
      <c r="M31" s="441" t="b">
        <f ca="1">IF(AND(NOT(I31),AND(I$4:I30)),TRUE,I31)</f>
        <v>0</v>
      </c>
      <c r="N31" s="440" t="e">
        <f ca="1">IF(AND(NOT(ISBLANK(Jumpoverwrite1)),AND(NOT(M31),AND(M$4:M30))),($J31*$G31-LN(1+Jumpoverwrite1*O$2))/$G31,_xll.qlInterpolationInterpolate(M$3,$F31,TRUE))</f>
        <v>#NAME?</v>
      </c>
      <c r="O31" s="440" t="str">
        <f ca="1">IF(AND(NOT(M31),AND(M$4:M30)),MIN(EXP((N31-$J31)*$G31),1),"")</f>
        <v/>
      </c>
      <c r="P31" s="429"/>
      <c r="Q31" s="441" t="b">
        <f ca="1">IF(AND(NOT(M31),AND(M$4:M30)),TRUE,M31)</f>
        <v>0</v>
      </c>
      <c r="R31" s="440" t="e">
        <f ca="1">IF(AND(NOT(ISBLANK(Jumpoverwrite2)),AND(NOT(Q31),AND(Q$4:Q30))),($J31*$G31-LN(1+Jumpoverwrite2*S$2))/$G31,_xll.qlInterpolationInterpolate(Q$3,$F31,TRUE))</f>
        <v>#NAME?</v>
      </c>
      <c r="S31" s="440" t="str">
        <f ca="1">IF(AND(NOT(Q31),AND(Q$4:Q30)),MIN(EXP((R31-$J31)*$G31),1),"")</f>
        <v/>
      </c>
      <c r="T31" s="429"/>
      <c r="U31" s="441" t="b">
        <f ca="1">IF(AND(NOT(Q31),AND(Q$4:Q30)),TRUE,Q31)</f>
        <v>0</v>
      </c>
      <c r="V31" s="440" t="e">
        <f ca="1">IF(AND(NOT(ISBLANK(Jumpoverwrite3)),AND(NOT(U31),AND(U$4:U30))),($J31*$G31-LN(1+Jumpoverwrite3*W$2))/$G31,_xll.qlInterpolationInterpolate(U$3,$F31,TRUE))</f>
        <v>#NAME?</v>
      </c>
      <c r="W31" s="440" t="str">
        <f ca="1">IF(AND(NOT(U31),AND(U$4:U30)),MIN(EXP((V31-$J31)*$G31),1),"")</f>
        <v/>
      </c>
      <c r="X31" s="429"/>
      <c r="Y31" s="441" t="b">
        <f ca="1">IF(AND(NOT(U31),AND(U$4:U30)),TRUE,U31)</f>
        <v>0</v>
      </c>
      <c r="Z31" s="440" t="e">
        <f ca="1">IF(AND(NOT(ISBLANK(Jumpoverwrite4)),AND(NOT(Y31),AND(Y$4:Y30))),($J31*$G31-LN(1+Jumpoverwrite4*AA$2))/$G31,_xll.qlInterpolationInterpolate(Y$3,$F31,TRUE))</f>
        <v>#NAME?</v>
      </c>
      <c r="AA31" s="440" t="str">
        <f ca="1">IF(AND(NOT(Y31),AND(Y$4:Y30)),MIN(EXP((Z31-$J31)*$G31),1),"")</f>
        <v/>
      </c>
      <c r="AB31" s="429"/>
      <c r="AC31" s="441" t="b">
        <f ca="1">IF(AND(NOT(Y31),AND(Y$4:Y30)),TRUE,Y31)</f>
        <v>0</v>
      </c>
      <c r="AD31" s="440" t="e">
        <f ca="1">IF(AND(NOT(ISBLANK(Jumpoverwrite5)),AND(NOT(AC31),AND(AC$4:AC30))),($J31*$G31-LN(1+Jumpoverwrite5*AE$2))/$G31,_xll.qlInterpolationInterpolate(AC$3,$F31,TRUE))</f>
        <v>#NAME?</v>
      </c>
      <c r="AE31" s="440" t="str">
        <f ca="1">IF(AND(NOT(AC31),AND(AC$4:AC30)),MIN(EXP((AD31-$J31)*$G31),1),"")</f>
        <v/>
      </c>
      <c r="AF31" s="429"/>
      <c r="AG31" s="441" t="b">
        <f ca="1">IF(AND(NOT(AC31),AND(AC$4:AC30)),TRUE,AC31)</f>
        <v>0</v>
      </c>
      <c r="AH31" s="440" t="e">
        <f ca="1">IF(AND(NOT(ISBLANK(Jumpoverwrite6)),AND(NOT(AG31),AND(AG$4:AG30))),($J31*$G31-LN(1+Jumpoverwrite6*AI$2))/$G31,_xll.qlInterpolationInterpolate(AG$3,$F31,TRUE))</f>
        <v>#NAME?</v>
      </c>
      <c r="AI31" s="440" t="str">
        <f ca="1">IF(AND(NOT(AG31),AND(AG$4:AG30)),MIN(EXP((AH31-$J31)*$G31),1),"")</f>
        <v/>
      </c>
      <c r="AJ31" s="429"/>
      <c r="AK31" s="441" t="b">
        <f ca="1">IF(AND(NOT(AG31),AND(AG$4:AG30)),TRUE,AG31)</f>
        <v>0</v>
      </c>
      <c r="AL31" s="440" t="e">
        <f ca="1">IF(AND(NOT(ISBLANK(Jumpoverwrite7)),AND(NOT(AK31),AND(AK$4:AK30))),($J31*$G31-LN(1+Jumpoverwrite7*AM$2))/$G31,_xll.qlInterpolationInterpolate(AK$3,$F31,TRUE))</f>
        <v>#NAME?</v>
      </c>
      <c r="AM31" s="440" t="str">
        <f ca="1">IF(AND(NOT(AK31),AND(AK$4:AK30)),MIN(EXP((AL31-$J31)*$G31),1),"")</f>
        <v/>
      </c>
      <c r="AO31" s="441" t="b">
        <f ca="1">IF(AND(NOT(AK31),AND(AK$4:AK30)),TRUE,AK31)</f>
        <v>0</v>
      </c>
      <c r="AP31" s="440" t="e">
        <f ca="1">IF(AND(NOT(ISBLANK(Jumpoverwrite8)),AND(NOT(AO31),AND(AO$4:AO30))),($J31*$G31-LN(1+Jumpoverwrite8*AQ$2))/$G31,_xll.qlInterpolationInterpolate(AO$3,$F31,TRUE))</f>
        <v>#NAME?</v>
      </c>
      <c r="AQ31" s="440" t="str">
        <f ca="1">IF(AND(NOT(AO31),AND(AO$4:AO30)),MIN(EXP((AP31-$J31)*$G31),1),"")</f>
        <v/>
      </c>
      <c r="AS31" s="441" t="b">
        <f ca="1">IF(AND(NOT(AO31),AND(AO$4:AO30)),TRUE,AO31)</f>
        <v>0</v>
      </c>
      <c r="AT31" s="440" t="e">
        <f ca="1">IF(AND(NOT(ISBLANK(Jumpoverwrite9)),AND(NOT(AS31),AND(AS$4:AS30))),($J31*$G31-LN(1+Jumpoverwrite9*AU$2))/$G31,_xll.qlInterpolationInterpolate(AS$3,$F31,TRUE))</f>
        <v>#NAME?</v>
      </c>
      <c r="AU31" s="440" t="str">
        <f ca="1">IF(AND(NOT(AS31),AND(AS$4:AS30)),MIN(EXP((AT31-$J31)*$G31),1),"")</f>
        <v/>
      </c>
      <c r="AW31" s="441" t="b">
        <f ca="1">IF(AND(NOT(AS31),AND(AS$4:AS30)),TRUE,AS31)</f>
        <v>0</v>
      </c>
      <c r="AX31" s="440" t="e">
        <f ca="1">IF(AND(NOT(ISBLANK(Jumpoverwrite10)),AND(NOT(AW31),AND(AW$4:AW30))),($J31*$G31-LN(1+Jumpoverwrite10*AY$2))/$G31,_xll.qlInterpolationInterpolate(AW$3,$F31,TRUE))</f>
        <v>#NAME?</v>
      </c>
      <c r="AY31" s="440" t="str">
        <f ca="1">IF(AND(NOT(AW31),AND(AW$4:AW30)),MIN(EXP((AX31-$J31)*$G31),1),"")</f>
        <v/>
      </c>
      <c r="BA31" s="441" t="b">
        <f ca="1">IF(AND(NOT(AW31),AND(AW$4:AW30)),TRUE,AW31)</f>
        <v>0</v>
      </c>
      <c r="BB31" s="440" t="e">
        <f ca="1">IF(AND(NOT(ISBLANK(Jumpoverwrite11)),AND(NOT(BA31),AND(BA$4:BA30))),($J31*$G31-LN(1+Jumpoverwrite11*BC$2))/$G31,_xll.qlInterpolationInterpolate(BA$3,$F31,TRUE))</f>
        <v>#NAME?</v>
      </c>
      <c r="BC31" s="440" t="str">
        <f ca="1">IF(AND(NOT(BA31),AND(BA$4:BA30)),MIN(EXP((BB31-$J31)*$G31),1),"")</f>
        <v/>
      </c>
      <c r="BE31" s="441" t="b">
        <f ca="1">IF(AND(NOT(BA31),AND(BA$4:BA30)),TRUE,BA31)</f>
        <v>0</v>
      </c>
      <c r="BF31" s="440" t="e">
        <f ca="1">IF(AND(NOT(ISBLANK(Jumpoverwrite12)),AND(NOT(BE31),AND(BE$4:BE30))),($J31*$G31-LN(1+Jumpoverwrite12*BG$2))/$G31,_xll.qlInterpolationInterpolate(BE$3,$F31,TRUE))</f>
        <v>#NAME?</v>
      </c>
      <c r="BG31" s="440" t="str">
        <f ca="1">IF(AND(NOT(BE31),AND(BE$4:BE30)),MIN(EXP((BF31-$J31)*$G31),1),"")</f>
        <v/>
      </c>
      <c r="BI31" s="441" t="b">
        <f t="shared" ca="1" si="3"/>
        <v>0</v>
      </c>
      <c r="BJ31" s="440" t="e">
        <f ca="1">IF(AND(NOT(ISBLANK(jumpoverwrite13)),AND(NOT(BI31),AND(BI$4:BI30))),($J31*$G31-LN(1+jumpoverwrite13*BK$2))/$G31,_xll.qlInterpolationInterpolate(BI$3,$F31,TRUE))</f>
        <v>#NAME?</v>
      </c>
      <c r="BK31" s="440" t="str">
        <f ca="1">IF(AND(NOT(BI31),AND(BI$4:BI30)),MIN(EXP((BJ31-$J31)*$G31),1),"")</f>
        <v/>
      </c>
    </row>
    <row r="32" spans="1:63" x14ac:dyDescent="0.2">
      <c r="A32" s="439" t="e">
        <f ca="1"/>
        <v>#NAME?</v>
      </c>
      <c r="B32" s="438" t="e">
        <f ca="1">_xll.qlRateHelperRate($A32,InterestRatesTrigger)</f>
        <v>#NAME?</v>
      </c>
      <c r="C32" s="437" t="e">
        <f ca="1">_xll.qlRateHelperEarliestDate($A32)</f>
        <v>#NAME?</v>
      </c>
      <c r="D32" s="436" t="e">
        <f ca="1">_xll.qlRateHelperPillarDate($A32)</f>
        <v>#NAME?</v>
      </c>
      <c r="F32" s="446" t="e">
        <f t="shared" ca="1" si="1"/>
        <v>#N/A</v>
      </c>
      <c r="G32" s="445" t="e">
        <f ca="1">_xll.qlDayCounterYearFraction(DayCounter,D31,D32)</f>
        <v>#NAME?</v>
      </c>
      <c r="I32" s="444" t="b">
        <f t="shared" ca="1" si="2"/>
        <v>0</v>
      </c>
      <c r="J32" s="443" t="e">
        <f ca="1"/>
        <v>#NAME?</v>
      </c>
      <c r="K32" s="442" t="e">
        <f t="shared" ca="1" si="0"/>
        <v>#NAME?</v>
      </c>
      <c r="L32" s="430"/>
      <c r="M32" s="441" t="b">
        <f ca="1">IF(AND(NOT(I32),AND(I$4:I31)),TRUE,I32)</f>
        <v>0</v>
      </c>
      <c r="N32" s="440" t="e">
        <f ca="1">IF(AND(NOT(ISBLANK(Jumpoverwrite1)),AND(NOT(M32),AND(M$4:M31))),($J32*$G32-LN(1+Jumpoverwrite1*O$2))/$G32,_xll.qlInterpolationInterpolate(M$3,$F32,TRUE))</f>
        <v>#NAME?</v>
      </c>
      <c r="O32" s="440" t="str">
        <f ca="1">IF(AND(NOT(M32),AND(M$4:M31)),MIN(EXP((N32-$J32)*$G32),1),"")</f>
        <v/>
      </c>
      <c r="P32" s="429"/>
      <c r="Q32" s="441" t="b">
        <f ca="1">IF(AND(NOT(M32),AND(M$4:M31)),TRUE,M32)</f>
        <v>0</v>
      </c>
      <c r="R32" s="440" t="e">
        <f ca="1">IF(AND(NOT(ISBLANK(Jumpoverwrite2)),AND(NOT(Q32),AND(Q$4:Q31))),($J32*$G32-LN(1+Jumpoverwrite2*S$2))/$G32,_xll.qlInterpolationInterpolate(Q$3,$F32,TRUE))</f>
        <v>#NAME?</v>
      </c>
      <c r="S32" s="440" t="str">
        <f ca="1">IF(AND(NOT(Q32),AND(Q$4:Q31)),MIN(EXP((R32-$J32)*$G32),1),"")</f>
        <v/>
      </c>
      <c r="T32" s="429"/>
      <c r="U32" s="441" t="b">
        <f ca="1">IF(AND(NOT(Q32),AND(Q$4:Q31)),TRUE,Q32)</f>
        <v>0</v>
      </c>
      <c r="V32" s="440" t="e">
        <f ca="1">IF(AND(NOT(ISBLANK(Jumpoverwrite3)),AND(NOT(U32),AND(U$4:U31))),($J32*$G32-LN(1+Jumpoverwrite3*W$2))/$G32,_xll.qlInterpolationInterpolate(U$3,$F32,TRUE))</f>
        <v>#NAME?</v>
      </c>
      <c r="W32" s="440" t="str">
        <f ca="1">IF(AND(NOT(U32),AND(U$4:U31)),MIN(EXP((V32-$J32)*$G32),1),"")</f>
        <v/>
      </c>
      <c r="X32" s="429"/>
      <c r="Y32" s="441" t="b">
        <f ca="1">IF(AND(NOT(U32),AND(U$4:U31)),TRUE,U32)</f>
        <v>0</v>
      </c>
      <c r="Z32" s="440" t="e">
        <f ca="1">IF(AND(NOT(ISBLANK(Jumpoverwrite4)),AND(NOT(Y32),AND(Y$4:Y31))),($J32*$G32-LN(1+Jumpoverwrite4*AA$2))/$G32,_xll.qlInterpolationInterpolate(Y$3,$F32,TRUE))</f>
        <v>#NAME?</v>
      </c>
      <c r="AA32" s="440" t="str">
        <f ca="1">IF(AND(NOT(Y32),AND(Y$4:Y31)),MIN(EXP((Z32-$J32)*$G32),1),"")</f>
        <v/>
      </c>
      <c r="AB32" s="429"/>
      <c r="AC32" s="441" t="b">
        <f ca="1">IF(AND(NOT(Y32),AND(Y$4:Y31)),TRUE,Y32)</f>
        <v>0</v>
      </c>
      <c r="AD32" s="440" t="e">
        <f ca="1">IF(AND(NOT(ISBLANK(Jumpoverwrite5)),AND(NOT(AC32),AND(AC$4:AC31))),($J32*$G32-LN(1+Jumpoverwrite5*AE$2))/$G32,_xll.qlInterpolationInterpolate(AC$3,$F32,TRUE))</f>
        <v>#NAME?</v>
      </c>
      <c r="AE32" s="440" t="str">
        <f ca="1">IF(AND(NOT(AC32),AND(AC$4:AC31)),MIN(EXP((AD32-$J32)*$G32),1),"")</f>
        <v/>
      </c>
      <c r="AF32" s="429"/>
      <c r="AG32" s="441" t="b">
        <f ca="1">IF(AND(NOT(AC32),AND(AC$4:AC31)),TRUE,AC32)</f>
        <v>0</v>
      </c>
      <c r="AH32" s="440" t="e">
        <f ca="1">IF(AND(NOT(ISBLANK(Jumpoverwrite6)),AND(NOT(AG32),AND(AG$4:AG31))),($J32*$G32-LN(1+Jumpoverwrite6*AI$2))/$G32,_xll.qlInterpolationInterpolate(AG$3,$F32,TRUE))</f>
        <v>#NAME?</v>
      </c>
      <c r="AI32" s="440" t="str">
        <f ca="1">IF(AND(NOT(AG32),AND(AG$4:AG31)),MIN(EXP((AH32-$J32)*$G32),1),"")</f>
        <v/>
      </c>
      <c r="AJ32" s="429"/>
      <c r="AK32" s="441" t="b">
        <f ca="1">IF(AND(NOT(AG32),AND(AG$4:AG31)),TRUE,AG32)</f>
        <v>0</v>
      </c>
      <c r="AL32" s="440" t="e">
        <f ca="1">IF(AND(NOT(ISBLANK(Jumpoverwrite7)),AND(NOT(AK32),AND(AK$4:AK31))),($J32*$G32-LN(1+Jumpoverwrite7*AM$2))/$G32,_xll.qlInterpolationInterpolate(AK$3,$F32,TRUE))</f>
        <v>#NAME?</v>
      </c>
      <c r="AM32" s="440" t="str">
        <f ca="1">IF(AND(NOT(AK32),AND(AK$4:AK31)),MIN(EXP((AL32-$J32)*$G32),1),"")</f>
        <v/>
      </c>
      <c r="AO32" s="441" t="b">
        <f ca="1">IF(AND(NOT(AK32),AND(AK$4:AK31)),TRUE,AK32)</f>
        <v>0</v>
      </c>
      <c r="AP32" s="440" t="e">
        <f ca="1">IF(AND(NOT(ISBLANK(Jumpoverwrite8)),AND(NOT(AO32),AND(AO$4:AO31))),($J32*$G32-LN(1+Jumpoverwrite8*AQ$2))/$G32,_xll.qlInterpolationInterpolate(AO$3,$F32,TRUE))</f>
        <v>#NAME?</v>
      </c>
      <c r="AQ32" s="440" t="str">
        <f ca="1">IF(AND(NOT(AO32),AND(AO$4:AO31)),MIN(EXP((AP32-$J32)*$G32),1),"")</f>
        <v/>
      </c>
      <c r="AS32" s="441" t="b">
        <f ca="1">IF(AND(NOT(AO32),AND(AO$4:AO31)),TRUE,AO32)</f>
        <v>0</v>
      </c>
      <c r="AT32" s="440" t="e">
        <f ca="1">IF(AND(NOT(ISBLANK(Jumpoverwrite9)),AND(NOT(AS32),AND(AS$4:AS31))),($J32*$G32-LN(1+Jumpoverwrite9*AU$2))/$G32,_xll.qlInterpolationInterpolate(AS$3,$F32,TRUE))</f>
        <v>#NAME?</v>
      </c>
      <c r="AU32" s="440" t="str">
        <f ca="1">IF(AND(NOT(AS32),AND(AS$4:AS31)),MIN(EXP((AT32-$J32)*$G32),1),"")</f>
        <v/>
      </c>
      <c r="AW32" s="441" t="b">
        <f ca="1">IF(AND(NOT(AS32),AND(AS$4:AS31)),TRUE,AS32)</f>
        <v>0</v>
      </c>
      <c r="AX32" s="440" t="e">
        <f ca="1">IF(AND(NOT(ISBLANK(Jumpoverwrite10)),AND(NOT(AW32),AND(AW$4:AW31))),($J32*$G32-LN(1+Jumpoverwrite10*AY$2))/$G32,_xll.qlInterpolationInterpolate(AW$3,$F32,TRUE))</f>
        <v>#NAME?</v>
      </c>
      <c r="AY32" s="440" t="str">
        <f ca="1">IF(AND(NOT(AW32),AND(AW$4:AW31)),MIN(EXP((AX32-$J32)*$G32),1),"")</f>
        <v/>
      </c>
      <c r="BA32" s="441" t="b">
        <f ca="1">IF(AND(NOT(AW32),AND(AW$4:AW31)),TRUE,AW32)</f>
        <v>0</v>
      </c>
      <c r="BB32" s="440" t="e">
        <f ca="1">IF(AND(NOT(ISBLANK(Jumpoverwrite11)),AND(NOT(BA32),AND(BA$4:BA31))),($J32*$G32-LN(1+Jumpoverwrite11*BC$2))/$G32,_xll.qlInterpolationInterpolate(BA$3,$F32,TRUE))</f>
        <v>#NAME?</v>
      </c>
      <c r="BC32" s="440" t="str">
        <f ca="1">IF(AND(NOT(BA32),AND(BA$4:BA31)),MIN(EXP((BB32-$J32)*$G32),1),"")</f>
        <v/>
      </c>
      <c r="BE32" s="441" t="b">
        <f ca="1">IF(AND(NOT(BA32),AND(BA$4:BA31)),TRUE,BA32)</f>
        <v>0</v>
      </c>
      <c r="BF32" s="440" t="e">
        <f ca="1">IF(AND(NOT(ISBLANK(Jumpoverwrite12)),AND(NOT(BE32),AND(BE$4:BE31))),($J32*$G32-LN(1+Jumpoverwrite12*BG$2))/$G32,_xll.qlInterpolationInterpolate(BE$3,$F32,TRUE))</f>
        <v>#NAME?</v>
      </c>
      <c r="BG32" s="440" t="str">
        <f ca="1">IF(AND(NOT(BE32),AND(BE$4:BE31)),MIN(EXP((BF32-$J32)*$G32),1),"")</f>
        <v/>
      </c>
      <c r="BI32" s="441" t="b">
        <f t="shared" ca="1" si="3"/>
        <v>0</v>
      </c>
      <c r="BJ32" s="440" t="e">
        <f ca="1">IF(AND(NOT(ISBLANK(jumpoverwrite13)),AND(NOT(BI32),AND(BI$4:BI31))),($J32*$G32-LN(1+jumpoverwrite13*BK$2))/$G32,_xll.qlInterpolationInterpolate(BI$3,$F32,TRUE))</f>
        <v>#NAME?</v>
      </c>
      <c r="BK32" s="440" t="str">
        <f ca="1">IF(AND(NOT(BI32),AND(BI$4:BI31)),MIN(EXP((BJ32-$J32)*$G32),1),"")</f>
        <v/>
      </c>
    </row>
    <row r="33" spans="1:63" x14ac:dyDescent="0.2">
      <c r="A33" s="439" t="e">
        <f ca="1"/>
        <v>#NAME?</v>
      </c>
      <c r="B33" s="438" t="e">
        <f ca="1">_xll.qlRateHelperRate($A33,InterestRatesTrigger)</f>
        <v>#NAME?</v>
      </c>
      <c r="C33" s="437" t="e">
        <f ca="1">_xll.qlRateHelperEarliestDate($A33)</f>
        <v>#NAME?</v>
      </c>
      <c r="D33" s="436" t="e">
        <f ca="1">_xll.qlRateHelperPillarDate($A33)</f>
        <v>#NAME?</v>
      </c>
      <c r="F33" s="446" t="e">
        <f t="shared" ca="1" si="1"/>
        <v>#N/A</v>
      </c>
      <c r="G33" s="445" t="e">
        <f ca="1">_xll.qlDayCounterYearFraction(DayCounter,D32,D33)</f>
        <v>#NAME?</v>
      </c>
      <c r="I33" s="444" t="b">
        <f t="shared" ca="1" si="2"/>
        <v>0</v>
      </c>
      <c r="J33" s="443" t="e">
        <f ca="1"/>
        <v>#NAME?</v>
      </c>
      <c r="K33" s="442" t="e">
        <f t="shared" ca="1" si="0"/>
        <v>#NAME?</v>
      </c>
      <c r="L33" s="430"/>
      <c r="M33" s="441" t="b">
        <f ca="1">IF(AND(NOT(I33),AND(I$4:I32)),TRUE,I33)</f>
        <v>0</v>
      </c>
      <c r="N33" s="440" t="e">
        <f ca="1">IF(AND(NOT(ISBLANK(Jumpoverwrite1)),AND(NOT(M33),AND(M$4:M32))),($J33*$G33-LN(1+Jumpoverwrite1*O$2))/$G33,_xll.qlInterpolationInterpolate(M$3,$F33,TRUE))</f>
        <v>#NAME?</v>
      </c>
      <c r="O33" s="440" t="str">
        <f ca="1">IF(AND(NOT(M33),AND(M$4:M32)),MIN(EXP((N33-$J33)*$G33),1),"")</f>
        <v/>
      </c>
      <c r="P33" s="429"/>
      <c r="Q33" s="441" t="b">
        <f ca="1">IF(AND(NOT(M33),AND(M$4:M32)),TRUE,M33)</f>
        <v>0</v>
      </c>
      <c r="R33" s="440" t="e">
        <f ca="1">IF(AND(NOT(ISBLANK(Jumpoverwrite2)),AND(NOT(Q33),AND(Q$4:Q32))),($J33*$G33-LN(1+Jumpoverwrite2*S$2))/$G33,_xll.qlInterpolationInterpolate(Q$3,$F33,TRUE))</f>
        <v>#NAME?</v>
      </c>
      <c r="S33" s="440" t="str">
        <f ca="1">IF(AND(NOT(Q33),AND(Q$4:Q32)),MIN(EXP((R33-$J33)*$G33),1),"")</f>
        <v/>
      </c>
      <c r="T33" s="429"/>
      <c r="U33" s="441" t="b">
        <f ca="1">IF(AND(NOT(Q33),AND(Q$4:Q32)),TRUE,Q33)</f>
        <v>0</v>
      </c>
      <c r="V33" s="440" t="e">
        <f ca="1">IF(AND(NOT(ISBLANK(Jumpoverwrite3)),AND(NOT(U33),AND(U$4:U32))),($J33*$G33-LN(1+Jumpoverwrite3*W$2))/$G33,_xll.qlInterpolationInterpolate(U$3,$F33,TRUE))</f>
        <v>#NAME?</v>
      </c>
      <c r="W33" s="440" t="str">
        <f ca="1">IF(AND(NOT(U33),AND(U$4:U32)),MIN(EXP((V33-$J33)*$G33),1),"")</f>
        <v/>
      </c>
      <c r="X33" s="429"/>
      <c r="Y33" s="441" t="b">
        <f ca="1">IF(AND(NOT(U33),AND(U$4:U32)),TRUE,U33)</f>
        <v>0</v>
      </c>
      <c r="Z33" s="440" t="e">
        <f ca="1">IF(AND(NOT(ISBLANK(Jumpoverwrite4)),AND(NOT(Y33),AND(Y$4:Y32))),($J33*$G33-LN(1+Jumpoverwrite4*AA$2))/$G33,_xll.qlInterpolationInterpolate(Y$3,$F33,TRUE))</f>
        <v>#NAME?</v>
      </c>
      <c r="AA33" s="440" t="str">
        <f ca="1">IF(AND(NOT(Y33),AND(Y$4:Y32)),MIN(EXP((Z33-$J33)*$G33),1),"")</f>
        <v/>
      </c>
      <c r="AB33" s="429"/>
      <c r="AC33" s="441" t="b">
        <f ca="1">IF(AND(NOT(Y33),AND(Y$4:Y32)),TRUE,Y33)</f>
        <v>0</v>
      </c>
      <c r="AD33" s="440" t="e">
        <f ca="1">IF(AND(NOT(ISBLANK(Jumpoverwrite5)),AND(NOT(AC33),AND(AC$4:AC32))),($J33*$G33-LN(1+Jumpoverwrite5*AE$2))/$G33,_xll.qlInterpolationInterpolate(AC$3,$F33,TRUE))</f>
        <v>#NAME?</v>
      </c>
      <c r="AE33" s="440" t="str">
        <f ca="1">IF(AND(NOT(AC33),AND(AC$4:AC32)),MIN(EXP((AD33-$J33)*$G33),1),"")</f>
        <v/>
      </c>
      <c r="AF33" s="429"/>
      <c r="AG33" s="441" t="b">
        <f ca="1">IF(AND(NOT(AC33),AND(AC$4:AC32)),TRUE,AC33)</f>
        <v>0</v>
      </c>
      <c r="AH33" s="440" t="e">
        <f ca="1">IF(AND(NOT(ISBLANK(Jumpoverwrite6)),AND(NOT(AG33),AND(AG$4:AG32))),($J33*$G33-LN(1+Jumpoverwrite6*AI$2))/$G33,_xll.qlInterpolationInterpolate(AG$3,$F33,TRUE))</f>
        <v>#NAME?</v>
      </c>
      <c r="AI33" s="440" t="str">
        <f ca="1">IF(AND(NOT(AG33),AND(AG$4:AG32)),MIN(EXP((AH33-$J33)*$G33),1),"")</f>
        <v/>
      </c>
      <c r="AJ33" s="429"/>
      <c r="AK33" s="441" t="b">
        <f ca="1">IF(AND(NOT(AG33),AND(AG$4:AG32)),TRUE,AG33)</f>
        <v>0</v>
      </c>
      <c r="AL33" s="440" t="e">
        <f ca="1">IF(AND(NOT(ISBLANK(Jumpoverwrite7)),AND(NOT(AK33),AND(AK$4:AK32))),($J33*$G33-LN(1+Jumpoverwrite7*AM$2))/$G33,_xll.qlInterpolationInterpolate(AK$3,$F33,TRUE))</f>
        <v>#NAME?</v>
      </c>
      <c r="AM33" s="440" t="str">
        <f ca="1">IF(AND(NOT(AK33),AND(AK$4:AK32)),MIN(EXP((AL33-$J33)*$G33),1),"")</f>
        <v/>
      </c>
      <c r="AO33" s="441" t="b">
        <f ca="1">IF(AND(NOT(AK33),AND(AK$4:AK32)),TRUE,AK33)</f>
        <v>0</v>
      </c>
      <c r="AP33" s="440" t="e">
        <f ca="1">IF(AND(NOT(ISBLANK(Jumpoverwrite8)),AND(NOT(AO33),AND(AO$4:AO32))),($J33*$G33-LN(1+Jumpoverwrite8*AQ$2))/$G33,_xll.qlInterpolationInterpolate(AO$3,$F33,TRUE))</f>
        <v>#NAME?</v>
      </c>
      <c r="AQ33" s="440" t="str">
        <f ca="1">IF(AND(NOT(AO33),AND(AO$4:AO32)),MIN(EXP((AP33-$J33)*$G33),1),"")</f>
        <v/>
      </c>
      <c r="AS33" s="441" t="b">
        <f ca="1">IF(AND(NOT(AO33),AND(AO$4:AO32)),TRUE,AO33)</f>
        <v>0</v>
      </c>
      <c r="AT33" s="440" t="e">
        <f ca="1">IF(AND(NOT(ISBLANK(Jumpoverwrite9)),AND(NOT(AS33),AND(AS$4:AS32))),($J33*$G33-LN(1+Jumpoverwrite9*AU$2))/$G33,_xll.qlInterpolationInterpolate(AS$3,$F33,TRUE))</f>
        <v>#NAME?</v>
      </c>
      <c r="AU33" s="440" t="str">
        <f ca="1">IF(AND(NOT(AS33),AND(AS$4:AS32)),MIN(EXP((AT33-$J33)*$G33),1),"")</f>
        <v/>
      </c>
      <c r="AW33" s="441" t="b">
        <f ca="1">IF(AND(NOT(AS33),AND(AS$4:AS32)),TRUE,AS33)</f>
        <v>0</v>
      </c>
      <c r="AX33" s="440" t="e">
        <f ca="1">IF(AND(NOT(ISBLANK(Jumpoverwrite10)),AND(NOT(AW33),AND(AW$4:AW32))),($J33*$G33-LN(1+Jumpoverwrite10*AY$2))/$G33,_xll.qlInterpolationInterpolate(AW$3,$F33,TRUE))</f>
        <v>#NAME?</v>
      </c>
      <c r="AY33" s="440" t="str">
        <f ca="1">IF(AND(NOT(AW33),AND(AW$4:AW32)),MIN(EXP((AX33-$J33)*$G33),1),"")</f>
        <v/>
      </c>
      <c r="BA33" s="441" t="b">
        <f ca="1">IF(AND(NOT(AW33),AND(AW$4:AW32)),TRUE,AW33)</f>
        <v>0</v>
      </c>
      <c r="BB33" s="440" t="e">
        <f ca="1">IF(AND(NOT(ISBLANK(Jumpoverwrite11)),AND(NOT(BA33),AND(BA$4:BA32))),($J33*$G33-LN(1+Jumpoverwrite11*BC$2))/$G33,_xll.qlInterpolationInterpolate(BA$3,$F33,TRUE))</f>
        <v>#NAME?</v>
      </c>
      <c r="BC33" s="440" t="str">
        <f ca="1">IF(AND(NOT(BA33),AND(BA$4:BA32)),MIN(EXP((BB33-$J33)*$G33),1),"")</f>
        <v/>
      </c>
      <c r="BE33" s="441" t="b">
        <f ca="1">IF(AND(NOT(BA33),AND(BA$4:BA32)),TRUE,BA33)</f>
        <v>0</v>
      </c>
      <c r="BF33" s="440" t="e">
        <f ca="1">IF(AND(NOT(ISBLANK(Jumpoverwrite12)),AND(NOT(BE33),AND(BE$4:BE32))),($J33*$G33-LN(1+Jumpoverwrite12*BG$2))/$G33,_xll.qlInterpolationInterpolate(BE$3,$F33,TRUE))</f>
        <v>#NAME?</v>
      </c>
      <c r="BG33" s="440" t="str">
        <f ca="1">IF(AND(NOT(BE33),AND(BE$4:BE32)),MIN(EXP((BF33-$J33)*$G33),1),"")</f>
        <v/>
      </c>
      <c r="BI33" s="441" t="b">
        <f t="shared" ca="1" si="3"/>
        <v>0</v>
      </c>
      <c r="BJ33" s="440" t="e">
        <f ca="1">IF(AND(NOT(ISBLANK(jumpoverwrite13)),AND(NOT(BI33),AND(BI$4:BI32))),($J33*$G33-LN(1+jumpoverwrite13*BK$2))/$G33,_xll.qlInterpolationInterpolate(BI$3,$F33,TRUE))</f>
        <v>#NAME?</v>
      </c>
      <c r="BK33" s="440" t="str">
        <f ca="1">IF(AND(NOT(BI33),AND(BI$4:BI32)),MIN(EXP((BJ33-$J33)*$G33),1),"")</f>
        <v/>
      </c>
    </row>
    <row r="34" spans="1:63" x14ac:dyDescent="0.2">
      <c r="A34" s="439" t="e">
        <f ca="1"/>
        <v>#NAME?</v>
      </c>
      <c r="B34" s="438" t="e">
        <f ca="1">_xll.qlRateHelperRate($A34,InterestRatesTrigger)</f>
        <v>#NAME?</v>
      </c>
      <c r="C34" s="437" t="e">
        <f ca="1">_xll.qlRateHelperEarliestDate($A34)</f>
        <v>#NAME?</v>
      </c>
      <c r="D34" s="436" t="e">
        <f ca="1">_xll.qlRateHelperPillarDate($A34)</f>
        <v>#NAME?</v>
      </c>
      <c r="F34" s="446" t="e">
        <f t="shared" ca="1" si="1"/>
        <v>#N/A</v>
      </c>
      <c r="G34" s="445" t="e">
        <f ca="1">_xll.qlDayCounterYearFraction(DayCounter,D33,D34)</f>
        <v>#NAME?</v>
      </c>
      <c r="I34" s="444" t="b">
        <f t="shared" ca="1" si="2"/>
        <v>0</v>
      </c>
      <c r="J34" s="443" t="e">
        <f ca="1"/>
        <v>#NAME?</v>
      </c>
      <c r="K34" s="442" t="e">
        <f t="shared" ca="1" si="0"/>
        <v>#NAME?</v>
      </c>
      <c r="L34" s="430"/>
      <c r="M34" s="441" t="b">
        <f ca="1">IF(AND(NOT(I34),AND(I$4:I33)),TRUE,I34)</f>
        <v>0</v>
      </c>
      <c r="N34" s="440" t="e">
        <f ca="1">IF(AND(NOT(ISBLANK(Jumpoverwrite1)),AND(NOT(M34),AND(M$4:M33))),($J34*$G34-LN(1+Jumpoverwrite1*O$2))/$G34,_xll.qlInterpolationInterpolate(M$3,$F34,TRUE))</f>
        <v>#NAME?</v>
      </c>
      <c r="O34" s="440" t="str">
        <f ca="1">IF(AND(NOT(M34),AND(M$4:M33)),MIN(EXP((N34-$J34)*$G34),1),"")</f>
        <v/>
      </c>
      <c r="P34" s="429"/>
      <c r="Q34" s="441" t="b">
        <f ca="1">IF(AND(NOT(M34),AND(M$4:M33)),TRUE,M34)</f>
        <v>0</v>
      </c>
      <c r="R34" s="440" t="e">
        <f ca="1">IF(AND(NOT(ISBLANK(Jumpoverwrite2)),AND(NOT(Q34),AND(Q$4:Q33))),($J34*$G34-LN(1+Jumpoverwrite2*S$2))/$G34,_xll.qlInterpolationInterpolate(Q$3,$F34,TRUE))</f>
        <v>#NAME?</v>
      </c>
      <c r="S34" s="440" t="str">
        <f ca="1">IF(AND(NOT(Q34),AND(Q$4:Q33)),MIN(EXP((R34-$J34)*$G34),1),"")</f>
        <v/>
      </c>
      <c r="T34" s="429"/>
      <c r="U34" s="441" t="b">
        <f ca="1">IF(AND(NOT(Q34),AND(Q$4:Q33)),TRUE,Q34)</f>
        <v>0</v>
      </c>
      <c r="V34" s="440" t="e">
        <f ca="1">IF(AND(NOT(ISBLANK(Jumpoverwrite3)),AND(NOT(U34),AND(U$4:U33))),($J34*$G34-LN(1+Jumpoverwrite3*W$2))/$G34,_xll.qlInterpolationInterpolate(U$3,$F34,TRUE))</f>
        <v>#NAME?</v>
      </c>
      <c r="W34" s="440" t="str">
        <f ca="1">IF(AND(NOT(U34),AND(U$4:U33)),MIN(EXP((V34-$J34)*$G34),1),"")</f>
        <v/>
      </c>
      <c r="X34" s="429"/>
      <c r="Y34" s="441" t="b">
        <f ca="1">IF(AND(NOT(U34),AND(U$4:U33)),TRUE,U34)</f>
        <v>0</v>
      </c>
      <c r="Z34" s="440" t="e">
        <f ca="1">IF(AND(NOT(ISBLANK(Jumpoverwrite4)),AND(NOT(Y34),AND(Y$4:Y33))),($J34*$G34-LN(1+Jumpoverwrite4*AA$2))/$G34,_xll.qlInterpolationInterpolate(Y$3,$F34,TRUE))</f>
        <v>#NAME?</v>
      </c>
      <c r="AA34" s="440" t="str">
        <f ca="1">IF(AND(NOT(Y34),AND(Y$4:Y33)),MIN(EXP((Z34-$J34)*$G34),1),"")</f>
        <v/>
      </c>
      <c r="AB34" s="429"/>
      <c r="AC34" s="441" t="b">
        <f ca="1">IF(AND(NOT(Y34),AND(Y$4:Y33)),TRUE,Y34)</f>
        <v>0</v>
      </c>
      <c r="AD34" s="440" t="e">
        <f ca="1">IF(AND(NOT(ISBLANK(Jumpoverwrite5)),AND(NOT(AC34),AND(AC$4:AC33))),($J34*$G34-LN(1+Jumpoverwrite5*AE$2))/$G34,_xll.qlInterpolationInterpolate(AC$3,$F34,TRUE))</f>
        <v>#NAME?</v>
      </c>
      <c r="AE34" s="440" t="str">
        <f ca="1">IF(AND(NOT(AC34),AND(AC$4:AC33)),MIN(EXP((AD34-$J34)*$G34),1),"")</f>
        <v/>
      </c>
      <c r="AF34" s="429"/>
      <c r="AG34" s="441" t="b">
        <f ca="1">IF(AND(NOT(AC34),AND(AC$4:AC33)),TRUE,AC34)</f>
        <v>0</v>
      </c>
      <c r="AH34" s="440" t="e">
        <f ca="1">IF(AND(NOT(ISBLANK(Jumpoverwrite6)),AND(NOT(AG34),AND(AG$4:AG33))),($J34*$G34-LN(1+Jumpoverwrite6*AI$2))/$G34,_xll.qlInterpolationInterpolate(AG$3,$F34,TRUE))</f>
        <v>#NAME?</v>
      </c>
      <c r="AI34" s="440" t="str">
        <f ca="1">IF(AND(NOT(AG34),AND(AG$4:AG33)),MIN(EXP((AH34-$J34)*$G34),1),"")</f>
        <v/>
      </c>
      <c r="AJ34" s="429"/>
      <c r="AK34" s="441" t="b">
        <f ca="1">IF(AND(NOT(AG34),AND(AG$4:AG33)),TRUE,AG34)</f>
        <v>0</v>
      </c>
      <c r="AL34" s="440" t="e">
        <f ca="1">IF(AND(NOT(ISBLANK(Jumpoverwrite7)),AND(NOT(AK34),AND(AK$4:AK33))),($J34*$G34-LN(1+Jumpoverwrite7*AM$2))/$G34,_xll.qlInterpolationInterpolate(AK$3,$F34,TRUE))</f>
        <v>#NAME?</v>
      </c>
      <c r="AM34" s="440" t="str">
        <f ca="1">IF(AND(NOT(AK34),AND(AK$4:AK33)),MIN(EXP((AL34-$J34)*$G34),1),"")</f>
        <v/>
      </c>
      <c r="AO34" s="441" t="b">
        <f ca="1">IF(AND(NOT(AK34),AND(AK$4:AK33)),TRUE,AK34)</f>
        <v>0</v>
      </c>
      <c r="AP34" s="440" t="e">
        <f ca="1">IF(AND(NOT(ISBLANK(Jumpoverwrite8)),AND(NOT(AO34),AND(AO$4:AO33))),($J34*$G34-LN(1+Jumpoverwrite8*AQ$2))/$G34,_xll.qlInterpolationInterpolate(AO$3,$F34,TRUE))</f>
        <v>#NAME?</v>
      </c>
      <c r="AQ34" s="440" t="str">
        <f ca="1">IF(AND(NOT(AO34),AND(AO$4:AO33)),MIN(EXP((AP34-$J34)*$G34),1),"")</f>
        <v/>
      </c>
      <c r="AS34" s="441" t="b">
        <f ca="1">IF(AND(NOT(AO34),AND(AO$4:AO33)),TRUE,AO34)</f>
        <v>0</v>
      </c>
      <c r="AT34" s="440" t="e">
        <f ca="1">IF(AND(NOT(ISBLANK(Jumpoverwrite9)),AND(NOT(AS34),AND(AS$4:AS33))),($J34*$G34-LN(1+Jumpoverwrite9*AU$2))/$G34,_xll.qlInterpolationInterpolate(AS$3,$F34,TRUE))</f>
        <v>#NAME?</v>
      </c>
      <c r="AU34" s="440" t="str">
        <f ca="1">IF(AND(NOT(AS34),AND(AS$4:AS33)),MIN(EXP((AT34-$J34)*$G34),1),"")</f>
        <v/>
      </c>
      <c r="AW34" s="441" t="b">
        <f ca="1">IF(AND(NOT(AS34),AND(AS$4:AS33)),TRUE,AS34)</f>
        <v>0</v>
      </c>
      <c r="AX34" s="440" t="e">
        <f ca="1">IF(AND(NOT(ISBLANK(Jumpoverwrite10)),AND(NOT(AW34),AND(AW$4:AW33))),($J34*$G34-LN(1+Jumpoverwrite10*AY$2))/$G34,_xll.qlInterpolationInterpolate(AW$3,$F34,TRUE))</f>
        <v>#NAME?</v>
      </c>
      <c r="AY34" s="440" t="str">
        <f ca="1">IF(AND(NOT(AW34),AND(AW$4:AW33)),MIN(EXP((AX34-$J34)*$G34),1),"")</f>
        <v/>
      </c>
      <c r="BA34" s="441" t="b">
        <f ca="1">IF(AND(NOT(AW34),AND(AW$4:AW33)),TRUE,AW34)</f>
        <v>0</v>
      </c>
      <c r="BB34" s="440" t="e">
        <f ca="1">IF(AND(NOT(ISBLANK(Jumpoverwrite11)),AND(NOT(BA34),AND(BA$4:BA33))),($J34*$G34-LN(1+Jumpoverwrite11*BC$2))/$G34,_xll.qlInterpolationInterpolate(BA$3,$F34,TRUE))</f>
        <v>#NAME?</v>
      </c>
      <c r="BC34" s="440" t="str">
        <f ca="1">IF(AND(NOT(BA34),AND(BA$4:BA33)),MIN(EXP((BB34-$J34)*$G34),1),"")</f>
        <v/>
      </c>
      <c r="BE34" s="441" t="b">
        <f ca="1">IF(AND(NOT(BA34),AND(BA$4:BA33)),TRUE,BA34)</f>
        <v>0</v>
      </c>
      <c r="BF34" s="440" t="e">
        <f ca="1">IF(AND(NOT(ISBLANK(Jumpoverwrite12)),AND(NOT(BE34),AND(BE$4:BE33))),($J34*$G34-LN(1+Jumpoverwrite12*BG$2))/$G34,_xll.qlInterpolationInterpolate(BE$3,$F34,TRUE))</f>
        <v>#NAME?</v>
      </c>
      <c r="BG34" s="440" t="str">
        <f ca="1">IF(AND(NOT(BE34),AND(BE$4:BE33)),MIN(EXP((BF34-$J34)*$G34),1),"")</f>
        <v/>
      </c>
      <c r="BI34" s="441" t="b">
        <f t="shared" ca="1" si="3"/>
        <v>0</v>
      </c>
      <c r="BJ34" s="440" t="e">
        <f ca="1">IF(AND(NOT(ISBLANK(jumpoverwrite13)),AND(NOT(BI34),AND(BI$4:BI33))),($J34*$G34-LN(1+jumpoverwrite13*BK$2))/$G34,_xll.qlInterpolationInterpolate(BI$3,$F34,TRUE))</f>
        <v>#NAME?</v>
      </c>
      <c r="BK34" s="440" t="str">
        <f ca="1">IF(AND(NOT(BI34),AND(BI$4:BI33)),MIN(EXP((BJ34-$J34)*$G34),1),"")</f>
        <v/>
      </c>
    </row>
    <row r="35" spans="1:63" x14ac:dyDescent="0.2">
      <c r="A35" s="439" t="e">
        <f ca="1"/>
        <v>#NAME?</v>
      </c>
      <c r="B35" s="438" t="e">
        <f ca="1">_xll.qlRateHelperRate($A35,InterestRatesTrigger)</f>
        <v>#NAME?</v>
      </c>
      <c r="C35" s="437" t="e">
        <f ca="1">_xll.qlRateHelperEarliestDate($A35)</f>
        <v>#NAME?</v>
      </c>
      <c r="D35" s="436" t="e">
        <f ca="1">_xll.qlRateHelperPillarDate($A35)</f>
        <v>#NAME?</v>
      </c>
      <c r="F35" s="446" t="e">
        <f t="shared" ca="1" si="1"/>
        <v>#N/A</v>
      </c>
      <c r="G35" s="445" t="e">
        <f ca="1">_xll.qlDayCounterYearFraction(DayCounter,D34,D35)</f>
        <v>#NAME?</v>
      </c>
      <c r="I35" s="444" t="b">
        <f t="shared" ca="1" si="2"/>
        <v>0</v>
      </c>
      <c r="J35" s="443" t="e">
        <f ca="1"/>
        <v>#NAME?</v>
      </c>
      <c r="K35" s="442" t="e">
        <f t="shared" ca="1" si="0"/>
        <v>#NAME?</v>
      </c>
      <c r="L35" s="430"/>
      <c r="M35" s="441" t="b">
        <f ca="1">IF(AND(NOT(I35),AND(I$4:I34)),TRUE,I35)</f>
        <v>0</v>
      </c>
      <c r="N35" s="440" t="e">
        <f ca="1">IF(AND(NOT(ISBLANK(Jumpoverwrite1)),AND(NOT(M35),AND(M$4:M34))),($J35*$G35-LN(1+Jumpoverwrite1*O$2))/$G35,_xll.qlInterpolationInterpolate(M$3,$F35,TRUE))</f>
        <v>#NAME?</v>
      </c>
      <c r="O35" s="440" t="str">
        <f ca="1">IF(AND(NOT(M35),AND(M$4:M34)),MIN(EXP((N35-$J35)*$G35),1),"")</f>
        <v/>
      </c>
      <c r="P35" s="429"/>
      <c r="Q35" s="441" t="b">
        <f ca="1">IF(AND(NOT(M35),AND(M$4:M34)),TRUE,M35)</f>
        <v>0</v>
      </c>
      <c r="R35" s="440" t="e">
        <f ca="1">IF(AND(NOT(ISBLANK(Jumpoverwrite2)),AND(NOT(Q35),AND(Q$4:Q34))),($J35*$G35-LN(1+Jumpoverwrite2*S$2))/$G35,_xll.qlInterpolationInterpolate(Q$3,$F35,TRUE))</f>
        <v>#NAME?</v>
      </c>
      <c r="S35" s="440" t="str">
        <f ca="1">IF(AND(NOT(Q35),AND(Q$4:Q34)),MIN(EXP((R35-$J35)*$G35),1),"")</f>
        <v/>
      </c>
      <c r="T35" s="429"/>
      <c r="U35" s="441" t="b">
        <f ca="1">IF(AND(NOT(Q35),AND(Q$4:Q34)),TRUE,Q35)</f>
        <v>0</v>
      </c>
      <c r="V35" s="440" t="e">
        <f ca="1">IF(AND(NOT(ISBLANK(Jumpoverwrite3)),AND(NOT(U35),AND(U$4:U34))),($J35*$G35-LN(1+Jumpoverwrite3*W$2))/$G35,_xll.qlInterpolationInterpolate(U$3,$F35,TRUE))</f>
        <v>#NAME?</v>
      </c>
      <c r="W35" s="440" t="str">
        <f ca="1">IF(AND(NOT(U35),AND(U$4:U34)),MIN(EXP((V35-$J35)*$G35),1),"")</f>
        <v/>
      </c>
      <c r="X35" s="429"/>
      <c r="Y35" s="441" t="b">
        <f ca="1">IF(AND(NOT(U35),AND(U$4:U34)),TRUE,U35)</f>
        <v>0</v>
      </c>
      <c r="Z35" s="440" t="e">
        <f ca="1">IF(AND(NOT(ISBLANK(Jumpoverwrite4)),AND(NOT(Y35),AND(Y$4:Y34))),($J35*$G35-LN(1+Jumpoverwrite4*AA$2))/$G35,_xll.qlInterpolationInterpolate(Y$3,$F35,TRUE))</f>
        <v>#NAME?</v>
      </c>
      <c r="AA35" s="440" t="str">
        <f ca="1">IF(AND(NOT(Y35),AND(Y$4:Y34)),MIN(EXP((Z35-$J35)*$G35),1),"")</f>
        <v/>
      </c>
      <c r="AB35" s="429"/>
      <c r="AC35" s="441" t="b">
        <f ca="1">IF(AND(NOT(Y35),AND(Y$4:Y34)),TRUE,Y35)</f>
        <v>0</v>
      </c>
      <c r="AD35" s="440" t="e">
        <f ca="1">IF(AND(NOT(ISBLANK(Jumpoverwrite5)),AND(NOT(AC35),AND(AC$4:AC34))),($J35*$G35-LN(1+Jumpoverwrite5*AE$2))/$G35,_xll.qlInterpolationInterpolate(AC$3,$F35,TRUE))</f>
        <v>#NAME?</v>
      </c>
      <c r="AE35" s="440" t="str">
        <f ca="1">IF(AND(NOT(AC35),AND(AC$4:AC34)),MIN(EXP((AD35-$J35)*$G35),1),"")</f>
        <v/>
      </c>
      <c r="AF35" s="429"/>
      <c r="AG35" s="441" t="b">
        <f ca="1">IF(AND(NOT(AC35),AND(AC$4:AC34)),TRUE,AC35)</f>
        <v>0</v>
      </c>
      <c r="AH35" s="440" t="e">
        <f ca="1">IF(AND(NOT(ISBLANK(Jumpoverwrite6)),AND(NOT(AG35),AND(AG$4:AG34))),($J35*$G35-LN(1+Jumpoverwrite6*AI$2))/$G35,_xll.qlInterpolationInterpolate(AG$3,$F35,TRUE))</f>
        <v>#NAME?</v>
      </c>
      <c r="AI35" s="440" t="str">
        <f ca="1">IF(AND(NOT(AG35),AND(AG$4:AG34)),MIN(EXP((AH35-$J35)*$G35),1),"")</f>
        <v/>
      </c>
      <c r="AJ35" s="429"/>
      <c r="AK35" s="441" t="b">
        <f ca="1">IF(AND(NOT(AG35),AND(AG$4:AG34)),TRUE,AG35)</f>
        <v>0</v>
      </c>
      <c r="AL35" s="440" t="e">
        <f ca="1">IF(AND(NOT(ISBLANK(Jumpoverwrite7)),AND(NOT(AK35),AND(AK$4:AK34))),($J35*$G35-LN(1+Jumpoverwrite7*AM$2))/$G35,_xll.qlInterpolationInterpolate(AK$3,$F35,TRUE))</f>
        <v>#NAME?</v>
      </c>
      <c r="AM35" s="440" t="str">
        <f ca="1">IF(AND(NOT(AK35),AND(AK$4:AK34)),MIN(EXP((AL35-$J35)*$G35),1),"")</f>
        <v/>
      </c>
      <c r="AO35" s="441" t="b">
        <f ca="1">IF(AND(NOT(AK35),AND(AK$4:AK34)),TRUE,AK35)</f>
        <v>0</v>
      </c>
      <c r="AP35" s="440" t="e">
        <f ca="1">IF(AND(NOT(ISBLANK(Jumpoverwrite8)),AND(NOT(AO35),AND(AO$4:AO34))),($J35*$G35-LN(1+Jumpoverwrite8*AQ$2))/$G35,_xll.qlInterpolationInterpolate(AO$3,$F35,TRUE))</f>
        <v>#NAME?</v>
      </c>
      <c r="AQ35" s="440" t="str">
        <f ca="1">IF(AND(NOT(AO35),AND(AO$4:AO34)),MIN(EXP((AP35-$J35)*$G35),1),"")</f>
        <v/>
      </c>
      <c r="AS35" s="441" t="b">
        <f ca="1">IF(AND(NOT(AO35),AND(AO$4:AO34)),TRUE,AO35)</f>
        <v>0</v>
      </c>
      <c r="AT35" s="440" t="e">
        <f ca="1">IF(AND(NOT(ISBLANK(Jumpoverwrite9)),AND(NOT(AS35),AND(AS$4:AS34))),($J35*$G35-LN(1+Jumpoverwrite9*AU$2))/$G35,_xll.qlInterpolationInterpolate(AS$3,$F35,TRUE))</f>
        <v>#NAME?</v>
      </c>
      <c r="AU35" s="440" t="str">
        <f ca="1">IF(AND(NOT(AS35),AND(AS$4:AS34)),MIN(EXP((AT35-$J35)*$G35),1),"")</f>
        <v/>
      </c>
      <c r="AW35" s="441" t="b">
        <f ca="1">IF(AND(NOT(AS35),AND(AS$4:AS34)),TRUE,AS35)</f>
        <v>0</v>
      </c>
      <c r="AX35" s="440" t="e">
        <f ca="1">IF(AND(NOT(ISBLANK(Jumpoverwrite10)),AND(NOT(AW35),AND(AW$4:AW34))),($J35*$G35-LN(1+Jumpoverwrite10*AY$2))/$G35,_xll.qlInterpolationInterpolate(AW$3,$F35,TRUE))</f>
        <v>#NAME?</v>
      </c>
      <c r="AY35" s="440" t="str">
        <f ca="1">IF(AND(NOT(AW35),AND(AW$4:AW34)),MIN(EXP((AX35-$J35)*$G35),1),"")</f>
        <v/>
      </c>
      <c r="BA35" s="441" t="b">
        <f ca="1">IF(AND(NOT(AW35),AND(AW$4:AW34)),TRUE,AW35)</f>
        <v>0</v>
      </c>
      <c r="BB35" s="440" t="e">
        <f ca="1">IF(AND(NOT(ISBLANK(Jumpoverwrite11)),AND(NOT(BA35),AND(BA$4:BA34))),($J35*$G35-LN(1+Jumpoverwrite11*BC$2))/$G35,_xll.qlInterpolationInterpolate(BA$3,$F35,TRUE))</f>
        <v>#NAME?</v>
      </c>
      <c r="BC35" s="440" t="str">
        <f ca="1">IF(AND(NOT(BA35),AND(BA$4:BA34)),MIN(EXP((BB35-$J35)*$G35),1),"")</f>
        <v/>
      </c>
      <c r="BE35" s="441" t="b">
        <f ca="1">IF(AND(NOT(BA35),AND(BA$4:BA34)),TRUE,BA35)</f>
        <v>0</v>
      </c>
      <c r="BF35" s="440" t="e">
        <f ca="1">IF(AND(NOT(ISBLANK(Jumpoverwrite12)),AND(NOT(BE35),AND(BE$4:BE34))),($J35*$G35-LN(1+Jumpoverwrite12*BG$2))/$G35,_xll.qlInterpolationInterpolate(BE$3,$F35,TRUE))</f>
        <v>#NAME?</v>
      </c>
      <c r="BG35" s="440" t="str">
        <f ca="1">IF(AND(NOT(BE35),AND(BE$4:BE34)),MIN(EXP((BF35-$J35)*$G35),1),"")</f>
        <v/>
      </c>
      <c r="BI35" s="441" t="b">
        <f t="shared" ca="1" si="3"/>
        <v>0</v>
      </c>
      <c r="BJ35" s="440" t="e">
        <f ca="1">IF(AND(NOT(ISBLANK(jumpoverwrite13)),AND(NOT(BI35),AND(BI$4:BI34))),($J35*$G35-LN(1+jumpoverwrite13*BK$2))/$G35,_xll.qlInterpolationInterpolate(BI$3,$F35,TRUE))</f>
        <v>#NAME?</v>
      </c>
      <c r="BK35" s="440" t="str">
        <f ca="1">IF(AND(NOT(BI35),AND(BI$4:BI34)),MIN(EXP((BJ35-$J35)*$G35),1),"")</f>
        <v/>
      </c>
    </row>
    <row r="36" spans="1:63" x14ac:dyDescent="0.2">
      <c r="A36" s="439" t="e">
        <f ca="1"/>
        <v>#NAME?</v>
      </c>
      <c r="B36" s="438" t="e">
        <f ca="1">_xll.qlRateHelperRate($A36,InterestRatesTrigger)</f>
        <v>#NAME?</v>
      </c>
      <c r="C36" s="437" t="e">
        <f ca="1">_xll.qlRateHelperEarliestDate($A36)</f>
        <v>#NAME?</v>
      </c>
      <c r="D36" s="436" t="e">
        <f ca="1">_xll.qlRateHelperPillarDate($A36)</f>
        <v>#NAME?</v>
      </c>
      <c r="F36" s="446" t="e">
        <f t="shared" ca="1" si="1"/>
        <v>#N/A</v>
      </c>
      <c r="G36" s="445" t="e">
        <f ca="1">_xll.qlDayCounterYearFraction(DayCounter,D35,D36)</f>
        <v>#NAME?</v>
      </c>
      <c r="I36" s="444" t="b">
        <f t="shared" ca="1" si="2"/>
        <v>0</v>
      </c>
      <c r="J36" s="443" t="e">
        <f ca="1"/>
        <v>#NAME?</v>
      </c>
      <c r="K36" s="442" t="e">
        <f t="shared" ref="K36:K67" ca="1" si="4">D36</f>
        <v>#NAME?</v>
      </c>
      <c r="L36" s="430"/>
      <c r="M36" s="441" t="b">
        <f ca="1">IF(AND(NOT(I36),AND(I$4:I35)),TRUE,I36)</f>
        <v>0</v>
      </c>
      <c r="N36" s="440" t="e">
        <f ca="1">IF(AND(NOT(ISBLANK(Jumpoverwrite1)),AND(NOT(M36),AND(M$4:M35))),($J36*$G36-LN(1+Jumpoverwrite1*O$2))/$G36,_xll.qlInterpolationInterpolate(M$3,$F36,TRUE))</f>
        <v>#NAME?</v>
      </c>
      <c r="O36" s="440" t="str">
        <f ca="1">IF(AND(NOT(M36),AND(M$4:M35)),MIN(EXP((N36-$J36)*$G36),1),"")</f>
        <v/>
      </c>
      <c r="P36" s="429"/>
      <c r="Q36" s="441" t="b">
        <f ca="1">IF(AND(NOT(M36),AND(M$4:M35)),TRUE,M36)</f>
        <v>0</v>
      </c>
      <c r="R36" s="440" t="e">
        <f ca="1">IF(AND(NOT(ISBLANK(Jumpoverwrite2)),AND(NOT(Q36),AND(Q$4:Q35))),($J36*$G36-LN(1+Jumpoverwrite2*S$2))/$G36,_xll.qlInterpolationInterpolate(Q$3,$F36,TRUE))</f>
        <v>#NAME?</v>
      </c>
      <c r="S36" s="440" t="str">
        <f ca="1">IF(AND(NOT(Q36),AND(Q$4:Q35)),MIN(EXP((R36-$J36)*$G36),1),"")</f>
        <v/>
      </c>
      <c r="T36" s="429"/>
      <c r="U36" s="441" t="b">
        <f ca="1">IF(AND(NOT(Q36),AND(Q$4:Q35)),TRUE,Q36)</f>
        <v>0</v>
      </c>
      <c r="V36" s="440" t="e">
        <f ca="1">IF(AND(NOT(ISBLANK(Jumpoverwrite3)),AND(NOT(U36),AND(U$4:U35))),($J36*$G36-LN(1+Jumpoverwrite3*W$2))/$G36,_xll.qlInterpolationInterpolate(U$3,$F36,TRUE))</f>
        <v>#NAME?</v>
      </c>
      <c r="W36" s="440" t="str">
        <f ca="1">IF(AND(NOT(U36),AND(U$4:U35)),MIN(EXP((V36-$J36)*$G36),1),"")</f>
        <v/>
      </c>
      <c r="X36" s="429"/>
      <c r="Y36" s="441" t="b">
        <f ca="1">IF(AND(NOT(U36),AND(U$4:U35)),TRUE,U36)</f>
        <v>0</v>
      </c>
      <c r="Z36" s="440" t="e">
        <f ca="1">IF(AND(NOT(ISBLANK(Jumpoverwrite4)),AND(NOT(Y36),AND(Y$4:Y35))),($J36*$G36-LN(1+Jumpoverwrite4*AA$2))/$G36,_xll.qlInterpolationInterpolate(Y$3,$F36,TRUE))</f>
        <v>#NAME?</v>
      </c>
      <c r="AA36" s="440" t="str">
        <f ca="1">IF(AND(NOT(Y36),AND(Y$4:Y35)),MIN(EXP((Z36-$J36)*$G36),1),"")</f>
        <v/>
      </c>
      <c r="AB36" s="429"/>
      <c r="AC36" s="441" t="b">
        <f ca="1">IF(AND(NOT(Y36),AND(Y$4:Y35)),TRUE,Y36)</f>
        <v>0</v>
      </c>
      <c r="AD36" s="440" t="e">
        <f ca="1">IF(AND(NOT(ISBLANK(Jumpoverwrite5)),AND(NOT(AC36),AND(AC$4:AC35))),($J36*$G36-LN(1+Jumpoverwrite5*AE$2))/$G36,_xll.qlInterpolationInterpolate(AC$3,$F36,TRUE))</f>
        <v>#NAME?</v>
      </c>
      <c r="AE36" s="440" t="str">
        <f ca="1">IF(AND(NOT(AC36),AND(AC$4:AC35)),MIN(EXP((AD36-$J36)*$G36),1),"")</f>
        <v/>
      </c>
      <c r="AF36" s="429"/>
      <c r="AG36" s="441" t="b">
        <f ca="1">IF(AND(NOT(AC36),AND(AC$4:AC35)),TRUE,AC36)</f>
        <v>0</v>
      </c>
      <c r="AH36" s="440" t="e">
        <f ca="1">IF(AND(NOT(ISBLANK(Jumpoverwrite6)),AND(NOT(AG36),AND(AG$4:AG35))),($J36*$G36-LN(1+Jumpoverwrite6*AI$2))/$G36,_xll.qlInterpolationInterpolate(AG$3,$F36,TRUE))</f>
        <v>#NAME?</v>
      </c>
      <c r="AI36" s="440" t="str">
        <f ca="1">IF(AND(NOT(AG36),AND(AG$4:AG35)),MIN(EXP((AH36-$J36)*$G36),1),"")</f>
        <v/>
      </c>
      <c r="AJ36" s="429"/>
      <c r="AK36" s="441" t="b">
        <f ca="1">IF(AND(NOT(AG36),AND(AG$4:AG35)),TRUE,AG36)</f>
        <v>0</v>
      </c>
      <c r="AL36" s="440" t="e">
        <f ca="1">IF(AND(NOT(ISBLANK(Jumpoverwrite7)),AND(NOT(AK36),AND(AK$4:AK35))),($J36*$G36-LN(1+Jumpoverwrite7*AM$2))/$G36,_xll.qlInterpolationInterpolate(AK$3,$F36,TRUE))</f>
        <v>#NAME?</v>
      </c>
      <c r="AM36" s="440" t="str">
        <f ca="1">IF(AND(NOT(AK36),AND(AK$4:AK35)),MIN(EXP((AL36-$J36)*$G36),1),"")</f>
        <v/>
      </c>
      <c r="AO36" s="441" t="b">
        <f ca="1">IF(AND(NOT(AK36),AND(AK$4:AK35)),TRUE,AK36)</f>
        <v>0</v>
      </c>
      <c r="AP36" s="440" t="e">
        <f ca="1">IF(AND(NOT(ISBLANK(Jumpoverwrite8)),AND(NOT(AO36),AND(AO$4:AO35))),($J36*$G36-LN(1+Jumpoverwrite8*AQ$2))/$G36,_xll.qlInterpolationInterpolate(AO$3,$F36,TRUE))</f>
        <v>#NAME?</v>
      </c>
      <c r="AQ36" s="440" t="str">
        <f ca="1">IF(AND(NOT(AO36),AND(AO$4:AO35)),MIN(EXP((AP36-$J36)*$G36),1),"")</f>
        <v/>
      </c>
      <c r="AS36" s="441" t="b">
        <f ca="1">IF(AND(NOT(AO36),AND(AO$4:AO35)),TRUE,AO36)</f>
        <v>0</v>
      </c>
      <c r="AT36" s="440" t="e">
        <f ca="1">IF(AND(NOT(ISBLANK(Jumpoverwrite9)),AND(NOT(AS36),AND(AS$4:AS35))),($J36*$G36-LN(1+Jumpoverwrite9*AU$2))/$G36,_xll.qlInterpolationInterpolate(AS$3,$F36,TRUE))</f>
        <v>#NAME?</v>
      </c>
      <c r="AU36" s="440" t="str">
        <f ca="1">IF(AND(NOT(AS36),AND(AS$4:AS35)),MIN(EXP((AT36-$J36)*$G36),1),"")</f>
        <v/>
      </c>
      <c r="AW36" s="441" t="b">
        <f ca="1">IF(AND(NOT(AS36),AND(AS$4:AS35)),TRUE,AS36)</f>
        <v>0</v>
      </c>
      <c r="AX36" s="440" t="e">
        <f ca="1">IF(AND(NOT(ISBLANK(Jumpoverwrite10)),AND(NOT(AW36),AND(AW$4:AW35))),($J36*$G36-LN(1+Jumpoverwrite10*AY$2))/$G36,_xll.qlInterpolationInterpolate(AW$3,$F36,TRUE))</f>
        <v>#NAME?</v>
      </c>
      <c r="AY36" s="440" t="str">
        <f ca="1">IF(AND(NOT(AW36),AND(AW$4:AW35)),MIN(EXP((AX36-$J36)*$G36),1),"")</f>
        <v/>
      </c>
      <c r="BA36" s="441" t="b">
        <f ca="1">IF(AND(NOT(AW36),AND(AW$4:AW35)),TRUE,AW36)</f>
        <v>0</v>
      </c>
      <c r="BB36" s="440" t="e">
        <f ca="1">IF(AND(NOT(ISBLANK(Jumpoverwrite11)),AND(NOT(BA36),AND(BA$4:BA35))),($J36*$G36-LN(1+Jumpoverwrite11*BC$2))/$G36,_xll.qlInterpolationInterpolate(BA$3,$F36,TRUE))</f>
        <v>#NAME?</v>
      </c>
      <c r="BC36" s="440" t="str">
        <f ca="1">IF(AND(NOT(BA36),AND(BA$4:BA35)),MIN(EXP((BB36-$J36)*$G36),1),"")</f>
        <v/>
      </c>
      <c r="BE36" s="441" t="b">
        <f ca="1">IF(AND(NOT(BA36),AND(BA$4:BA35)),TRUE,BA36)</f>
        <v>0</v>
      </c>
      <c r="BF36" s="440" t="e">
        <f ca="1">IF(AND(NOT(ISBLANK(Jumpoverwrite12)),AND(NOT(BE36),AND(BE$4:BE35))),($J36*$G36-LN(1+Jumpoverwrite12*BG$2))/$G36,_xll.qlInterpolationInterpolate(BE$3,$F36,TRUE))</f>
        <v>#NAME?</v>
      </c>
      <c r="BG36" s="440" t="str">
        <f ca="1">IF(AND(NOT(BE36),AND(BE$4:BE35)),MIN(EXP((BF36-$J36)*$G36),1),"")</f>
        <v/>
      </c>
      <c r="BI36" s="441" t="b">
        <f t="shared" ca="1" si="3"/>
        <v>0</v>
      </c>
      <c r="BJ36" s="440" t="e">
        <f ca="1">IF(AND(NOT(ISBLANK(jumpoverwrite13)),AND(NOT(BI36),AND(BI$4:BI35))),($J36*$G36-LN(1+jumpoverwrite13*BK$2))/$G36,_xll.qlInterpolationInterpolate(BI$3,$F36,TRUE))</f>
        <v>#NAME?</v>
      </c>
      <c r="BK36" s="440" t="str">
        <f ca="1">IF(AND(NOT(BI36),AND(BI$4:BI35)),MIN(EXP((BJ36-$J36)*$G36),1),"")</f>
        <v/>
      </c>
    </row>
    <row r="37" spans="1:63" x14ac:dyDescent="0.2">
      <c r="A37" s="439" t="e">
        <f ca="1"/>
        <v>#NAME?</v>
      </c>
      <c r="B37" s="438" t="e">
        <f ca="1">_xll.qlRateHelperRate($A37,InterestRatesTrigger)</f>
        <v>#NAME?</v>
      </c>
      <c r="C37" s="437" t="e">
        <f ca="1">_xll.qlRateHelperEarliestDate($A37)</f>
        <v>#NAME?</v>
      </c>
      <c r="D37" s="436" t="e">
        <f ca="1">_xll.qlRateHelperPillarDate($A37)</f>
        <v>#NAME?</v>
      </c>
      <c r="F37" s="446" t="e">
        <f t="shared" ref="F37:F68" ca="1" si="5">IF(ISERROR(D37),NA(),(D37-D36)/2+D36)</f>
        <v>#N/A</v>
      </c>
      <c r="G37" s="445" t="e">
        <f ca="1">_xll.qlDayCounterYearFraction(DayCounter,D36,D37)</f>
        <v>#NAME?</v>
      </c>
      <c r="I37" s="444" t="b">
        <f t="shared" ref="I37:I68" ca="1" si="6">IF(ISERROR(K37),FALSE,IF(OR(MONTH(K37)-MONTH(K36)=1,YEAR(K37)-YEAR(K36)=1),FALSE,TRUE))</f>
        <v>0</v>
      </c>
      <c r="J37" s="443" t="e">
        <f ca="1"/>
        <v>#NAME?</v>
      </c>
      <c r="K37" s="442" t="e">
        <f t="shared" ca="1" si="4"/>
        <v>#NAME?</v>
      </c>
      <c r="L37" s="430"/>
      <c r="M37" s="441" t="b">
        <f ca="1">IF(AND(NOT(I37),AND(I$4:I36)),TRUE,I37)</f>
        <v>0</v>
      </c>
      <c r="N37" s="440" t="e">
        <f ca="1">IF(AND(NOT(ISBLANK(Jumpoverwrite1)),AND(NOT(M37),AND(M$4:M36))),($J37*$G37-LN(1+Jumpoverwrite1*O$2))/$G37,_xll.qlInterpolationInterpolate(M$3,$F37,TRUE))</f>
        <v>#NAME?</v>
      </c>
      <c r="O37" s="440" t="str">
        <f ca="1">IF(AND(NOT(M37),AND(M$4:M36)),MIN(EXP((N37-$J37)*$G37),1),"")</f>
        <v/>
      </c>
      <c r="P37" s="429"/>
      <c r="Q37" s="441" t="b">
        <f ca="1">IF(AND(NOT(M37),AND(M$4:M36)),TRUE,M37)</f>
        <v>0</v>
      </c>
      <c r="R37" s="440" t="e">
        <f ca="1">IF(AND(NOT(ISBLANK(Jumpoverwrite2)),AND(NOT(Q37),AND(Q$4:Q36))),($J37*$G37-LN(1+Jumpoverwrite2*S$2))/$G37,_xll.qlInterpolationInterpolate(Q$3,$F37,TRUE))</f>
        <v>#NAME?</v>
      </c>
      <c r="S37" s="440" t="str">
        <f ca="1">IF(AND(NOT(Q37),AND(Q$4:Q36)),MIN(EXP((R37-$J37)*$G37),1),"")</f>
        <v/>
      </c>
      <c r="T37" s="429"/>
      <c r="U37" s="441" t="b">
        <f ca="1">IF(AND(NOT(Q37),AND(Q$4:Q36)),TRUE,Q37)</f>
        <v>0</v>
      </c>
      <c r="V37" s="440" t="e">
        <f ca="1">IF(AND(NOT(ISBLANK(Jumpoverwrite3)),AND(NOT(U37),AND(U$4:U36))),($J37*$G37-LN(1+Jumpoverwrite3*W$2))/$G37,_xll.qlInterpolationInterpolate(U$3,$F37,TRUE))</f>
        <v>#NAME?</v>
      </c>
      <c r="W37" s="440" t="str">
        <f ca="1">IF(AND(NOT(U37),AND(U$4:U36)),MIN(EXP((V37-$J37)*$G37),1),"")</f>
        <v/>
      </c>
      <c r="X37" s="429"/>
      <c r="Y37" s="441" t="b">
        <f ca="1">IF(AND(NOT(U37),AND(U$4:U36)),TRUE,U37)</f>
        <v>0</v>
      </c>
      <c r="Z37" s="440" t="e">
        <f ca="1">IF(AND(NOT(ISBLANK(Jumpoverwrite4)),AND(NOT(Y37),AND(Y$4:Y36))),($J37*$G37-LN(1+Jumpoverwrite4*AA$2))/$G37,_xll.qlInterpolationInterpolate(Y$3,$F37,TRUE))</f>
        <v>#NAME?</v>
      </c>
      <c r="AA37" s="440" t="str">
        <f ca="1">IF(AND(NOT(Y37),AND(Y$4:Y36)),MIN(EXP((Z37-$J37)*$G37),1),"")</f>
        <v/>
      </c>
      <c r="AB37" s="429"/>
      <c r="AC37" s="441" t="b">
        <f ca="1">IF(AND(NOT(Y37),AND(Y$4:Y36)),TRUE,Y37)</f>
        <v>0</v>
      </c>
      <c r="AD37" s="440" t="e">
        <f ca="1">IF(AND(NOT(ISBLANK(Jumpoverwrite5)),AND(NOT(AC37),AND(AC$4:AC36))),($J37*$G37-LN(1+Jumpoverwrite5*AE$2))/$G37,_xll.qlInterpolationInterpolate(AC$3,$F37,TRUE))</f>
        <v>#NAME?</v>
      </c>
      <c r="AE37" s="440" t="str">
        <f ca="1">IF(AND(NOT(AC37),AND(AC$4:AC36)),MIN(EXP((AD37-$J37)*$G37),1),"")</f>
        <v/>
      </c>
      <c r="AF37" s="429"/>
      <c r="AG37" s="441" t="b">
        <f ca="1">IF(AND(NOT(AC37),AND(AC$4:AC36)),TRUE,AC37)</f>
        <v>0</v>
      </c>
      <c r="AH37" s="440" t="e">
        <f ca="1">IF(AND(NOT(ISBLANK(Jumpoverwrite6)),AND(NOT(AG37),AND(AG$4:AG36))),($J37*$G37-LN(1+Jumpoverwrite6*AI$2))/$G37,_xll.qlInterpolationInterpolate(AG$3,$F37,TRUE))</f>
        <v>#NAME?</v>
      </c>
      <c r="AI37" s="440" t="str">
        <f ca="1">IF(AND(NOT(AG37),AND(AG$4:AG36)),MIN(EXP((AH37-$J37)*$G37),1),"")</f>
        <v/>
      </c>
      <c r="AJ37" s="429"/>
      <c r="AK37" s="441" t="b">
        <f ca="1">IF(AND(NOT(AG37),AND(AG$4:AG36)),TRUE,AG37)</f>
        <v>0</v>
      </c>
      <c r="AL37" s="440" t="e">
        <f ca="1">IF(AND(NOT(ISBLANK(Jumpoverwrite7)),AND(NOT(AK37),AND(AK$4:AK36))),($J37*$G37-LN(1+Jumpoverwrite7*AM$2))/$G37,_xll.qlInterpolationInterpolate(AK$3,$F37,TRUE))</f>
        <v>#NAME?</v>
      </c>
      <c r="AM37" s="440" t="str">
        <f ca="1">IF(AND(NOT(AK37),AND(AK$4:AK36)),MIN(EXP((AL37-$J37)*$G37),1),"")</f>
        <v/>
      </c>
      <c r="AO37" s="441" t="b">
        <f ca="1">IF(AND(NOT(AK37),AND(AK$4:AK36)),TRUE,AK37)</f>
        <v>0</v>
      </c>
      <c r="AP37" s="440" t="e">
        <f ca="1">IF(AND(NOT(ISBLANK(Jumpoverwrite8)),AND(NOT(AO37),AND(AO$4:AO36))),($J37*$G37-LN(1+Jumpoverwrite8*AQ$2))/$G37,_xll.qlInterpolationInterpolate(AO$3,$F37,TRUE))</f>
        <v>#NAME?</v>
      </c>
      <c r="AQ37" s="440" t="str">
        <f ca="1">IF(AND(NOT(AO37),AND(AO$4:AO36)),MIN(EXP((AP37-$J37)*$G37),1),"")</f>
        <v/>
      </c>
      <c r="AS37" s="441" t="b">
        <f ca="1">IF(AND(NOT(AO37),AND(AO$4:AO36)),TRUE,AO37)</f>
        <v>0</v>
      </c>
      <c r="AT37" s="440" t="e">
        <f ca="1">IF(AND(NOT(ISBLANK(Jumpoverwrite9)),AND(NOT(AS37),AND(AS$4:AS36))),($J37*$G37-LN(1+Jumpoverwrite9*AU$2))/$G37,_xll.qlInterpolationInterpolate(AS$3,$F37,TRUE))</f>
        <v>#NAME?</v>
      </c>
      <c r="AU37" s="440" t="str">
        <f ca="1">IF(AND(NOT(AS37),AND(AS$4:AS36)),MIN(EXP((AT37-$J37)*$G37),1),"")</f>
        <v/>
      </c>
      <c r="AW37" s="441" t="b">
        <f ca="1">IF(AND(NOT(AS37),AND(AS$4:AS36)),TRUE,AS37)</f>
        <v>0</v>
      </c>
      <c r="AX37" s="440" t="e">
        <f ca="1">IF(AND(NOT(ISBLANK(Jumpoverwrite10)),AND(NOT(AW37),AND(AW$4:AW36))),($J37*$G37-LN(1+Jumpoverwrite10*AY$2))/$G37,_xll.qlInterpolationInterpolate(AW$3,$F37,TRUE))</f>
        <v>#NAME?</v>
      </c>
      <c r="AY37" s="440" t="str">
        <f ca="1">IF(AND(NOT(AW37),AND(AW$4:AW36)),MIN(EXP((AX37-$J37)*$G37),1),"")</f>
        <v/>
      </c>
      <c r="BA37" s="441" t="b">
        <f ca="1">IF(AND(NOT(AW37),AND(AW$4:AW36)),TRUE,AW37)</f>
        <v>0</v>
      </c>
      <c r="BB37" s="440" t="e">
        <f ca="1">IF(AND(NOT(ISBLANK(Jumpoverwrite11)),AND(NOT(BA37),AND(BA$4:BA36))),($J37*$G37-LN(1+Jumpoverwrite11*BC$2))/$G37,_xll.qlInterpolationInterpolate(BA$3,$F37,TRUE))</f>
        <v>#NAME?</v>
      </c>
      <c r="BC37" s="440" t="str">
        <f ca="1">IF(AND(NOT(BA37),AND(BA$4:BA36)),MIN(EXP((BB37-$J37)*$G37),1),"")</f>
        <v/>
      </c>
      <c r="BE37" s="441" t="b">
        <f ca="1">IF(AND(NOT(BA37),AND(BA$4:BA36)),TRUE,BA37)</f>
        <v>0</v>
      </c>
      <c r="BF37" s="440" t="e">
        <f ca="1">IF(AND(NOT(ISBLANK(Jumpoverwrite12)),AND(NOT(BE37),AND(BE$4:BE36))),($J37*$G37-LN(1+Jumpoverwrite12*BG$2))/$G37,_xll.qlInterpolationInterpolate(BE$3,$F37,TRUE))</f>
        <v>#NAME?</v>
      </c>
      <c r="BG37" s="440" t="str">
        <f ca="1">IF(AND(NOT(BE37),AND(BE$4:BE36)),MIN(EXP((BF37-$J37)*$G37),1),"")</f>
        <v/>
      </c>
      <c r="BI37" s="441" t="b">
        <f t="shared" ref="BI37:BI68" ca="1" si="7">IF(ISERROR(K37),FALSE,IF(YEAR(K37)-YEAR(SettlementDate)=2,FALSE,TRUE))</f>
        <v>0</v>
      </c>
      <c r="BJ37" s="440" t="e">
        <f ca="1">IF(AND(NOT(ISBLANK(jumpoverwrite13)),AND(NOT(BI37),AND(BI$4:BI36))),($J37*$G37-LN(1+jumpoverwrite13*BK$2))/$G37,_xll.qlInterpolationInterpolate(BI$3,$F37,TRUE))</f>
        <v>#NAME?</v>
      </c>
      <c r="BK37" s="440" t="str">
        <f ca="1">IF(AND(NOT(BI37),AND(BI$4:BI36)),MIN(EXP((BJ37-$J37)*$G37),1),"")</f>
        <v/>
      </c>
    </row>
    <row r="38" spans="1:63" x14ac:dyDescent="0.2">
      <c r="A38" s="439" t="e">
        <f ca="1"/>
        <v>#NAME?</v>
      </c>
      <c r="B38" s="438" t="e">
        <f ca="1">_xll.qlRateHelperRate($A38,InterestRatesTrigger)</f>
        <v>#NAME?</v>
      </c>
      <c r="C38" s="437" t="e">
        <f ca="1">_xll.qlRateHelperEarliestDate($A38)</f>
        <v>#NAME?</v>
      </c>
      <c r="D38" s="436" t="e">
        <f ca="1">_xll.qlRateHelperPillarDate($A38)</f>
        <v>#NAME?</v>
      </c>
      <c r="F38" s="446" t="e">
        <f t="shared" ca="1" si="5"/>
        <v>#N/A</v>
      </c>
      <c r="G38" s="445" t="e">
        <f ca="1">_xll.qlDayCounterYearFraction(DayCounter,D37,D38)</f>
        <v>#NAME?</v>
      </c>
      <c r="I38" s="444" t="b">
        <f t="shared" ca="1" si="6"/>
        <v>0</v>
      </c>
      <c r="J38" s="443" t="e">
        <f ca="1"/>
        <v>#NAME?</v>
      </c>
      <c r="K38" s="442" t="e">
        <f t="shared" ca="1" si="4"/>
        <v>#NAME?</v>
      </c>
      <c r="L38" s="430"/>
      <c r="M38" s="441" t="b">
        <f ca="1">IF(AND(NOT(I38),AND(I$4:I37)),TRUE,I38)</f>
        <v>0</v>
      </c>
      <c r="N38" s="440" t="e">
        <f ca="1">IF(AND(NOT(ISBLANK(Jumpoverwrite1)),AND(NOT(M38),AND(M$4:M37))),($J38*$G38-LN(1+Jumpoverwrite1*O$2))/$G38,_xll.qlInterpolationInterpolate(M$3,$F38,TRUE))</f>
        <v>#NAME?</v>
      </c>
      <c r="O38" s="440" t="str">
        <f ca="1">IF(AND(NOT(M38),AND(M$4:M37)),MIN(EXP((N38-$J38)*$G38),1),"")</f>
        <v/>
      </c>
      <c r="P38" s="429"/>
      <c r="Q38" s="441" t="b">
        <f ca="1">IF(AND(NOT(M38),AND(M$4:M37)),TRUE,M38)</f>
        <v>0</v>
      </c>
      <c r="R38" s="440" t="e">
        <f ca="1">IF(AND(NOT(ISBLANK(Jumpoverwrite2)),AND(NOT(Q38),AND(Q$4:Q37))),($J38*$G38-LN(1+Jumpoverwrite2*S$2))/$G38,_xll.qlInterpolationInterpolate(Q$3,$F38,TRUE))</f>
        <v>#NAME?</v>
      </c>
      <c r="S38" s="440" t="str">
        <f ca="1">IF(AND(NOT(Q38),AND(Q$4:Q37)),MIN(EXP((R38-$J38)*$G38),1),"")</f>
        <v/>
      </c>
      <c r="T38" s="429"/>
      <c r="U38" s="441" t="b">
        <f ca="1">IF(AND(NOT(Q38),AND(Q$4:Q37)),TRUE,Q38)</f>
        <v>0</v>
      </c>
      <c r="V38" s="440" t="e">
        <f ca="1">IF(AND(NOT(ISBLANK(Jumpoverwrite3)),AND(NOT(U38),AND(U$4:U37))),($J38*$G38-LN(1+Jumpoverwrite3*W$2))/$G38,_xll.qlInterpolationInterpolate(U$3,$F38,TRUE))</f>
        <v>#NAME?</v>
      </c>
      <c r="W38" s="440" t="str">
        <f ca="1">IF(AND(NOT(U38),AND(U$4:U37)),MIN(EXP((V38-$J38)*$G38),1),"")</f>
        <v/>
      </c>
      <c r="X38" s="429"/>
      <c r="Y38" s="441" t="b">
        <f ca="1">IF(AND(NOT(U38),AND(U$4:U37)),TRUE,U38)</f>
        <v>0</v>
      </c>
      <c r="Z38" s="440" t="e">
        <f ca="1">IF(AND(NOT(ISBLANK(Jumpoverwrite4)),AND(NOT(Y38),AND(Y$4:Y37))),($J38*$G38-LN(1+Jumpoverwrite4*AA$2))/$G38,_xll.qlInterpolationInterpolate(Y$3,$F38,TRUE))</f>
        <v>#NAME?</v>
      </c>
      <c r="AA38" s="440" t="str">
        <f ca="1">IF(AND(NOT(Y38),AND(Y$4:Y37)),MIN(EXP((Z38-$J38)*$G38),1),"")</f>
        <v/>
      </c>
      <c r="AB38" s="429"/>
      <c r="AC38" s="441" t="b">
        <f ca="1">IF(AND(NOT(Y38),AND(Y$4:Y37)),TRUE,Y38)</f>
        <v>0</v>
      </c>
      <c r="AD38" s="440" t="e">
        <f ca="1">IF(AND(NOT(ISBLANK(Jumpoverwrite5)),AND(NOT(AC38),AND(AC$4:AC37))),($J38*$G38-LN(1+Jumpoverwrite5*AE$2))/$G38,_xll.qlInterpolationInterpolate(AC$3,$F38,TRUE))</f>
        <v>#NAME?</v>
      </c>
      <c r="AE38" s="440" t="str">
        <f ca="1">IF(AND(NOT(AC38),AND(AC$4:AC37)),MIN(EXP((AD38-$J38)*$G38),1),"")</f>
        <v/>
      </c>
      <c r="AF38" s="429"/>
      <c r="AG38" s="441" t="b">
        <f ca="1">IF(AND(NOT(AC38),AND(AC$4:AC37)),TRUE,AC38)</f>
        <v>0</v>
      </c>
      <c r="AH38" s="440" t="e">
        <f ca="1">IF(AND(NOT(ISBLANK(Jumpoverwrite6)),AND(NOT(AG38),AND(AG$4:AG37))),($J38*$G38-LN(1+Jumpoverwrite6*AI$2))/$G38,_xll.qlInterpolationInterpolate(AG$3,$F38,TRUE))</f>
        <v>#NAME?</v>
      </c>
      <c r="AI38" s="440" t="str">
        <f ca="1">IF(AND(NOT(AG38),AND(AG$4:AG37)),MIN(EXP((AH38-$J38)*$G38),1),"")</f>
        <v/>
      </c>
      <c r="AJ38" s="429"/>
      <c r="AK38" s="441" t="b">
        <f ca="1">IF(AND(NOT(AG38),AND(AG$4:AG37)),TRUE,AG38)</f>
        <v>0</v>
      </c>
      <c r="AL38" s="440" t="e">
        <f ca="1">IF(AND(NOT(ISBLANK(Jumpoverwrite7)),AND(NOT(AK38),AND(AK$4:AK37))),($J38*$G38-LN(1+Jumpoverwrite7*AM$2))/$G38,_xll.qlInterpolationInterpolate(AK$3,$F38,TRUE))</f>
        <v>#NAME?</v>
      </c>
      <c r="AM38" s="440" t="str">
        <f ca="1">IF(AND(NOT(AK38),AND(AK$4:AK37)),MIN(EXP((AL38-$J38)*$G38),1),"")</f>
        <v/>
      </c>
      <c r="AO38" s="441" t="b">
        <f ca="1">IF(AND(NOT(AK38),AND(AK$4:AK37)),TRUE,AK38)</f>
        <v>0</v>
      </c>
      <c r="AP38" s="440" t="e">
        <f ca="1">IF(AND(NOT(ISBLANK(Jumpoverwrite8)),AND(NOT(AO38),AND(AO$4:AO37))),($J38*$G38-LN(1+Jumpoverwrite8*AQ$2))/$G38,_xll.qlInterpolationInterpolate(AO$3,$F38,TRUE))</f>
        <v>#NAME?</v>
      </c>
      <c r="AQ38" s="440" t="str">
        <f ca="1">IF(AND(NOT(AO38),AND(AO$4:AO37)),MIN(EXP((AP38-$J38)*$G38),1),"")</f>
        <v/>
      </c>
      <c r="AS38" s="441" t="b">
        <f ca="1">IF(AND(NOT(AO38),AND(AO$4:AO37)),TRUE,AO38)</f>
        <v>0</v>
      </c>
      <c r="AT38" s="440" t="e">
        <f ca="1">IF(AND(NOT(ISBLANK(Jumpoverwrite9)),AND(NOT(AS38),AND(AS$4:AS37))),($J38*$G38-LN(1+Jumpoverwrite9*AU$2))/$G38,_xll.qlInterpolationInterpolate(AS$3,$F38,TRUE))</f>
        <v>#NAME?</v>
      </c>
      <c r="AU38" s="440" t="str">
        <f ca="1">IF(AND(NOT(AS38),AND(AS$4:AS37)),MIN(EXP((AT38-$J38)*$G38),1),"")</f>
        <v/>
      </c>
      <c r="AW38" s="441" t="b">
        <f ca="1">IF(AND(NOT(AS38),AND(AS$4:AS37)),TRUE,AS38)</f>
        <v>0</v>
      </c>
      <c r="AX38" s="440" t="e">
        <f ca="1">IF(AND(NOT(ISBLANK(Jumpoverwrite10)),AND(NOT(AW38),AND(AW$4:AW37))),($J38*$G38-LN(1+Jumpoverwrite10*AY$2))/$G38,_xll.qlInterpolationInterpolate(AW$3,$F38,TRUE))</f>
        <v>#NAME?</v>
      </c>
      <c r="AY38" s="440" t="str">
        <f ca="1">IF(AND(NOT(AW38),AND(AW$4:AW37)),MIN(EXP((AX38-$J38)*$G38),1),"")</f>
        <v/>
      </c>
      <c r="BA38" s="441" t="b">
        <f ca="1">IF(AND(NOT(AW38),AND(AW$4:AW37)),TRUE,AW38)</f>
        <v>0</v>
      </c>
      <c r="BB38" s="440" t="e">
        <f ca="1">IF(AND(NOT(ISBLANK(Jumpoverwrite11)),AND(NOT(BA38),AND(BA$4:BA37))),($J38*$G38-LN(1+Jumpoverwrite11*BC$2))/$G38,_xll.qlInterpolationInterpolate(BA$3,$F38,TRUE))</f>
        <v>#NAME?</v>
      </c>
      <c r="BC38" s="440" t="str">
        <f ca="1">IF(AND(NOT(BA38),AND(BA$4:BA37)),MIN(EXP((BB38-$J38)*$G38),1),"")</f>
        <v/>
      </c>
      <c r="BE38" s="441" t="b">
        <f ca="1">IF(AND(NOT(BA38),AND(BA$4:BA37)),TRUE,BA38)</f>
        <v>0</v>
      </c>
      <c r="BF38" s="440" t="e">
        <f ca="1">IF(AND(NOT(ISBLANK(Jumpoverwrite12)),AND(NOT(BE38),AND(BE$4:BE37))),($J38*$G38-LN(1+Jumpoverwrite12*BG$2))/$G38,_xll.qlInterpolationInterpolate(BE$3,$F38,TRUE))</f>
        <v>#NAME?</v>
      </c>
      <c r="BG38" s="440" t="str">
        <f ca="1">IF(AND(NOT(BE38),AND(BE$4:BE37)),MIN(EXP((BF38-$J38)*$G38),1),"")</f>
        <v/>
      </c>
      <c r="BI38" s="441" t="b">
        <f t="shared" ca="1" si="7"/>
        <v>0</v>
      </c>
      <c r="BJ38" s="440" t="e">
        <f ca="1">IF(AND(NOT(ISBLANK(jumpoverwrite13)),AND(NOT(BI38),AND(BI$4:BI37))),($J38*$G38-LN(1+jumpoverwrite13*BK$2))/$G38,_xll.qlInterpolationInterpolate(BI$3,$F38,TRUE))</f>
        <v>#NAME?</v>
      </c>
      <c r="BK38" s="440" t="str">
        <f ca="1">IF(AND(NOT(BI38),AND(BI$4:BI37)),MIN(EXP((BJ38-$J38)*$G38),1),"")</f>
        <v/>
      </c>
    </row>
    <row r="39" spans="1:63" x14ac:dyDescent="0.2">
      <c r="A39" s="439" t="e">
        <f ca="1"/>
        <v>#NAME?</v>
      </c>
      <c r="B39" s="438" t="e">
        <f ca="1">_xll.qlRateHelperRate($A39,InterestRatesTrigger)</f>
        <v>#NAME?</v>
      </c>
      <c r="C39" s="437" t="e">
        <f ca="1">_xll.qlRateHelperEarliestDate($A39)</f>
        <v>#NAME?</v>
      </c>
      <c r="D39" s="436" t="e">
        <f ca="1">_xll.qlRateHelperPillarDate($A39)</f>
        <v>#NAME?</v>
      </c>
      <c r="F39" s="446" t="e">
        <f t="shared" ca="1" si="5"/>
        <v>#N/A</v>
      </c>
      <c r="G39" s="445" t="e">
        <f ca="1">_xll.qlDayCounterYearFraction(DayCounter,D38,D39)</f>
        <v>#NAME?</v>
      </c>
      <c r="I39" s="444" t="b">
        <f t="shared" ca="1" si="6"/>
        <v>0</v>
      </c>
      <c r="J39" s="443" t="e">
        <f ca="1"/>
        <v>#NAME?</v>
      </c>
      <c r="K39" s="442" t="e">
        <f t="shared" ca="1" si="4"/>
        <v>#NAME?</v>
      </c>
      <c r="L39" s="430"/>
      <c r="M39" s="441" t="b">
        <f ca="1">IF(AND(NOT(I39),AND(I$4:I38)),TRUE,I39)</f>
        <v>0</v>
      </c>
      <c r="N39" s="440" t="e">
        <f ca="1">IF(AND(NOT(ISBLANK(Jumpoverwrite1)),AND(NOT(M39),AND(M$4:M38))),($J39*$G39-LN(1+Jumpoverwrite1*O$2))/$G39,_xll.qlInterpolationInterpolate(M$3,$F39,TRUE))</f>
        <v>#NAME?</v>
      </c>
      <c r="O39" s="440" t="str">
        <f ca="1">IF(AND(NOT(M39),AND(M$4:M38)),MIN(EXP((N39-$J39)*$G39),1),"")</f>
        <v/>
      </c>
      <c r="P39" s="429"/>
      <c r="Q39" s="441" t="b">
        <f ca="1">IF(AND(NOT(M39),AND(M$4:M38)),TRUE,M39)</f>
        <v>0</v>
      </c>
      <c r="R39" s="440" t="e">
        <f ca="1">IF(AND(NOT(ISBLANK(Jumpoverwrite2)),AND(NOT(Q39),AND(Q$4:Q38))),($J39*$G39-LN(1+Jumpoverwrite2*S$2))/$G39,_xll.qlInterpolationInterpolate(Q$3,$F39,TRUE))</f>
        <v>#NAME?</v>
      </c>
      <c r="S39" s="440" t="str">
        <f ca="1">IF(AND(NOT(Q39),AND(Q$4:Q38)),MIN(EXP((R39-$J39)*$G39),1),"")</f>
        <v/>
      </c>
      <c r="T39" s="429"/>
      <c r="U39" s="441" t="b">
        <f ca="1">IF(AND(NOT(Q39),AND(Q$4:Q38)),TRUE,Q39)</f>
        <v>0</v>
      </c>
      <c r="V39" s="440" t="e">
        <f ca="1">IF(AND(NOT(ISBLANK(Jumpoverwrite3)),AND(NOT(U39),AND(U$4:U38))),($J39*$G39-LN(1+Jumpoverwrite3*W$2))/$G39,_xll.qlInterpolationInterpolate(U$3,$F39,TRUE))</f>
        <v>#NAME?</v>
      </c>
      <c r="W39" s="440" t="str">
        <f ca="1">IF(AND(NOT(U39),AND(U$4:U38)),MIN(EXP((V39-$J39)*$G39),1),"")</f>
        <v/>
      </c>
      <c r="X39" s="429"/>
      <c r="Y39" s="441" t="b">
        <f ca="1">IF(AND(NOT(U39),AND(U$4:U38)),TRUE,U39)</f>
        <v>0</v>
      </c>
      <c r="Z39" s="440" t="e">
        <f ca="1">IF(AND(NOT(ISBLANK(Jumpoverwrite4)),AND(NOT(Y39),AND(Y$4:Y38))),($J39*$G39-LN(1+Jumpoverwrite4*AA$2))/$G39,_xll.qlInterpolationInterpolate(Y$3,$F39,TRUE))</f>
        <v>#NAME?</v>
      </c>
      <c r="AA39" s="440" t="str">
        <f ca="1">IF(AND(NOT(Y39),AND(Y$4:Y38)),MIN(EXP((Z39-$J39)*$G39),1),"")</f>
        <v/>
      </c>
      <c r="AB39" s="429"/>
      <c r="AC39" s="441" t="b">
        <f ca="1">IF(AND(NOT(Y39),AND(Y$4:Y38)),TRUE,Y39)</f>
        <v>0</v>
      </c>
      <c r="AD39" s="440" t="e">
        <f ca="1">IF(AND(NOT(ISBLANK(Jumpoverwrite5)),AND(NOT(AC39),AND(AC$4:AC38))),($J39*$G39-LN(1+Jumpoverwrite5*AE$2))/$G39,_xll.qlInterpolationInterpolate(AC$3,$F39,TRUE))</f>
        <v>#NAME?</v>
      </c>
      <c r="AE39" s="440" t="str">
        <f ca="1">IF(AND(NOT(AC39),AND(AC$4:AC38)),MIN(EXP((AD39-$J39)*$G39),1),"")</f>
        <v/>
      </c>
      <c r="AF39" s="429"/>
      <c r="AG39" s="441" t="b">
        <f ca="1">IF(AND(NOT(AC39),AND(AC$4:AC38)),TRUE,AC39)</f>
        <v>0</v>
      </c>
      <c r="AH39" s="440" t="e">
        <f ca="1">IF(AND(NOT(ISBLANK(Jumpoverwrite6)),AND(NOT(AG39),AND(AG$4:AG38))),($J39*$G39-LN(1+Jumpoverwrite6*AI$2))/$G39,_xll.qlInterpolationInterpolate(AG$3,$F39,TRUE))</f>
        <v>#NAME?</v>
      </c>
      <c r="AI39" s="440" t="str">
        <f ca="1">IF(AND(NOT(AG39),AND(AG$4:AG38)),MIN(EXP((AH39-$J39)*$G39),1),"")</f>
        <v/>
      </c>
      <c r="AJ39" s="429"/>
      <c r="AK39" s="441" t="b">
        <f ca="1">IF(AND(NOT(AG39),AND(AG$4:AG38)),TRUE,AG39)</f>
        <v>0</v>
      </c>
      <c r="AL39" s="440" t="e">
        <f ca="1">IF(AND(NOT(ISBLANK(Jumpoverwrite7)),AND(NOT(AK39),AND(AK$4:AK38))),($J39*$G39-LN(1+Jumpoverwrite7*AM$2))/$G39,_xll.qlInterpolationInterpolate(AK$3,$F39,TRUE))</f>
        <v>#NAME?</v>
      </c>
      <c r="AM39" s="440" t="str">
        <f ca="1">IF(AND(NOT(AK39),AND(AK$4:AK38)),MIN(EXP((AL39-$J39)*$G39),1),"")</f>
        <v/>
      </c>
      <c r="AO39" s="441" t="b">
        <f ca="1">IF(AND(NOT(AK39),AND(AK$4:AK38)),TRUE,AK39)</f>
        <v>0</v>
      </c>
      <c r="AP39" s="440" t="e">
        <f ca="1">IF(AND(NOT(ISBLANK(Jumpoverwrite8)),AND(NOT(AO39),AND(AO$4:AO38))),($J39*$G39-LN(1+Jumpoverwrite8*AQ$2))/$G39,_xll.qlInterpolationInterpolate(AO$3,$F39,TRUE))</f>
        <v>#NAME?</v>
      </c>
      <c r="AQ39" s="440" t="str">
        <f ca="1">IF(AND(NOT(AO39),AND(AO$4:AO38)),MIN(EXP((AP39-$J39)*$G39),1),"")</f>
        <v/>
      </c>
      <c r="AS39" s="441" t="b">
        <f ca="1">IF(AND(NOT(AO39),AND(AO$4:AO38)),TRUE,AO39)</f>
        <v>0</v>
      </c>
      <c r="AT39" s="440" t="e">
        <f ca="1">IF(AND(NOT(ISBLANK(Jumpoverwrite9)),AND(NOT(AS39),AND(AS$4:AS38))),($J39*$G39-LN(1+Jumpoverwrite9*AU$2))/$G39,_xll.qlInterpolationInterpolate(AS$3,$F39,TRUE))</f>
        <v>#NAME?</v>
      </c>
      <c r="AU39" s="440" t="str">
        <f ca="1">IF(AND(NOT(AS39),AND(AS$4:AS38)),MIN(EXP((AT39-$J39)*$G39),1),"")</f>
        <v/>
      </c>
      <c r="AW39" s="441" t="b">
        <f ca="1">IF(AND(NOT(AS39),AND(AS$4:AS38)),TRUE,AS39)</f>
        <v>0</v>
      </c>
      <c r="AX39" s="440" t="e">
        <f ca="1">IF(AND(NOT(ISBLANK(Jumpoverwrite10)),AND(NOT(AW39),AND(AW$4:AW38))),($J39*$G39-LN(1+Jumpoverwrite10*AY$2))/$G39,_xll.qlInterpolationInterpolate(AW$3,$F39,TRUE))</f>
        <v>#NAME?</v>
      </c>
      <c r="AY39" s="440" t="str">
        <f ca="1">IF(AND(NOT(AW39),AND(AW$4:AW38)),MIN(EXP((AX39-$J39)*$G39),1),"")</f>
        <v/>
      </c>
      <c r="BA39" s="441" t="b">
        <f ca="1">IF(AND(NOT(AW39),AND(AW$4:AW38)),TRUE,AW39)</f>
        <v>0</v>
      </c>
      <c r="BB39" s="440" t="e">
        <f ca="1">IF(AND(NOT(ISBLANK(Jumpoverwrite11)),AND(NOT(BA39),AND(BA$4:BA38))),($J39*$G39-LN(1+Jumpoverwrite11*BC$2))/$G39,_xll.qlInterpolationInterpolate(BA$3,$F39,TRUE))</f>
        <v>#NAME?</v>
      </c>
      <c r="BC39" s="440" t="str">
        <f ca="1">IF(AND(NOT(BA39),AND(BA$4:BA38)),MIN(EXP((BB39-$J39)*$G39),1),"")</f>
        <v/>
      </c>
      <c r="BE39" s="441" t="b">
        <f ca="1">IF(AND(NOT(BA39),AND(BA$4:BA38)),TRUE,BA39)</f>
        <v>0</v>
      </c>
      <c r="BF39" s="440" t="e">
        <f ca="1">IF(AND(NOT(ISBLANK(Jumpoverwrite12)),AND(NOT(BE39),AND(BE$4:BE38))),($J39*$G39-LN(1+Jumpoverwrite12*BG$2))/$G39,_xll.qlInterpolationInterpolate(BE$3,$F39,TRUE))</f>
        <v>#NAME?</v>
      </c>
      <c r="BG39" s="440" t="str">
        <f ca="1">IF(AND(NOT(BE39),AND(BE$4:BE38)),MIN(EXP((BF39-$J39)*$G39),1),"")</f>
        <v/>
      </c>
      <c r="BI39" s="441" t="b">
        <f t="shared" ca="1" si="7"/>
        <v>0</v>
      </c>
      <c r="BJ39" s="440" t="e">
        <f ca="1">IF(AND(NOT(ISBLANK(jumpoverwrite13)),AND(NOT(BI39),AND(BI$4:BI38))),($J39*$G39-LN(1+jumpoverwrite13*BK$2))/$G39,_xll.qlInterpolationInterpolate(BI$3,$F39,TRUE))</f>
        <v>#NAME?</v>
      </c>
      <c r="BK39" s="440" t="str">
        <f ca="1">IF(AND(NOT(BI39),AND(BI$4:BI38)),MIN(EXP((BJ39-$J39)*$G39),1),"")</f>
        <v/>
      </c>
    </row>
    <row r="40" spans="1:63" x14ac:dyDescent="0.2">
      <c r="A40" s="439" t="e">
        <f ca="1"/>
        <v>#NAME?</v>
      </c>
      <c r="B40" s="438" t="e">
        <f ca="1">_xll.qlRateHelperRate($A40,InterestRatesTrigger)</f>
        <v>#NAME?</v>
      </c>
      <c r="C40" s="437" t="e">
        <f ca="1">_xll.qlRateHelperEarliestDate($A40)</f>
        <v>#NAME?</v>
      </c>
      <c r="D40" s="436" t="e">
        <f ca="1">_xll.qlRateHelperPillarDate($A40)</f>
        <v>#NAME?</v>
      </c>
      <c r="F40" s="446" t="e">
        <f t="shared" ca="1" si="5"/>
        <v>#N/A</v>
      </c>
      <c r="G40" s="445" t="e">
        <f ca="1">_xll.qlDayCounterYearFraction(DayCounter,D39,D40)</f>
        <v>#NAME?</v>
      </c>
      <c r="I40" s="444" t="b">
        <f t="shared" ca="1" si="6"/>
        <v>0</v>
      </c>
      <c r="J40" s="443" t="e">
        <f ca="1"/>
        <v>#NAME?</v>
      </c>
      <c r="K40" s="442" t="e">
        <f t="shared" ca="1" si="4"/>
        <v>#NAME?</v>
      </c>
      <c r="L40" s="430"/>
      <c r="M40" s="441" t="b">
        <f ca="1">IF(AND(NOT(I40),AND(I$4:I39)),TRUE,I40)</f>
        <v>0</v>
      </c>
      <c r="N40" s="440" t="e">
        <f ca="1">IF(AND(NOT(ISBLANK(Jumpoverwrite1)),AND(NOT(M40),AND(M$4:M39))),($J40*$G40-LN(1+Jumpoverwrite1*O$2))/$G40,_xll.qlInterpolationInterpolate(M$3,$F40,TRUE))</f>
        <v>#NAME?</v>
      </c>
      <c r="O40" s="440" t="str">
        <f ca="1">IF(AND(NOT(M40),AND(M$4:M39)),MIN(EXP((N40-$J40)*$G40),1),"")</f>
        <v/>
      </c>
      <c r="P40" s="429"/>
      <c r="Q40" s="441" t="b">
        <f ca="1">IF(AND(NOT(M40),AND(M$4:M39)),TRUE,M40)</f>
        <v>0</v>
      </c>
      <c r="R40" s="440" t="e">
        <f ca="1">IF(AND(NOT(ISBLANK(Jumpoverwrite2)),AND(NOT(Q40),AND(Q$4:Q39))),($J40*$G40-LN(1+Jumpoverwrite2*S$2))/$G40,_xll.qlInterpolationInterpolate(Q$3,$F40,TRUE))</f>
        <v>#NAME?</v>
      </c>
      <c r="S40" s="440" t="str">
        <f ca="1">IF(AND(NOT(Q40),AND(Q$4:Q39)),MIN(EXP((R40-$J40)*$G40),1),"")</f>
        <v/>
      </c>
      <c r="T40" s="429"/>
      <c r="U40" s="441" t="b">
        <f ca="1">IF(AND(NOT(Q40),AND(Q$4:Q39)),TRUE,Q40)</f>
        <v>0</v>
      </c>
      <c r="V40" s="440" t="e">
        <f ca="1">IF(AND(NOT(ISBLANK(Jumpoverwrite3)),AND(NOT(U40),AND(U$4:U39))),($J40*$G40-LN(1+Jumpoverwrite3*W$2))/$G40,_xll.qlInterpolationInterpolate(U$3,$F40,TRUE))</f>
        <v>#NAME?</v>
      </c>
      <c r="W40" s="440" t="str">
        <f ca="1">IF(AND(NOT(U40),AND(U$4:U39)),MIN(EXP((V40-$J40)*$G40),1),"")</f>
        <v/>
      </c>
      <c r="X40" s="429"/>
      <c r="Y40" s="441" t="b">
        <f ca="1">IF(AND(NOT(U40),AND(U$4:U39)),TRUE,U40)</f>
        <v>0</v>
      </c>
      <c r="Z40" s="440" t="e">
        <f ca="1">IF(AND(NOT(ISBLANK(Jumpoverwrite4)),AND(NOT(Y40),AND(Y$4:Y39))),($J40*$G40-LN(1+Jumpoverwrite4*AA$2))/$G40,_xll.qlInterpolationInterpolate(Y$3,$F40,TRUE))</f>
        <v>#NAME?</v>
      </c>
      <c r="AA40" s="440" t="str">
        <f ca="1">IF(AND(NOT(Y40),AND(Y$4:Y39)),MIN(EXP((Z40-$J40)*$G40),1),"")</f>
        <v/>
      </c>
      <c r="AB40" s="429"/>
      <c r="AC40" s="441" t="b">
        <f ca="1">IF(AND(NOT(Y40),AND(Y$4:Y39)),TRUE,Y40)</f>
        <v>0</v>
      </c>
      <c r="AD40" s="440" t="e">
        <f ca="1">IF(AND(NOT(ISBLANK(Jumpoverwrite5)),AND(NOT(AC40),AND(AC$4:AC39))),($J40*$G40-LN(1+Jumpoverwrite5*AE$2))/$G40,_xll.qlInterpolationInterpolate(AC$3,$F40,TRUE))</f>
        <v>#NAME?</v>
      </c>
      <c r="AE40" s="440" t="str">
        <f ca="1">IF(AND(NOT(AC40),AND(AC$4:AC39)),MIN(EXP((AD40-$J40)*$G40),1),"")</f>
        <v/>
      </c>
      <c r="AF40" s="429"/>
      <c r="AG40" s="441" t="b">
        <f ca="1">IF(AND(NOT(AC40),AND(AC$4:AC39)),TRUE,AC40)</f>
        <v>0</v>
      </c>
      <c r="AH40" s="440" t="e">
        <f ca="1">IF(AND(NOT(ISBLANK(Jumpoverwrite6)),AND(NOT(AG40),AND(AG$4:AG39))),($J40*$G40-LN(1+Jumpoverwrite6*AI$2))/$G40,_xll.qlInterpolationInterpolate(AG$3,$F40,TRUE))</f>
        <v>#NAME?</v>
      </c>
      <c r="AI40" s="440" t="str">
        <f ca="1">IF(AND(NOT(AG40),AND(AG$4:AG39)),MIN(EXP((AH40-$J40)*$G40),1),"")</f>
        <v/>
      </c>
      <c r="AJ40" s="429"/>
      <c r="AK40" s="441" t="b">
        <f ca="1">IF(AND(NOT(AG40),AND(AG$4:AG39)),TRUE,AG40)</f>
        <v>0</v>
      </c>
      <c r="AL40" s="440" t="e">
        <f ca="1">IF(AND(NOT(ISBLANK(Jumpoverwrite7)),AND(NOT(AK40),AND(AK$4:AK39))),($J40*$G40-LN(1+Jumpoverwrite7*AM$2))/$G40,_xll.qlInterpolationInterpolate(AK$3,$F40,TRUE))</f>
        <v>#NAME?</v>
      </c>
      <c r="AM40" s="440" t="str">
        <f ca="1">IF(AND(NOT(AK40),AND(AK$4:AK39)),MIN(EXP((AL40-$J40)*$G40),1),"")</f>
        <v/>
      </c>
      <c r="AO40" s="441" t="b">
        <f ca="1">IF(AND(NOT(AK40),AND(AK$4:AK39)),TRUE,AK40)</f>
        <v>0</v>
      </c>
      <c r="AP40" s="440" t="e">
        <f ca="1">IF(AND(NOT(ISBLANK(Jumpoverwrite8)),AND(NOT(AO40),AND(AO$4:AO39))),($J40*$G40-LN(1+Jumpoverwrite8*AQ$2))/$G40,_xll.qlInterpolationInterpolate(AO$3,$F40,TRUE))</f>
        <v>#NAME?</v>
      </c>
      <c r="AQ40" s="440" t="str">
        <f ca="1">IF(AND(NOT(AO40),AND(AO$4:AO39)),MIN(EXP((AP40-$J40)*$G40),1),"")</f>
        <v/>
      </c>
      <c r="AS40" s="441" t="b">
        <f ca="1">IF(AND(NOT(AO40),AND(AO$4:AO39)),TRUE,AO40)</f>
        <v>0</v>
      </c>
      <c r="AT40" s="440" t="e">
        <f ca="1">IF(AND(NOT(ISBLANK(Jumpoverwrite9)),AND(NOT(AS40),AND(AS$4:AS39))),($J40*$G40-LN(1+Jumpoverwrite9*AU$2))/$G40,_xll.qlInterpolationInterpolate(AS$3,$F40,TRUE))</f>
        <v>#NAME?</v>
      </c>
      <c r="AU40" s="440" t="str">
        <f ca="1">IF(AND(NOT(AS40),AND(AS$4:AS39)),MIN(EXP((AT40-$J40)*$G40),1),"")</f>
        <v/>
      </c>
      <c r="AW40" s="441" t="b">
        <f ca="1">IF(AND(NOT(AS40),AND(AS$4:AS39)),TRUE,AS40)</f>
        <v>0</v>
      </c>
      <c r="AX40" s="440" t="e">
        <f ca="1">IF(AND(NOT(ISBLANK(Jumpoverwrite10)),AND(NOT(AW40),AND(AW$4:AW39))),($J40*$G40-LN(1+Jumpoverwrite10*AY$2))/$G40,_xll.qlInterpolationInterpolate(AW$3,$F40,TRUE))</f>
        <v>#NAME?</v>
      </c>
      <c r="AY40" s="440" t="str">
        <f ca="1">IF(AND(NOT(AW40),AND(AW$4:AW39)),MIN(EXP((AX40-$J40)*$G40),1),"")</f>
        <v/>
      </c>
      <c r="BA40" s="441" t="b">
        <f ca="1">IF(AND(NOT(AW40),AND(AW$4:AW39)),TRUE,AW40)</f>
        <v>0</v>
      </c>
      <c r="BB40" s="440" t="e">
        <f ca="1">IF(AND(NOT(ISBLANK(Jumpoverwrite11)),AND(NOT(BA40),AND(BA$4:BA39))),($J40*$G40-LN(1+Jumpoverwrite11*BC$2))/$G40,_xll.qlInterpolationInterpolate(BA$3,$F40,TRUE))</f>
        <v>#NAME?</v>
      </c>
      <c r="BC40" s="440" t="str">
        <f ca="1">IF(AND(NOT(BA40),AND(BA$4:BA39)),MIN(EXP((BB40-$J40)*$G40),1),"")</f>
        <v/>
      </c>
      <c r="BE40" s="441" t="b">
        <f ca="1">IF(AND(NOT(BA40),AND(BA$4:BA39)),TRUE,BA40)</f>
        <v>0</v>
      </c>
      <c r="BF40" s="440" t="e">
        <f ca="1">IF(AND(NOT(ISBLANK(Jumpoverwrite12)),AND(NOT(BE40),AND(BE$4:BE39))),($J40*$G40-LN(1+Jumpoverwrite12*BG$2))/$G40,_xll.qlInterpolationInterpolate(BE$3,$F40,TRUE))</f>
        <v>#NAME?</v>
      </c>
      <c r="BG40" s="440" t="str">
        <f ca="1">IF(AND(NOT(BE40),AND(BE$4:BE39)),MIN(EXP((BF40-$J40)*$G40),1),"")</f>
        <v/>
      </c>
      <c r="BI40" s="441" t="b">
        <f t="shared" ca="1" si="7"/>
        <v>0</v>
      </c>
      <c r="BJ40" s="440" t="e">
        <f ca="1">IF(AND(NOT(ISBLANK(jumpoverwrite13)),AND(NOT(BI40),AND(BI$4:BI39))),($J40*$G40-LN(1+jumpoverwrite13*BK$2))/$G40,_xll.qlInterpolationInterpolate(BI$3,$F40,TRUE))</f>
        <v>#NAME?</v>
      </c>
      <c r="BK40" s="440" t="str">
        <f ca="1">IF(AND(NOT(BI40),AND(BI$4:BI39)),MIN(EXP((BJ40-$J40)*$G40),1),"")</f>
        <v/>
      </c>
    </row>
    <row r="41" spans="1:63" x14ac:dyDescent="0.2">
      <c r="A41" s="439" t="e">
        <f ca="1"/>
        <v>#NAME?</v>
      </c>
      <c r="B41" s="438" t="e">
        <f ca="1">_xll.qlRateHelperRate($A41,InterestRatesTrigger)</f>
        <v>#NAME?</v>
      </c>
      <c r="C41" s="437" t="e">
        <f ca="1">_xll.qlRateHelperEarliestDate($A41)</f>
        <v>#NAME?</v>
      </c>
      <c r="D41" s="436" t="e">
        <f ca="1">_xll.qlRateHelperPillarDate($A41)</f>
        <v>#NAME?</v>
      </c>
      <c r="F41" s="446" t="e">
        <f t="shared" ca="1" si="5"/>
        <v>#N/A</v>
      </c>
      <c r="G41" s="445" t="e">
        <f ca="1">_xll.qlDayCounterYearFraction(DayCounter,D40,D41)</f>
        <v>#NAME?</v>
      </c>
      <c r="I41" s="444" t="b">
        <f t="shared" ca="1" si="6"/>
        <v>0</v>
      </c>
      <c r="J41" s="443" t="e">
        <f ca="1"/>
        <v>#NAME?</v>
      </c>
      <c r="K41" s="442" t="e">
        <f t="shared" ca="1" si="4"/>
        <v>#NAME?</v>
      </c>
      <c r="L41" s="430"/>
      <c r="M41" s="441" t="b">
        <f ca="1">IF(AND(NOT(I41),AND(I$4:I40)),TRUE,I41)</f>
        <v>0</v>
      </c>
      <c r="N41" s="440" t="e">
        <f ca="1">IF(AND(NOT(ISBLANK(Jumpoverwrite1)),AND(NOT(M41),AND(M$4:M40))),($J41*$G41-LN(1+Jumpoverwrite1*O$2))/$G41,_xll.qlInterpolationInterpolate(M$3,$F41,TRUE))</f>
        <v>#NAME?</v>
      </c>
      <c r="O41" s="440" t="str">
        <f ca="1">IF(AND(NOT(M41),AND(M$4:M40)),MIN(EXP((N41-$J41)*$G41),1),"")</f>
        <v/>
      </c>
      <c r="P41" s="429"/>
      <c r="Q41" s="441" t="b">
        <f ca="1">IF(AND(NOT(M41),AND(M$4:M40)),TRUE,M41)</f>
        <v>0</v>
      </c>
      <c r="R41" s="440" t="e">
        <f ca="1">IF(AND(NOT(ISBLANK(Jumpoverwrite2)),AND(NOT(Q41),AND(Q$4:Q40))),($J41*$G41-LN(1+Jumpoverwrite2*S$2))/$G41,_xll.qlInterpolationInterpolate(Q$3,$F41,TRUE))</f>
        <v>#NAME?</v>
      </c>
      <c r="S41" s="440" t="str">
        <f ca="1">IF(AND(NOT(Q41),AND(Q$4:Q40)),MIN(EXP((R41-$J41)*$G41),1),"")</f>
        <v/>
      </c>
      <c r="T41" s="429"/>
      <c r="U41" s="441" t="b">
        <f ca="1">IF(AND(NOT(Q41),AND(Q$4:Q40)),TRUE,Q41)</f>
        <v>0</v>
      </c>
      <c r="V41" s="440" t="e">
        <f ca="1">IF(AND(NOT(ISBLANK(Jumpoverwrite3)),AND(NOT(U41),AND(U$4:U40))),($J41*$G41-LN(1+Jumpoverwrite3*W$2))/$G41,_xll.qlInterpolationInterpolate(U$3,$F41,TRUE))</f>
        <v>#NAME?</v>
      </c>
      <c r="W41" s="440" t="str">
        <f ca="1">IF(AND(NOT(U41),AND(U$4:U40)),MIN(EXP((V41-$J41)*$G41),1),"")</f>
        <v/>
      </c>
      <c r="X41" s="429"/>
      <c r="Y41" s="441" t="b">
        <f ca="1">IF(AND(NOT(U41),AND(U$4:U40)),TRUE,U41)</f>
        <v>0</v>
      </c>
      <c r="Z41" s="440" t="e">
        <f ca="1">IF(AND(NOT(ISBLANK(Jumpoverwrite4)),AND(NOT(Y41),AND(Y$4:Y40))),($J41*$G41-LN(1+Jumpoverwrite4*AA$2))/$G41,_xll.qlInterpolationInterpolate(Y$3,$F41,TRUE))</f>
        <v>#NAME?</v>
      </c>
      <c r="AA41" s="440" t="str">
        <f ca="1">IF(AND(NOT(Y41),AND(Y$4:Y40)),MIN(EXP((Z41-$J41)*$G41),1),"")</f>
        <v/>
      </c>
      <c r="AB41" s="429"/>
      <c r="AC41" s="441" t="b">
        <f ca="1">IF(AND(NOT(Y41),AND(Y$4:Y40)),TRUE,Y41)</f>
        <v>0</v>
      </c>
      <c r="AD41" s="440" t="e">
        <f ca="1">IF(AND(NOT(ISBLANK(Jumpoverwrite5)),AND(NOT(AC41),AND(AC$4:AC40))),($J41*$G41-LN(1+Jumpoverwrite5*AE$2))/$G41,_xll.qlInterpolationInterpolate(AC$3,$F41,TRUE))</f>
        <v>#NAME?</v>
      </c>
      <c r="AE41" s="440" t="str">
        <f ca="1">IF(AND(NOT(AC41),AND(AC$4:AC40)),MIN(EXP((AD41-$J41)*$G41),1),"")</f>
        <v/>
      </c>
      <c r="AF41" s="429"/>
      <c r="AG41" s="441" t="b">
        <f ca="1">IF(AND(NOT(AC41),AND(AC$4:AC40)),TRUE,AC41)</f>
        <v>0</v>
      </c>
      <c r="AH41" s="440" t="e">
        <f ca="1">IF(AND(NOT(ISBLANK(Jumpoverwrite6)),AND(NOT(AG41),AND(AG$4:AG40))),($J41*$G41-LN(1+Jumpoverwrite6*AI$2))/$G41,_xll.qlInterpolationInterpolate(AG$3,$F41,TRUE))</f>
        <v>#NAME?</v>
      </c>
      <c r="AI41" s="440" t="str">
        <f ca="1">IF(AND(NOT(AG41),AND(AG$4:AG40)),MIN(EXP((AH41-$J41)*$G41),1),"")</f>
        <v/>
      </c>
      <c r="AJ41" s="429"/>
      <c r="AK41" s="441" t="b">
        <f ca="1">IF(AND(NOT(AG41),AND(AG$4:AG40)),TRUE,AG41)</f>
        <v>0</v>
      </c>
      <c r="AL41" s="440" t="e">
        <f ca="1">IF(AND(NOT(ISBLANK(Jumpoverwrite7)),AND(NOT(AK41),AND(AK$4:AK40))),($J41*$G41-LN(1+Jumpoverwrite7*AM$2))/$G41,_xll.qlInterpolationInterpolate(AK$3,$F41,TRUE))</f>
        <v>#NAME?</v>
      </c>
      <c r="AM41" s="440" t="str">
        <f ca="1">IF(AND(NOT(AK41),AND(AK$4:AK40)),MIN(EXP((AL41-$J41)*$G41),1),"")</f>
        <v/>
      </c>
      <c r="AO41" s="441" t="b">
        <f ca="1">IF(AND(NOT(AK41),AND(AK$4:AK40)),TRUE,AK41)</f>
        <v>0</v>
      </c>
      <c r="AP41" s="440" t="e">
        <f ca="1">IF(AND(NOT(ISBLANK(Jumpoverwrite8)),AND(NOT(AO41),AND(AO$4:AO40))),($J41*$G41-LN(1+Jumpoverwrite8*AQ$2))/$G41,_xll.qlInterpolationInterpolate(AO$3,$F41,TRUE))</f>
        <v>#NAME?</v>
      </c>
      <c r="AQ41" s="440" t="str">
        <f ca="1">IF(AND(NOT(AO41),AND(AO$4:AO40)),MIN(EXP((AP41-$J41)*$G41),1),"")</f>
        <v/>
      </c>
      <c r="AS41" s="441" t="b">
        <f ca="1">IF(AND(NOT(AO41),AND(AO$4:AO40)),TRUE,AO41)</f>
        <v>0</v>
      </c>
      <c r="AT41" s="440" t="e">
        <f ca="1">IF(AND(NOT(ISBLANK(Jumpoverwrite9)),AND(NOT(AS41),AND(AS$4:AS40))),($J41*$G41-LN(1+Jumpoverwrite9*AU$2))/$G41,_xll.qlInterpolationInterpolate(AS$3,$F41,TRUE))</f>
        <v>#NAME?</v>
      </c>
      <c r="AU41" s="440" t="str">
        <f ca="1">IF(AND(NOT(AS41),AND(AS$4:AS40)),MIN(EXP((AT41-$J41)*$G41),1),"")</f>
        <v/>
      </c>
      <c r="AW41" s="441" t="b">
        <f ca="1">IF(AND(NOT(AS41),AND(AS$4:AS40)),TRUE,AS41)</f>
        <v>0</v>
      </c>
      <c r="AX41" s="440" t="e">
        <f ca="1">IF(AND(NOT(ISBLANK(Jumpoverwrite10)),AND(NOT(AW41),AND(AW$4:AW40))),($J41*$G41-LN(1+Jumpoverwrite10*AY$2))/$G41,_xll.qlInterpolationInterpolate(AW$3,$F41,TRUE))</f>
        <v>#NAME?</v>
      </c>
      <c r="AY41" s="440" t="str">
        <f ca="1">IF(AND(NOT(AW41),AND(AW$4:AW40)),MIN(EXP((AX41-$J41)*$G41),1),"")</f>
        <v/>
      </c>
      <c r="BA41" s="441" t="b">
        <f ca="1">IF(AND(NOT(AW41),AND(AW$4:AW40)),TRUE,AW41)</f>
        <v>0</v>
      </c>
      <c r="BB41" s="440" t="e">
        <f ca="1">IF(AND(NOT(ISBLANK(Jumpoverwrite11)),AND(NOT(BA41),AND(BA$4:BA40))),($J41*$G41-LN(1+Jumpoverwrite11*BC$2))/$G41,_xll.qlInterpolationInterpolate(BA$3,$F41,TRUE))</f>
        <v>#NAME?</v>
      </c>
      <c r="BC41" s="440" t="str">
        <f ca="1">IF(AND(NOT(BA41),AND(BA$4:BA40)),MIN(EXP((BB41-$J41)*$G41),1),"")</f>
        <v/>
      </c>
      <c r="BE41" s="441" t="b">
        <f ca="1">IF(AND(NOT(BA41),AND(BA$4:BA40)),TRUE,BA41)</f>
        <v>0</v>
      </c>
      <c r="BF41" s="440" t="e">
        <f ca="1">IF(AND(NOT(ISBLANK(Jumpoverwrite12)),AND(NOT(BE41),AND(BE$4:BE40))),($J41*$G41-LN(1+Jumpoverwrite12*BG$2))/$G41,_xll.qlInterpolationInterpolate(BE$3,$F41,TRUE))</f>
        <v>#NAME?</v>
      </c>
      <c r="BG41" s="440" t="str">
        <f ca="1">IF(AND(NOT(BE41),AND(BE$4:BE40)),MIN(EXP((BF41-$J41)*$G41),1),"")</f>
        <v/>
      </c>
      <c r="BI41" s="441" t="b">
        <f t="shared" ca="1" si="7"/>
        <v>0</v>
      </c>
      <c r="BJ41" s="440" t="e">
        <f ca="1">IF(AND(NOT(ISBLANK(jumpoverwrite13)),AND(NOT(BI41),AND(BI$4:BI40))),($J41*$G41-LN(1+jumpoverwrite13*BK$2))/$G41,_xll.qlInterpolationInterpolate(BI$3,$F41,TRUE))</f>
        <v>#NAME?</v>
      </c>
      <c r="BK41" s="440" t="str">
        <f ca="1">IF(AND(NOT(BI41),AND(BI$4:BI40)),MIN(EXP((BJ41-$J41)*$G41),1),"")</f>
        <v/>
      </c>
    </row>
    <row r="42" spans="1:63" x14ac:dyDescent="0.2">
      <c r="A42" s="439" t="e">
        <f ca="1"/>
        <v>#NAME?</v>
      </c>
      <c r="B42" s="438" t="e">
        <f ca="1">_xll.qlRateHelperRate($A42,InterestRatesTrigger)</f>
        <v>#NAME?</v>
      </c>
      <c r="C42" s="437" t="e">
        <f ca="1">_xll.qlRateHelperEarliestDate($A42)</f>
        <v>#NAME?</v>
      </c>
      <c r="D42" s="436" t="e">
        <f ca="1">_xll.qlRateHelperPillarDate($A42)</f>
        <v>#NAME?</v>
      </c>
      <c r="F42" s="446" t="e">
        <f t="shared" ca="1" si="5"/>
        <v>#N/A</v>
      </c>
      <c r="G42" s="445" t="e">
        <f ca="1">_xll.qlDayCounterYearFraction(DayCounter,D41,D42)</f>
        <v>#NAME?</v>
      </c>
      <c r="I42" s="444" t="b">
        <f t="shared" ca="1" si="6"/>
        <v>0</v>
      </c>
      <c r="J42" s="443" t="e">
        <f ca="1"/>
        <v>#NAME?</v>
      </c>
      <c r="K42" s="442" t="e">
        <f t="shared" ca="1" si="4"/>
        <v>#NAME?</v>
      </c>
      <c r="L42" s="430"/>
      <c r="M42" s="441" t="b">
        <f ca="1">IF(AND(NOT(I42),AND(I$4:I41)),TRUE,I42)</f>
        <v>0</v>
      </c>
      <c r="N42" s="440" t="e">
        <f ca="1">IF(AND(NOT(ISBLANK(Jumpoverwrite1)),AND(NOT(M42),AND(M$4:M41))),($J42*$G42-LN(1+Jumpoverwrite1*O$2))/$G42,_xll.qlInterpolationInterpolate(M$3,$F42,TRUE))</f>
        <v>#NAME?</v>
      </c>
      <c r="O42" s="440" t="str">
        <f ca="1">IF(AND(NOT(M42),AND(M$4:M41)),MIN(EXP((N42-$J42)*$G42),1),"")</f>
        <v/>
      </c>
      <c r="P42" s="429"/>
      <c r="Q42" s="441" t="b">
        <f ca="1">IF(AND(NOT(M42),AND(M$4:M41)),TRUE,M42)</f>
        <v>0</v>
      </c>
      <c r="R42" s="440" t="e">
        <f ca="1">IF(AND(NOT(ISBLANK(Jumpoverwrite2)),AND(NOT(Q42),AND(Q$4:Q41))),($J42*$G42-LN(1+Jumpoverwrite2*S$2))/$G42,_xll.qlInterpolationInterpolate(Q$3,$F42,TRUE))</f>
        <v>#NAME?</v>
      </c>
      <c r="S42" s="440" t="str">
        <f ca="1">IF(AND(NOT(Q42),AND(Q$4:Q41)),MIN(EXP((R42-$J42)*$G42),1),"")</f>
        <v/>
      </c>
      <c r="T42" s="429"/>
      <c r="U42" s="441" t="b">
        <f ca="1">IF(AND(NOT(Q42),AND(Q$4:Q41)),TRUE,Q42)</f>
        <v>0</v>
      </c>
      <c r="V42" s="440" t="e">
        <f ca="1">IF(AND(NOT(ISBLANK(Jumpoverwrite3)),AND(NOT(U42),AND(U$4:U41))),($J42*$G42-LN(1+Jumpoverwrite3*W$2))/$G42,_xll.qlInterpolationInterpolate(U$3,$F42,TRUE))</f>
        <v>#NAME?</v>
      </c>
      <c r="W42" s="440" t="str">
        <f ca="1">IF(AND(NOT(U42),AND(U$4:U41)),MIN(EXP((V42-$J42)*$G42),1),"")</f>
        <v/>
      </c>
      <c r="X42" s="429"/>
      <c r="Y42" s="441" t="b">
        <f ca="1">IF(AND(NOT(U42),AND(U$4:U41)),TRUE,U42)</f>
        <v>0</v>
      </c>
      <c r="Z42" s="440" t="e">
        <f ca="1">IF(AND(NOT(ISBLANK(Jumpoverwrite4)),AND(NOT(Y42),AND(Y$4:Y41))),($J42*$G42-LN(1+Jumpoverwrite4*AA$2))/$G42,_xll.qlInterpolationInterpolate(Y$3,$F42,TRUE))</f>
        <v>#NAME?</v>
      </c>
      <c r="AA42" s="440" t="str">
        <f ca="1">IF(AND(NOT(Y42),AND(Y$4:Y41)),MIN(EXP((Z42-$J42)*$G42),1),"")</f>
        <v/>
      </c>
      <c r="AB42" s="429"/>
      <c r="AC42" s="441" t="b">
        <f ca="1">IF(AND(NOT(Y42),AND(Y$4:Y41)),TRUE,Y42)</f>
        <v>0</v>
      </c>
      <c r="AD42" s="440" t="e">
        <f ca="1">IF(AND(NOT(ISBLANK(Jumpoverwrite5)),AND(NOT(AC42),AND(AC$4:AC41))),($J42*$G42-LN(1+Jumpoverwrite5*AE$2))/$G42,_xll.qlInterpolationInterpolate(AC$3,$F42,TRUE))</f>
        <v>#NAME?</v>
      </c>
      <c r="AE42" s="440" t="str">
        <f ca="1">IF(AND(NOT(AC42),AND(AC$4:AC41)),MIN(EXP((AD42-$J42)*$G42),1),"")</f>
        <v/>
      </c>
      <c r="AF42" s="429"/>
      <c r="AG42" s="441" t="b">
        <f ca="1">IF(AND(NOT(AC42),AND(AC$4:AC41)),TRUE,AC42)</f>
        <v>0</v>
      </c>
      <c r="AH42" s="440" t="e">
        <f ca="1">IF(AND(NOT(ISBLANK(Jumpoverwrite6)),AND(NOT(AG42),AND(AG$4:AG41))),($J42*$G42-LN(1+Jumpoverwrite6*AI$2))/$G42,_xll.qlInterpolationInterpolate(AG$3,$F42,TRUE))</f>
        <v>#NAME?</v>
      </c>
      <c r="AI42" s="440" t="str">
        <f ca="1">IF(AND(NOT(AG42),AND(AG$4:AG41)),MIN(EXP((AH42-$J42)*$G42),1),"")</f>
        <v/>
      </c>
      <c r="AJ42" s="429"/>
      <c r="AK42" s="441" t="b">
        <f ca="1">IF(AND(NOT(AG42),AND(AG$4:AG41)),TRUE,AG42)</f>
        <v>0</v>
      </c>
      <c r="AL42" s="440" t="e">
        <f ca="1">IF(AND(NOT(ISBLANK(Jumpoverwrite7)),AND(NOT(AK42),AND(AK$4:AK41))),($J42*$G42-LN(1+Jumpoverwrite7*AM$2))/$G42,_xll.qlInterpolationInterpolate(AK$3,$F42,TRUE))</f>
        <v>#NAME?</v>
      </c>
      <c r="AM42" s="440" t="str">
        <f ca="1">IF(AND(NOT(AK42),AND(AK$4:AK41)),MIN(EXP((AL42-$J42)*$G42),1),"")</f>
        <v/>
      </c>
      <c r="AO42" s="441" t="b">
        <f ca="1">IF(AND(NOT(AK42),AND(AK$4:AK41)),TRUE,AK42)</f>
        <v>0</v>
      </c>
      <c r="AP42" s="440" t="e">
        <f ca="1">IF(AND(NOT(ISBLANK(Jumpoverwrite8)),AND(NOT(AO42),AND(AO$4:AO41))),($J42*$G42-LN(1+Jumpoverwrite8*AQ$2))/$G42,_xll.qlInterpolationInterpolate(AO$3,$F42,TRUE))</f>
        <v>#NAME?</v>
      </c>
      <c r="AQ42" s="440" t="str">
        <f ca="1">IF(AND(NOT(AO42),AND(AO$4:AO41)),MIN(EXP((AP42-$J42)*$G42),1),"")</f>
        <v/>
      </c>
      <c r="AS42" s="441" t="b">
        <f ca="1">IF(AND(NOT(AO42),AND(AO$4:AO41)),TRUE,AO42)</f>
        <v>0</v>
      </c>
      <c r="AT42" s="440" t="e">
        <f ca="1">IF(AND(NOT(ISBLANK(Jumpoverwrite9)),AND(NOT(AS42),AND(AS$4:AS41))),($J42*$G42-LN(1+Jumpoverwrite9*AU$2))/$G42,_xll.qlInterpolationInterpolate(AS$3,$F42,TRUE))</f>
        <v>#NAME?</v>
      </c>
      <c r="AU42" s="440" t="str">
        <f ca="1">IF(AND(NOT(AS42),AND(AS$4:AS41)),MIN(EXP((AT42-$J42)*$G42),1),"")</f>
        <v/>
      </c>
      <c r="AW42" s="441" t="b">
        <f ca="1">IF(AND(NOT(AS42),AND(AS$4:AS41)),TRUE,AS42)</f>
        <v>0</v>
      </c>
      <c r="AX42" s="440" t="e">
        <f ca="1">IF(AND(NOT(ISBLANK(Jumpoverwrite10)),AND(NOT(AW42),AND(AW$4:AW41))),($J42*$G42-LN(1+Jumpoverwrite10*AY$2))/$G42,_xll.qlInterpolationInterpolate(AW$3,$F42,TRUE))</f>
        <v>#NAME?</v>
      </c>
      <c r="AY42" s="440" t="str">
        <f ca="1">IF(AND(NOT(AW42),AND(AW$4:AW41)),MIN(EXP((AX42-$J42)*$G42),1),"")</f>
        <v/>
      </c>
      <c r="BA42" s="441" t="b">
        <f ca="1">IF(AND(NOT(AW42),AND(AW$4:AW41)),TRUE,AW42)</f>
        <v>0</v>
      </c>
      <c r="BB42" s="440" t="e">
        <f ca="1">IF(AND(NOT(ISBLANK(Jumpoverwrite11)),AND(NOT(BA42),AND(BA$4:BA41))),($J42*$G42-LN(1+Jumpoverwrite11*BC$2))/$G42,_xll.qlInterpolationInterpolate(BA$3,$F42,TRUE))</f>
        <v>#NAME?</v>
      </c>
      <c r="BC42" s="440" t="str">
        <f ca="1">IF(AND(NOT(BA42),AND(BA$4:BA41)),MIN(EXP((BB42-$J42)*$G42),1),"")</f>
        <v/>
      </c>
      <c r="BE42" s="441" t="b">
        <f ca="1">IF(AND(NOT(BA42),AND(BA$4:BA41)),TRUE,BA42)</f>
        <v>0</v>
      </c>
      <c r="BF42" s="440" t="e">
        <f ca="1">IF(AND(NOT(ISBLANK(Jumpoverwrite12)),AND(NOT(BE42),AND(BE$4:BE41))),($J42*$G42-LN(1+Jumpoverwrite12*BG$2))/$G42,_xll.qlInterpolationInterpolate(BE$3,$F42,TRUE))</f>
        <v>#NAME?</v>
      </c>
      <c r="BG42" s="440" t="str">
        <f ca="1">IF(AND(NOT(BE42),AND(BE$4:BE41)),MIN(EXP((BF42-$J42)*$G42),1),"")</f>
        <v/>
      </c>
      <c r="BI42" s="441" t="b">
        <f t="shared" ca="1" si="7"/>
        <v>0</v>
      </c>
      <c r="BJ42" s="440" t="e">
        <f ca="1">IF(AND(NOT(ISBLANK(jumpoverwrite13)),AND(NOT(BI42),AND(BI$4:BI41))),($J42*$G42-LN(1+jumpoverwrite13*BK$2))/$G42,_xll.qlInterpolationInterpolate(BI$3,$F42,TRUE))</f>
        <v>#NAME?</v>
      </c>
      <c r="BK42" s="440" t="str">
        <f ca="1">IF(AND(NOT(BI42),AND(BI$4:BI41)),MIN(EXP((BJ42-$J42)*$G42),1),"")</f>
        <v/>
      </c>
    </row>
    <row r="43" spans="1:63" x14ac:dyDescent="0.2">
      <c r="A43" s="439" t="e">
        <f ca="1"/>
        <v>#NAME?</v>
      </c>
      <c r="B43" s="438" t="e">
        <f ca="1">_xll.qlRateHelperRate($A43,InterestRatesTrigger)</f>
        <v>#NAME?</v>
      </c>
      <c r="C43" s="437" t="e">
        <f ca="1">_xll.qlRateHelperEarliestDate($A43)</f>
        <v>#NAME?</v>
      </c>
      <c r="D43" s="436" t="e">
        <f ca="1">_xll.qlRateHelperPillarDate($A43)</f>
        <v>#NAME?</v>
      </c>
      <c r="F43" s="446" t="e">
        <f t="shared" ca="1" si="5"/>
        <v>#N/A</v>
      </c>
      <c r="G43" s="445" t="e">
        <f ca="1">_xll.qlDayCounterYearFraction(DayCounter,D42,D43)</f>
        <v>#NAME?</v>
      </c>
      <c r="I43" s="444" t="b">
        <f t="shared" ca="1" si="6"/>
        <v>0</v>
      </c>
      <c r="J43" s="443" t="e">
        <f ca="1"/>
        <v>#NAME?</v>
      </c>
      <c r="K43" s="442" t="e">
        <f t="shared" ca="1" si="4"/>
        <v>#NAME?</v>
      </c>
      <c r="L43" s="430"/>
      <c r="M43" s="441" t="b">
        <f ca="1">IF(AND(NOT(I43),AND(I$4:I42)),TRUE,I43)</f>
        <v>0</v>
      </c>
      <c r="N43" s="440" t="e">
        <f ca="1">IF(AND(NOT(ISBLANK(Jumpoverwrite1)),AND(NOT(M43),AND(M$4:M42))),($J43*$G43-LN(1+Jumpoverwrite1*O$2))/$G43,_xll.qlInterpolationInterpolate(M$3,$F43,TRUE))</f>
        <v>#NAME?</v>
      </c>
      <c r="O43" s="440" t="str">
        <f ca="1">IF(AND(NOT(M43),AND(M$4:M42)),MIN(EXP((N43-$J43)*$G43),1),"")</f>
        <v/>
      </c>
      <c r="P43" s="429"/>
      <c r="Q43" s="441" t="b">
        <f ca="1">IF(AND(NOT(M43),AND(M$4:M42)),TRUE,M43)</f>
        <v>0</v>
      </c>
      <c r="R43" s="440" t="e">
        <f ca="1">IF(AND(NOT(ISBLANK(Jumpoverwrite2)),AND(NOT(Q43),AND(Q$4:Q42))),($J43*$G43-LN(1+Jumpoverwrite2*S$2))/$G43,_xll.qlInterpolationInterpolate(Q$3,$F43,TRUE))</f>
        <v>#NAME?</v>
      </c>
      <c r="S43" s="440" t="str">
        <f ca="1">IF(AND(NOT(Q43),AND(Q$4:Q42)),MIN(EXP((R43-$J43)*$G43),1),"")</f>
        <v/>
      </c>
      <c r="T43" s="429"/>
      <c r="U43" s="441" t="b">
        <f ca="1">IF(AND(NOT(Q43),AND(Q$4:Q42)),TRUE,Q43)</f>
        <v>0</v>
      </c>
      <c r="V43" s="440" t="e">
        <f ca="1">IF(AND(NOT(ISBLANK(Jumpoverwrite3)),AND(NOT(U43),AND(U$4:U42))),($J43*$G43-LN(1+Jumpoverwrite3*W$2))/$G43,_xll.qlInterpolationInterpolate(U$3,$F43,TRUE))</f>
        <v>#NAME?</v>
      </c>
      <c r="W43" s="440" t="str">
        <f ca="1">IF(AND(NOT(U43),AND(U$4:U42)),MIN(EXP((V43-$J43)*$G43),1),"")</f>
        <v/>
      </c>
      <c r="X43" s="429"/>
      <c r="Y43" s="441" t="b">
        <f ca="1">IF(AND(NOT(U43),AND(U$4:U42)),TRUE,U43)</f>
        <v>0</v>
      </c>
      <c r="Z43" s="440" t="e">
        <f ca="1">IF(AND(NOT(ISBLANK(Jumpoverwrite4)),AND(NOT(Y43),AND(Y$4:Y42))),($J43*$G43-LN(1+Jumpoverwrite4*AA$2))/$G43,_xll.qlInterpolationInterpolate(Y$3,$F43,TRUE))</f>
        <v>#NAME?</v>
      </c>
      <c r="AA43" s="440" t="str">
        <f ca="1">IF(AND(NOT(Y43),AND(Y$4:Y42)),MIN(EXP((Z43-$J43)*$G43),1),"")</f>
        <v/>
      </c>
      <c r="AB43" s="429"/>
      <c r="AC43" s="441" t="b">
        <f ca="1">IF(AND(NOT(Y43),AND(Y$4:Y42)),TRUE,Y43)</f>
        <v>0</v>
      </c>
      <c r="AD43" s="440" t="e">
        <f ca="1">IF(AND(NOT(ISBLANK(Jumpoverwrite5)),AND(NOT(AC43),AND(AC$4:AC42))),($J43*$G43-LN(1+Jumpoverwrite5*AE$2))/$G43,_xll.qlInterpolationInterpolate(AC$3,$F43,TRUE))</f>
        <v>#NAME?</v>
      </c>
      <c r="AE43" s="440" t="str">
        <f ca="1">IF(AND(NOT(AC43),AND(AC$4:AC42)),MIN(EXP((AD43-$J43)*$G43),1),"")</f>
        <v/>
      </c>
      <c r="AF43" s="429"/>
      <c r="AG43" s="441" t="b">
        <f ca="1">IF(AND(NOT(AC43),AND(AC$4:AC42)),TRUE,AC43)</f>
        <v>0</v>
      </c>
      <c r="AH43" s="440" t="e">
        <f ca="1">IF(AND(NOT(ISBLANK(Jumpoverwrite6)),AND(NOT(AG43),AND(AG$4:AG42))),($J43*$G43-LN(1+Jumpoverwrite6*AI$2))/$G43,_xll.qlInterpolationInterpolate(AG$3,$F43,TRUE))</f>
        <v>#NAME?</v>
      </c>
      <c r="AI43" s="440" t="str">
        <f ca="1">IF(AND(NOT(AG43),AND(AG$4:AG42)),MIN(EXP((AH43-$J43)*$G43),1),"")</f>
        <v/>
      </c>
      <c r="AJ43" s="429"/>
      <c r="AK43" s="441" t="b">
        <f ca="1">IF(AND(NOT(AG43),AND(AG$4:AG42)),TRUE,AG43)</f>
        <v>0</v>
      </c>
      <c r="AL43" s="440" t="e">
        <f ca="1">IF(AND(NOT(ISBLANK(Jumpoverwrite7)),AND(NOT(AK43),AND(AK$4:AK42))),($J43*$G43-LN(1+Jumpoverwrite7*AM$2))/$G43,_xll.qlInterpolationInterpolate(AK$3,$F43,TRUE))</f>
        <v>#NAME?</v>
      </c>
      <c r="AM43" s="440" t="str">
        <f ca="1">IF(AND(NOT(AK43),AND(AK$4:AK42)),MIN(EXP((AL43-$J43)*$G43),1),"")</f>
        <v/>
      </c>
      <c r="AO43" s="441" t="b">
        <f ca="1">IF(AND(NOT(AK43),AND(AK$4:AK42)),TRUE,AK43)</f>
        <v>0</v>
      </c>
      <c r="AP43" s="440" t="e">
        <f ca="1">IF(AND(NOT(ISBLANK(Jumpoverwrite8)),AND(NOT(AO43),AND(AO$4:AO42))),($J43*$G43-LN(1+Jumpoverwrite8*AQ$2))/$G43,_xll.qlInterpolationInterpolate(AO$3,$F43,TRUE))</f>
        <v>#NAME?</v>
      </c>
      <c r="AQ43" s="440" t="str">
        <f ca="1">IF(AND(NOT(AO43),AND(AO$4:AO42)),MIN(EXP((AP43-$J43)*$G43),1),"")</f>
        <v/>
      </c>
      <c r="AS43" s="441" t="b">
        <f ca="1">IF(AND(NOT(AO43),AND(AO$4:AO42)),TRUE,AO43)</f>
        <v>0</v>
      </c>
      <c r="AT43" s="440" t="e">
        <f ca="1">IF(AND(NOT(ISBLANK(Jumpoverwrite9)),AND(NOT(AS43),AND(AS$4:AS42))),($J43*$G43-LN(1+Jumpoverwrite9*AU$2))/$G43,_xll.qlInterpolationInterpolate(AS$3,$F43,TRUE))</f>
        <v>#NAME?</v>
      </c>
      <c r="AU43" s="440" t="str">
        <f ca="1">IF(AND(NOT(AS43),AND(AS$4:AS42)),MIN(EXP((AT43-$J43)*$G43),1),"")</f>
        <v/>
      </c>
      <c r="AW43" s="441" t="b">
        <f ca="1">IF(AND(NOT(AS43),AND(AS$4:AS42)),TRUE,AS43)</f>
        <v>0</v>
      </c>
      <c r="AX43" s="440" t="e">
        <f ca="1">IF(AND(NOT(ISBLANK(Jumpoverwrite10)),AND(NOT(AW43),AND(AW$4:AW42))),($J43*$G43-LN(1+Jumpoverwrite10*AY$2))/$G43,_xll.qlInterpolationInterpolate(AW$3,$F43,TRUE))</f>
        <v>#NAME?</v>
      </c>
      <c r="AY43" s="440" t="str">
        <f ca="1">IF(AND(NOT(AW43),AND(AW$4:AW42)),MIN(EXP((AX43-$J43)*$G43),1),"")</f>
        <v/>
      </c>
      <c r="BA43" s="441" t="b">
        <f ca="1">IF(AND(NOT(AW43),AND(AW$4:AW42)),TRUE,AW43)</f>
        <v>0</v>
      </c>
      <c r="BB43" s="440" t="e">
        <f ca="1">IF(AND(NOT(ISBLANK(Jumpoverwrite11)),AND(NOT(BA43),AND(BA$4:BA42))),($J43*$G43-LN(1+Jumpoverwrite11*BC$2))/$G43,_xll.qlInterpolationInterpolate(BA$3,$F43,TRUE))</f>
        <v>#NAME?</v>
      </c>
      <c r="BC43" s="440" t="str">
        <f ca="1">IF(AND(NOT(BA43),AND(BA$4:BA42)),MIN(EXP((BB43-$J43)*$G43),1),"")</f>
        <v/>
      </c>
      <c r="BE43" s="441" t="b">
        <f ca="1">IF(AND(NOT(BA43),AND(BA$4:BA42)),TRUE,BA43)</f>
        <v>0</v>
      </c>
      <c r="BF43" s="440" t="e">
        <f ca="1">IF(AND(NOT(ISBLANK(Jumpoverwrite12)),AND(NOT(BE43),AND(BE$4:BE42))),($J43*$G43-LN(1+Jumpoverwrite12*BG$2))/$G43,_xll.qlInterpolationInterpolate(BE$3,$F43,TRUE))</f>
        <v>#NAME?</v>
      </c>
      <c r="BG43" s="440" t="str">
        <f ca="1">IF(AND(NOT(BE43),AND(BE$4:BE42)),MIN(EXP((BF43-$J43)*$G43),1),"")</f>
        <v/>
      </c>
      <c r="BI43" s="441" t="b">
        <f t="shared" ca="1" si="7"/>
        <v>0</v>
      </c>
      <c r="BJ43" s="440" t="e">
        <f ca="1">IF(AND(NOT(ISBLANK(jumpoverwrite13)),AND(NOT(BI43),AND(BI$4:BI42))),($J43*$G43-LN(1+jumpoverwrite13*BK$2))/$G43,_xll.qlInterpolationInterpolate(BI$3,$F43,TRUE))</f>
        <v>#NAME?</v>
      </c>
      <c r="BK43" s="440" t="str">
        <f ca="1">IF(AND(NOT(BI43),AND(BI$4:BI42)),MIN(EXP((BJ43-$J43)*$G43),1),"")</f>
        <v/>
      </c>
    </row>
    <row r="44" spans="1:63" x14ac:dyDescent="0.2">
      <c r="A44" s="439" t="e">
        <f ca="1"/>
        <v>#NAME?</v>
      </c>
      <c r="B44" s="438" t="e">
        <f ca="1">_xll.qlRateHelperRate($A44,InterestRatesTrigger)</f>
        <v>#NAME?</v>
      </c>
      <c r="C44" s="437" t="e">
        <f ca="1">_xll.qlRateHelperEarliestDate($A44)</f>
        <v>#NAME?</v>
      </c>
      <c r="D44" s="436" t="e">
        <f ca="1">_xll.qlRateHelperPillarDate($A44)</f>
        <v>#NAME?</v>
      </c>
      <c r="F44" s="446" t="e">
        <f t="shared" ca="1" si="5"/>
        <v>#N/A</v>
      </c>
      <c r="G44" s="445" t="e">
        <f ca="1">_xll.qlDayCounterYearFraction(DayCounter,D43,D44)</f>
        <v>#NAME?</v>
      </c>
      <c r="I44" s="444" t="b">
        <f t="shared" ca="1" si="6"/>
        <v>0</v>
      </c>
      <c r="J44" s="443" t="e">
        <f ca="1"/>
        <v>#NAME?</v>
      </c>
      <c r="K44" s="442" t="e">
        <f t="shared" ca="1" si="4"/>
        <v>#NAME?</v>
      </c>
      <c r="L44" s="430"/>
      <c r="M44" s="441" t="b">
        <f ca="1">IF(AND(NOT(I44),AND(I$4:I43)),TRUE,I44)</f>
        <v>0</v>
      </c>
      <c r="N44" s="440" t="e">
        <f ca="1">IF(AND(NOT(ISBLANK(Jumpoverwrite1)),AND(NOT(M44),AND(M$4:M43))),($J44*$G44-LN(1+Jumpoverwrite1*O$2))/$G44,_xll.qlInterpolationInterpolate(M$3,$F44,TRUE))</f>
        <v>#NAME?</v>
      </c>
      <c r="O44" s="440" t="str">
        <f ca="1">IF(AND(NOT(M44),AND(M$4:M43)),MIN(EXP((N44-$J44)*$G44),1),"")</f>
        <v/>
      </c>
      <c r="P44" s="429"/>
      <c r="Q44" s="441" t="b">
        <f ca="1">IF(AND(NOT(M44),AND(M$4:M43)),TRUE,M44)</f>
        <v>0</v>
      </c>
      <c r="R44" s="440" t="e">
        <f ca="1">IF(AND(NOT(ISBLANK(Jumpoverwrite2)),AND(NOT(Q44),AND(Q$4:Q43))),($J44*$G44-LN(1+Jumpoverwrite2*S$2))/$G44,_xll.qlInterpolationInterpolate(Q$3,$F44,TRUE))</f>
        <v>#NAME?</v>
      </c>
      <c r="S44" s="440" t="str">
        <f ca="1">IF(AND(NOT(Q44),AND(Q$4:Q43)),MIN(EXP((R44-$J44)*$G44),1),"")</f>
        <v/>
      </c>
      <c r="T44" s="429"/>
      <c r="U44" s="441" t="b">
        <f ca="1">IF(AND(NOT(Q44),AND(Q$4:Q43)),TRUE,Q44)</f>
        <v>0</v>
      </c>
      <c r="V44" s="440" t="e">
        <f ca="1">IF(AND(NOT(ISBLANK(Jumpoverwrite3)),AND(NOT(U44),AND(U$4:U43))),($J44*$G44-LN(1+Jumpoverwrite3*W$2))/$G44,_xll.qlInterpolationInterpolate(U$3,$F44,TRUE))</f>
        <v>#NAME?</v>
      </c>
      <c r="W44" s="440" t="str">
        <f ca="1">IF(AND(NOT(U44),AND(U$4:U43)),MIN(EXP((V44-$J44)*$G44),1),"")</f>
        <v/>
      </c>
      <c r="X44" s="429"/>
      <c r="Y44" s="441" t="b">
        <f ca="1">IF(AND(NOT(U44),AND(U$4:U43)),TRUE,U44)</f>
        <v>0</v>
      </c>
      <c r="Z44" s="440" t="e">
        <f ca="1">IF(AND(NOT(ISBLANK(Jumpoverwrite4)),AND(NOT(Y44),AND(Y$4:Y43))),($J44*$G44-LN(1+Jumpoverwrite4*AA$2))/$G44,_xll.qlInterpolationInterpolate(Y$3,$F44,TRUE))</f>
        <v>#NAME?</v>
      </c>
      <c r="AA44" s="440" t="str">
        <f ca="1">IF(AND(NOT(Y44),AND(Y$4:Y43)),MIN(EXP((Z44-$J44)*$G44),1),"")</f>
        <v/>
      </c>
      <c r="AB44" s="429"/>
      <c r="AC44" s="441" t="b">
        <f ca="1">IF(AND(NOT(Y44),AND(Y$4:Y43)),TRUE,Y44)</f>
        <v>0</v>
      </c>
      <c r="AD44" s="440" t="e">
        <f ca="1">IF(AND(NOT(ISBLANK(Jumpoverwrite5)),AND(NOT(AC44),AND(AC$4:AC43))),($J44*$G44-LN(1+Jumpoverwrite5*AE$2))/$G44,_xll.qlInterpolationInterpolate(AC$3,$F44,TRUE))</f>
        <v>#NAME?</v>
      </c>
      <c r="AE44" s="440" t="str">
        <f ca="1">IF(AND(NOT(AC44),AND(AC$4:AC43)),MIN(EXP((AD44-$J44)*$G44),1),"")</f>
        <v/>
      </c>
      <c r="AF44" s="429"/>
      <c r="AG44" s="441" t="b">
        <f ca="1">IF(AND(NOT(AC44),AND(AC$4:AC43)),TRUE,AC44)</f>
        <v>0</v>
      </c>
      <c r="AH44" s="440" t="e">
        <f ca="1">IF(AND(NOT(ISBLANK(Jumpoverwrite6)),AND(NOT(AG44),AND(AG$4:AG43))),($J44*$G44-LN(1+Jumpoverwrite6*AI$2))/$G44,_xll.qlInterpolationInterpolate(AG$3,$F44,TRUE))</f>
        <v>#NAME?</v>
      </c>
      <c r="AI44" s="440" t="str">
        <f ca="1">IF(AND(NOT(AG44),AND(AG$4:AG43)),MIN(EXP((AH44-$J44)*$G44),1),"")</f>
        <v/>
      </c>
      <c r="AJ44" s="429"/>
      <c r="AK44" s="441" t="b">
        <f ca="1">IF(AND(NOT(AG44),AND(AG$4:AG43)),TRUE,AG44)</f>
        <v>0</v>
      </c>
      <c r="AL44" s="440" t="e">
        <f ca="1">IF(AND(NOT(ISBLANK(Jumpoverwrite7)),AND(NOT(AK44),AND(AK$4:AK43))),($J44*$G44-LN(1+Jumpoverwrite7*AM$2))/$G44,_xll.qlInterpolationInterpolate(AK$3,$F44,TRUE))</f>
        <v>#NAME?</v>
      </c>
      <c r="AM44" s="440" t="str">
        <f ca="1">IF(AND(NOT(AK44),AND(AK$4:AK43)),MIN(EXP((AL44-$J44)*$G44),1),"")</f>
        <v/>
      </c>
      <c r="AO44" s="441" t="b">
        <f ca="1">IF(AND(NOT(AK44),AND(AK$4:AK43)),TRUE,AK44)</f>
        <v>0</v>
      </c>
      <c r="AP44" s="440" t="e">
        <f ca="1">IF(AND(NOT(ISBLANK(Jumpoverwrite8)),AND(NOT(AO44),AND(AO$4:AO43))),($J44*$G44-LN(1+Jumpoverwrite8*AQ$2))/$G44,_xll.qlInterpolationInterpolate(AO$3,$F44,TRUE))</f>
        <v>#NAME?</v>
      </c>
      <c r="AQ44" s="440" t="str">
        <f ca="1">IF(AND(NOT(AO44),AND(AO$4:AO43)),MIN(EXP((AP44-$J44)*$G44),1),"")</f>
        <v/>
      </c>
      <c r="AS44" s="441" t="b">
        <f ca="1">IF(AND(NOT(AO44),AND(AO$4:AO43)),TRUE,AO44)</f>
        <v>0</v>
      </c>
      <c r="AT44" s="440" t="e">
        <f ca="1">IF(AND(NOT(ISBLANK(Jumpoverwrite9)),AND(NOT(AS44),AND(AS$4:AS43))),($J44*$G44-LN(1+Jumpoverwrite9*AU$2))/$G44,_xll.qlInterpolationInterpolate(AS$3,$F44,TRUE))</f>
        <v>#NAME?</v>
      </c>
      <c r="AU44" s="440" t="str">
        <f ca="1">IF(AND(NOT(AS44),AND(AS$4:AS43)),MIN(EXP((AT44-$J44)*$G44),1),"")</f>
        <v/>
      </c>
      <c r="AW44" s="441" t="b">
        <f ca="1">IF(AND(NOT(AS44),AND(AS$4:AS43)),TRUE,AS44)</f>
        <v>0</v>
      </c>
      <c r="AX44" s="440" t="e">
        <f ca="1">IF(AND(NOT(ISBLANK(Jumpoverwrite10)),AND(NOT(AW44),AND(AW$4:AW43))),($J44*$G44-LN(1+Jumpoverwrite10*AY$2))/$G44,_xll.qlInterpolationInterpolate(AW$3,$F44,TRUE))</f>
        <v>#NAME?</v>
      </c>
      <c r="AY44" s="440" t="str">
        <f ca="1">IF(AND(NOT(AW44),AND(AW$4:AW43)),MIN(EXP((AX44-$J44)*$G44),1),"")</f>
        <v/>
      </c>
      <c r="BA44" s="441" t="b">
        <f ca="1">IF(AND(NOT(AW44),AND(AW$4:AW43)),TRUE,AW44)</f>
        <v>0</v>
      </c>
      <c r="BB44" s="440" t="e">
        <f ca="1">IF(AND(NOT(ISBLANK(Jumpoverwrite11)),AND(NOT(BA44),AND(BA$4:BA43))),($J44*$G44-LN(1+Jumpoverwrite11*BC$2))/$G44,_xll.qlInterpolationInterpolate(BA$3,$F44,TRUE))</f>
        <v>#NAME?</v>
      </c>
      <c r="BC44" s="440" t="str">
        <f ca="1">IF(AND(NOT(BA44),AND(BA$4:BA43)),MIN(EXP((BB44-$J44)*$G44),1),"")</f>
        <v/>
      </c>
      <c r="BE44" s="441" t="b">
        <f ca="1">IF(AND(NOT(BA44),AND(BA$4:BA43)),TRUE,BA44)</f>
        <v>0</v>
      </c>
      <c r="BF44" s="440" t="e">
        <f ca="1">IF(AND(NOT(ISBLANK(Jumpoverwrite12)),AND(NOT(BE44),AND(BE$4:BE43))),($J44*$G44-LN(1+Jumpoverwrite12*BG$2))/$G44,_xll.qlInterpolationInterpolate(BE$3,$F44,TRUE))</f>
        <v>#NAME?</v>
      </c>
      <c r="BG44" s="440" t="str">
        <f ca="1">IF(AND(NOT(BE44),AND(BE$4:BE43)),MIN(EXP((BF44-$J44)*$G44),1),"")</f>
        <v/>
      </c>
      <c r="BI44" s="441" t="b">
        <f t="shared" ca="1" si="7"/>
        <v>0</v>
      </c>
      <c r="BJ44" s="440" t="e">
        <f ca="1">IF(AND(NOT(ISBLANK(jumpoverwrite13)),AND(NOT(BI44),AND(BI$4:BI43))),($J44*$G44-LN(1+jumpoverwrite13*BK$2))/$G44,_xll.qlInterpolationInterpolate(BI$3,$F44,TRUE))</f>
        <v>#NAME?</v>
      </c>
      <c r="BK44" s="440" t="str">
        <f ca="1">IF(AND(NOT(BI44),AND(BI$4:BI43)),MIN(EXP((BJ44-$J44)*$G44),1),"")</f>
        <v/>
      </c>
    </row>
    <row r="45" spans="1:63" x14ac:dyDescent="0.2">
      <c r="A45" s="439" t="e">
        <f ca="1"/>
        <v>#NAME?</v>
      </c>
      <c r="B45" s="438" t="e">
        <f ca="1">_xll.qlRateHelperRate($A45,InterestRatesTrigger)</f>
        <v>#NAME?</v>
      </c>
      <c r="C45" s="437" t="e">
        <f ca="1">_xll.qlRateHelperEarliestDate($A45)</f>
        <v>#NAME?</v>
      </c>
      <c r="D45" s="436" t="e">
        <f ca="1">_xll.qlRateHelperPillarDate($A45)</f>
        <v>#NAME?</v>
      </c>
      <c r="F45" s="446" t="e">
        <f t="shared" ca="1" si="5"/>
        <v>#N/A</v>
      </c>
      <c r="G45" s="445" t="e">
        <f ca="1">_xll.qlDayCounterYearFraction(DayCounter,D44,D45)</f>
        <v>#NAME?</v>
      </c>
      <c r="I45" s="444" t="b">
        <f t="shared" ca="1" si="6"/>
        <v>0</v>
      </c>
      <c r="J45" s="443" t="e">
        <f ca="1"/>
        <v>#NAME?</v>
      </c>
      <c r="K45" s="442" t="e">
        <f t="shared" ca="1" si="4"/>
        <v>#NAME?</v>
      </c>
      <c r="L45" s="430"/>
      <c r="M45" s="441" t="b">
        <f ca="1">IF(AND(NOT(I45),AND(I$4:I44)),TRUE,I45)</f>
        <v>0</v>
      </c>
      <c r="N45" s="440" t="e">
        <f ca="1">IF(AND(NOT(ISBLANK(Jumpoverwrite1)),AND(NOT(M45),AND(M$4:M44))),($J45*$G45-LN(1+Jumpoverwrite1*O$2))/$G45,_xll.qlInterpolationInterpolate(M$3,$F45,TRUE))</f>
        <v>#NAME?</v>
      </c>
      <c r="O45" s="440" t="str">
        <f ca="1">IF(AND(NOT(M45),AND(M$4:M44)),MIN(EXP((N45-$J45)*$G45),1),"")</f>
        <v/>
      </c>
      <c r="P45" s="429"/>
      <c r="Q45" s="441" t="b">
        <f ca="1">IF(AND(NOT(M45),AND(M$4:M44)),TRUE,M45)</f>
        <v>0</v>
      </c>
      <c r="R45" s="440" t="e">
        <f ca="1">IF(AND(NOT(ISBLANK(Jumpoverwrite2)),AND(NOT(Q45),AND(Q$4:Q44))),($J45*$G45-LN(1+Jumpoverwrite2*S$2))/$G45,_xll.qlInterpolationInterpolate(Q$3,$F45,TRUE))</f>
        <v>#NAME?</v>
      </c>
      <c r="S45" s="440" t="str">
        <f ca="1">IF(AND(NOT(Q45),AND(Q$4:Q44)),MIN(EXP((R45-$J45)*$G45),1),"")</f>
        <v/>
      </c>
      <c r="T45" s="429"/>
      <c r="U45" s="441" t="b">
        <f ca="1">IF(AND(NOT(Q45),AND(Q$4:Q44)),TRUE,Q45)</f>
        <v>0</v>
      </c>
      <c r="V45" s="440" t="e">
        <f ca="1">IF(AND(NOT(ISBLANK(Jumpoverwrite3)),AND(NOT(U45),AND(U$4:U44))),($J45*$G45-LN(1+Jumpoverwrite3*W$2))/$G45,_xll.qlInterpolationInterpolate(U$3,$F45,TRUE))</f>
        <v>#NAME?</v>
      </c>
      <c r="W45" s="440" t="str">
        <f ca="1">IF(AND(NOT(U45),AND(U$4:U44)),MIN(EXP((V45-$J45)*$G45),1),"")</f>
        <v/>
      </c>
      <c r="X45" s="429"/>
      <c r="Y45" s="441" t="b">
        <f ca="1">IF(AND(NOT(U45),AND(U$4:U44)),TRUE,U45)</f>
        <v>0</v>
      </c>
      <c r="Z45" s="440" t="e">
        <f ca="1">IF(AND(NOT(ISBLANK(Jumpoverwrite4)),AND(NOT(Y45),AND(Y$4:Y44))),($J45*$G45-LN(1+Jumpoverwrite4*AA$2))/$G45,_xll.qlInterpolationInterpolate(Y$3,$F45,TRUE))</f>
        <v>#NAME?</v>
      </c>
      <c r="AA45" s="440" t="str">
        <f ca="1">IF(AND(NOT(Y45),AND(Y$4:Y44)),MIN(EXP((Z45-$J45)*$G45),1),"")</f>
        <v/>
      </c>
      <c r="AB45" s="429"/>
      <c r="AC45" s="441" t="b">
        <f ca="1">IF(AND(NOT(Y45),AND(Y$4:Y44)),TRUE,Y45)</f>
        <v>0</v>
      </c>
      <c r="AD45" s="440" t="e">
        <f ca="1">IF(AND(NOT(ISBLANK(Jumpoverwrite5)),AND(NOT(AC45),AND(AC$4:AC44))),($J45*$G45-LN(1+Jumpoverwrite5*AE$2))/$G45,_xll.qlInterpolationInterpolate(AC$3,$F45,TRUE))</f>
        <v>#NAME?</v>
      </c>
      <c r="AE45" s="440" t="str">
        <f ca="1">IF(AND(NOT(AC45),AND(AC$4:AC44)),MIN(EXP((AD45-$J45)*$G45),1),"")</f>
        <v/>
      </c>
      <c r="AF45" s="429"/>
      <c r="AG45" s="441" t="b">
        <f ca="1">IF(AND(NOT(AC45),AND(AC$4:AC44)),TRUE,AC45)</f>
        <v>0</v>
      </c>
      <c r="AH45" s="440" t="e">
        <f ca="1">IF(AND(NOT(ISBLANK(Jumpoverwrite6)),AND(NOT(AG45),AND(AG$4:AG44))),($J45*$G45-LN(1+Jumpoverwrite6*AI$2))/$G45,_xll.qlInterpolationInterpolate(AG$3,$F45,TRUE))</f>
        <v>#NAME?</v>
      </c>
      <c r="AI45" s="440" t="str">
        <f ca="1">IF(AND(NOT(AG45),AND(AG$4:AG44)),MIN(EXP((AH45-$J45)*$G45),1),"")</f>
        <v/>
      </c>
      <c r="AJ45" s="429"/>
      <c r="AK45" s="441" t="b">
        <f ca="1">IF(AND(NOT(AG45),AND(AG$4:AG44)),TRUE,AG45)</f>
        <v>0</v>
      </c>
      <c r="AL45" s="440" t="e">
        <f ca="1">IF(AND(NOT(ISBLANK(Jumpoverwrite7)),AND(NOT(AK45),AND(AK$4:AK44))),($J45*$G45-LN(1+Jumpoverwrite7*AM$2))/$G45,_xll.qlInterpolationInterpolate(AK$3,$F45,TRUE))</f>
        <v>#NAME?</v>
      </c>
      <c r="AM45" s="440" t="str">
        <f ca="1">IF(AND(NOT(AK45),AND(AK$4:AK44)),MIN(EXP((AL45-$J45)*$G45),1),"")</f>
        <v/>
      </c>
      <c r="AO45" s="441" t="b">
        <f ca="1">IF(AND(NOT(AK45),AND(AK$4:AK44)),TRUE,AK45)</f>
        <v>0</v>
      </c>
      <c r="AP45" s="440" t="e">
        <f ca="1">IF(AND(NOT(ISBLANK(Jumpoverwrite8)),AND(NOT(AO45),AND(AO$4:AO44))),($J45*$G45-LN(1+Jumpoverwrite8*AQ$2))/$G45,_xll.qlInterpolationInterpolate(AO$3,$F45,TRUE))</f>
        <v>#NAME?</v>
      </c>
      <c r="AQ45" s="440" t="str">
        <f ca="1">IF(AND(NOT(AO45),AND(AO$4:AO44)),MIN(EXP((AP45-$J45)*$G45),1),"")</f>
        <v/>
      </c>
      <c r="AS45" s="441" t="b">
        <f ca="1">IF(AND(NOT(AO45),AND(AO$4:AO44)),TRUE,AO45)</f>
        <v>0</v>
      </c>
      <c r="AT45" s="440" t="e">
        <f ca="1">IF(AND(NOT(ISBLANK(Jumpoverwrite9)),AND(NOT(AS45),AND(AS$4:AS44))),($J45*$G45-LN(1+Jumpoverwrite9*AU$2))/$G45,_xll.qlInterpolationInterpolate(AS$3,$F45,TRUE))</f>
        <v>#NAME?</v>
      </c>
      <c r="AU45" s="440" t="str">
        <f ca="1">IF(AND(NOT(AS45),AND(AS$4:AS44)),MIN(EXP((AT45-$J45)*$G45),1),"")</f>
        <v/>
      </c>
      <c r="AW45" s="441" t="b">
        <f ca="1">IF(AND(NOT(AS45),AND(AS$4:AS44)),TRUE,AS45)</f>
        <v>0</v>
      </c>
      <c r="AX45" s="440" t="e">
        <f ca="1">IF(AND(NOT(ISBLANK(Jumpoverwrite10)),AND(NOT(AW45),AND(AW$4:AW44))),($J45*$G45-LN(1+Jumpoverwrite10*AY$2))/$G45,_xll.qlInterpolationInterpolate(AW$3,$F45,TRUE))</f>
        <v>#NAME?</v>
      </c>
      <c r="AY45" s="440" t="str">
        <f ca="1">IF(AND(NOT(AW45),AND(AW$4:AW44)),MIN(EXP((AX45-$J45)*$G45),1),"")</f>
        <v/>
      </c>
      <c r="BA45" s="441" t="b">
        <f ca="1">IF(AND(NOT(AW45),AND(AW$4:AW44)),TRUE,AW45)</f>
        <v>0</v>
      </c>
      <c r="BB45" s="440" t="e">
        <f ca="1">IF(AND(NOT(ISBLANK(Jumpoverwrite11)),AND(NOT(BA45),AND(BA$4:BA44))),($J45*$G45-LN(1+Jumpoverwrite11*BC$2))/$G45,_xll.qlInterpolationInterpolate(BA$3,$F45,TRUE))</f>
        <v>#NAME?</v>
      </c>
      <c r="BC45" s="440" t="str">
        <f ca="1">IF(AND(NOT(BA45),AND(BA$4:BA44)),MIN(EXP((BB45-$J45)*$G45),1),"")</f>
        <v/>
      </c>
      <c r="BE45" s="441" t="b">
        <f ca="1">IF(AND(NOT(BA45),AND(BA$4:BA44)),TRUE,BA45)</f>
        <v>0</v>
      </c>
      <c r="BF45" s="440" t="e">
        <f ca="1">IF(AND(NOT(ISBLANK(Jumpoverwrite12)),AND(NOT(BE45),AND(BE$4:BE44))),($J45*$G45-LN(1+Jumpoverwrite12*BG$2))/$G45,_xll.qlInterpolationInterpolate(BE$3,$F45,TRUE))</f>
        <v>#NAME?</v>
      </c>
      <c r="BG45" s="440" t="str">
        <f ca="1">IF(AND(NOT(BE45),AND(BE$4:BE44)),MIN(EXP((BF45-$J45)*$G45),1),"")</f>
        <v/>
      </c>
      <c r="BI45" s="441" t="b">
        <f t="shared" ca="1" si="7"/>
        <v>0</v>
      </c>
      <c r="BJ45" s="440" t="e">
        <f ca="1">IF(AND(NOT(ISBLANK(jumpoverwrite13)),AND(NOT(BI45),AND(BI$4:BI44))),($J45*$G45-LN(1+jumpoverwrite13*BK$2))/$G45,_xll.qlInterpolationInterpolate(BI$3,$F45,TRUE))</f>
        <v>#NAME?</v>
      </c>
      <c r="BK45" s="440" t="str">
        <f ca="1">IF(AND(NOT(BI45),AND(BI$4:BI44)),MIN(EXP((BJ45-$J45)*$G45),1),"")</f>
        <v/>
      </c>
    </row>
    <row r="46" spans="1:63" x14ac:dyDescent="0.2">
      <c r="A46" s="439" t="e">
        <f ca="1"/>
        <v>#NAME?</v>
      </c>
      <c r="B46" s="438" t="e">
        <f ca="1">_xll.qlRateHelperRate($A46,InterestRatesTrigger)</f>
        <v>#NAME?</v>
      </c>
      <c r="C46" s="437" t="e">
        <f ca="1">_xll.qlRateHelperEarliestDate($A46)</f>
        <v>#NAME?</v>
      </c>
      <c r="D46" s="436" t="e">
        <f ca="1">_xll.qlRateHelperPillarDate($A46)</f>
        <v>#NAME?</v>
      </c>
      <c r="F46" s="446" t="e">
        <f t="shared" ca="1" si="5"/>
        <v>#N/A</v>
      </c>
      <c r="G46" s="445" t="e">
        <f ca="1">_xll.qlDayCounterYearFraction(DayCounter,D45,D46)</f>
        <v>#NAME?</v>
      </c>
      <c r="I46" s="444" t="b">
        <f t="shared" ca="1" si="6"/>
        <v>0</v>
      </c>
      <c r="J46" s="443" t="e">
        <f ca="1"/>
        <v>#NAME?</v>
      </c>
      <c r="K46" s="442" t="e">
        <f t="shared" ca="1" si="4"/>
        <v>#NAME?</v>
      </c>
      <c r="L46" s="430"/>
      <c r="M46" s="441" t="b">
        <f ca="1">IF(AND(NOT(I46),AND(I$4:I45)),TRUE,I46)</f>
        <v>0</v>
      </c>
      <c r="N46" s="440" t="e">
        <f ca="1">IF(AND(NOT(ISBLANK(Jumpoverwrite1)),AND(NOT(M46),AND(M$4:M45))),($J46*$G46-LN(1+Jumpoverwrite1*O$2))/$G46,_xll.qlInterpolationInterpolate(M$3,$F46,TRUE))</f>
        <v>#NAME?</v>
      </c>
      <c r="O46" s="440" t="str">
        <f ca="1">IF(AND(NOT(M46),AND(M$4:M45)),MIN(EXP((N46-$J46)*$G46),1),"")</f>
        <v/>
      </c>
      <c r="P46" s="429"/>
      <c r="Q46" s="441" t="b">
        <f ca="1">IF(AND(NOT(M46),AND(M$4:M45)),TRUE,M46)</f>
        <v>0</v>
      </c>
      <c r="R46" s="440" t="e">
        <f ca="1">IF(AND(NOT(ISBLANK(Jumpoverwrite2)),AND(NOT(Q46),AND(Q$4:Q45))),($J46*$G46-LN(1+Jumpoverwrite2*S$2))/$G46,_xll.qlInterpolationInterpolate(Q$3,$F46,TRUE))</f>
        <v>#NAME?</v>
      </c>
      <c r="S46" s="440" t="str">
        <f ca="1">IF(AND(NOT(Q46),AND(Q$4:Q45)),MIN(EXP((R46-$J46)*$G46),1),"")</f>
        <v/>
      </c>
      <c r="T46" s="429"/>
      <c r="U46" s="441" t="b">
        <f ca="1">IF(AND(NOT(Q46),AND(Q$4:Q45)),TRUE,Q46)</f>
        <v>0</v>
      </c>
      <c r="V46" s="440" t="e">
        <f ca="1">IF(AND(NOT(ISBLANK(Jumpoverwrite3)),AND(NOT(U46),AND(U$4:U45))),($J46*$G46-LN(1+Jumpoverwrite3*W$2))/$G46,_xll.qlInterpolationInterpolate(U$3,$F46,TRUE))</f>
        <v>#NAME?</v>
      </c>
      <c r="W46" s="440" t="str">
        <f ca="1">IF(AND(NOT(U46),AND(U$4:U45)),MIN(EXP((V46-$J46)*$G46),1),"")</f>
        <v/>
      </c>
      <c r="X46" s="429"/>
      <c r="Y46" s="441" t="b">
        <f ca="1">IF(AND(NOT(U46),AND(U$4:U45)),TRUE,U46)</f>
        <v>0</v>
      </c>
      <c r="Z46" s="440" t="e">
        <f ca="1">IF(AND(NOT(ISBLANK(Jumpoverwrite4)),AND(NOT(Y46),AND(Y$4:Y45))),($J46*$G46-LN(1+Jumpoverwrite4*AA$2))/$G46,_xll.qlInterpolationInterpolate(Y$3,$F46,TRUE))</f>
        <v>#NAME?</v>
      </c>
      <c r="AA46" s="440" t="str">
        <f ca="1">IF(AND(NOT(Y46),AND(Y$4:Y45)),MIN(EXP((Z46-$J46)*$G46),1),"")</f>
        <v/>
      </c>
      <c r="AB46" s="429"/>
      <c r="AC46" s="441" t="b">
        <f ca="1">IF(AND(NOT(Y46),AND(Y$4:Y45)),TRUE,Y46)</f>
        <v>0</v>
      </c>
      <c r="AD46" s="440" t="e">
        <f ca="1">IF(AND(NOT(ISBLANK(Jumpoverwrite5)),AND(NOT(AC46),AND(AC$4:AC45))),($J46*$G46-LN(1+Jumpoverwrite5*AE$2))/$G46,_xll.qlInterpolationInterpolate(AC$3,$F46,TRUE))</f>
        <v>#NAME?</v>
      </c>
      <c r="AE46" s="440" t="str">
        <f ca="1">IF(AND(NOT(AC46),AND(AC$4:AC45)),MIN(EXP((AD46-$J46)*$G46),1),"")</f>
        <v/>
      </c>
      <c r="AF46" s="429"/>
      <c r="AG46" s="441" t="b">
        <f ca="1">IF(AND(NOT(AC46),AND(AC$4:AC45)),TRUE,AC46)</f>
        <v>0</v>
      </c>
      <c r="AH46" s="440" t="e">
        <f ca="1">IF(AND(NOT(ISBLANK(Jumpoverwrite6)),AND(NOT(AG46),AND(AG$4:AG45))),($J46*$G46-LN(1+Jumpoverwrite6*AI$2))/$G46,_xll.qlInterpolationInterpolate(AG$3,$F46,TRUE))</f>
        <v>#NAME?</v>
      </c>
      <c r="AI46" s="440" t="str">
        <f ca="1">IF(AND(NOT(AG46),AND(AG$4:AG45)),MIN(EXP((AH46-$J46)*$G46),1),"")</f>
        <v/>
      </c>
      <c r="AJ46" s="429"/>
      <c r="AK46" s="441" t="b">
        <f ca="1">IF(AND(NOT(AG46),AND(AG$4:AG45)),TRUE,AG46)</f>
        <v>0</v>
      </c>
      <c r="AL46" s="440" t="e">
        <f ca="1">IF(AND(NOT(ISBLANK(Jumpoverwrite7)),AND(NOT(AK46),AND(AK$4:AK45))),($J46*$G46-LN(1+Jumpoverwrite7*AM$2))/$G46,_xll.qlInterpolationInterpolate(AK$3,$F46,TRUE))</f>
        <v>#NAME?</v>
      </c>
      <c r="AM46" s="440" t="str">
        <f ca="1">IF(AND(NOT(AK46),AND(AK$4:AK45)),MIN(EXP((AL46-$J46)*$G46),1),"")</f>
        <v/>
      </c>
      <c r="AO46" s="441" t="b">
        <f ca="1">IF(AND(NOT(AK46),AND(AK$4:AK45)),TRUE,AK46)</f>
        <v>0</v>
      </c>
      <c r="AP46" s="440" t="e">
        <f ca="1">IF(AND(NOT(ISBLANK(Jumpoverwrite8)),AND(NOT(AO46),AND(AO$4:AO45))),($J46*$G46-LN(1+Jumpoverwrite8*AQ$2))/$G46,_xll.qlInterpolationInterpolate(AO$3,$F46,TRUE))</f>
        <v>#NAME?</v>
      </c>
      <c r="AQ46" s="440" t="str">
        <f ca="1">IF(AND(NOT(AO46),AND(AO$4:AO45)),MIN(EXP((AP46-$J46)*$G46),1),"")</f>
        <v/>
      </c>
      <c r="AS46" s="441" t="b">
        <f ca="1">IF(AND(NOT(AO46),AND(AO$4:AO45)),TRUE,AO46)</f>
        <v>0</v>
      </c>
      <c r="AT46" s="440" t="e">
        <f ca="1">IF(AND(NOT(ISBLANK(Jumpoverwrite9)),AND(NOT(AS46),AND(AS$4:AS45))),($J46*$G46-LN(1+Jumpoverwrite9*AU$2))/$G46,_xll.qlInterpolationInterpolate(AS$3,$F46,TRUE))</f>
        <v>#NAME?</v>
      </c>
      <c r="AU46" s="440" t="str">
        <f ca="1">IF(AND(NOT(AS46),AND(AS$4:AS45)),MIN(EXP((AT46-$J46)*$G46),1),"")</f>
        <v/>
      </c>
      <c r="AW46" s="441" t="b">
        <f ca="1">IF(AND(NOT(AS46),AND(AS$4:AS45)),TRUE,AS46)</f>
        <v>0</v>
      </c>
      <c r="AX46" s="440" t="e">
        <f ca="1">IF(AND(NOT(ISBLANK(Jumpoverwrite10)),AND(NOT(AW46),AND(AW$4:AW45))),($J46*$G46-LN(1+Jumpoverwrite10*AY$2))/$G46,_xll.qlInterpolationInterpolate(AW$3,$F46,TRUE))</f>
        <v>#NAME?</v>
      </c>
      <c r="AY46" s="440" t="str">
        <f ca="1">IF(AND(NOT(AW46),AND(AW$4:AW45)),MIN(EXP((AX46-$J46)*$G46),1),"")</f>
        <v/>
      </c>
      <c r="BA46" s="441" t="b">
        <f ca="1">IF(AND(NOT(AW46),AND(AW$4:AW45)),TRUE,AW46)</f>
        <v>0</v>
      </c>
      <c r="BB46" s="440" t="e">
        <f ca="1">IF(AND(NOT(ISBLANK(Jumpoverwrite11)),AND(NOT(BA46),AND(BA$4:BA45))),($J46*$G46-LN(1+Jumpoverwrite11*BC$2))/$G46,_xll.qlInterpolationInterpolate(BA$3,$F46,TRUE))</f>
        <v>#NAME?</v>
      </c>
      <c r="BC46" s="440" t="str">
        <f ca="1">IF(AND(NOT(BA46),AND(BA$4:BA45)),MIN(EXP((BB46-$J46)*$G46),1),"")</f>
        <v/>
      </c>
      <c r="BE46" s="441" t="b">
        <f ca="1">IF(AND(NOT(BA46),AND(BA$4:BA45)),TRUE,BA46)</f>
        <v>0</v>
      </c>
      <c r="BF46" s="440" t="e">
        <f ca="1">IF(AND(NOT(ISBLANK(Jumpoverwrite12)),AND(NOT(BE46),AND(BE$4:BE45))),($J46*$G46-LN(1+Jumpoverwrite12*BG$2))/$G46,_xll.qlInterpolationInterpolate(BE$3,$F46,TRUE))</f>
        <v>#NAME?</v>
      </c>
      <c r="BG46" s="440" t="str">
        <f ca="1">IF(AND(NOT(BE46),AND(BE$4:BE45)),MIN(EXP((BF46-$J46)*$G46),1),"")</f>
        <v/>
      </c>
      <c r="BI46" s="441" t="b">
        <f t="shared" ca="1" si="7"/>
        <v>0</v>
      </c>
      <c r="BJ46" s="440" t="e">
        <f ca="1">IF(AND(NOT(ISBLANK(jumpoverwrite13)),AND(NOT(BI46),AND(BI$4:BI45))),($J46*$G46-LN(1+jumpoverwrite13*BK$2))/$G46,_xll.qlInterpolationInterpolate(BI$3,$F46,TRUE))</f>
        <v>#NAME?</v>
      </c>
      <c r="BK46" s="440" t="str">
        <f ca="1">IF(AND(NOT(BI46),AND(BI$4:BI45)),MIN(EXP((BJ46-$J46)*$G46),1),"")</f>
        <v/>
      </c>
    </row>
    <row r="47" spans="1:63" x14ac:dyDescent="0.2">
      <c r="A47" s="439" t="e">
        <f ca="1"/>
        <v>#NAME?</v>
      </c>
      <c r="B47" s="438" t="e">
        <f ca="1">_xll.qlRateHelperRate($A47,InterestRatesTrigger)</f>
        <v>#NAME?</v>
      </c>
      <c r="C47" s="437" t="e">
        <f ca="1">_xll.qlRateHelperEarliestDate($A47)</f>
        <v>#NAME?</v>
      </c>
      <c r="D47" s="436" t="e">
        <f ca="1">_xll.qlRateHelperPillarDate($A47)</f>
        <v>#NAME?</v>
      </c>
      <c r="F47" s="446" t="e">
        <f t="shared" ca="1" si="5"/>
        <v>#N/A</v>
      </c>
      <c r="G47" s="445" t="e">
        <f ca="1">_xll.qlDayCounterYearFraction(DayCounter,D46,D47)</f>
        <v>#NAME?</v>
      </c>
      <c r="I47" s="444" t="b">
        <f t="shared" ca="1" si="6"/>
        <v>0</v>
      </c>
      <c r="J47" s="443" t="e">
        <f ca="1"/>
        <v>#NAME?</v>
      </c>
      <c r="K47" s="442" t="e">
        <f t="shared" ca="1" si="4"/>
        <v>#NAME?</v>
      </c>
      <c r="L47" s="430"/>
      <c r="M47" s="441" t="b">
        <f ca="1">IF(AND(NOT(I47),AND(I$4:I46)),TRUE,I47)</f>
        <v>0</v>
      </c>
      <c r="N47" s="440" t="e">
        <f ca="1">IF(AND(NOT(ISBLANK(Jumpoverwrite1)),AND(NOT(M47),AND(M$4:M46))),($J47*$G47-LN(1+Jumpoverwrite1*O$2))/$G47,_xll.qlInterpolationInterpolate(M$3,$F47,TRUE))</f>
        <v>#NAME?</v>
      </c>
      <c r="O47" s="440" t="str">
        <f ca="1">IF(AND(NOT(M47),AND(M$4:M46)),MIN(EXP((N47-$J47)*$G47),1),"")</f>
        <v/>
      </c>
      <c r="P47" s="429"/>
      <c r="Q47" s="441" t="b">
        <f ca="1">IF(AND(NOT(M47),AND(M$4:M46)),TRUE,M47)</f>
        <v>0</v>
      </c>
      <c r="R47" s="440" t="e">
        <f ca="1">IF(AND(NOT(ISBLANK(Jumpoverwrite2)),AND(NOT(Q47),AND(Q$4:Q46))),($J47*$G47-LN(1+Jumpoverwrite2*S$2))/$G47,_xll.qlInterpolationInterpolate(Q$3,$F47,TRUE))</f>
        <v>#NAME?</v>
      </c>
      <c r="S47" s="440" t="str">
        <f ca="1">IF(AND(NOT(Q47),AND(Q$4:Q46)),MIN(EXP((R47-$J47)*$G47),1),"")</f>
        <v/>
      </c>
      <c r="T47" s="429"/>
      <c r="U47" s="441" t="b">
        <f ca="1">IF(AND(NOT(Q47),AND(Q$4:Q46)),TRUE,Q47)</f>
        <v>0</v>
      </c>
      <c r="V47" s="440" t="e">
        <f ca="1">IF(AND(NOT(ISBLANK(Jumpoverwrite3)),AND(NOT(U47),AND(U$4:U46))),($J47*$G47-LN(1+Jumpoverwrite3*W$2))/$G47,_xll.qlInterpolationInterpolate(U$3,$F47,TRUE))</f>
        <v>#NAME?</v>
      </c>
      <c r="W47" s="440" t="str">
        <f ca="1">IF(AND(NOT(U47),AND(U$4:U46)),MIN(EXP((V47-$J47)*$G47),1),"")</f>
        <v/>
      </c>
      <c r="X47" s="429"/>
      <c r="Y47" s="441" t="b">
        <f ca="1">IF(AND(NOT(U47),AND(U$4:U46)),TRUE,U47)</f>
        <v>0</v>
      </c>
      <c r="Z47" s="440" t="e">
        <f ca="1">IF(AND(NOT(ISBLANK(Jumpoverwrite4)),AND(NOT(Y47),AND(Y$4:Y46))),($J47*$G47-LN(1+Jumpoverwrite4*AA$2))/$G47,_xll.qlInterpolationInterpolate(Y$3,$F47,TRUE))</f>
        <v>#NAME?</v>
      </c>
      <c r="AA47" s="440" t="str">
        <f ca="1">IF(AND(NOT(Y47),AND(Y$4:Y46)),MIN(EXP((Z47-$J47)*$G47),1),"")</f>
        <v/>
      </c>
      <c r="AB47" s="429"/>
      <c r="AC47" s="441" t="b">
        <f ca="1">IF(AND(NOT(Y47),AND(Y$4:Y46)),TRUE,Y47)</f>
        <v>0</v>
      </c>
      <c r="AD47" s="440" t="e">
        <f ca="1">IF(AND(NOT(ISBLANK(Jumpoverwrite5)),AND(NOT(AC47),AND(AC$4:AC46))),($J47*$G47-LN(1+Jumpoverwrite5*AE$2))/$G47,_xll.qlInterpolationInterpolate(AC$3,$F47,TRUE))</f>
        <v>#NAME?</v>
      </c>
      <c r="AE47" s="440" t="str">
        <f ca="1">IF(AND(NOT(AC47),AND(AC$4:AC46)),MIN(EXP((AD47-$J47)*$G47),1),"")</f>
        <v/>
      </c>
      <c r="AF47" s="429"/>
      <c r="AG47" s="441" t="b">
        <f ca="1">IF(AND(NOT(AC47),AND(AC$4:AC46)),TRUE,AC47)</f>
        <v>0</v>
      </c>
      <c r="AH47" s="440" t="e">
        <f ca="1">IF(AND(NOT(ISBLANK(Jumpoverwrite6)),AND(NOT(AG47),AND(AG$4:AG46))),($J47*$G47-LN(1+Jumpoverwrite6*AI$2))/$G47,_xll.qlInterpolationInterpolate(AG$3,$F47,TRUE))</f>
        <v>#NAME?</v>
      </c>
      <c r="AI47" s="440" t="str">
        <f ca="1">IF(AND(NOT(AG47),AND(AG$4:AG46)),MIN(EXP((AH47-$J47)*$G47),1),"")</f>
        <v/>
      </c>
      <c r="AJ47" s="429"/>
      <c r="AK47" s="441" t="b">
        <f ca="1">IF(AND(NOT(AG47),AND(AG$4:AG46)),TRUE,AG47)</f>
        <v>0</v>
      </c>
      <c r="AL47" s="440" t="e">
        <f ca="1">IF(AND(NOT(ISBLANK(Jumpoverwrite7)),AND(NOT(AK47),AND(AK$4:AK46))),($J47*$G47-LN(1+Jumpoverwrite7*AM$2))/$G47,_xll.qlInterpolationInterpolate(AK$3,$F47,TRUE))</f>
        <v>#NAME?</v>
      </c>
      <c r="AM47" s="440" t="str">
        <f ca="1">IF(AND(NOT(AK47),AND(AK$4:AK46)),MIN(EXP((AL47-$J47)*$G47),1),"")</f>
        <v/>
      </c>
      <c r="AO47" s="441" t="b">
        <f ca="1">IF(AND(NOT(AK47),AND(AK$4:AK46)),TRUE,AK47)</f>
        <v>0</v>
      </c>
      <c r="AP47" s="440" t="e">
        <f ca="1">IF(AND(NOT(ISBLANK(Jumpoverwrite8)),AND(NOT(AO47),AND(AO$4:AO46))),($J47*$G47-LN(1+Jumpoverwrite8*AQ$2))/$G47,_xll.qlInterpolationInterpolate(AO$3,$F47,TRUE))</f>
        <v>#NAME?</v>
      </c>
      <c r="AQ47" s="440" t="str">
        <f ca="1">IF(AND(NOT(AO47),AND(AO$4:AO46)),MIN(EXP((AP47-$J47)*$G47),1),"")</f>
        <v/>
      </c>
      <c r="AS47" s="441" t="b">
        <f ca="1">IF(AND(NOT(AO47),AND(AO$4:AO46)),TRUE,AO47)</f>
        <v>0</v>
      </c>
      <c r="AT47" s="440" t="e">
        <f ca="1">IF(AND(NOT(ISBLANK(Jumpoverwrite9)),AND(NOT(AS47),AND(AS$4:AS46))),($J47*$G47-LN(1+Jumpoverwrite9*AU$2))/$G47,_xll.qlInterpolationInterpolate(AS$3,$F47,TRUE))</f>
        <v>#NAME?</v>
      </c>
      <c r="AU47" s="440" t="str">
        <f ca="1">IF(AND(NOT(AS47),AND(AS$4:AS46)),MIN(EXP((AT47-$J47)*$G47),1),"")</f>
        <v/>
      </c>
      <c r="AW47" s="441" t="b">
        <f ca="1">IF(AND(NOT(AS47),AND(AS$4:AS46)),TRUE,AS47)</f>
        <v>0</v>
      </c>
      <c r="AX47" s="440" t="e">
        <f ca="1">IF(AND(NOT(ISBLANK(Jumpoverwrite10)),AND(NOT(AW47),AND(AW$4:AW46))),($J47*$G47-LN(1+Jumpoverwrite10*AY$2))/$G47,_xll.qlInterpolationInterpolate(AW$3,$F47,TRUE))</f>
        <v>#NAME?</v>
      </c>
      <c r="AY47" s="440" t="str">
        <f ca="1">IF(AND(NOT(AW47),AND(AW$4:AW46)),MIN(EXP((AX47-$J47)*$G47),1),"")</f>
        <v/>
      </c>
      <c r="BA47" s="441" t="b">
        <f ca="1">IF(AND(NOT(AW47),AND(AW$4:AW46)),TRUE,AW47)</f>
        <v>0</v>
      </c>
      <c r="BB47" s="440" t="e">
        <f ca="1">IF(AND(NOT(ISBLANK(Jumpoverwrite11)),AND(NOT(BA47),AND(BA$4:BA46))),($J47*$G47-LN(1+Jumpoverwrite11*BC$2))/$G47,_xll.qlInterpolationInterpolate(BA$3,$F47,TRUE))</f>
        <v>#NAME?</v>
      </c>
      <c r="BC47" s="440" t="str">
        <f ca="1">IF(AND(NOT(BA47),AND(BA$4:BA46)),MIN(EXP((BB47-$J47)*$G47),1),"")</f>
        <v/>
      </c>
      <c r="BE47" s="441" t="b">
        <f ca="1">IF(AND(NOT(BA47),AND(BA$4:BA46)),TRUE,BA47)</f>
        <v>0</v>
      </c>
      <c r="BF47" s="440" t="e">
        <f ca="1">IF(AND(NOT(ISBLANK(Jumpoverwrite12)),AND(NOT(BE47),AND(BE$4:BE46))),($J47*$G47-LN(1+Jumpoverwrite12*BG$2))/$G47,_xll.qlInterpolationInterpolate(BE$3,$F47,TRUE))</f>
        <v>#NAME?</v>
      </c>
      <c r="BG47" s="440" t="str">
        <f ca="1">IF(AND(NOT(BE47),AND(BE$4:BE46)),MIN(EXP((BF47-$J47)*$G47),1),"")</f>
        <v/>
      </c>
      <c r="BI47" s="441" t="b">
        <f t="shared" ca="1" si="7"/>
        <v>0</v>
      </c>
      <c r="BJ47" s="440" t="e">
        <f ca="1">IF(AND(NOT(ISBLANK(jumpoverwrite13)),AND(NOT(BI47),AND(BI$4:BI46))),($J47*$G47-LN(1+jumpoverwrite13*BK$2))/$G47,_xll.qlInterpolationInterpolate(BI$3,$F47,TRUE))</f>
        <v>#NAME?</v>
      </c>
      <c r="BK47" s="440" t="str">
        <f ca="1">IF(AND(NOT(BI47),AND(BI$4:BI46)),MIN(EXP((BJ47-$J47)*$G47),1),"")</f>
        <v/>
      </c>
    </row>
    <row r="48" spans="1:63" x14ac:dyDescent="0.2">
      <c r="A48" s="439" t="e">
        <f ca="1"/>
        <v>#NAME?</v>
      </c>
      <c r="B48" s="438" t="e">
        <f ca="1">_xll.qlRateHelperRate($A48,InterestRatesTrigger)</f>
        <v>#NAME?</v>
      </c>
      <c r="C48" s="437" t="e">
        <f ca="1">_xll.qlRateHelperEarliestDate($A48)</f>
        <v>#NAME?</v>
      </c>
      <c r="D48" s="436" t="e">
        <f ca="1">_xll.qlRateHelperPillarDate($A48)</f>
        <v>#NAME?</v>
      </c>
      <c r="F48" s="446" t="e">
        <f t="shared" ca="1" si="5"/>
        <v>#N/A</v>
      </c>
      <c r="G48" s="445" t="e">
        <f ca="1">_xll.qlDayCounterYearFraction(DayCounter,D47,D48)</f>
        <v>#NAME?</v>
      </c>
      <c r="I48" s="444" t="b">
        <f t="shared" ca="1" si="6"/>
        <v>0</v>
      </c>
      <c r="J48" s="443" t="e">
        <f ca="1"/>
        <v>#NAME?</v>
      </c>
      <c r="K48" s="442" t="e">
        <f t="shared" ca="1" si="4"/>
        <v>#NAME?</v>
      </c>
      <c r="L48" s="430"/>
      <c r="M48" s="441" t="b">
        <f ca="1">IF(AND(NOT(I48),AND(I$4:I47)),TRUE,I48)</f>
        <v>0</v>
      </c>
      <c r="N48" s="440" t="e">
        <f ca="1">IF(AND(NOT(ISBLANK(Jumpoverwrite1)),AND(NOT(M48),AND(M$4:M47))),($J48*$G48-LN(1+Jumpoverwrite1*O$2))/$G48,_xll.qlInterpolationInterpolate(M$3,$F48,TRUE))</f>
        <v>#NAME?</v>
      </c>
      <c r="O48" s="440" t="str">
        <f ca="1">IF(AND(NOT(M48),AND(M$4:M47)),MIN(EXP((N48-$J48)*$G48),1),"")</f>
        <v/>
      </c>
      <c r="P48" s="429"/>
      <c r="Q48" s="441" t="b">
        <f ca="1">IF(AND(NOT(M48),AND(M$4:M47)),TRUE,M48)</f>
        <v>0</v>
      </c>
      <c r="R48" s="440" t="e">
        <f ca="1">IF(AND(NOT(ISBLANK(Jumpoverwrite2)),AND(NOT(Q48),AND(Q$4:Q47))),($J48*$G48-LN(1+Jumpoverwrite2*S$2))/$G48,_xll.qlInterpolationInterpolate(Q$3,$F48,TRUE))</f>
        <v>#NAME?</v>
      </c>
      <c r="S48" s="440" t="str">
        <f ca="1">IF(AND(NOT(Q48),AND(Q$4:Q47)),MIN(EXP((R48-$J48)*$G48),1),"")</f>
        <v/>
      </c>
      <c r="T48" s="429"/>
      <c r="U48" s="441" t="b">
        <f ca="1">IF(AND(NOT(Q48),AND(Q$4:Q47)),TRUE,Q48)</f>
        <v>0</v>
      </c>
      <c r="V48" s="440" t="e">
        <f ca="1">IF(AND(NOT(ISBLANK(Jumpoverwrite3)),AND(NOT(U48),AND(U$4:U47))),($J48*$G48-LN(1+Jumpoverwrite3*W$2))/$G48,_xll.qlInterpolationInterpolate(U$3,$F48,TRUE))</f>
        <v>#NAME?</v>
      </c>
      <c r="W48" s="440" t="str">
        <f ca="1">IF(AND(NOT(U48),AND(U$4:U47)),MIN(EXP((V48-$J48)*$G48),1),"")</f>
        <v/>
      </c>
      <c r="X48" s="429"/>
      <c r="Y48" s="441" t="b">
        <f ca="1">IF(AND(NOT(U48),AND(U$4:U47)),TRUE,U48)</f>
        <v>0</v>
      </c>
      <c r="Z48" s="440" t="e">
        <f ca="1">IF(AND(NOT(ISBLANK(Jumpoverwrite4)),AND(NOT(Y48),AND(Y$4:Y47))),($J48*$G48-LN(1+Jumpoverwrite4*AA$2))/$G48,_xll.qlInterpolationInterpolate(Y$3,$F48,TRUE))</f>
        <v>#NAME?</v>
      </c>
      <c r="AA48" s="440" t="str">
        <f ca="1">IF(AND(NOT(Y48),AND(Y$4:Y47)),MIN(EXP((Z48-$J48)*$G48),1),"")</f>
        <v/>
      </c>
      <c r="AB48" s="429"/>
      <c r="AC48" s="441" t="b">
        <f ca="1">IF(AND(NOT(Y48),AND(Y$4:Y47)),TRUE,Y48)</f>
        <v>0</v>
      </c>
      <c r="AD48" s="440" t="e">
        <f ca="1">IF(AND(NOT(ISBLANK(Jumpoverwrite5)),AND(NOT(AC48),AND(AC$4:AC47))),($J48*$G48-LN(1+Jumpoverwrite5*AE$2))/$G48,_xll.qlInterpolationInterpolate(AC$3,$F48,TRUE))</f>
        <v>#NAME?</v>
      </c>
      <c r="AE48" s="440" t="str">
        <f ca="1">IF(AND(NOT(AC48),AND(AC$4:AC47)),MIN(EXP((AD48-$J48)*$G48),1),"")</f>
        <v/>
      </c>
      <c r="AF48" s="429"/>
      <c r="AG48" s="441" t="b">
        <f ca="1">IF(AND(NOT(AC48),AND(AC$4:AC47)),TRUE,AC48)</f>
        <v>0</v>
      </c>
      <c r="AH48" s="440" t="e">
        <f ca="1">IF(AND(NOT(ISBLANK(Jumpoverwrite6)),AND(NOT(AG48),AND(AG$4:AG47))),($J48*$G48-LN(1+Jumpoverwrite6*AI$2))/$G48,_xll.qlInterpolationInterpolate(AG$3,$F48,TRUE))</f>
        <v>#NAME?</v>
      </c>
      <c r="AI48" s="440" t="str">
        <f ca="1">IF(AND(NOT(AG48),AND(AG$4:AG47)),MIN(EXP((AH48-$J48)*$G48),1),"")</f>
        <v/>
      </c>
      <c r="AJ48" s="429"/>
      <c r="AK48" s="441" t="b">
        <f ca="1">IF(AND(NOT(AG48),AND(AG$4:AG47)),TRUE,AG48)</f>
        <v>0</v>
      </c>
      <c r="AL48" s="440" t="e">
        <f ca="1">IF(AND(NOT(ISBLANK(Jumpoverwrite7)),AND(NOT(AK48),AND(AK$4:AK47))),($J48*$G48-LN(1+Jumpoverwrite7*AM$2))/$G48,_xll.qlInterpolationInterpolate(AK$3,$F48,TRUE))</f>
        <v>#NAME?</v>
      </c>
      <c r="AM48" s="440" t="str">
        <f ca="1">IF(AND(NOT(AK48),AND(AK$4:AK47)),MIN(EXP((AL48-$J48)*$G48),1),"")</f>
        <v/>
      </c>
      <c r="AO48" s="441" t="b">
        <f ca="1">IF(AND(NOT(AK48),AND(AK$4:AK47)),TRUE,AK48)</f>
        <v>0</v>
      </c>
      <c r="AP48" s="440" t="e">
        <f ca="1">IF(AND(NOT(ISBLANK(Jumpoverwrite8)),AND(NOT(AO48),AND(AO$4:AO47))),($J48*$G48-LN(1+Jumpoverwrite8*AQ$2))/$G48,_xll.qlInterpolationInterpolate(AO$3,$F48,TRUE))</f>
        <v>#NAME?</v>
      </c>
      <c r="AQ48" s="440" t="str">
        <f ca="1">IF(AND(NOT(AO48),AND(AO$4:AO47)),MIN(EXP((AP48-$J48)*$G48),1),"")</f>
        <v/>
      </c>
      <c r="AS48" s="441" t="b">
        <f ca="1">IF(AND(NOT(AO48),AND(AO$4:AO47)),TRUE,AO48)</f>
        <v>0</v>
      </c>
      <c r="AT48" s="440" t="e">
        <f ca="1">IF(AND(NOT(ISBLANK(Jumpoverwrite9)),AND(NOT(AS48),AND(AS$4:AS47))),($J48*$G48-LN(1+Jumpoverwrite9*AU$2))/$G48,_xll.qlInterpolationInterpolate(AS$3,$F48,TRUE))</f>
        <v>#NAME?</v>
      </c>
      <c r="AU48" s="440" t="str">
        <f ca="1">IF(AND(NOT(AS48),AND(AS$4:AS47)),MIN(EXP((AT48-$J48)*$G48),1),"")</f>
        <v/>
      </c>
      <c r="AW48" s="441" t="b">
        <f ca="1">IF(AND(NOT(AS48),AND(AS$4:AS47)),TRUE,AS48)</f>
        <v>0</v>
      </c>
      <c r="AX48" s="440" t="e">
        <f ca="1">IF(AND(NOT(ISBLANK(Jumpoverwrite10)),AND(NOT(AW48),AND(AW$4:AW47))),($J48*$G48-LN(1+Jumpoverwrite10*AY$2))/$G48,_xll.qlInterpolationInterpolate(AW$3,$F48,TRUE))</f>
        <v>#NAME?</v>
      </c>
      <c r="AY48" s="440" t="str">
        <f ca="1">IF(AND(NOT(AW48),AND(AW$4:AW47)),MIN(EXP((AX48-$J48)*$G48),1),"")</f>
        <v/>
      </c>
      <c r="BA48" s="441" t="b">
        <f ca="1">IF(AND(NOT(AW48),AND(AW$4:AW47)),TRUE,AW48)</f>
        <v>0</v>
      </c>
      <c r="BB48" s="440" t="e">
        <f ca="1">IF(AND(NOT(ISBLANK(Jumpoverwrite11)),AND(NOT(BA48),AND(BA$4:BA47))),($J48*$G48-LN(1+Jumpoverwrite11*BC$2))/$G48,_xll.qlInterpolationInterpolate(BA$3,$F48,TRUE))</f>
        <v>#NAME?</v>
      </c>
      <c r="BC48" s="440" t="str">
        <f ca="1">IF(AND(NOT(BA48),AND(BA$4:BA47)),MIN(EXP((BB48-$J48)*$G48),1),"")</f>
        <v/>
      </c>
      <c r="BE48" s="441" t="b">
        <f ca="1">IF(AND(NOT(BA48),AND(BA$4:BA47)),TRUE,BA48)</f>
        <v>0</v>
      </c>
      <c r="BF48" s="440" t="e">
        <f ca="1">IF(AND(NOT(ISBLANK(Jumpoverwrite12)),AND(NOT(BE48),AND(BE$4:BE47))),($J48*$G48-LN(1+Jumpoverwrite12*BG$2))/$G48,_xll.qlInterpolationInterpolate(BE$3,$F48,TRUE))</f>
        <v>#NAME?</v>
      </c>
      <c r="BG48" s="440" t="str">
        <f ca="1">IF(AND(NOT(BE48),AND(BE$4:BE47)),MIN(EXP((BF48-$J48)*$G48),1),"")</f>
        <v/>
      </c>
      <c r="BI48" s="441" t="b">
        <f t="shared" ca="1" si="7"/>
        <v>0</v>
      </c>
      <c r="BJ48" s="440" t="e">
        <f ca="1">IF(AND(NOT(ISBLANK(jumpoverwrite13)),AND(NOT(BI48),AND(BI$4:BI47))),($J48*$G48-LN(1+jumpoverwrite13*BK$2))/$G48,_xll.qlInterpolationInterpolate(BI$3,$F48,TRUE))</f>
        <v>#NAME?</v>
      </c>
      <c r="BK48" s="440" t="str">
        <f ca="1">IF(AND(NOT(BI48),AND(BI$4:BI47)),MIN(EXP((BJ48-$J48)*$G48),1),"")</f>
        <v/>
      </c>
    </row>
    <row r="49" spans="1:63" x14ac:dyDescent="0.2">
      <c r="A49" s="439" t="e">
        <f ca="1"/>
        <v>#NAME?</v>
      </c>
      <c r="B49" s="438" t="e">
        <f ca="1">_xll.qlRateHelperRate($A49,InterestRatesTrigger)</f>
        <v>#NAME?</v>
      </c>
      <c r="C49" s="437" t="e">
        <f ca="1">_xll.qlRateHelperEarliestDate($A49)</f>
        <v>#NAME?</v>
      </c>
      <c r="D49" s="436" t="e">
        <f ca="1">_xll.qlRateHelperPillarDate($A49)</f>
        <v>#NAME?</v>
      </c>
      <c r="F49" s="446" t="e">
        <f t="shared" ca="1" si="5"/>
        <v>#N/A</v>
      </c>
      <c r="G49" s="445" t="e">
        <f ca="1">_xll.qlDayCounterYearFraction(DayCounter,D48,D49)</f>
        <v>#NAME?</v>
      </c>
      <c r="I49" s="444" t="b">
        <f t="shared" ca="1" si="6"/>
        <v>0</v>
      </c>
      <c r="J49" s="443" t="e">
        <f ca="1"/>
        <v>#NAME?</v>
      </c>
      <c r="K49" s="442" t="e">
        <f t="shared" ca="1" si="4"/>
        <v>#NAME?</v>
      </c>
      <c r="L49" s="430"/>
      <c r="M49" s="441" t="b">
        <f ca="1">IF(AND(NOT(I49),AND(I$4:I48)),TRUE,I49)</f>
        <v>0</v>
      </c>
      <c r="N49" s="440" t="e">
        <f ca="1">IF(AND(NOT(ISBLANK(Jumpoverwrite1)),AND(NOT(M49),AND(M$4:M48))),($J49*$G49-LN(1+Jumpoverwrite1*O$2))/$G49,_xll.qlInterpolationInterpolate(M$3,$F49,TRUE))</f>
        <v>#NAME?</v>
      </c>
      <c r="O49" s="440" t="str">
        <f ca="1">IF(AND(NOT(M49),AND(M$4:M48)),MIN(EXP((N49-$J49)*$G49),1),"")</f>
        <v/>
      </c>
      <c r="P49" s="429"/>
      <c r="Q49" s="441" t="b">
        <f ca="1">IF(AND(NOT(M49),AND(M$4:M48)),TRUE,M49)</f>
        <v>0</v>
      </c>
      <c r="R49" s="440" t="e">
        <f ca="1">IF(AND(NOT(ISBLANK(Jumpoverwrite2)),AND(NOT(Q49),AND(Q$4:Q48))),($J49*$G49-LN(1+Jumpoverwrite2*S$2))/$G49,_xll.qlInterpolationInterpolate(Q$3,$F49,TRUE))</f>
        <v>#NAME?</v>
      </c>
      <c r="S49" s="440" t="str">
        <f ca="1">IF(AND(NOT(Q49),AND(Q$4:Q48)),MIN(EXP((R49-$J49)*$G49),1),"")</f>
        <v/>
      </c>
      <c r="T49" s="429"/>
      <c r="U49" s="441" t="b">
        <f ca="1">IF(AND(NOT(Q49),AND(Q$4:Q48)),TRUE,Q49)</f>
        <v>0</v>
      </c>
      <c r="V49" s="440" t="e">
        <f ca="1">IF(AND(NOT(ISBLANK(Jumpoverwrite3)),AND(NOT(U49),AND(U$4:U48))),($J49*$G49-LN(1+Jumpoverwrite3*W$2))/$G49,_xll.qlInterpolationInterpolate(U$3,$F49,TRUE))</f>
        <v>#NAME?</v>
      </c>
      <c r="W49" s="440" t="str">
        <f ca="1">IF(AND(NOT(U49),AND(U$4:U48)),MIN(EXP((V49-$J49)*$G49),1),"")</f>
        <v/>
      </c>
      <c r="X49" s="429"/>
      <c r="Y49" s="441" t="b">
        <f ca="1">IF(AND(NOT(U49),AND(U$4:U48)),TRUE,U49)</f>
        <v>0</v>
      </c>
      <c r="Z49" s="440" t="e">
        <f ca="1">IF(AND(NOT(ISBLANK(Jumpoverwrite4)),AND(NOT(Y49),AND(Y$4:Y48))),($J49*$G49-LN(1+Jumpoverwrite4*AA$2))/$G49,_xll.qlInterpolationInterpolate(Y$3,$F49,TRUE))</f>
        <v>#NAME?</v>
      </c>
      <c r="AA49" s="440" t="str">
        <f ca="1">IF(AND(NOT(Y49),AND(Y$4:Y48)),MIN(EXP((Z49-$J49)*$G49),1),"")</f>
        <v/>
      </c>
      <c r="AB49" s="429"/>
      <c r="AC49" s="441" t="b">
        <f ca="1">IF(AND(NOT(Y49),AND(Y$4:Y48)),TRUE,Y49)</f>
        <v>0</v>
      </c>
      <c r="AD49" s="440" t="e">
        <f ca="1">IF(AND(NOT(ISBLANK(Jumpoverwrite5)),AND(NOT(AC49),AND(AC$4:AC48))),($J49*$G49-LN(1+Jumpoverwrite5*AE$2))/$G49,_xll.qlInterpolationInterpolate(AC$3,$F49,TRUE))</f>
        <v>#NAME?</v>
      </c>
      <c r="AE49" s="440" t="str">
        <f ca="1">IF(AND(NOT(AC49),AND(AC$4:AC48)),MIN(EXP((AD49-$J49)*$G49),1),"")</f>
        <v/>
      </c>
      <c r="AF49" s="429"/>
      <c r="AG49" s="441" t="b">
        <f ca="1">IF(AND(NOT(AC49),AND(AC$4:AC48)),TRUE,AC49)</f>
        <v>0</v>
      </c>
      <c r="AH49" s="440" t="e">
        <f ca="1">IF(AND(NOT(ISBLANK(Jumpoverwrite6)),AND(NOT(AG49),AND(AG$4:AG48))),($J49*$G49-LN(1+Jumpoverwrite6*AI$2))/$G49,_xll.qlInterpolationInterpolate(AG$3,$F49,TRUE))</f>
        <v>#NAME?</v>
      </c>
      <c r="AI49" s="440" t="str">
        <f ca="1">IF(AND(NOT(AG49),AND(AG$4:AG48)),MIN(EXP((AH49-$J49)*$G49),1),"")</f>
        <v/>
      </c>
      <c r="AJ49" s="429"/>
      <c r="AK49" s="441" t="b">
        <f ca="1">IF(AND(NOT(AG49),AND(AG$4:AG48)),TRUE,AG49)</f>
        <v>0</v>
      </c>
      <c r="AL49" s="440" t="e">
        <f ca="1">IF(AND(NOT(ISBLANK(Jumpoverwrite7)),AND(NOT(AK49),AND(AK$4:AK48))),($J49*$G49-LN(1+Jumpoverwrite7*AM$2))/$G49,_xll.qlInterpolationInterpolate(AK$3,$F49,TRUE))</f>
        <v>#NAME?</v>
      </c>
      <c r="AM49" s="440" t="str">
        <f ca="1">IF(AND(NOT(AK49),AND(AK$4:AK48)),MIN(EXP((AL49-$J49)*$G49),1),"")</f>
        <v/>
      </c>
      <c r="AO49" s="441" t="b">
        <f ca="1">IF(AND(NOT(AK49),AND(AK$4:AK48)),TRUE,AK49)</f>
        <v>0</v>
      </c>
      <c r="AP49" s="440" t="e">
        <f ca="1">IF(AND(NOT(ISBLANK(Jumpoverwrite8)),AND(NOT(AO49),AND(AO$4:AO48))),($J49*$G49-LN(1+Jumpoverwrite8*AQ$2))/$G49,_xll.qlInterpolationInterpolate(AO$3,$F49,TRUE))</f>
        <v>#NAME?</v>
      </c>
      <c r="AQ49" s="440" t="str">
        <f ca="1">IF(AND(NOT(AO49),AND(AO$4:AO48)),MIN(EXP((AP49-$J49)*$G49),1),"")</f>
        <v/>
      </c>
      <c r="AS49" s="441" t="b">
        <f ca="1">IF(AND(NOT(AO49),AND(AO$4:AO48)),TRUE,AO49)</f>
        <v>0</v>
      </c>
      <c r="AT49" s="440" t="e">
        <f ca="1">IF(AND(NOT(ISBLANK(Jumpoverwrite9)),AND(NOT(AS49),AND(AS$4:AS48))),($J49*$G49-LN(1+Jumpoverwrite9*AU$2))/$G49,_xll.qlInterpolationInterpolate(AS$3,$F49,TRUE))</f>
        <v>#NAME?</v>
      </c>
      <c r="AU49" s="440" t="str">
        <f ca="1">IF(AND(NOT(AS49),AND(AS$4:AS48)),MIN(EXP((AT49-$J49)*$G49),1),"")</f>
        <v/>
      </c>
      <c r="AW49" s="441" t="b">
        <f ca="1">IF(AND(NOT(AS49),AND(AS$4:AS48)),TRUE,AS49)</f>
        <v>0</v>
      </c>
      <c r="AX49" s="440" t="e">
        <f ca="1">IF(AND(NOT(ISBLANK(Jumpoverwrite10)),AND(NOT(AW49),AND(AW$4:AW48))),($J49*$G49-LN(1+Jumpoverwrite10*AY$2))/$G49,_xll.qlInterpolationInterpolate(AW$3,$F49,TRUE))</f>
        <v>#NAME?</v>
      </c>
      <c r="AY49" s="440" t="str">
        <f ca="1">IF(AND(NOT(AW49),AND(AW$4:AW48)),MIN(EXP((AX49-$J49)*$G49),1),"")</f>
        <v/>
      </c>
      <c r="BA49" s="441" t="b">
        <f ca="1">IF(AND(NOT(AW49),AND(AW$4:AW48)),TRUE,AW49)</f>
        <v>0</v>
      </c>
      <c r="BB49" s="440" t="e">
        <f ca="1">IF(AND(NOT(ISBLANK(Jumpoverwrite11)),AND(NOT(BA49),AND(BA$4:BA48))),($J49*$G49-LN(1+Jumpoverwrite11*BC$2))/$G49,_xll.qlInterpolationInterpolate(BA$3,$F49,TRUE))</f>
        <v>#NAME?</v>
      </c>
      <c r="BC49" s="440" t="str">
        <f ca="1">IF(AND(NOT(BA49),AND(BA$4:BA48)),MIN(EXP((BB49-$J49)*$G49),1),"")</f>
        <v/>
      </c>
      <c r="BE49" s="441" t="b">
        <f ca="1">IF(AND(NOT(BA49),AND(BA$4:BA48)),TRUE,BA49)</f>
        <v>0</v>
      </c>
      <c r="BF49" s="440" t="e">
        <f ca="1">IF(AND(NOT(ISBLANK(Jumpoverwrite12)),AND(NOT(BE49),AND(BE$4:BE48))),($J49*$G49-LN(1+Jumpoverwrite12*BG$2))/$G49,_xll.qlInterpolationInterpolate(BE$3,$F49,TRUE))</f>
        <v>#NAME?</v>
      </c>
      <c r="BG49" s="440" t="str">
        <f ca="1">IF(AND(NOT(BE49),AND(BE$4:BE48)),MIN(EXP((BF49-$J49)*$G49),1),"")</f>
        <v/>
      </c>
      <c r="BI49" s="441" t="b">
        <f t="shared" ca="1" si="7"/>
        <v>0</v>
      </c>
      <c r="BJ49" s="440" t="e">
        <f ca="1">IF(AND(NOT(ISBLANK(jumpoverwrite13)),AND(NOT(BI49),AND(BI$4:BI48))),($J49*$G49-LN(1+jumpoverwrite13*BK$2))/$G49,_xll.qlInterpolationInterpolate(BI$3,$F49,TRUE))</f>
        <v>#NAME?</v>
      </c>
      <c r="BK49" s="440" t="str">
        <f ca="1">IF(AND(NOT(BI49),AND(BI$4:BI48)),MIN(EXP((BJ49-$J49)*$G49),1),"")</f>
        <v/>
      </c>
    </row>
    <row r="50" spans="1:63" x14ac:dyDescent="0.2">
      <c r="A50" s="439" t="e">
        <f ca="1"/>
        <v>#NAME?</v>
      </c>
      <c r="B50" s="438" t="e">
        <f ca="1">_xll.qlRateHelperRate($A50,InterestRatesTrigger)</f>
        <v>#NAME?</v>
      </c>
      <c r="C50" s="437" t="e">
        <f ca="1">_xll.qlRateHelperEarliestDate($A50)</f>
        <v>#NAME?</v>
      </c>
      <c r="D50" s="436" t="e">
        <f ca="1">_xll.qlRateHelperPillarDate($A50)</f>
        <v>#NAME?</v>
      </c>
      <c r="F50" s="446" t="e">
        <f t="shared" ca="1" si="5"/>
        <v>#N/A</v>
      </c>
      <c r="G50" s="445" t="e">
        <f ca="1">_xll.qlDayCounterYearFraction(DayCounter,D49,D50)</f>
        <v>#NAME?</v>
      </c>
      <c r="I50" s="444" t="b">
        <f t="shared" ca="1" si="6"/>
        <v>0</v>
      </c>
      <c r="J50" s="443" t="e">
        <f ca="1"/>
        <v>#NAME?</v>
      </c>
      <c r="K50" s="442" t="e">
        <f t="shared" ca="1" si="4"/>
        <v>#NAME?</v>
      </c>
      <c r="L50" s="430"/>
      <c r="M50" s="441" t="b">
        <f ca="1">IF(AND(NOT(I50),AND(I$4:I49)),TRUE,I50)</f>
        <v>0</v>
      </c>
      <c r="N50" s="440" t="e">
        <f ca="1">IF(AND(NOT(ISBLANK(Jumpoverwrite1)),AND(NOT(M50),AND(M$4:M49))),($J50*$G50-LN(1+Jumpoverwrite1*O$2))/$G50,_xll.qlInterpolationInterpolate(M$3,$F50,TRUE))</f>
        <v>#NAME?</v>
      </c>
      <c r="O50" s="440" t="str">
        <f ca="1">IF(AND(NOT(M50),AND(M$4:M49)),MIN(EXP((N50-$J50)*$G50),1),"")</f>
        <v/>
      </c>
      <c r="P50" s="429"/>
      <c r="Q50" s="441" t="b">
        <f ca="1">IF(AND(NOT(M50),AND(M$4:M49)),TRUE,M50)</f>
        <v>0</v>
      </c>
      <c r="R50" s="440" t="e">
        <f ca="1">IF(AND(NOT(ISBLANK(Jumpoverwrite2)),AND(NOT(Q50),AND(Q$4:Q49))),($J50*$G50-LN(1+Jumpoverwrite2*S$2))/$G50,_xll.qlInterpolationInterpolate(Q$3,$F50,TRUE))</f>
        <v>#NAME?</v>
      </c>
      <c r="S50" s="440" t="str">
        <f ca="1">IF(AND(NOT(Q50),AND(Q$4:Q49)),MIN(EXP((R50-$J50)*$G50),1),"")</f>
        <v/>
      </c>
      <c r="T50" s="429"/>
      <c r="U50" s="441" t="b">
        <f ca="1">IF(AND(NOT(Q50),AND(Q$4:Q49)),TRUE,Q50)</f>
        <v>0</v>
      </c>
      <c r="V50" s="440" t="e">
        <f ca="1">IF(AND(NOT(ISBLANK(Jumpoverwrite3)),AND(NOT(U50),AND(U$4:U49))),($J50*$G50-LN(1+Jumpoverwrite3*W$2))/$G50,_xll.qlInterpolationInterpolate(U$3,$F50,TRUE))</f>
        <v>#NAME?</v>
      </c>
      <c r="W50" s="440" t="str">
        <f ca="1">IF(AND(NOT(U50),AND(U$4:U49)),MIN(EXP((V50-$J50)*$G50),1),"")</f>
        <v/>
      </c>
      <c r="X50" s="429"/>
      <c r="Y50" s="441" t="b">
        <f ca="1">IF(AND(NOT(U50),AND(U$4:U49)),TRUE,U50)</f>
        <v>0</v>
      </c>
      <c r="Z50" s="440" t="e">
        <f ca="1">IF(AND(NOT(ISBLANK(Jumpoverwrite4)),AND(NOT(Y50),AND(Y$4:Y49))),($J50*$G50-LN(1+Jumpoverwrite4*AA$2))/$G50,_xll.qlInterpolationInterpolate(Y$3,$F50,TRUE))</f>
        <v>#NAME?</v>
      </c>
      <c r="AA50" s="440" t="str">
        <f ca="1">IF(AND(NOT(Y50),AND(Y$4:Y49)),MIN(EXP((Z50-$J50)*$G50),1),"")</f>
        <v/>
      </c>
      <c r="AB50" s="429"/>
      <c r="AC50" s="441" t="b">
        <f ca="1">IF(AND(NOT(Y50),AND(Y$4:Y49)),TRUE,Y50)</f>
        <v>0</v>
      </c>
      <c r="AD50" s="440" t="e">
        <f ca="1">IF(AND(NOT(ISBLANK(Jumpoverwrite5)),AND(NOT(AC50),AND(AC$4:AC49))),($J50*$G50-LN(1+Jumpoverwrite5*AE$2))/$G50,_xll.qlInterpolationInterpolate(AC$3,$F50,TRUE))</f>
        <v>#NAME?</v>
      </c>
      <c r="AE50" s="440" t="str">
        <f ca="1">IF(AND(NOT(AC50),AND(AC$4:AC49)),MIN(EXP((AD50-$J50)*$G50),1),"")</f>
        <v/>
      </c>
      <c r="AF50" s="429"/>
      <c r="AG50" s="441" t="b">
        <f ca="1">IF(AND(NOT(AC50),AND(AC$4:AC49)),TRUE,AC50)</f>
        <v>0</v>
      </c>
      <c r="AH50" s="440" t="e">
        <f ca="1">IF(AND(NOT(ISBLANK(Jumpoverwrite6)),AND(NOT(AG50),AND(AG$4:AG49))),($J50*$G50-LN(1+Jumpoverwrite6*AI$2))/$G50,_xll.qlInterpolationInterpolate(AG$3,$F50,TRUE))</f>
        <v>#NAME?</v>
      </c>
      <c r="AI50" s="440" t="str">
        <f ca="1">IF(AND(NOT(AG50),AND(AG$4:AG49)),MIN(EXP((AH50-$J50)*$G50),1),"")</f>
        <v/>
      </c>
      <c r="AJ50" s="429"/>
      <c r="AK50" s="441" t="b">
        <f ca="1">IF(AND(NOT(AG50),AND(AG$4:AG49)),TRUE,AG50)</f>
        <v>0</v>
      </c>
      <c r="AL50" s="440" t="e">
        <f ca="1">IF(AND(NOT(ISBLANK(Jumpoverwrite7)),AND(NOT(AK50),AND(AK$4:AK49))),($J50*$G50-LN(1+Jumpoverwrite7*AM$2))/$G50,_xll.qlInterpolationInterpolate(AK$3,$F50,TRUE))</f>
        <v>#NAME?</v>
      </c>
      <c r="AM50" s="440" t="str">
        <f ca="1">IF(AND(NOT(AK50),AND(AK$4:AK49)),MIN(EXP((AL50-$J50)*$G50),1),"")</f>
        <v/>
      </c>
      <c r="AO50" s="441" t="b">
        <f ca="1">IF(AND(NOT(AK50),AND(AK$4:AK49)),TRUE,AK50)</f>
        <v>0</v>
      </c>
      <c r="AP50" s="440" t="e">
        <f ca="1">IF(AND(NOT(ISBLANK(Jumpoverwrite8)),AND(NOT(AO50),AND(AO$4:AO49))),($J50*$G50-LN(1+Jumpoverwrite8*AQ$2))/$G50,_xll.qlInterpolationInterpolate(AO$3,$F50,TRUE))</f>
        <v>#NAME?</v>
      </c>
      <c r="AQ50" s="440" t="str">
        <f ca="1">IF(AND(NOT(AO50),AND(AO$4:AO49)),MIN(EXP((AP50-$J50)*$G50),1),"")</f>
        <v/>
      </c>
      <c r="AS50" s="441" t="b">
        <f ca="1">IF(AND(NOT(AO50),AND(AO$4:AO49)),TRUE,AO50)</f>
        <v>0</v>
      </c>
      <c r="AT50" s="440" t="e">
        <f ca="1">IF(AND(NOT(ISBLANK(Jumpoverwrite9)),AND(NOT(AS50),AND(AS$4:AS49))),($J50*$G50-LN(1+Jumpoverwrite9*AU$2))/$G50,_xll.qlInterpolationInterpolate(AS$3,$F50,TRUE))</f>
        <v>#NAME?</v>
      </c>
      <c r="AU50" s="440" t="str">
        <f ca="1">IF(AND(NOT(AS50),AND(AS$4:AS49)),MIN(EXP((AT50-$J50)*$G50),1),"")</f>
        <v/>
      </c>
      <c r="AW50" s="441" t="b">
        <f ca="1">IF(AND(NOT(AS50),AND(AS$4:AS49)),TRUE,AS50)</f>
        <v>0</v>
      </c>
      <c r="AX50" s="440" t="e">
        <f ca="1">IF(AND(NOT(ISBLANK(Jumpoverwrite10)),AND(NOT(AW50),AND(AW$4:AW49))),($J50*$G50-LN(1+Jumpoverwrite10*AY$2))/$G50,_xll.qlInterpolationInterpolate(AW$3,$F50,TRUE))</f>
        <v>#NAME?</v>
      </c>
      <c r="AY50" s="440" t="str">
        <f ca="1">IF(AND(NOT(AW50),AND(AW$4:AW49)),MIN(EXP((AX50-$J50)*$G50),1),"")</f>
        <v/>
      </c>
      <c r="BA50" s="441" t="b">
        <f ca="1">IF(AND(NOT(AW50),AND(AW$4:AW49)),TRUE,AW50)</f>
        <v>0</v>
      </c>
      <c r="BB50" s="440" t="e">
        <f ca="1">IF(AND(NOT(ISBLANK(Jumpoverwrite11)),AND(NOT(BA50),AND(BA$4:BA49))),($J50*$G50-LN(1+Jumpoverwrite11*BC$2))/$G50,_xll.qlInterpolationInterpolate(BA$3,$F50,TRUE))</f>
        <v>#NAME?</v>
      </c>
      <c r="BC50" s="440" t="str">
        <f ca="1">IF(AND(NOT(BA50),AND(BA$4:BA49)),MIN(EXP((BB50-$J50)*$G50),1),"")</f>
        <v/>
      </c>
      <c r="BE50" s="441" t="b">
        <f ca="1">IF(AND(NOT(BA50),AND(BA$4:BA49)),TRUE,BA50)</f>
        <v>0</v>
      </c>
      <c r="BF50" s="440" t="e">
        <f ca="1">IF(AND(NOT(ISBLANK(Jumpoverwrite12)),AND(NOT(BE50),AND(BE$4:BE49))),($J50*$G50-LN(1+Jumpoverwrite12*BG$2))/$G50,_xll.qlInterpolationInterpolate(BE$3,$F50,TRUE))</f>
        <v>#NAME?</v>
      </c>
      <c r="BG50" s="440" t="str">
        <f ca="1">IF(AND(NOT(BE50),AND(BE$4:BE49)),MIN(EXP((BF50-$J50)*$G50),1),"")</f>
        <v/>
      </c>
      <c r="BI50" s="441" t="b">
        <f t="shared" ca="1" si="7"/>
        <v>0</v>
      </c>
      <c r="BJ50" s="440" t="e">
        <f ca="1">IF(AND(NOT(ISBLANK(jumpoverwrite13)),AND(NOT(BI50),AND(BI$4:BI49))),($J50*$G50-LN(1+jumpoverwrite13*BK$2))/$G50,_xll.qlInterpolationInterpolate(BI$3,$F50,TRUE))</f>
        <v>#NAME?</v>
      </c>
      <c r="BK50" s="440" t="str">
        <f ca="1">IF(AND(NOT(BI50),AND(BI$4:BI49)),MIN(EXP((BJ50-$J50)*$G50),1),"")</f>
        <v/>
      </c>
    </row>
    <row r="51" spans="1:63" x14ac:dyDescent="0.2">
      <c r="A51" s="439" t="e">
        <f ca="1"/>
        <v>#NAME?</v>
      </c>
      <c r="B51" s="438" t="e">
        <f ca="1">_xll.qlRateHelperRate($A51,InterestRatesTrigger)</f>
        <v>#NAME?</v>
      </c>
      <c r="C51" s="437" t="e">
        <f ca="1">_xll.qlRateHelperEarliestDate($A51)</f>
        <v>#NAME?</v>
      </c>
      <c r="D51" s="436" t="e">
        <f ca="1">_xll.qlRateHelperPillarDate($A51)</f>
        <v>#NAME?</v>
      </c>
      <c r="F51" s="446" t="e">
        <f t="shared" ca="1" si="5"/>
        <v>#N/A</v>
      </c>
      <c r="G51" s="445" t="e">
        <f ca="1">_xll.qlDayCounterYearFraction(DayCounter,D50,D51)</f>
        <v>#NAME?</v>
      </c>
      <c r="I51" s="444" t="b">
        <f t="shared" ca="1" si="6"/>
        <v>0</v>
      </c>
      <c r="J51" s="443" t="e">
        <f ca="1"/>
        <v>#NAME?</v>
      </c>
      <c r="K51" s="442" t="e">
        <f t="shared" ca="1" si="4"/>
        <v>#NAME?</v>
      </c>
      <c r="L51" s="430"/>
      <c r="M51" s="441" t="b">
        <f ca="1">IF(AND(NOT(I51),AND(I$4:I50)),TRUE,I51)</f>
        <v>0</v>
      </c>
      <c r="N51" s="440" t="e">
        <f ca="1">IF(AND(NOT(ISBLANK(Jumpoverwrite1)),AND(NOT(M51),AND(M$4:M50))),($J51*$G51-LN(1+Jumpoverwrite1*O$2))/$G51,_xll.qlInterpolationInterpolate(M$3,$F51,TRUE))</f>
        <v>#NAME?</v>
      </c>
      <c r="O51" s="440" t="str">
        <f ca="1">IF(AND(NOT(M51),AND(M$4:M50)),MIN(EXP((N51-$J51)*$G51),1),"")</f>
        <v/>
      </c>
      <c r="P51" s="429"/>
      <c r="Q51" s="441" t="b">
        <f ca="1">IF(AND(NOT(M51),AND(M$4:M50)),TRUE,M51)</f>
        <v>0</v>
      </c>
      <c r="R51" s="440" t="e">
        <f ca="1">IF(AND(NOT(ISBLANK(Jumpoverwrite2)),AND(NOT(Q51),AND(Q$4:Q50))),($J51*$G51-LN(1+Jumpoverwrite2*S$2))/$G51,_xll.qlInterpolationInterpolate(Q$3,$F51,TRUE))</f>
        <v>#NAME?</v>
      </c>
      <c r="S51" s="440" t="str">
        <f ca="1">IF(AND(NOT(Q51),AND(Q$4:Q50)),MIN(EXP((R51-$J51)*$G51),1),"")</f>
        <v/>
      </c>
      <c r="T51" s="429"/>
      <c r="U51" s="441" t="b">
        <f ca="1">IF(AND(NOT(Q51),AND(Q$4:Q50)),TRUE,Q51)</f>
        <v>0</v>
      </c>
      <c r="V51" s="440" t="e">
        <f ca="1">IF(AND(NOT(ISBLANK(Jumpoverwrite3)),AND(NOT(U51),AND(U$4:U50))),($J51*$G51-LN(1+Jumpoverwrite3*W$2))/$G51,_xll.qlInterpolationInterpolate(U$3,$F51,TRUE))</f>
        <v>#NAME?</v>
      </c>
      <c r="W51" s="440" t="str">
        <f ca="1">IF(AND(NOT(U51),AND(U$4:U50)),MIN(EXP((V51-$J51)*$G51),1),"")</f>
        <v/>
      </c>
      <c r="X51" s="429"/>
      <c r="Y51" s="441" t="b">
        <f ca="1">IF(AND(NOT(U51),AND(U$4:U50)),TRUE,U51)</f>
        <v>0</v>
      </c>
      <c r="Z51" s="440" t="e">
        <f ca="1">IF(AND(NOT(ISBLANK(Jumpoverwrite4)),AND(NOT(Y51),AND(Y$4:Y50))),($J51*$G51-LN(1+Jumpoverwrite4*AA$2))/$G51,_xll.qlInterpolationInterpolate(Y$3,$F51,TRUE))</f>
        <v>#NAME?</v>
      </c>
      <c r="AA51" s="440" t="str">
        <f ca="1">IF(AND(NOT(Y51),AND(Y$4:Y50)),MIN(EXP((Z51-$J51)*$G51),1),"")</f>
        <v/>
      </c>
      <c r="AB51" s="429"/>
      <c r="AC51" s="441" t="b">
        <f ca="1">IF(AND(NOT(Y51),AND(Y$4:Y50)),TRUE,Y51)</f>
        <v>0</v>
      </c>
      <c r="AD51" s="440" t="e">
        <f ca="1">IF(AND(NOT(ISBLANK(Jumpoverwrite5)),AND(NOT(AC51),AND(AC$4:AC50))),($J51*$G51-LN(1+Jumpoverwrite5*AE$2))/$G51,_xll.qlInterpolationInterpolate(AC$3,$F51,TRUE))</f>
        <v>#NAME?</v>
      </c>
      <c r="AE51" s="440" t="str">
        <f ca="1">IF(AND(NOT(AC51),AND(AC$4:AC50)),MIN(EXP((AD51-$J51)*$G51),1),"")</f>
        <v/>
      </c>
      <c r="AF51" s="429"/>
      <c r="AG51" s="441" t="b">
        <f ca="1">IF(AND(NOT(AC51),AND(AC$4:AC50)),TRUE,AC51)</f>
        <v>0</v>
      </c>
      <c r="AH51" s="440" t="e">
        <f ca="1">IF(AND(NOT(ISBLANK(Jumpoverwrite6)),AND(NOT(AG51),AND(AG$4:AG50))),($J51*$G51-LN(1+Jumpoverwrite6*AI$2))/$G51,_xll.qlInterpolationInterpolate(AG$3,$F51,TRUE))</f>
        <v>#NAME?</v>
      </c>
      <c r="AI51" s="440" t="str">
        <f ca="1">IF(AND(NOT(AG51),AND(AG$4:AG50)),MIN(EXP((AH51-$J51)*$G51),1),"")</f>
        <v/>
      </c>
      <c r="AJ51" s="429"/>
      <c r="AK51" s="441" t="b">
        <f ca="1">IF(AND(NOT(AG51),AND(AG$4:AG50)),TRUE,AG51)</f>
        <v>0</v>
      </c>
      <c r="AL51" s="440" t="e">
        <f ca="1">IF(AND(NOT(ISBLANK(Jumpoverwrite7)),AND(NOT(AK51),AND(AK$4:AK50))),($J51*$G51-LN(1+Jumpoverwrite7*AM$2))/$G51,_xll.qlInterpolationInterpolate(AK$3,$F51,TRUE))</f>
        <v>#NAME?</v>
      </c>
      <c r="AM51" s="440" t="str">
        <f ca="1">IF(AND(NOT(AK51),AND(AK$4:AK50)),MIN(EXP((AL51-$J51)*$G51),1),"")</f>
        <v/>
      </c>
      <c r="AO51" s="441" t="b">
        <f ca="1">IF(AND(NOT(AK51),AND(AK$4:AK50)),TRUE,AK51)</f>
        <v>0</v>
      </c>
      <c r="AP51" s="440" t="e">
        <f ca="1">IF(AND(NOT(ISBLANK(Jumpoverwrite8)),AND(NOT(AO51),AND(AO$4:AO50))),($J51*$G51-LN(1+Jumpoverwrite8*AQ$2))/$G51,_xll.qlInterpolationInterpolate(AO$3,$F51,TRUE))</f>
        <v>#NAME?</v>
      </c>
      <c r="AQ51" s="440" t="str">
        <f ca="1">IF(AND(NOT(AO51),AND(AO$4:AO50)),MIN(EXP((AP51-$J51)*$G51),1),"")</f>
        <v/>
      </c>
      <c r="AS51" s="441" t="b">
        <f ca="1">IF(AND(NOT(AO51),AND(AO$4:AO50)),TRUE,AO51)</f>
        <v>0</v>
      </c>
      <c r="AT51" s="440" t="e">
        <f ca="1">IF(AND(NOT(ISBLANK(Jumpoverwrite9)),AND(NOT(AS51),AND(AS$4:AS50))),($J51*$G51-LN(1+Jumpoverwrite9*AU$2))/$G51,_xll.qlInterpolationInterpolate(AS$3,$F51,TRUE))</f>
        <v>#NAME?</v>
      </c>
      <c r="AU51" s="440" t="str">
        <f ca="1">IF(AND(NOT(AS51),AND(AS$4:AS50)),MIN(EXP((AT51-$J51)*$G51),1),"")</f>
        <v/>
      </c>
      <c r="AW51" s="441" t="b">
        <f ca="1">IF(AND(NOT(AS51),AND(AS$4:AS50)),TRUE,AS51)</f>
        <v>0</v>
      </c>
      <c r="AX51" s="440" t="e">
        <f ca="1">IF(AND(NOT(ISBLANK(Jumpoverwrite10)),AND(NOT(AW51),AND(AW$4:AW50))),($J51*$G51-LN(1+Jumpoverwrite10*AY$2))/$G51,_xll.qlInterpolationInterpolate(AW$3,$F51,TRUE))</f>
        <v>#NAME?</v>
      </c>
      <c r="AY51" s="440" t="str">
        <f ca="1">IF(AND(NOT(AW51),AND(AW$4:AW50)),MIN(EXP((AX51-$J51)*$G51),1),"")</f>
        <v/>
      </c>
      <c r="BA51" s="441" t="b">
        <f ca="1">IF(AND(NOT(AW51),AND(AW$4:AW50)),TRUE,AW51)</f>
        <v>0</v>
      </c>
      <c r="BB51" s="440" t="e">
        <f ca="1">IF(AND(NOT(ISBLANK(Jumpoverwrite11)),AND(NOT(BA51),AND(BA$4:BA50))),($J51*$G51-LN(1+Jumpoverwrite11*BC$2))/$G51,_xll.qlInterpolationInterpolate(BA$3,$F51,TRUE))</f>
        <v>#NAME?</v>
      </c>
      <c r="BC51" s="440" t="str">
        <f ca="1">IF(AND(NOT(BA51),AND(BA$4:BA50)),MIN(EXP((BB51-$J51)*$G51),1),"")</f>
        <v/>
      </c>
      <c r="BE51" s="441" t="b">
        <f ca="1">IF(AND(NOT(BA51),AND(BA$4:BA50)),TRUE,BA51)</f>
        <v>0</v>
      </c>
      <c r="BF51" s="440" t="e">
        <f ca="1">IF(AND(NOT(ISBLANK(Jumpoverwrite12)),AND(NOT(BE51),AND(BE$4:BE50))),($J51*$G51-LN(1+Jumpoverwrite12*BG$2))/$G51,_xll.qlInterpolationInterpolate(BE$3,$F51,TRUE))</f>
        <v>#NAME?</v>
      </c>
      <c r="BG51" s="440" t="str">
        <f ca="1">IF(AND(NOT(BE51),AND(BE$4:BE50)),MIN(EXP((BF51-$J51)*$G51),1),"")</f>
        <v/>
      </c>
      <c r="BI51" s="441" t="b">
        <f t="shared" ca="1" si="7"/>
        <v>0</v>
      </c>
      <c r="BJ51" s="440" t="e">
        <f ca="1">IF(AND(NOT(ISBLANK(jumpoverwrite13)),AND(NOT(BI51),AND(BI$4:BI50))),($J51*$G51-LN(1+jumpoverwrite13*BK$2))/$G51,_xll.qlInterpolationInterpolate(BI$3,$F51,TRUE))</f>
        <v>#NAME?</v>
      </c>
      <c r="BK51" s="440" t="str">
        <f ca="1">IF(AND(NOT(BI51),AND(BI$4:BI50)),MIN(EXP((BJ51-$J51)*$G51),1),"")</f>
        <v/>
      </c>
    </row>
    <row r="52" spans="1:63" x14ac:dyDescent="0.2">
      <c r="A52" s="439" t="e">
        <f ca="1"/>
        <v>#NAME?</v>
      </c>
      <c r="B52" s="438" t="e">
        <f ca="1">_xll.qlRateHelperRate($A52,InterestRatesTrigger)</f>
        <v>#NAME?</v>
      </c>
      <c r="C52" s="437" t="e">
        <f ca="1">_xll.qlRateHelperEarliestDate($A52)</f>
        <v>#NAME?</v>
      </c>
      <c r="D52" s="436" t="e">
        <f ca="1">_xll.qlRateHelperPillarDate($A52)</f>
        <v>#NAME?</v>
      </c>
      <c r="F52" s="446" t="e">
        <f t="shared" ca="1" si="5"/>
        <v>#N/A</v>
      </c>
      <c r="G52" s="445" t="e">
        <f ca="1">_xll.qlDayCounterYearFraction(DayCounter,D51,D52)</f>
        <v>#NAME?</v>
      </c>
      <c r="I52" s="444" t="b">
        <f t="shared" ca="1" si="6"/>
        <v>0</v>
      </c>
      <c r="J52" s="443" t="e">
        <f ca="1"/>
        <v>#NAME?</v>
      </c>
      <c r="K52" s="442" t="e">
        <f t="shared" ca="1" si="4"/>
        <v>#NAME?</v>
      </c>
      <c r="L52" s="430"/>
      <c r="M52" s="441" t="b">
        <f ca="1">IF(AND(NOT(I52),AND(I$4:I51)),TRUE,I52)</f>
        <v>0</v>
      </c>
      <c r="N52" s="440" t="e">
        <f ca="1">IF(AND(NOT(ISBLANK(Jumpoverwrite1)),AND(NOT(M52),AND(M$4:M51))),($J52*$G52-LN(1+Jumpoverwrite1*O$2))/$G52,_xll.qlInterpolationInterpolate(M$3,$F52,TRUE))</f>
        <v>#NAME?</v>
      </c>
      <c r="O52" s="440" t="str">
        <f ca="1">IF(AND(NOT(M52),AND(M$4:M51)),MIN(EXP((N52-$J52)*$G52),1),"")</f>
        <v/>
      </c>
      <c r="P52" s="429"/>
      <c r="Q52" s="441" t="b">
        <f ca="1">IF(AND(NOT(M52),AND(M$4:M51)),TRUE,M52)</f>
        <v>0</v>
      </c>
      <c r="R52" s="440" t="e">
        <f ca="1">IF(AND(NOT(ISBLANK(Jumpoverwrite2)),AND(NOT(Q52),AND(Q$4:Q51))),($J52*$G52-LN(1+Jumpoverwrite2*S$2))/$G52,_xll.qlInterpolationInterpolate(Q$3,$F52,TRUE))</f>
        <v>#NAME?</v>
      </c>
      <c r="S52" s="440" t="str">
        <f ca="1">IF(AND(NOT(Q52),AND(Q$4:Q51)),MIN(EXP((R52-$J52)*$G52),1),"")</f>
        <v/>
      </c>
      <c r="T52" s="429"/>
      <c r="U52" s="441" t="b">
        <f ca="1">IF(AND(NOT(Q52),AND(Q$4:Q51)),TRUE,Q52)</f>
        <v>0</v>
      </c>
      <c r="V52" s="440" t="e">
        <f ca="1">IF(AND(NOT(ISBLANK(Jumpoverwrite3)),AND(NOT(U52),AND(U$4:U51))),($J52*$G52-LN(1+Jumpoverwrite3*W$2))/$G52,_xll.qlInterpolationInterpolate(U$3,$F52,TRUE))</f>
        <v>#NAME?</v>
      </c>
      <c r="W52" s="440" t="str">
        <f ca="1">IF(AND(NOT(U52),AND(U$4:U51)),MIN(EXP((V52-$J52)*$G52),1),"")</f>
        <v/>
      </c>
      <c r="X52" s="429"/>
      <c r="Y52" s="441" t="b">
        <f ca="1">IF(AND(NOT(U52),AND(U$4:U51)),TRUE,U52)</f>
        <v>0</v>
      </c>
      <c r="Z52" s="440" t="e">
        <f ca="1">IF(AND(NOT(ISBLANK(Jumpoverwrite4)),AND(NOT(Y52),AND(Y$4:Y51))),($J52*$G52-LN(1+Jumpoverwrite4*AA$2))/$G52,_xll.qlInterpolationInterpolate(Y$3,$F52,TRUE))</f>
        <v>#NAME?</v>
      </c>
      <c r="AA52" s="440" t="str">
        <f ca="1">IF(AND(NOT(Y52),AND(Y$4:Y51)),MIN(EXP((Z52-$J52)*$G52),1),"")</f>
        <v/>
      </c>
      <c r="AB52" s="429"/>
      <c r="AC52" s="441" t="b">
        <f ca="1">IF(AND(NOT(Y52),AND(Y$4:Y51)),TRUE,Y52)</f>
        <v>0</v>
      </c>
      <c r="AD52" s="440" t="e">
        <f ca="1">IF(AND(NOT(ISBLANK(Jumpoverwrite5)),AND(NOT(AC52),AND(AC$4:AC51))),($J52*$G52-LN(1+Jumpoverwrite5*AE$2))/$G52,_xll.qlInterpolationInterpolate(AC$3,$F52,TRUE))</f>
        <v>#NAME?</v>
      </c>
      <c r="AE52" s="440" t="str">
        <f ca="1">IF(AND(NOT(AC52),AND(AC$4:AC51)),MIN(EXP((AD52-$J52)*$G52),1),"")</f>
        <v/>
      </c>
      <c r="AF52" s="429"/>
      <c r="AG52" s="441" t="b">
        <f ca="1">IF(AND(NOT(AC52),AND(AC$4:AC51)),TRUE,AC52)</f>
        <v>0</v>
      </c>
      <c r="AH52" s="440" t="e">
        <f ca="1">IF(AND(NOT(ISBLANK(Jumpoverwrite6)),AND(NOT(AG52),AND(AG$4:AG51))),($J52*$G52-LN(1+Jumpoverwrite6*AI$2))/$G52,_xll.qlInterpolationInterpolate(AG$3,$F52,TRUE))</f>
        <v>#NAME?</v>
      </c>
      <c r="AI52" s="440" t="str">
        <f ca="1">IF(AND(NOT(AG52),AND(AG$4:AG51)),MIN(EXP((AH52-$J52)*$G52),1),"")</f>
        <v/>
      </c>
      <c r="AJ52" s="429"/>
      <c r="AK52" s="441" t="b">
        <f ca="1">IF(AND(NOT(AG52),AND(AG$4:AG51)),TRUE,AG52)</f>
        <v>0</v>
      </c>
      <c r="AL52" s="440" t="e">
        <f ca="1">IF(AND(NOT(ISBLANK(Jumpoverwrite7)),AND(NOT(AK52),AND(AK$4:AK51))),($J52*$G52-LN(1+Jumpoverwrite7*AM$2))/$G52,_xll.qlInterpolationInterpolate(AK$3,$F52,TRUE))</f>
        <v>#NAME?</v>
      </c>
      <c r="AM52" s="440" t="str">
        <f ca="1">IF(AND(NOT(AK52),AND(AK$4:AK51)),MIN(EXP((AL52-$J52)*$G52),1),"")</f>
        <v/>
      </c>
      <c r="AO52" s="441" t="b">
        <f ca="1">IF(AND(NOT(AK52),AND(AK$4:AK51)),TRUE,AK52)</f>
        <v>0</v>
      </c>
      <c r="AP52" s="440" t="e">
        <f ca="1">IF(AND(NOT(ISBLANK(Jumpoverwrite8)),AND(NOT(AO52),AND(AO$4:AO51))),($J52*$G52-LN(1+Jumpoverwrite8*AQ$2))/$G52,_xll.qlInterpolationInterpolate(AO$3,$F52,TRUE))</f>
        <v>#NAME?</v>
      </c>
      <c r="AQ52" s="440" t="str">
        <f ca="1">IF(AND(NOT(AO52),AND(AO$4:AO51)),MIN(EXP((AP52-$J52)*$G52),1),"")</f>
        <v/>
      </c>
      <c r="AS52" s="441" t="b">
        <f ca="1">IF(AND(NOT(AO52),AND(AO$4:AO51)),TRUE,AO52)</f>
        <v>0</v>
      </c>
      <c r="AT52" s="440" t="e">
        <f ca="1">IF(AND(NOT(ISBLANK(Jumpoverwrite9)),AND(NOT(AS52),AND(AS$4:AS51))),($J52*$G52-LN(1+Jumpoverwrite9*AU$2))/$G52,_xll.qlInterpolationInterpolate(AS$3,$F52,TRUE))</f>
        <v>#NAME?</v>
      </c>
      <c r="AU52" s="440" t="str">
        <f ca="1">IF(AND(NOT(AS52),AND(AS$4:AS51)),MIN(EXP((AT52-$J52)*$G52),1),"")</f>
        <v/>
      </c>
      <c r="AW52" s="441" t="b">
        <f ca="1">IF(AND(NOT(AS52),AND(AS$4:AS51)),TRUE,AS52)</f>
        <v>0</v>
      </c>
      <c r="AX52" s="440" t="e">
        <f ca="1">IF(AND(NOT(ISBLANK(Jumpoverwrite10)),AND(NOT(AW52),AND(AW$4:AW51))),($J52*$G52-LN(1+Jumpoverwrite10*AY$2))/$G52,_xll.qlInterpolationInterpolate(AW$3,$F52,TRUE))</f>
        <v>#NAME?</v>
      </c>
      <c r="AY52" s="440" t="str">
        <f ca="1">IF(AND(NOT(AW52),AND(AW$4:AW51)),MIN(EXP((AX52-$J52)*$G52),1),"")</f>
        <v/>
      </c>
      <c r="BA52" s="441" t="b">
        <f ca="1">IF(AND(NOT(AW52),AND(AW$4:AW51)),TRUE,AW52)</f>
        <v>0</v>
      </c>
      <c r="BB52" s="440" t="e">
        <f ca="1">IF(AND(NOT(ISBLANK(Jumpoverwrite11)),AND(NOT(BA52),AND(BA$4:BA51))),($J52*$G52-LN(1+Jumpoverwrite11*BC$2))/$G52,_xll.qlInterpolationInterpolate(BA$3,$F52,TRUE))</f>
        <v>#NAME?</v>
      </c>
      <c r="BC52" s="440" t="str">
        <f ca="1">IF(AND(NOT(BA52),AND(BA$4:BA51)),MIN(EXP((BB52-$J52)*$G52),1),"")</f>
        <v/>
      </c>
      <c r="BE52" s="441" t="b">
        <f ca="1">IF(AND(NOT(BA52),AND(BA$4:BA51)),TRUE,BA52)</f>
        <v>0</v>
      </c>
      <c r="BF52" s="440" t="e">
        <f ca="1">IF(AND(NOT(ISBLANK(Jumpoverwrite12)),AND(NOT(BE52),AND(BE$4:BE51))),($J52*$G52-LN(1+Jumpoverwrite12*BG$2))/$G52,_xll.qlInterpolationInterpolate(BE$3,$F52,TRUE))</f>
        <v>#NAME?</v>
      </c>
      <c r="BG52" s="440" t="str">
        <f ca="1">IF(AND(NOT(BE52),AND(BE$4:BE51)),MIN(EXP((BF52-$J52)*$G52),1),"")</f>
        <v/>
      </c>
      <c r="BI52" s="441" t="b">
        <f t="shared" ca="1" si="7"/>
        <v>0</v>
      </c>
      <c r="BJ52" s="440" t="e">
        <f ca="1">IF(AND(NOT(ISBLANK(jumpoverwrite13)),AND(NOT(BI52),AND(BI$4:BI51))),($J52*$G52-LN(1+jumpoverwrite13*BK$2))/$G52,_xll.qlInterpolationInterpolate(BI$3,$F52,TRUE))</f>
        <v>#NAME?</v>
      </c>
      <c r="BK52" s="440" t="str">
        <f ca="1">IF(AND(NOT(BI52),AND(BI$4:BI51)),MIN(EXP((BJ52-$J52)*$G52),1),"")</f>
        <v/>
      </c>
    </row>
    <row r="53" spans="1:63" x14ac:dyDescent="0.2">
      <c r="A53" s="439" t="e">
        <f ca="1"/>
        <v>#NAME?</v>
      </c>
      <c r="B53" s="438" t="e">
        <f ca="1">_xll.qlRateHelperRate($A53,InterestRatesTrigger)</f>
        <v>#NAME?</v>
      </c>
      <c r="C53" s="437" t="e">
        <f ca="1">_xll.qlRateHelperEarliestDate($A53)</f>
        <v>#NAME?</v>
      </c>
      <c r="D53" s="436" t="e">
        <f ca="1">_xll.qlRateHelperPillarDate($A53)</f>
        <v>#NAME?</v>
      </c>
      <c r="F53" s="446" t="e">
        <f t="shared" ca="1" si="5"/>
        <v>#N/A</v>
      </c>
      <c r="G53" s="445" t="e">
        <f ca="1">_xll.qlDayCounterYearFraction(DayCounter,D52,D53)</f>
        <v>#NAME?</v>
      </c>
      <c r="I53" s="444" t="b">
        <f t="shared" ca="1" si="6"/>
        <v>0</v>
      </c>
      <c r="J53" s="443" t="e">
        <f ca="1"/>
        <v>#NAME?</v>
      </c>
      <c r="K53" s="442" t="e">
        <f t="shared" ca="1" si="4"/>
        <v>#NAME?</v>
      </c>
      <c r="L53" s="430"/>
      <c r="M53" s="441" t="b">
        <f ca="1">IF(AND(NOT(I53),AND(I$4:I52)),TRUE,I53)</f>
        <v>0</v>
      </c>
      <c r="N53" s="440" t="e">
        <f ca="1">IF(AND(NOT(ISBLANK(Jumpoverwrite1)),AND(NOT(M53),AND(M$4:M52))),($J53*$G53-LN(1+Jumpoverwrite1*O$2))/$G53,_xll.qlInterpolationInterpolate(M$3,$F53,TRUE))</f>
        <v>#NAME?</v>
      </c>
      <c r="O53" s="440" t="str">
        <f ca="1">IF(AND(NOT(M53),AND(M$4:M52)),MIN(EXP((N53-$J53)*$G53),1),"")</f>
        <v/>
      </c>
      <c r="P53" s="429"/>
      <c r="Q53" s="441" t="b">
        <f ca="1">IF(AND(NOT(M53),AND(M$4:M52)),TRUE,M53)</f>
        <v>0</v>
      </c>
      <c r="R53" s="440" t="e">
        <f ca="1">IF(AND(NOT(ISBLANK(Jumpoverwrite2)),AND(NOT(Q53),AND(Q$4:Q52))),($J53*$G53-LN(1+Jumpoverwrite2*S$2))/$G53,_xll.qlInterpolationInterpolate(Q$3,$F53,TRUE))</f>
        <v>#NAME?</v>
      </c>
      <c r="S53" s="440" t="str">
        <f ca="1">IF(AND(NOT(Q53),AND(Q$4:Q52)),MIN(EXP((R53-$J53)*$G53),1),"")</f>
        <v/>
      </c>
      <c r="T53" s="429"/>
      <c r="U53" s="441" t="b">
        <f ca="1">IF(AND(NOT(Q53),AND(Q$4:Q52)),TRUE,Q53)</f>
        <v>0</v>
      </c>
      <c r="V53" s="440" t="e">
        <f ca="1">IF(AND(NOT(ISBLANK(Jumpoverwrite3)),AND(NOT(U53),AND(U$4:U52))),($J53*$G53-LN(1+Jumpoverwrite3*W$2))/$G53,_xll.qlInterpolationInterpolate(U$3,$F53,TRUE))</f>
        <v>#NAME?</v>
      </c>
      <c r="W53" s="440" t="str">
        <f ca="1">IF(AND(NOT(U53),AND(U$4:U52)),MIN(EXP((V53-$J53)*$G53),1),"")</f>
        <v/>
      </c>
      <c r="X53" s="429"/>
      <c r="Y53" s="441" t="b">
        <f ca="1">IF(AND(NOT(U53),AND(U$4:U52)),TRUE,U53)</f>
        <v>0</v>
      </c>
      <c r="Z53" s="440" t="e">
        <f ca="1">IF(AND(NOT(ISBLANK(Jumpoverwrite4)),AND(NOT(Y53),AND(Y$4:Y52))),($J53*$G53-LN(1+Jumpoverwrite4*AA$2))/$G53,_xll.qlInterpolationInterpolate(Y$3,$F53,TRUE))</f>
        <v>#NAME?</v>
      </c>
      <c r="AA53" s="440" t="str">
        <f ca="1">IF(AND(NOT(Y53),AND(Y$4:Y52)),MIN(EXP((Z53-$J53)*$G53),1),"")</f>
        <v/>
      </c>
      <c r="AB53" s="429"/>
      <c r="AC53" s="441" t="b">
        <f ca="1">IF(AND(NOT(Y53),AND(Y$4:Y52)),TRUE,Y53)</f>
        <v>0</v>
      </c>
      <c r="AD53" s="440" t="e">
        <f ca="1">IF(AND(NOT(ISBLANK(Jumpoverwrite5)),AND(NOT(AC53),AND(AC$4:AC52))),($J53*$G53-LN(1+Jumpoverwrite5*AE$2))/$G53,_xll.qlInterpolationInterpolate(AC$3,$F53,TRUE))</f>
        <v>#NAME?</v>
      </c>
      <c r="AE53" s="440" t="str">
        <f ca="1">IF(AND(NOT(AC53),AND(AC$4:AC52)),MIN(EXP((AD53-$J53)*$G53),1),"")</f>
        <v/>
      </c>
      <c r="AF53" s="429"/>
      <c r="AG53" s="441" t="b">
        <f ca="1">IF(AND(NOT(AC53),AND(AC$4:AC52)),TRUE,AC53)</f>
        <v>0</v>
      </c>
      <c r="AH53" s="440" t="e">
        <f ca="1">IF(AND(NOT(ISBLANK(Jumpoverwrite6)),AND(NOT(AG53),AND(AG$4:AG52))),($J53*$G53-LN(1+Jumpoverwrite6*AI$2))/$G53,_xll.qlInterpolationInterpolate(AG$3,$F53,TRUE))</f>
        <v>#NAME?</v>
      </c>
      <c r="AI53" s="440" t="str">
        <f ca="1">IF(AND(NOT(AG53),AND(AG$4:AG52)),MIN(EXP((AH53-$J53)*$G53),1),"")</f>
        <v/>
      </c>
      <c r="AJ53" s="429"/>
      <c r="AK53" s="441" t="b">
        <f ca="1">IF(AND(NOT(AG53),AND(AG$4:AG52)),TRUE,AG53)</f>
        <v>0</v>
      </c>
      <c r="AL53" s="440" t="e">
        <f ca="1">IF(AND(NOT(ISBLANK(Jumpoverwrite7)),AND(NOT(AK53),AND(AK$4:AK52))),($J53*$G53-LN(1+Jumpoverwrite7*AM$2))/$G53,_xll.qlInterpolationInterpolate(AK$3,$F53,TRUE))</f>
        <v>#NAME?</v>
      </c>
      <c r="AM53" s="440" t="str">
        <f ca="1">IF(AND(NOT(AK53),AND(AK$4:AK52)),MIN(EXP((AL53-$J53)*$G53),1),"")</f>
        <v/>
      </c>
      <c r="AO53" s="441" t="b">
        <f ca="1">IF(AND(NOT(AK53),AND(AK$4:AK52)),TRUE,AK53)</f>
        <v>0</v>
      </c>
      <c r="AP53" s="440" t="e">
        <f ca="1">IF(AND(NOT(ISBLANK(Jumpoverwrite8)),AND(NOT(AO53),AND(AO$4:AO52))),($J53*$G53-LN(1+Jumpoverwrite8*AQ$2))/$G53,_xll.qlInterpolationInterpolate(AO$3,$F53,TRUE))</f>
        <v>#NAME?</v>
      </c>
      <c r="AQ53" s="440" t="str">
        <f ca="1">IF(AND(NOT(AO53),AND(AO$4:AO52)),MIN(EXP((AP53-$J53)*$G53),1),"")</f>
        <v/>
      </c>
      <c r="AS53" s="441" t="b">
        <f ca="1">IF(AND(NOT(AO53),AND(AO$4:AO52)),TRUE,AO53)</f>
        <v>0</v>
      </c>
      <c r="AT53" s="440" t="e">
        <f ca="1">IF(AND(NOT(ISBLANK(Jumpoverwrite9)),AND(NOT(AS53),AND(AS$4:AS52))),($J53*$G53-LN(1+Jumpoverwrite9*AU$2))/$G53,_xll.qlInterpolationInterpolate(AS$3,$F53,TRUE))</f>
        <v>#NAME?</v>
      </c>
      <c r="AU53" s="440" t="str">
        <f ca="1">IF(AND(NOT(AS53),AND(AS$4:AS52)),MIN(EXP((AT53-$J53)*$G53),1),"")</f>
        <v/>
      </c>
      <c r="AW53" s="441" t="b">
        <f ca="1">IF(AND(NOT(AS53),AND(AS$4:AS52)),TRUE,AS53)</f>
        <v>0</v>
      </c>
      <c r="AX53" s="440" t="e">
        <f ca="1">IF(AND(NOT(ISBLANK(Jumpoverwrite10)),AND(NOT(AW53),AND(AW$4:AW52))),($J53*$G53-LN(1+Jumpoverwrite10*AY$2))/$G53,_xll.qlInterpolationInterpolate(AW$3,$F53,TRUE))</f>
        <v>#NAME?</v>
      </c>
      <c r="AY53" s="440" t="str">
        <f ca="1">IF(AND(NOT(AW53),AND(AW$4:AW52)),MIN(EXP((AX53-$J53)*$G53),1),"")</f>
        <v/>
      </c>
      <c r="BA53" s="441" t="b">
        <f ca="1">IF(AND(NOT(AW53),AND(AW$4:AW52)),TRUE,AW53)</f>
        <v>0</v>
      </c>
      <c r="BB53" s="440" t="e">
        <f ca="1">IF(AND(NOT(ISBLANK(Jumpoverwrite11)),AND(NOT(BA53),AND(BA$4:BA52))),($J53*$G53-LN(1+Jumpoverwrite11*BC$2))/$G53,_xll.qlInterpolationInterpolate(BA$3,$F53,TRUE))</f>
        <v>#NAME?</v>
      </c>
      <c r="BC53" s="440" t="str">
        <f ca="1">IF(AND(NOT(BA53),AND(BA$4:BA52)),MIN(EXP((BB53-$J53)*$G53),1),"")</f>
        <v/>
      </c>
      <c r="BE53" s="441" t="b">
        <f ca="1">IF(AND(NOT(BA53),AND(BA$4:BA52)),TRUE,BA53)</f>
        <v>0</v>
      </c>
      <c r="BF53" s="440" t="e">
        <f ca="1">IF(AND(NOT(ISBLANK(Jumpoverwrite12)),AND(NOT(BE53),AND(BE$4:BE52))),($J53*$G53-LN(1+Jumpoverwrite12*BG$2))/$G53,_xll.qlInterpolationInterpolate(BE$3,$F53,TRUE))</f>
        <v>#NAME?</v>
      </c>
      <c r="BG53" s="440" t="str">
        <f ca="1">IF(AND(NOT(BE53),AND(BE$4:BE52)),MIN(EXP((BF53-$J53)*$G53),1),"")</f>
        <v/>
      </c>
      <c r="BI53" s="441" t="b">
        <f t="shared" ca="1" si="7"/>
        <v>0</v>
      </c>
      <c r="BJ53" s="440" t="e">
        <f ca="1">IF(AND(NOT(ISBLANK(jumpoverwrite13)),AND(NOT(BI53),AND(BI$4:BI52))),($J53*$G53-LN(1+jumpoverwrite13*BK$2))/$G53,_xll.qlInterpolationInterpolate(BI$3,$F53,TRUE))</f>
        <v>#NAME?</v>
      </c>
      <c r="BK53" s="440" t="str">
        <f ca="1">IF(AND(NOT(BI53),AND(BI$4:BI52)),MIN(EXP((BJ53-$J53)*$G53),1),"")</f>
        <v/>
      </c>
    </row>
    <row r="54" spans="1:63" x14ac:dyDescent="0.2">
      <c r="A54" s="439" t="e">
        <f ca="1"/>
        <v>#NAME?</v>
      </c>
      <c r="B54" s="438" t="e">
        <f ca="1">_xll.qlRateHelperRate($A54,InterestRatesTrigger)</f>
        <v>#NAME?</v>
      </c>
      <c r="C54" s="437" t="e">
        <f ca="1">_xll.qlRateHelperEarliestDate($A54)</f>
        <v>#NAME?</v>
      </c>
      <c r="D54" s="436" t="e">
        <f ca="1">_xll.qlRateHelperPillarDate($A54)</f>
        <v>#NAME?</v>
      </c>
      <c r="F54" s="446" t="e">
        <f t="shared" ca="1" si="5"/>
        <v>#N/A</v>
      </c>
      <c r="G54" s="445" t="e">
        <f ca="1">_xll.qlDayCounterYearFraction(DayCounter,D53,D54)</f>
        <v>#NAME?</v>
      </c>
      <c r="I54" s="444" t="b">
        <f t="shared" ca="1" si="6"/>
        <v>0</v>
      </c>
      <c r="J54" s="443" t="e">
        <f ca="1"/>
        <v>#NAME?</v>
      </c>
      <c r="K54" s="442" t="e">
        <f t="shared" ca="1" si="4"/>
        <v>#NAME?</v>
      </c>
      <c r="L54" s="430"/>
      <c r="M54" s="441" t="b">
        <f ca="1">IF(AND(NOT(I54),AND(I$4:I53)),TRUE,I54)</f>
        <v>0</v>
      </c>
      <c r="N54" s="440" t="e">
        <f ca="1">IF(AND(NOT(ISBLANK(Jumpoverwrite1)),AND(NOT(M54),AND(M$4:M53))),($J54*$G54-LN(1+Jumpoverwrite1*O$2))/$G54,_xll.qlInterpolationInterpolate(M$3,$F54,TRUE))</f>
        <v>#NAME?</v>
      </c>
      <c r="O54" s="440" t="str">
        <f ca="1">IF(AND(NOT(M54),AND(M$4:M53)),MIN(EXP((N54-$J54)*$G54),1),"")</f>
        <v/>
      </c>
      <c r="P54" s="429"/>
      <c r="Q54" s="441" t="b">
        <f ca="1">IF(AND(NOT(M54),AND(M$4:M53)),TRUE,M54)</f>
        <v>0</v>
      </c>
      <c r="R54" s="440" t="e">
        <f ca="1">IF(AND(NOT(ISBLANK(Jumpoverwrite2)),AND(NOT(Q54),AND(Q$4:Q53))),($J54*$G54-LN(1+Jumpoverwrite2*S$2))/$G54,_xll.qlInterpolationInterpolate(Q$3,$F54,TRUE))</f>
        <v>#NAME?</v>
      </c>
      <c r="S54" s="440" t="str">
        <f ca="1">IF(AND(NOT(Q54),AND(Q$4:Q53)),MIN(EXP((R54-$J54)*$G54),1),"")</f>
        <v/>
      </c>
      <c r="T54" s="429"/>
      <c r="U54" s="441" t="b">
        <f ca="1">IF(AND(NOT(Q54),AND(Q$4:Q53)),TRUE,Q54)</f>
        <v>0</v>
      </c>
      <c r="V54" s="440" t="e">
        <f ca="1">IF(AND(NOT(ISBLANK(Jumpoverwrite3)),AND(NOT(U54),AND(U$4:U53))),($J54*$G54-LN(1+Jumpoverwrite3*W$2))/$G54,_xll.qlInterpolationInterpolate(U$3,$F54,TRUE))</f>
        <v>#NAME?</v>
      </c>
      <c r="W54" s="440" t="str">
        <f ca="1">IF(AND(NOT(U54),AND(U$4:U53)),MIN(EXP((V54-$J54)*$G54),1),"")</f>
        <v/>
      </c>
      <c r="X54" s="429"/>
      <c r="Y54" s="441" t="b">
        <f ca="1">IF(AND(NOT(U54),AND(U$4:U53)),TRUE,U54)</f>
        <v>0</v>
      </c>
      <c r="Z54" s="440" t="e">
        <f ca="1">IF(AND(NOT(ISBLANK(Jumpoverwrite4)),AND(NOT(Y54),AND(Y$4:Y53))),($J54*$G54-LN(1+Jumpoverwrite4*AA$2))/$G54,_xll.qlInterpolationInterpolate(Y$3,$F54,TRUE))</f>
        <v>#NAME?</v>
      </c>
      <c r="AA54" s="440" t="str">
        <f ca="1">IF(AND(NOT(Y54),AND(Y$4:Y53)),MIN(EXP((Z54-$J54)*$G54),1),"")</f>
        <v/>
      </c>
      <c r="AB54" s="429"/>
      <c r="AC54" s="441" t="b">
        <f ca="1">IF(AND(NOT(Y54),AND(Y$4:Y53)),TRUE,Y54)</f>
        <v>0</v>
      </c>
      <c r="AD54" s="440" t="e">
        <f ca="1">IF(AND(NOT(ISBLANK(Jumpoverwrite5)),AND(NOT(AC54),AND(AC$4:AC53))),($J54*$G54-LN(1+Jumpoverwrite5*AE$2))/$G54,_xll.qlInterpolationInterpolate(AC$3,$F54,TRUE))</f>
        <v>#NAME?</v>
      </c>
      <c r="AE54" s="440" t="str">
        <f ca="1">IF(AND(NOT(AC54),AND(AC$4:AC53)),MIN(EXP((AD54-$J54)*$G54),1),"")</f>
        <v/>
      </c>
      <c r="AF54" s="429"/>
      <c r="AG54" s="441" t="b">
        <f ca="1">IF(AND(NOT(AC54),AND(AC$4:AC53)),TRUE,AC54)</f>
        <v>0</v>
      </c>
      <c r="AH54" s="440" t="e">
        <f ca="1">IF(AND(NOT(ISBLANK(Jumpoverwrite6)),AND(NOT(AG54),AND(AG$4:AG53))),($J54*$G54-LN(1+Jumpoverwrite6*AI$2))/$G54,_xll.qlInterpolationInterpolate(AG$3,$F54,TRUE))</f>
        <v>#NAME?</v>
      </c>
      <c r="AI54" s="440" t="str">
        <f ca="1">IF(AND(NOT(AG54),AND(AG$4:AG53)),MIN(EXP((AH54-$J54)*$G54),1),"")</f>
        <v/>
      </c>
      <c r="AJ54" s="429"/>
      <c r="AK54" s="441" t="b">
        <f ca="1">IF(AND(NOT(AG54),AND(AG$4:AG53)),TRUE,AG54)</f>
        <v>0</v>
      </c>
      <c r="AL54" s="440" t="e">
        <f ca="1">IF(AND(NOT(ISBLANK(Jumpoverwrite7)),AND(NOT(AK54),AND(AK$4:AK53))),($J54*$G54-LN(1+Jumpoverwrite7*AM$2))/$G54,_xll.qlInterpolationInterpolate(AK$3,$F54,TRUE))</f>
        <v>#NAME?</v>
      </c>
      <c r="AM54" s="440" t="str">
        <f ca="1">IF(AND(NOT(AK54),AND(AK$4:AK53)),MIN(EXP((AL54-$J54)*$G54),1),"")</f>
        <v/>
      </c>
      <c r="AO54" s="441" t="b">
        <f ca="1">IF(AND(NOT(AK54),AND(AK$4:AK53)),TRUE,AK54)</f>
        <v>0</v>
      </c>
      <c r="AP54" s="440" t="e">
        <f ca="1">IF(AND(NOT(ISBLANK(Jumpoverwrite8)),AND(NOT(AO54),AND(AO$4:AO53))),($J54*$G54-LN(1+Jumpoverwrite8*AQ$2))/$G54,_xll.qlInterpolationInterpolate(AO$3,$F54,TRUE))</f>
        <v>#NAME?</v>
      </c>
      <c r="AQ54" s="440" t="str">
        <f ca="1">IF(AND(NOT(AO54),AND(AO$4:AO53)),MIN(EXP((AP54-$J54)*$G54),1),"")</f>
        <v/>
      </c>
      <c r="AS54" s="441" t="b">
        <f ca="1">IF(AND(NOT(AO54),AND(AO$4:AO53)),TRUE,AO54)</f>
        <v>0</v>
      </c>
      <c r="AT54" s="440" t="e">
        <f ca="1">IF(AND(NOT(ISBLANK(Jumpoverwrite9)),AND(NOT(AS54),AND(AS$4:AS53))),($J54*$G54-LN(1+Jumpoverwrite9*AU$2))/$G54,_xll.qlInterpolationInterpolate(AS$3,$F54,TRUE))</f>
        <v>#NAME?</v>
      </c>
      <c r="AU54" s="440" t="str">
        <f ca="1">IF(AND(NOT(AS54),AND(AS$4:AS53)),MIN(EXP((AT54-$J54)*$G54),1),"")</f>
        <v/>
      </c>
      <c r="AW54" s="441" t="b">
        <f ca="1">IF(AND(NOT(AS54),AND(AS$4:AS53)),TRUE,AS54)</f>
        <v>0</v>
      </c>
      <c r="AX54" s="440" t="e">
        <f ca="1">IF(AND(NOT(ISBLANK(Jumpoverwrite10)),AND(NOT(AW54),AND(AW$4:AW53))),($J54*$G54-LN(1+Jumpoverwrite10*AY$2))/$G54,_xll.qlInterpolationInterpolate(AW$3,$F54,TRUE))</f>
        <v>#NAME?</v>
      </c>
      <c r="AY54" s="440" t="str">
        <f ca="1">IF(AND(NOT(AW54),AND(AW$4:AW53)),MIN(EXP((AX54-$J54)*$G54),1),"")</f>
        <v/>
      </c>
      <c r="BA54" s="441" t="b">
        <f ca="1">IF(AND(NOT(AW54),AND(AW$4:AW53)),TRUE,AW54)</f>
        <v>0</v>
      </c>
      <c r="BB54" s="440" t="e">
        <f ca="1">IF(AND(NOT(ISBLANK(Jumpoverwrite11)),AND(NOT(BA54),AND(BA$4:BA53))),($J54*$G54-LN(1+Jumpoverwrite11*BC$2))/$G54,_xll.qlInterpolationInterpolate(BA$3,$F54,TRUE))</f>
        <v>#NAME?</v>
      </c>
      <c r="BC54" s="440" t="str">
        <f ca="1">IF(AND(NOT(BA54),AND(BA$4:BA53)),MIN(EXP((BB54-$J54)*$G54),1),"")</f>
        <v/>
      </c>
      <c r="BE54" s="441" t="b">
        <f ca="1">IF(AND(NOT(BA54),AND(BA$4:BA53)),TRUE,BA54)</f>
        <v>0</v>
      </c>
      <c r="BF54" s="440" t="e">
        <f ca="1">IF(AND(NOT(ISBLANK(Jumpoverwrite12)),AND(NOT(BE54),AND(BE$4:BE53))),($J54*$G54-LN(1+Jumpoverwrite12*BG$2))/$G54,_xll.qlInterpolationInterpolate(BE$3,$F54,TRUE))</f>
        <v>#NAME?</v>
      </c>
      <c r="BG54" s="440" t="str">
        <f ca="1">IF(AND(NOT(BE54),AND(BE$4:BE53)),MIN(EXP((BF54-$J54)*$G54),1),"")</f>
        <v/>
      </c>
      <c r="BI54" s="441" t="b">
        <f t="shared" ca="1" si="7"/>
        <v>0</v>
      </c>
      <c r="BJ54" s="440" t="e">
        <f ca="1">IF(AND(NOT(ISBLANK(jumpoverwrite13)),AND(NOT(BI54),AND(BI$4:BI53))),($J54*$G54-LN(1+jumpoverwrite13*BK$2))/$G54,_xll.qlInterpolationInterpolate(BI$3,$F54,TRUE))</f>
        <v>#NAME?</v>
      </c>
      <c r="BK54" s="440" t="str">
        <f ca="1">IF(AND(NOT(BI54),AND(BI$4:BI53)),MIN(EXP((BJ54-$J54)*$G54),1),"")</f>
        <v/>
      </c>
    </row>
    <row r="55" spans="1:63" x14ac:dyDescent="0.2">
      <c r="A55" s="439" t="e">
        <f ca="1"/>
        <v>#NAME?</v>
      </c>
      <c r="B55" s="438" t="e">
        <f ca="1">_xll.qlRateHelperRate($A55,InterestRatesTrigger)</f>
        <v>#NAME?</v>
      </c>
      <c r="C55" s="437" t="e">
        <f ca="1">_xll.qlRateHelperEarliestDate($A55)</f>
        <v>#NAME?</v>
      </c>
      <c r="D55" s="436" t="e">
        <f ca="1">_xll.qlRateHelperPillarDate($A55)</f>
        <v>#NAME?</v>
      </c>
      <c r="F55" s="446" t="e">
        <f t="shared" ca="1" si="5"/>
        <v>#N/A</v>
      </c>
      <c r="G55" s="445" t="e">
        <f ca="1">_xll.qlDayCounterYearFraction(DayCounter,D54,D55)</f>
        <v>#NAME?</v>
      </c>
      <c r="I55" s="444" t="b">
        <f t="shared" ca="1" si="6"/>
        <v>0</v>
      </c>
      <c r="J55" s="443" t="e">
        <f ca="1"/>
        <v>#NAME?</v>
      </c>
      <c r="K55" s="442" t="e">
        <f t="shared" ca="1" si="4"/>
        <v>#NAME?</v>
      </c>
      <c r="L55" s="430"/>
      <c r="M55" s="441" t="b">
        <f ca="1">IF(AND(NOT(I55),AND(I$4:I54)),TRUE,I55)</f>
        <v>0</v>
      </c>
      <c r="N55" s="440" t="e">
        <f ca="1">IF(AND(NOT(ISBLANK(Jumpoverwrite1)),AND(NOT(M55),AND(M$4:M54))),($J55*$G55-LN(1+Jumpoverwrite1*O$2))/$G55,_xll.qlInterpolationInterpolate(M$3,$F55,TRUE))</f>
        <v>#NAME?</v>
      </c>
      <c r="O55" s="440" t="str">
        <f ca="1">IF(AND(NOT(M55),AND(M$4:M54)),MIN(EXP((N55-$J55)*$G55),1),"")</f>
        <v/>
      </c>
      <c r="P55" s="429"/>
      <c r="Q55" s="441" t="b">
        <f ca="1">IF(AND(NOT(M55),AND(M$4:M54)),TRUE,M55)</f>
        <v>0</v>
      </c>
      <c r="R55" s="440" t="e">
        <f ca="1">IF(AND(NOT(ISBLANK(Jumpoverwrite2)),AND(NOT(Q55),AND(Q$4:Q54))),($J55*$G55-LN(1+Jumpoverwrite2*S$2))/$G55,_xll.qlInterpolationInterpolate(Q$3,$F55,TRUE))</f>
        <v>#NAME?</v>
      </c>
      <c r="S55" s="440" t="str">
        <f ca="1">IF(AND(NOT(Q55),AND(Q$4:Q54)),MIN(EXP((R55-$J55)*$G55),1),"")</f>
        <v/>
      </c>
      <c r="T55" s="429"/>
      <c r="U55" s="441" t="b">
        <f ca="1">IF(AND(NOT(Q55),AND(Q$4:Q54)),TRUE,Q55)</f>
        <v>0</v>
      </c>
      <c r="V55" s="440" t="e">
        <f ca="1">IF(AND(NOT(ISBLANK(Jumpoverwrite3)),AND(NOT(U55),AND(U$4:U54))),($J55*$G55-LN(1+Jumpoverwrite3*W$2))/$G55,_xll.qlInterpolationInterpolate(U$3,$F55,TRUE))</f>
        <v>#NAME?</v>
      </c>
      <c r="W55" s="440" t="str">
        <f ca="1">IF(AND(NOT(U55),AND(U$4:U54)),MIN(EXP((V55-$J55)*$G55),1),"")</f>
        <v/>
      </c>
      <c r="X55" s="429"/>
      <c r="Y55" s="441" t="b">
        <f ca="1">IF(AND(NOT(U55),AND(U$4:U54)),TRUE,U55)</f>
        <v>0</v>
      </c>
      <c r="Z55" s="440" t="e">
        <f ca="1">IF(AND(NOT(ISBLANK(Jumpoverwrite4)),AND(NOT(Y55),AND(Y$4:Y54))),($J55*$G55-LN(1+Jumpoverwrite4*AA$2))/$G55,_xll.qlInterpolationInterpolate(Y$3,$F55,TRUE))</f>
        <v>#NAME?</v>
      </c>
      <c r="AA55" s="440" t="str">
        <f ca="1">IF(AND(NOT(Y55),AND(Y$4:Y54)),MIN(EXP((Z55-$J55)*$G55),1),"")</f>
        <v/>
      </c>
      <c r="AB55" s="429"/>
      <c r="AC55" s="441" t="b">
        <f ca="1">IF(AND(NOT(Y55),AND(Y$4:Y54)),TRUE,Y55)</f>
        <v>0</v>
      </c>
      <c r="AD55" s="440" t="e">
        <f ca="1">IF(AND(NOT(ISBLANK(Jumpoverwrite5)),AND(NOT(AC55),AND(AC$4:AC54))),($J55*$G55-LN(1+Jumpoverwrite5*AE$2))/$G55,_xll.qlInterpolationInterpolate(AC$3,$F55,TRUE))</f>
        <v>#NAME?</v>
      </c>
      <c r="AE55" s="440" t="str">
        <f ca="1">IF(AND(NOT(AC55),AND(AC$4:AC54)),MIN(EXP((AD55-$J55)*$G55),1),"")</f>
        <v/>
      </c>
      <c r="AF55" s="429"/>
      <c r="AG55" s="441" t="b">
        <f ca="1">IF(AND(NOT(AC55),AND(AC$4:AC54)),TRUE,AC55)</f>
        <v>0</v>
      </c>
      <c r="AH55" s="440" t="e">
        <f ca="1">IF(AND(NOT(ISBLANK(Jumpoverwrite6)),AND(NOT(AG55),AND(AG$4:AG54))),($J55*$G55-LN(1+Jumpoverwrite6*AI$2))/$G55,_xll.qlInterpolationInterpolate(AG$3,$F55,TRUE))</f>
        <v>#NAME?</v>
      </c>
      <c r="AI55" s="440" t="str">
        <f ca="1">IF(AND(NOT(AG55),AND(AG$4:AG54)),MIN(EXP((AH55-$J55)*$G55),1),"")</f>
        <v/>
      </c>
      <c r="AJ55" s="429"/>
      <c r="AK55" s="441" t="b">
        <f ca="1">IF(AND(NOT(AG55),AND(AG$4:AG54)),TRUE,AG55)</f>
        <v>0</v>
      </c>
      <c r="AL55" s="440" t="e">
        <f ca="1">IF(AND(NOT(ISBLANK(Jumpoverwrite7)),AND(NOT(AK55),AND(AK$4:AK54))),($J55*$G55-LN(1+Jumpoverwrite7*AM$2))/$G55,_xll.qlInterpolationInterpolate(AK$3,$F55,TRUE))</f>
        <v>#NAME?</v>
      </c>
      <c r="AM55" s="440" t="str">
        <f ca="1">IF(AND(NOT(AK55),AND(AK$4:AK54)),MIN(EXP((AL55-$J55)*$G55),1),"")</f>
        <v/>
      </c>
      <c r="AO55" s="441" t="b">
        <f ca="1">IF(AND(NOT(AK55),AND(AK$4:AK54)),TRUE,AK55)</f>
        <v>0</v>
      </c>
      <c r="AP55" s="440" t="e">
        <f ca="1">IF(AND(NOT(ISBLANK(Jumpoverwrite8)),AND(NOT(AO55),AND(AO$4:AO54))),($J55*$G55-LN(1+Jumpoverwrite8*AQ$2))/$G55,_xll.qlInterpolationInterpolate(AO$3,$F55,TRUE))</f>
        <v>#NAME?</v>
      </c>
      <c r="AQ55" s="440" t="str">
        <f ca="1">IF(AND(NOT(AO55),AND(AO$4:AO54)),MIN(EXP((AP55-$J55)*$G55),1),"")</f>
        <v/>
      </c>
      <c r="AS55" s="441" t="b">
        <f ca="1">IF(AND(NOT(AO55),AND(AO$4:AO54)),TRUE,AO55)</f>
        <v>0</v>
      </c>
      <c r="AT55" s="440" t="e">
        <f ca="1">IF(AND(NOT(ISBLANK(Jumpoverwrite9)),AND(NOT(AS55),AND(AS$4:AS54))),($J55*$G55-LN(1+Jumpoverwrite9*AU$2))/$G55,_xll.qlInterpolationInterpolate(AS$3,$F55,TRUE))</f>
        <v>#NAME?</v>
      </c>
      <c r="AU55" s="440" t="str">
        <f ca="1">IF(AND(NOT(AS55),AND(AS$4:AS54)),MIN(EXP((AT55-$J55)*$G55),1),"")</f>
        <v/>
      </c>
      <c r="AW55" s="441" t="b">
        <f ca="1">IF(AND(NOT(AS55),AND(AS$4:AS54)),TRUE,AS55)</f>
        <v>0</v>
      </c>
      <c r="AX55" s="440" t="e">
        <f ca="1">IF(AND(NOT(ISBLANK(Jumpoverwrite10)),AND(NOT(AW55),AND(AW$4:AW54))),($J55*$G55-LN(1+Jumpoverwrite10*AY$2))/$G55,_xll.qlInterpolationInterpolate(AW$3,$F55,TRUE))</f>
        <v>#NAME?</v>
      </c>
      <c r="AY55" s="440" t="str">
        <f ca="1">IF(AND(NOT(AW55),AND(AW$4:AW54)),MIN(EXP((AX55-$J55)*$G55),1),"")</f>
        <v/>
      </c>
      <c r="BA55" s="441" t="b">
        <f ca="1">IF(AND(NOT(AW55),AND(AW$4:AW54)),TRUE,AW55)</f>
        <v>0</v>
      </c>
      <c r="BB55" s="440" t="e">
        <f ca="1">IF(AND(NOT(ISBLANK(Jumpoverwrite11)),AND(NOT(BA55),AND(BA$4:BA54))),($J55*$G55-LN(1+Jumpoverwrite11*BC$2))/$G55,_xll.qlInterpolationInterpolate(BA$3,$F55,TRUE))</f>
        <v>#NAME?</v>
      </c>
      <c r="BC55" s="440" t="str">
        <f ca="1">IF(AND(NOT(BA55),AND(BA$4:BA54)),MIN(EXP((BB55-$J55)*$G55),1),"")</f>
        <v/>
      </c>
      <c r="BE55" s="441" t="b">
        <f ca="1">IF(AND(NOT(BA55),AND(BA$4:BA54)),TRUE,BA55)</f>
        <v>0</v>
      </c>
      <c r="BF55" s="440" t="e">
        <f ca="1">IF(AND(NOT(ISBLANK(Jumpoverwrite12)),AND(NOT(BE55),AND(BE$4:BE54))),($J55*$G55-LN(1+Jumpoverwrite12*BG$2))/$G55,_xll.qlInterpolationInterpolate(BE$3,$F55,TRUE))</f>
        <v>#NAME?</v>
      </c>
      <c r="BG55" s="440" t="str">
        <f ca="1">IF(AND(NOT(BE55),AND(BE$4:BE54)),MIN(EXP((BF55-$J55)*$G55),1),"")</f>
        <v/>
      </c>
      <c r="BI55" s="441" t="b">
        <f t="shared" ca="1" si="7"/>
        <v>0</v>
      </c>
      <c r="BJ55" s="440" t="e">
        <f ca="1">IF(AND(NOT(ISBLANK(jumpoverwrite13)),AND(NOT(BI55),AND(BI$4:BI54))),($J55*$G55-LN(1+jumpoverwrite13*BK$2))/$G55,_xll.qlInterpolationInterpolate(BI$3,$F55,TRUE))</f>
        <v>#NAME?</v>
      </c>
      <c r="BK55" s="440" t="str">
        <f ca="1">IF(AND(NOT(BI55),AND(BI$4:BI54)),MIN(EXP((BJ55-$J55)*$G55),1),"")</f>
        <v/>
      </c>
    </row>
    <row r="56" spans="1:63" x14ac:dyDescent="0.2">
      <c r="A56" s="439" t="e">
        <f ca="1"/>
        <v>#NAME?</v>
      </c>
      <c r="B56" s="438" t="e">
        <f ca="1">_xll.qlRateHelperRate($A56,InterestRatesTrigger)</f>
        <v>#NAME?</v>
      </c>
      <c r="C56" s="437" t="e">
        <f ca="1">_xll.qlRateHelperEarliestDate($A56)</f>
        <v>#NAME?</v>
      </c>
      <c r="D56" s="436" t="e">
        <f ca="1">_xll.qlRateHelperPillarDate($A56)</f>
        <v>#NAME?</v>
      </c>
      <c r="F56" s="446" t="e">
        <f t="shared" ca="1" si="5"/>
        <v>#N/A</v>
      </c>
      <c r="G56" s="445" t="e">
        <f ca="1">_xll.qlDayCounterYearFraction(DayCounter,D55,D56)</f>
        <v>#NAME?</v>
      </c>
      <c r="I56" s="444" t="b">
        <f t="shared" ca="1" si="6"/>
        <v>0</v>
      </c>
      <c r="J56" s="443" t="e">
        <f ca="1"/>
        <v>#NAME?</v>
      </c>
      <c r="K56" s="442" t="e">
        <f t="shared" ca="1" si="4"/>
        <v>#NAME?</v>
      </c>
      <c r="L56" s="430"/>
      <c r="M56" s="441" t="b">
        <f ca="1">IF(AND(NOT(I56),AND(I$4:I55)),TRUE,I56)</f>
        <v>0</v>
      </c>
      <c r="N56" s="440" t="e">
        <f ca="1">IF(AND(NOT(ISBLANK(Jumpoverwrite1)),AND(NOT(M56),AND(M$4:M55))),($J56*$G56-LN(1+Jumpoverwrite1*O$2))/$G56,_xll.qlInterpolationInterpolate(M$3,$F56,TRUE))</f>
        <v>#NAME?</v>
      </c>
      <c r="O56" s="440" t="str">
        <f ca="1">IF(AND(NOT(M56),AND(M$4:M55)),MIN(EXP((N56-$J56)*$G56),1),"")</f>
        <v/>
      </c>
      <c r="P56" s="429"/>
      <c r="Q56" s="441" t="b">
        <f ca="1">IF(AND(NOT(M56),AND(M$4:M55)),TRUE,M56)</f>
        <v>0</v>
      </c>
      <c r="R56" s="440" t="e">
        <f ca="1">IF(AND(NOT(ISBLANK(Jumpoverwrite2)),AND(NOT(Q56),AND(Q$4:Q55))),($J56*$G56-LN(1+Jumpoverwrite2*S$2))/$G56,_xll.qlInterpolationInterpolate(Q$3,$F56,TRUE))</f>
        <v>#NAME?</v>
      </c>
      <c r="S56" s="440" t="str">
        <f ca="1">IF(AND(NOT(Q56),AND(Q$4:Q55)),MIN(EXP((R56-$J56)*$G56),1),"")</f>
        <v/>
      </c>
      <c r="T56" s="429"/>
      <c r="U56" s="441" t="b">
        <f ca="1">IF(AND(NOT(Q56),AND(Q$4:Q55)),TRUE,Q56)</f>
        <v>0</v>
      </c>
      <c r="V56" s="440" t="e">
        <f ca="1">IF(AND(NOT(ISBLANK(Jumpoverwrite3)),AND(NOT(U56),AND(U$4:U55))),($J56*$G56-LN(1+Jumpoverwrite3*W$2))/$G56,_xll.qlInterpolationInterpolate(U$3,$F56,TRUE))</f>
        <v>#NAME?</v>
      </c>
      <c r="W56" s="440" t="str">
        <f ca="1">IF(AND(NOT(U56),AND(U$4:U55)),MIN(EXP((V56-$J56)*$G56),1),"")</f>
        <v/>
      </c>
      <c r="X56" s="429"/>
      <c r="Y56" s="441" t="b">
        <f ca="1">IF(AND(NOT(U56),AND(U$4:U55)),TRUE,U56)</f>
        <v>0</v>
      </c>
      <c r="Z56" s="440" t="e">
        <f ca="1">IF(AND(NOT(ISBLANK(Jumpoverwrite4)),AND(NOT(Y56),AND(Y$4:Y55))),($J56*$G56-LN(1+Jumpoverwrite4*AA$2))/$G56,_xll.qlInterpolationInterpolate(Y$3,$F56,TRUE))</f>
        <v>#NAME?</v>
      </c>
      <c r="AA56" s="440" t="str">
        <f ca="1">IF(AND(NOT(Y56),AND(Y$4:Y55)),MIN(EXP((Z56-$J56)*$G56),1),"")</f>
        <v/>
      </c>
      <c r="AB56" s="429"/>
      <c r="AC56" s="441" t="b">
        <f ca="1">IF(AND(NOT(Y56),AND(Y$4:Y55)),TRUE,Y56)</f>
        <v>0</v>
      </c>
      <c r="AD56" s="440" t="e">
        <f ca="1">IF(AND(NOT(ISBLANK(Jumpoverwrite5)),AND(NOT(AC56),AND(AC$4:AC55))),($J56*$G56-LN(1+Jumpoverwrite5*AE$2))/$G56,_xll.qlInterpolationInterpolate(AC$3,$F56,TRUE))</f>
        <v>#NAME?</v>
      </c>
      <c r="AE56" s="440" t="str">
        <f ca="1">IF(AND(NOT(AC56),AND(AC$4:AC55)),MIN(EXP((AD56-$J56)*$G56),1),"")</f>
        <v/>
      </c>
      <c r="AF56" s="429"/>
      <c r="AG56" s="441" t="b">
        <f ca="1">IF(AND(NOT(AC56),AND(AC$4:AC55)),TRUE,AC56)</f>
        <v>0</v>
      </c>
      <c r="AH56" s="440" t="e">
        <f ca="1">IF(AND(NOT(ISBLANK(Jumpoverwrite6)),AND(NOT(AG56),AND(AG$4:AG55))),($J56*$G56-LN(1+Jumpoverwrite6*AI$2))/$G56,_xll.qlInterpolationInterpolate(AG$3,$F56,TRUE))</f>
        <v>#NAME?</v>
      </c>
      <c r="AI56" s="440" t="str">
        <f ca="1">IF(AND(NOT(AG56),AND(AG$4:AG55)),MIN(EXP((AH56-$J56)*$G56),1),"")</f>
        <v/>
      </c>
      <c r="AJ56" s="429"/>
      <c r="AK56" s="441" t="b">
        <f ca="1">IF(AND(NOT(AG56),AND(AG$4:AG55)),TRUE,AG56)</f>
        <v>0</v>
      </c>
      <c r="AL56" s="440" t="e">
        <f ca="1">IF(AND(NOT(ISBLANK(Jumpoverwrite7)),AND(NOT(AK56),AND(AK$4:AK55))),($J56*$G56-LN(1+Jumpoverwrite7*AM$2))/$G56,_xll.qlInterpolationInterpolate(AK$3,$F56,TRUE))</f>
        <v>#NAME?</v>
      </c>
      <c r="AM56" s="440" t="str">
        <f ca="1">IF(AND(NOT(AK56),AND(AK$4:AK55)),MIN(EXP((AL56-$J56)*$G56),1),"")</f>
        <v/>
      </c>
      <c r="AO56" s="441" t="b">
        <f ca="1">IF(AND(NOT(AK56),AND(AK$4:AK55)),TRUE,AK56)</f>
        <v>0</v>
      </c>
      <c r="AP56" s="440" t="e">
        <f ca="1">IF(AND(NOT(ISBLANK(Jumpoverwrite8)),AND(NOT(AO56),AND(AO$4:AO55))),($J56*$G56-LN(1+Jumpoverwrite8*AQ$2))/$G56,_xll.qlInterpolationInterpolate(AO$3,$F56,TRUE))</f>
        <v>#NAME?</v>
      </c>
      <c r="AQ56" s="440" t="str">
        <f ca="1">IF(AND(NOT(AO56),AND(AO$4:AO55)),MIN(EXP((AP56-$J56)*$G56),1),"")</f>
        <v/>
      </c>
      <c r="AS56" s="441" t="b">
        <f ca="1">IF(AND(NOT(AO56),AND(AO$4:AO55)),TRUE,AO56)</f>
        <v>0</v>
      </c>
      <c r="AT56" s="440" t="e">
        <f ca="1">IF(AND(NOT(ISBLANK(Jumpoverwrite9)),AND(NOT(AS56),AND(AS$4:AS55))),($J56*$G56-LN(1+Jumpoverwrite9*AU$2))/$G56,_xll.qlInterpolationInterpolate(AS$3,$F56,TRUE))</f>
        <v>#NAME?</v>
      </c>
      <c r="AU56" s="440" t="str">
        <f ca="1">IF(AND(NOT(AS56),AND(AS$4:AS55)),MIN(EXP((AT56-$J56)*$G56),1),"")</f>
        <v/>
      </c>
      <c r="AW56" s="441" t="b">
        <f ca="1">IF(AND(NOT(AS56),AND(AS$4:AS55)),TRUE,AS56)</f>
        <v>0</v>
      </c>
      <c r="AX56" s="440" t="e">
        <f ca="1">IF(AND(NOT(ISBLANK(Jumpoverwrite10)),AND(NOT(AW56),AND(AW$4:AW55))),($J56*$G56-LN(1+Jumpoverwrite10*AY$2))/$G56,_xll.qlInterpolationInterpolate(AW$3,$F56,TRUE))</f>
        <v>#NAME?</v>
      </c>
      <c r="AY56" s="440" t="str">
        <f ca="1">IF(AND(NOT(AW56),AND(AW$4:AW55)),MIN(EXP((AX56-$J56)*$G56),1),"")</f>
        <v/>
      </c>
      <c r="BA56" s="441" t="b">
        <f ca="1">IF(AND(NOT(AW56),AND(AW$4:AW55)),TRUE,AW56)</f>
        <v>0</v>
      </c>
      <c r="BB56" s="440" t="e">
        <f ca="1">IF(AND(NOT(ISBLANK(Jumpoverwrite11)),AND(NOT(BA56),AND(BA$4:BA55))),($J56*$G56-LN(1+Jumpoverwrite11*BC$2))/$G56,_xll.qlInterpolationInterpolate(BA$3,$F56,TRUE))</f>
        <v>#NAME?</v>
      </c>
      <c r="BC56" s="440" t="str">
        <f ca="1">IF(AND(NOT(BA56),AND(BA$4:BA55)),MIN(EXP((BB56-$J56)*$G56),1),"")</f>
        <v/>
      </c>
      <c r="BE56" s="441" t="b">
        <f ca="1">IF(AND(NOT(BA56),AND(BA$4:BA55)),TRUE,BA56)</f>
        <v>0</v>
      </c>
      <c r="BF56" s="440" t="e">
        <f ca="1">IF(AND(NOT(ISBLANK(Jumpoverwrite12)),AND(NOT(BE56),AND(BE$4:BE55))),($J56*$G56-LN(1+Jumpoverwrite12*BG$2))/$G56,_xll.qlInterpolationInterpolate(BE$3,$F56,TRUE))</f>
        <v>#NAME?</v>
      </c>
      <c r="BG56" s="440" t="str">
        <f ca="1">IF(AND(NOT(BE56),AND(BE$4:BE55)),MIN(EXP((BF56-$J56)*$G56),1),"")</f>
        <v/>
      </c>
      <c r="BI56" s="441" t="b">
        <f t="shared" ca="1" si="7"/>
        <v>0</v>
      </c>
      <c r="BJ56" s="440" t="e">
        <f ca="1">IF(AND(NOT(ISBLANK(jumpoverwrite13)),AND(NOT(BI56),AND(BI$4:BI55))),($J56*$G56-LN(1+jumpoverwrite13*BK$2))/$G56,_xll.qlInterpolationInterpolate(BI$3,$F56,TRUE))</f>
        <v>#NAME?</v>
      </c>
      <c r="BK56" s="440" t="str">
        <f ca="1">IF(AND(NOT(BI56),AND(BI$4:BI55)),MIN(EXP((BJ56-$J56)*$G56),1),"")</f>
        <v/>
      </c>
    </row>
    <row r="57" spans="1:63" x14ac:dyDescent="0.2">
      <c r="A57" s="439" t="e">
        <f ca="1"/>
        <v>#NAME?</v>
      </c>
      <c r="B57" s="438" t="e">
        <f ca="1">_xll.qlRateHelperRate($A57,InterestRatesTrigger)</f>
        <v>#NAME?</v>
      </c>
      <c r="C57" s="437" t="e">
        <f ca="1">_xll.qlRateHelperEarliestDate($A57)</f>
        <v>#NAME?</v>
      </c>
      <c r="D57" s="436" t="e">
        <f ca="1">_xll.qlRateHelperPillarDate($A57)</f>
        <v>#NAME?</v>
      </c>
      <c r="F57" s="446" t="e">
        <f t="shared" ca="1" si="5"/>
        <v>#N/A</v>
      </c>
      <c r="G57" s="445" t="e">
        <f ca="1">_xll.qlDayCounterYearFraction(DayCounter,D56,D57)</f>
        <v>#NAME?</v>
      </c>
      <c r="I57" s="444" t="b">
        <f t="shared" ca="1" si="6"/>
        <v>0</v>
      </c>
      <c r="J57" s="443" t="e">
        <f ca="1"/>
        <v>#NAME?</v>
      </c>
      <c r="K57" s="442" t="e">
        <f t="shared" ca="1" si="4"/>
        <v>#NAME?</v>
      </c>
      <c r="L57" s="430"/>
      <c r="M57" s="441" t="b">
        <f ca="1">IF(AND(NOT(I57),AND(I$4:I56)),TRUE,I57)</f>
        <v>0</v>
      </c>
      <c r="N57" s="440" t="e">
        <f ca="1">IF(AND(NOT(ISBLANK(Jumpoverwrite1)),AND(NOT(M57),AND(M$4:M56))),($J57*$G57-LN(1+Jumpoverwrite1*O$2))/$G57,_xll.qlInterpolationInterpolate(M$3,$F57,TRUE))</f>
        <v>#NAME?</v>
      </c>
      <c r="O57" s="440" t="str">
        <f ca="1">IF(AND(NOT(M57),AND(M$4:M56)),MIN(EXP((N57-$J57)*$G57),1),"")</f>
        <v/>
      </c>
      <c r="P57" s="429"/>
      <c r="Q57" s="441" t="b">
        <f ca="1">IF(AND(NOT(M57),AND(M$4:M56)),TRUE,M57)</f>
        <v>0</v>
      </c>
      <c r="R57" s="440" t="e">
        <f ca="1">IF(AND(NOT(ISBLANK(Jumpoverwrite2)),AND(NOT(Q57),AND(Q$4:Q56))),($J57*$G57-LN(1+Jumpoverwrite2*S$2))/$G57,_xll.qlInterpolationInterpolate(Q$3,$F57,TRUE))</f>
        <v>#NAME?</v>
      </c>
      <c r="S57" s="440" t="str">
        <f ca="1">IF(AND(NOT(Q57),AND(Q$4:Q56)),MIN(EXP((R57-$J57)*$G57),1),"")</f>
        <v/>
      </c>
      <c r="T57" s="429"/>
      <c r="U57" s="441" t="b">
        <f ca="1">IF(AND(NOT(Q57),AND(Q$4:Q56)),TRUE,Q57)</f>
        <v>0</v>
      </c>
      <c r="V57" s="440" t="e">
        <f ca="1">IF(AND(NOT(ISBLANK(Jumpoverwrite3)),AND(NOT(U57),AND(U$4:U56))),($J57*$G57-LN(1+Jumpoverwrite3*W$2))/$G57,_xll.qlInterpolationInterpolate(U$3,$F57,TRUE))</f>
        <v>#NAME?</v>
      </c>
      <c r="W57" s="440" t="str">
        <f ca="1">IF(AND(NOT(U57),AND(U$4:U56)),MIN(EXP((V57-$J57)*$G57),1),"")</f>
        <v/>
      </c>
      <c r="X57" s="429"/>
      <c r="Y57" s="441" t="b">
        <f ca="1">IF(AND(NOT(U57),AND(U$4:U56)),TRUE,U57)</f>
        <v>0</v>
      </c>
      <c r="Z57" s="440" t="e">
        <f ca="1">IF(AND(NOT(ISBLANK(Jumpoverwrite4)),AND(NOT(Y57),AND(Y$4:Y56))),($J57*$G57-LN(1+Jumpoverwrite4*AA$2))/$G57,_xll.qlInterpolationInterpolate(Y$3,$F57,TRUE))</f>
        <v>#NAME?</v>
      </c>
      <c r="AA57" s="440" t="str">
        <f ca="1">IF(AND(NOT(Y57),AND(Y$4:Y56)),MIN(EXP((Z57-$J57)*$G57),1),"")</f>
        <v/>
      </c>
      <c r="AB57" s="429"/>
      <c r="AC57" s="441" t="b">
        <f ca="1">IF(AND(NOT(Y57),AND(Y$4:Y56)),TRUE,Y57)</f>
        <v>0</v>
      </c>
      <c r="AD57" s="440" t="e">
        <f ca="1">IF(AND(NOT(ISBLANK(Jumpoverwrite5)),AND(NOT(AC57),AND(AC$4:AC56))),($J57*$G57-LN(1+Jumpoverwrite5*AE$2))/$G57,_xll.qlInterpolationInterpolate(AC$3,$F57,TRUE))</f>
        <v>#NAME?</v>
      </c>
      <c r="AE57" s="440" t="str">
        <f ca="1">IF(AND(NOT(AC57),AND(AC$4:AC56)),MIN(EXP((AD57-$J57)*$G57),1),"")</f>
        <v/>
      </c>
      <c r="AF57" s="429"/>
      <c r="AG57" s="441" t="b">
        <f ca="1">IF(AND(NOT(AC57),AND(AC$4:AC56)),TRUE,AC57)</f>
        <v>0</v>
      </c>
      <c r="AH57" s="440" t="e">
        <f ca="1">IF(AND(NOT(ISBLANK(Jumpoverwrite6)),AND(NOT(AG57),AND(AG$4:AG56))),($J57*$G57-LN(1+Jumpoverwrite6*AI$2))/$G57,_xll.qlInterpolationInterpolate(AG$3,$F57,TRUE))</f>
        <v>#NAME?</v>
      </c>
      <c r="AI57" s="440" t="str">
        <f ca="1">IF(AND(NOT(AG57),AND(AG$4:AG56)),MIN(EXP((AH57-$J57)*$G57),1),"")</f>
        <v/>
      </c>
      <c r="AJ57" s="429"/>
      <c r="AK57" s="441" t="b">
        <f ca="1">IF(AND(NOT(AG57),AND(AG$4:AG56)),TRUE,AG57)</f>
        <v>0</v>
      </c>
      <c r="AL57" s="440" t="e">
        <f ca="1">IF(AND(NOT(ISBLANK(Jumpoverwrite7)),AND(NOT(AK57),AND(AK$4:AK56))),($J57*$G57-LN(1+Jumpoverwrite7*AM$2))/$G57,_xll.qlInterpolationInterpolate(AK$3,$F57,TRUE))</f>
        <v>#NAME?</v>
      </c>
      <c r="AM57" s="440" t="str">
        <f ca="1">IF(AND(NOT(AK57),AND(AK$4:AK56)),MIN(EXP((AL57-$J57)*$G57),1),"")</f>
        <v/>
      </c>
      <c r="AO57" s="441" t="b">
        <f ca="1">IF(AND(NOT(AK57),AND(AK$4:AK56)),TRUE,AK57)</f>
        <v>0</v>
      </c>
      <c r="AP57" s="440" t="e">
        <f ca="1">IF(AND(NOT(ISBLANK(Jumpoverwrite8)),AND(NOT(AO57),AND(AO$4:AO56))),($J57*$G57-LN(1+Jumpoverwrite8*AQ$2))/$G57,_xll.qlInterpolationInterpolate(AO$3,$F57,TRUE))</f>
        <v>#NAME?</v>
      </c>
      <c r="AQ57" s="440" t="str">
        <f ca="1">IF(AND(NOT(AO57),AND(AO$4:AO56)),MIN(EXP((AP57-$J57)*$G57),1),"")</f>
        <v/>
      </c>
      <c r="AS57" s="441" t="b">
        <f ca="1">IF(AND(NOT(AO57),AND(AO$4:AO56)),TRUE,AO57)</f>
        <v>0</v>
      </c>
      <c r="AT57" s="440" t="e">
        <f ca="1">IF(AND(NOT(ISBLANK(Jumpoverwrite9)),AND(NOT(AS57),AND(AS$4:AS56))),($J57*$G57-LN(1+Jumpoverwrite9*AU$2))/$G57,_xll.qlInterpolationInterpolate(AS$3,$F57,TRUE))</f>
        <v>#NAME?</v>
      </c>
      <c r="AU57" s="440" t="str">
        <f ca="1">IF(AND(NOT(AS57),AND(AS$4:AS56)),MIN(EXP((AT57-$J57)*$G57),1),"")</f>
        <v/>
      </c>
      <c r="AW57" s="441" t="b">
        <f ca="1">IF(AND(NOT(AS57),AND(AS$4:AS56)),TRUE,AS57)</f>
        <v>0</v>
      </c>
      <c r="AX57" s="440" t="e">
        <f ca="1">IF(AND(NOT(ISBLANK(Jumpoverwrite10)),AND(NOT(AW57),AND(AW$4:AW56))),($J57*$G57-LN(1+Jumpoverwrite10*AY$2))/$G57,_xll.qlInterpolationInterpolate(AW$3,$F57,TRUE))</f>
        <v>#NAME?</v>
      </c>
      <c r="AY57" s="440" t="str">
        <f ca="1">IF(AND(NOT(AW57),AND(AW$4:AW56)),MIN(EXP((AX57-$J57)*$G57),1),"")</f>
        <v/>
      </c>
      <c r="BA57" s="441" t="b">
        <f ca="1">IF(AND(NOT(AW57),AND(AW$4:AW56)),TRUE,AW57)</f>
        <v>0</v>
      </c>
      <c r="BB57" s="440" t="e">
        <f ca="1">IF(AND(NOT(ISBLANK(Jumpoverwrite11)),AND(NOT(BA57),AND(BA$4:BA56))),($J57*$G57-LN(1+Jumpoverwrite11*BC$2))/$G57,_xll.qlInterpolationInterpolate(BA$3,$F57,TRUE))</f>
        <v>#NAME?</v>
      </c>
      <c r="BC57" s="440" t="str">
        <f ca="1">IF(AND(NOT(BA57),AND(BA$4:BA56)),MIN(EXP((BB57-$J57)*$G57),1),"")</f>
        <v/>
      </c>
      <c r="BE57" s="441" t="b">
        <f ca="1">IF(AND(NOT(BA57),AND(BA$4:BA56)),TRUE,BA57)</f>
        <v>0</v>
      </c>
      <c r="BF57" s="440" t="e">
        <f ca="1">IF(AND(NOT(ISBLANK(Jumpoverwrite12)),AND(NOT(BE57),AND(BE$4:BE56))),($J57*$G57-LN(1+Jumpoverwrite12*BG$2))/$G57,_xll.qlInterpolationInterpolate(BE$3,$F57,TRUE))</f>
        <v>#NAME?</v>
      </c>
      <c r="BG57" s="440" t="str">
        <f ca="1">IF(AND(NOT(BE57),AND(BE$4:BE56)),MIN(EXP((BF57-$J57)*$G57),1),"")</f>
        <v/>
      </c>
      <c r="BI57" s="441" t="b">
        <f t="shared" ca="1" si="7"/>
        <v>0</v>
      </c>
      <c r="BJ57" s="440" t="e">
        <f ca="1">IF(AND(NOT(ISBLANK(jumpoverwrite13)),AND(NOT(BI57),AND(BI$4:BI56))),($J57*$G57-LN(1+jumpoverwrite13*BK$2))/$G57,_xll.qlInterpolationInterpolate(BI$3,$F57,TRUE))</f>
        <v>#NAME?</v>
      </c>
      <c r="BK57" s="440" t="str">
        <f ca="1">IF(AND(NOT(BI57),AND(BI$4:BI56)),MIN(EXP((BJ57-$J57)*$G57),1),"")</f>
        <v/>
      </c>
    </row>
    <row r="58" spans="1:63" x14ac:dyDescent="0.2">
      <c r="A58" s="439" t="e">
        <f ca="1"/>
        <v>#NAME?</v>
      </c>
      <c r="B58" s="438" t="e">
        <f ca="1">_xll.qlRateHelperRate($A58,InterestRatesTrigger)</f>
        <v>#NAME?</v>
      </c>
      <c r="C58" s="437" t="e">
        <f ca="1">_xll.qlRateHelperEarliestDate($A58)</f>
        <v>#NAME?</v>
      </c>
      <c r="D58" s="436" t="e">
        <f ca="1">_xll.qlRateHelperPillarDate($A58)</f>
        <v>#NAME?</v>
      </c>
      <c r="F58" s="446" t="e">
        <f t="shared" ca="1" si="5"/>
        <v>#N/A</v>
      </c>
      <c r="G58" s="445" t="e">
        <f ca="1">_xll.qlDayCounterYearFraction(DayCounter,D57,D58)</f>
        <v>#NAME?</v>
      </c>
      <c r="I58" s="444" t="b">
        <f t="shared" ca="1" si="6"/>
        <v>0</v>
      </c>
      <c r="J58" s="443" t="e">
        <f ca="1"/>
        <v>#NAME?</v>
      </c>
      <c r="K58" s="442" t="e">
        <f t="shared" ca="1" si="4"/>
        <v>#NAME?</v>
      </c>
      <c r="L58" s="430"/>
      <c r="M58" s="441" t="b">
        <f ca="1">IF(AND(NOT(I58),AND(I$4:I57)),TRUE,I58)</f>
        <v>0</v>
      </c>
      <c r="N58" s="440" t="e">
        <f ca="1">IF(AND(NOT(ISBLANK(Jumpoverwrite1)),AND(NOT(M58),AND(M$4:M57))),($J58*$G58-LN(1+Jumpoverwrite1*O$2))/$G58,_xll.qlInterpolationInterpolate(M$3,$F58,TRUE))</f>
        <v>#NAME?</v>
      </c>
      <c r="O58" s="440" t="str">
        <f ca="1">IF(AND(NOT(M58),AND(M$4:M57)),MIN(EXP((N58-$J58)*$G58),1),"")</f>
        <v/>
      </c>
      <c r="P58" s="429"/>
      <c r="Q58" s="441" t="b">
        <f ca="1">IF(AND(NOT(M58),AND(M$4:M57)),TRUE,M58)</f>
        <v>0</v>
      </c>
      <c r="R58" s="440" t="e">
        <f ca="1">IF(AND(NOT(ISBLANK(Jumpoverwrite2)),AND(NOT(Q58),AND(Q$4:Q57))),($J58*$G58-LN(1+Jumpoverwrite2*S$2))/$G58,_xll.qlInterpolationInterpolate(Q$3,$F58,TRUE))</f>
        <v>#NAME?</v>
      </c>
      <c r="S58" s="440" t="str">
        <f ca="1">IF(AND(NOT(Q58),AND(Q$4:Q57)),MIN(EXP((R58-$J58)*$G58),1),"")</f>
        <v/>
      </c>
      <c r="T58" s="429"/>
      <c r="U58" s="441" t="b">
        <f ca="1">IF(AND(NOT(Q58),AND(Q$4:Q57)),TRUE,Q58)</f>
        <v>0</v>
      </c>
      <c r="V58" s="440" t="e">
        <f ca="1">IF(AND(NOT(ISBLANK(Jumpoverwrite3)),AND(NOT(U58),AND(U$4:U57))),($J58*$G58-LN(1+Jumpoverwrite3*W$2))/$G58,_xll.qlInterpolationInterpolate(U$3,$F58,TRUE))</f>
        <v>#NAME?</v>
      </c>
      <c r="W58" s="440" t="str">
        <f ca="1">IF(AND(NOT(U58),AND(U$4:U57)),MIN(EXP((V58-$J58)*$G58),1),"")</f>
        <v/>
      </c>
      <c r="X58" s="429"/>
      <c r="Y58" s="441" t="b">
        <f ca="1">IF(AND(NOT(U58),AND(U$4:U57)),TRUE,U58)</f>
        <v>0</v>
      </c>
      <c r="Z58" s="440" t="e">
        <f ca="1">IF(AND(NOT(ISBLANK(Jumpoverwrite4)),AND(NOT(Y58),AND(Y$4:Y57))),($J58*$G58-LN(1+Jumpoverwrite4*AA$2))/$G58,_xll.qlInterpolationInterpolate(Y$3,$F58,TRUE))</f>
        <v>#NAME?</v>
      </c>
      <c r="AA58" s="440" t="str">
        <f ca="1">IF(AND(NOT(Y58),AND(Y$4:Y57)),MIN(EXP((Z58-$J58)*$G58),1),"")</f>
        <v/>
      </c>
      <c r="AB58" s="429"/>
      <c r="AC58" s="441" t="b">
        <f ca="1">IF(AND(NOT(Y58),AND(Y$4:Y57)),TRUE,Y58)</f>
        <v>0</v>
      </c>
      <c r="AD58" s="440" t="e">
        <f ca="1">IF(AND(NOT(ISBLANK(Jumpoverwrite5)),AND(NOT(AC58),AND(AC$4:AC57))),($J58*$G58-LN(1+Jumpoverwrite5*AE$2))/$G58,_xll.qlInterpolationInterpolate(AC$3,$F58,TRUE))</f>
        <v>#NAME?</v>
      </c>
      <c r="AE58" s="440" t="str">
        <f ca="1">IF(AND(NOT(AC58),AND(AC$4:AC57)),MIN(EXP((AD58-$J58)*$G58),1),"")</f>
        <v/>
      </c>
      <c r="AF58" s="429"/>
      <c r="AG58" s="441" t="b">
        <f ca="1">IF(AND(NOT(AC58),AND(AC$4:AC57)),TRUE,AC58)</f>
        <v>0</v>
      </c>
      <c r="AH58" s="440" t="e">
        <f ca="1">IF(AND(NOT(ISBLANK(Jumpoverwrite6)),AND(NOT(AG58),AND(AG$4:AG57))),($J58*$G58-LN(1+Jumpoverwrite6*AI$2))/$G58,_xll.qlInterpolationInterpolate(AG$3,$F58,TRUE))</f>
        <v>#NAME?</v>
      </c>
      <c r="AI58" s="440" t="str">
        <f ca="1">IF(AND(NOT(AG58),AND(AG$4:AG57)),MIN(EXP((AH58-$J58)*$G58),1),"")</f>
        <v/>
      </c>
      <c r="AJ58" s="429"/>
      <c r="AK58" s="441" t="b">
        <f ca="1">IF(AND(NOT(AG58),AND(AG$4:AG57)),TRUE,AG58)</f>
        <v>0</v>
      </c>
      <c r="AL58" s="440" t="e">
        <f ca="1">IF(AND(NOT(ISBLANK(Jumpoverwrite7)),AND(NOT(AK58),AND(AK$4:AK57))),($J58*$G58-LN(1+Jumpoverwrite7*AM$2))/$G58,_xll.qlInterpolationInterpolate(AK$3,$F58,TRUE))</f>
        <v>#NAME?</v>
      </c>
      <c r="AM58" s="440" t="str">
        <f ca="1">IF(AND(NOT(AK58),AND(AK$4:AK57)),MIN(EXP((AL58-$J58)*$G58),1),"")</f>
        <v/>
      </c>
      <c r="AO58" s="441" t="b">
        <f ca="1">IF(AND(NOT(AK58),AND(AK$4:AK57)),TRUE,AK58)</f>
        <v>0</v>
      </c>
      <c r="AP58" s="440" t="e">
        <f ca="1">IF(AND(NOT(ISBLANK(Jumpoverwrite8)),AND(NOT(AO58),AND(AO$4:AO57))),($J58*$G58-LN(1+Jumpoverwrite8*AQ$2))/$G58,_xll.qlInterpolationInterpolate(AO$3,$F58,TRUE))</f>
        <v>#NAME?</v>
      </c>
      <c r="AQ58" s="440" t="str">
        <f ca="1">IF(AND(NOT(AO58),AND(AO$4:AO57)),MIN(EXP((AP58-$J58)*$G58),1),"")</f>
        <v/>
      </c>
      <c r="AS58" s="441" t="b">
        <f ca="1">IF(AND(NOT(AO58),AND(AO$4:AO57)),TRUE,AO58)</f>
        <v>0</v>
      </c>
      <c r="AT58" s="440" t="e">
        <f ca="1">IF(AND(NOT(ISBLANK(Jumpoverwrite9)),AND(NOT(AS58),AND(AS$4:AS57))),($J58*$G58-LN(1+Jumpoverwrite9*AU$2))/$G58,_xll.qlInterpolationInterpolate(AS$3,$F58,TRUE))</f>
        <v>#NAME?</v>
      </c>
      <c r="AU58" s="440" t="str">
        <f ca="1">IF(AND(NOT(AS58),AND(AS$4:AS57)),MIN(EXP((AT58-$J58)*$G58),1),"")</f>
        <v/>
      </c>
      <c r="AW58" s="441" t="b">
        <f ca="1">IF(AND(NOT(AS58),AND(AS$4:AS57)),TRUE,AS58)</f>
        <v>0</v>
      </c>
      <c r="AX58" s="440" t="e">
        <f ca="1">IF(AND(NOT(ISBLANK(Jumpoverwrite10)),AND(NOT(AW58),AND(AW$4:AW57))),($J58*$G58-LN(1+Jumpoverwrite10*AY$2))/$G58,_xll.qlInterpolationInterpolate(AW$3,$F58,TRUE))</f>
        <v>#NAME?</v>
      </c>
      <c r="AY58" s="440" t="str">
        <f ca="1">IF(AND(NOT(AW58),AND(AW$4:AW57)),MIN(EXP((AX58-$J58)*$G58),1),"")</f>
        <v/>
      </c>
      <c r="BA58" s="441" t="b">
        <f ca="1">IF(AND(NOT(AW58),AND(AW$4:AW57)),TRUE,AW58)</f>
        <v>0</v>
      </c>
      <c r="BB58" s="440" t="e">
        <f ca="1">IF(AND(NOT(ISBLANK(Jumpoverwrite11)),AND(NOT(BA58),AND(BA$4:BA57))),($J58*$G58-LN(1+Jumpoverwrite11*BC$2))/$G58,_xll.qlInterpolationInterpolate(BA$3,$F58,TRUE))</f>
        <v>#NAME?</v>
      </c>
      <c r="BC58" s="440" t="str">
        <f ca="1">IF(AND(NOT(BA58),AND(BA$4:BA57)),MIN(EXP((BB58-$J58)*$G58),1),"")</f>
        <v/>
      </c>
      <c r="BE58" s="441" t="b">
        <f ca="1">IF(AND(NOT(BA58),AND(BA$4:BA57)),TRUE,BA58)</f>
        <v>0</v>
      </c>
      <c r="BF58" s="440" t="e">
        <f ca="1">IF(AND(NOT(ISBLANK(Jumpoverwrite12)),AND(NOT(BE58),AND(BE$4:BE57))),($J58*$G58-LN(1+Jumpoverwrite12*BG$2))/$G58,_xll.qlInterpolationInterpolate(BE$3,$F58,TRUE))</f>
        <v>#NAME?</v>
      </c>
      <c r="BG58" s="440" t="str">
        <f ca="1">IF(AND(NOT(BE58),AND(BE$4:BE57)),MIN(EXP((BF58-$J58)*$G58),1),"")</f>
        <v/>
      </c>
      <c r="BI58" s="441" t="b">
        <f t="shared" ca="1" si="7"/>
        <v>0</v>
      </c>
      <c r="BJ58" s="440" t="e">
        <f ca="1">IF(AND(NOT(ISBLANK(jumpoverwrite13)),AND(NOT(BI58),AND(BI$4:BI57))),($J58*$G58-LN(1+jumpoverwrite13*BK$2))/$G58,_xll.qlInterpolationInterpolate(BI$3,$F58,TRUE))</f>
        <v>#NAME?</v>
      </c>
      <c r="BK58" s="440" t="str">
        <f ca="1">IF(AND(NOT(BI58),AND(BI$4:BI57)),MIN(EXP((BJ58-$J58)*$G58),1),"")</f>
        <v/>
      </c>
    </row>
    <row r="59" spans="1:63" x14ac:dyDescent="0.2">
      <c r="A59" s="439" t="e">
        <f ca="1"/>
        <v>#NAME?</v>
      </c>
      <c r="B59" s="438" t="e">
        <f ca="1">_xll.qlRateHelperRate($A59,InterestRatesTrigger)</f>
        <v>#NAME?</v>
      </c>
      <c r="C59" s="437" t="e">
        <f ca="1">_xll.qlRateHelperEarliestDate($A59)</f>
        <v>#NAME?</v>
      </c>
      <c r="D59" s="436" t="e">
        <f ca="1">_xll.qlRateHelperPillarDate($A59)</f>
        <v>#NAME?</v>
      </c>
      <c r="F59" s="446" t="e">
        <f t="shared" ca="1" si="5"/>
        <v>#N/A</v>
      </c>
      <c r="G59" s="445" t="e">
        <f ca="1">_xll.qlDayCounterYearFraction(DayCounter,D58,D59)</f>
        <v>#NAME?</v>
      </c>
      <c r="I59" s="444" t="b">
        <f t="shared" ca="1" si="6"/>
        <v>0</v>
      </c>
      <c r="J59" s="443" t="e">
        <f ca="1"/>
        <v>#NAME?</v>
      </c>
      <c r="K59" s="442" t="e">
        <f t="shared" ca="1" si="4"/>
        <v>#NAME?</v>
      </c>
      <c r="L59" s="430"/>
      <c r="M59" s="441" t="b">
        <f ca="1">IF(AND(NOT(I59),AND(I$4:I58)),TRUE,I59)</f>
        <v>0</v>
      </c>
      <c r="N59" s="440" t="e">
        <f ca="1">IF(AND(NOT(ISBLANK(Jumpoverwrite1)),AND(NOT(M59),AND(M$4:M58))),($J59*$G59-LN(1+Jumpoverwrite1*O$2))/$G59,_xll.qlInterpolationInterpolate(M$3,$F59,TRUE))</f>
        <v>#NAME?</v>
      </c>
      <c r="O59" s="440" t="str">
        <f ca="1">IF(AND(NOT(M59),AND(M$4:M58)),MIN(EXP((N59-$J59)*$G59),1),"")</f>
        <v/>
      </c>
      <c r="P59" s="429"/>
      <c r="Q59" s="441" t="b">
        <f ca="1">IF(AND(NOT(M59),AND(M$4:M58)),TRUE,M59)</f>
        <v>0</v>
      </c>
      <c r="R59" s="440" t="e">
        <f ca="1">IF(AND(NOT(ISBLANK(Jumpoverwrite2)),AND(NOT(Q59),AND(Q$4:Q58))),($J59*$G59-LN(1+Jumpoverwrite2*S$2))/$G59,_xll.qlInterpolationInterpolate(Q$3,$F59,TRUE))</f>
        <v>#NAME?</v>
      </c>
      <c r="S59" s="440" t="str">
        <f ca="1">IF(AND(NOT(Q59),AND(Q$4:Q58)),MIN(EXP((R59-$J59)*$G59),1),"")</f>
        <v/>
      </c>
      <c r="T59" s="429"/>
      <c r="U59" s="441" t="b">
        <f ca="1">IF(AND(NOT(Q59),AND(Q$4:Q58)),TRUE,Q59)</f>
        <v>0</v>
      </c>
      <c r="V59" s="440" t="e">
        <f ca="1">IF(AND(NOT(ISBLANK(Jumpoverwrite3)),AND(NOT(U59),AND(U$4:U58))),($J59*$G59-LN(1+Jumpoverwrite3*W$2))/$G59,_xll.qlInterpolationInterpolate(U$3,$F59,TRUE))</f>
        <v>#NAME?</v>
      </c>
      <c r="W59" s="440" t="str">
        <f ca="1">IF(AND(NOT(U59),AND(U$4:U58)),MIN(EXP((V59-$J59)*$G59),1),"")</f>
        <v/>
      </c>
      <c r="X59" s="429"/>
      <c r="Y59" s="441" t="b">
        <f ca="1">IF(AND(NOT(U59),AND(U$4:U58)),TRUE,U59)</f>
        <v>0</v>
      </c>
      <c r="Z59" s="440" t="e">
        <f ca="1">IF(AND(NOT(ISBLANK(Jumpoverwrite4)),AND(NOT(Y59),AND(Y$4:Y58))),($J59*$G59-LN(1+Jumpoverwrite4*AA$2))/$G59,_xll.qlInterpolationInterpolate(Y$3,$F59,TRUE))</f>
        <v>#NAME?</v>
      </c>
      <c r="AA59" s="440" t="str">
        <f ca="1">IF(AND(NOT(Y59),AND(Y$4:Y58)),MIN(EXP((Z59-$J59)*$G59),1),"")</f>
        <v/>
      </c>
      <c r="AB59" s="429"/>
      <c r="AC59" s="441" t="b">
        <f ca="1">IF(AND(NOT(Y59),AND(Y$4:Y58)),TRUE,Y59)</f>
        <v>0</v>
      </c>
      <c r="AD59" s="440" t="e">
        <f ca="1">IF(AND(NOT(ISBLANK(Jumpoverwrite5)),AND(NOT(AC59),AND(AC$4:AC58))),($J59*$G59-LN(1+Jumpoverwrite5*AE$2))/$G59,_xll.qlInterpolationInterpolate(AC$3,$F59,TRUE))</f>
        <v>#NAME?</v>
      </c>
      <c r="AE59" s="440" t="str">
        <f ca="1">IF(AND(NOT(AC59),AND(AC$4:AC58)),MIN(EXP((AD59-$J59)*$G59),1),"")</f>
        <v/>
      </c>
      <c r="AF59" s="429"/>
      <c r="AG59" s="441" t="b">
        <f ca="1">IF(AND(NOT(AC59),AND(AC$4:AC58)),TRUE,AC59)</f>
        <v>0</v>
      </c>
      <c r="AH59" s="440" t="e">
        <f ca="1">IF(AND(NOT(ISBLANK(Jumpoverwrite6)),AND(NOT(AG59),AND(AG$4:AG58))),($J59*$G59-LN(1+Jumpoverwrite6*AI$2))/$G59,_xll.qlInterpolationInterpolate(AG$3,$F59,TRUE))</f>
        <v>#NAME?</v>
      </c>
      <c r="AI59" s="440" t="str">
        <f ca="1">IF(AND(NOT(AG59),AND(AG$4:AG58)),MIN(EXP((AH59-$J59)*$G59),1),"")</f>
        <v/>
      </c>
      <c r="AJ59" s="429"/>
      <c r="AK59" s="441" t="b">
        <f ca="1">IF(AND(NOT(AG59),AND(AG$4:AG58)),TRUE,AG59)</f>
        <v>0</v>
      </c>
      <c r="AL59" s="440" t="e">
        <f ca="1">IF(AND(NOT(ISBLANK(Jumpoverwrite7)),AND(NOT(AK59),AND(AK$4:AK58))),($J59*$G59-LN(1+Jumpoverwrite7*AM$2))/$G59,_xll.qlInterpolationInterpolate(AK$3,$F59,TRUE))</f>
        <v>#NAME?</v>
      </c>
      <c r="AM59" s="440" t="str">
        <f ca="1">IF(AND(NOT(AK59),AND(AK$4:AK58)),MIN(EXP((AL59-$J59)*$G59),1),"")</f>
        <v/>
      </c>
      <c r="AO59" s="441" t="b">
        <f ca="1">IF(AND(NOT(AK59),AND(AK$4:AK58)),TRUE,AK59)</f>
        <v>0</v>
      </c>
      <c r="AP59" s="440" t="e">
        <f ca="1">IF(AND(NOT(ISBLANK(Jumpoverwrite8)),AND(NOT(AO59),AND(AO$4:AO58))),($J59*$G59-LN(1+Jumpoverwrite8*AQ$2))/$G59,_xll.qlInterpolationInterpolate(AO$3,$F59,TRUE))</f>
        <v>#NAME?</v>
      </c>
      <c r="AQ59" s="440" t="str">
        <f ca="1">IF(AND(NOT(AO59),AND(AO$4:AO58)),MIN(EXP((AP59-$J59)*$G59),1),"")</f>
        <v/>
      </c>
      <c r="AS59" s="441" t="b">
        <f ca="1">IF(AND(NOT(AO59),AND(AO$4:AO58)),TRUE,AO59)</f>
        <v>0</v>
      </c>
      <c r="AT59" s="440" t="e">
        <f ca="1">IF(AND(NOT(ISBLANK(Jumpoverwrite9)),AND(NOT(AS59),AND(AS$4:AS58))),($J59*$G59-LN(1+Jumpoverwrite9*AU$2))/$G59,_xll.qlInterpolationInterpolate(AS$3,$F59,TRUE))</f>
        <v>#NAME?</v>
      </c>
      <c r="AU59" s="440" t="str">
        <f ca="1">IF(AND(NOT(AS59),AND(AS$4:AS58)),MIN(EXP((AT59-$J59)*$G59),1),"")</f>
        <v/>
      </c>
      <c r="AW59" s="441" t="b">
        <f ca="1">IF(AND(NOT(AS59),AND(AS$4:AS58)),TRUE,AS59)</f>
        <v>0</v>
      </c>
      <c r="AX59" s="440" t="e">
        <f ca="1">IF(AND(NOT(ISBLANK(Jumpoverwrite10)),AND(NOT(AW59),AND(AW$4:AW58))),($J59*$G59-LN(1+Jumpoverwrite10*AY$2))/$G59,_xll.qlInterpolationInterpolate(AW$3,$F59,TRUE))</f>
        <v>#NAME?</v>
      </c>
      <c r="AY59" s="440" t="str">
        <f ca="1">IF(AND(NOT(AW59),AND(AW$4:AW58)),MIN(EXP((AX59-$J59)*$G59),1),"")</f>
        <v/>
      </c>
      <c r="BA59" s="441" t="b">
        <f ca="1">IF(AND(NOT(AW59),AND(AW$4:AW58)),TRUE,AW59)</f>
        <v>0</v>
      </c>
      <c r="BB59" s="440" t="e">
        <f ca="1">IF(AND(NOT(ISBLANK(Jumpoverwrite11)),AND(NOT(BA59),AND(BA$4:BA58))),($J59*$G59-LN(1+Jumpoverwrite11*BC$2))/$G59,_xll.qlInterpolationInterpolate(BA$3,$F59,TRUE))</f>
        <v>#NAME?</v>
      </c>
      <c r="BC59" s="440" t="str">
        <f ca="1">IF(AND(NOT(BA59),AND(BA$4:BA58)),MIN(EXP((BB59-$J59)*$G59),1),"")</f>
        <v/>
      </c>
      <c r="BE59" s="441" t="b">
        <f ca="1">IF(AND(NOT(BA59),AND(BA$4:BA58)),TRUE,BA59)</f>
        <v>0</v>
      </c>
      <c r="BF59" s="440" t="e">
        <f ca="1">IF(AND(NOT(ISBLANK(Jumpoverwrite12)),AND(NOT(BE59),AND(BE$4:BE58))),($J59*$G59-LN(1+Jumpoverwrite12*BG$2))/$G59,_xll.qlInterpolationInterpolate(BE$3,$F59,TRUE))</f>
        <v>#NAME?</v>
      </c>
      <c r="BG59" s="440" t="str">
        <f ca="1">IF(AND(NOT(BE59),AND(BE$4:BE58)),MIN(EXP((BF59-$J59)*$G59),1),"")</f>
        <v/>
      </c>
      <c r="BI59" s="441" t="b">
        <f t="shared" ca="1" si="7"/>
        <v>0</v>
      </c>
      <c r="BJ59" s="440" t="e">
        <f ca="1">IF(AND(NOT(ISBLANK(jumpoverwrite13)),AND(NOT(BI59),AND(BI$4:BI58))),($J59*$G59-LN(1+jumpoverwrite13*BK$2))/$G59,_xll.qlInterpolationInterpolate(BI$3,$F59,TRUE))</f>
        <v>#NAME?</v>
      </c>
      <c r="BK59" s="440" t="str">
        <f ca="1">IF(AND(NOT(BI59),AND(BI$4:BI58)),MIN(EXP((BJ59-$J59)*$G59),1),"")</f>
        <v/>
      </c>
    </row>
    <row r="60" spans="1:63" x14ac:dyDescent="0.2">
      <c r="A60" s="439" t="e">
        <f ca="1"/>
        <v>#NAME?</v>
      </c>
      <c r="B60" s="438" t="e">
        <f ca="1">_xll.qlRateHelperRate($A60,InterestRatesTrigger)</f>
        <v>#NAME?</v>
      </c>
      <c r="C60" s="437" t="e">
        <f ca="1">_xll.qlRateHelperEarliestDate($A60)</f>
        <v>#NAME?</v>
      </c>
      <c r="D60" s="436" t="e">
        <f ca="1">_xll.qlRateHelperPillarDate($A60)</f>
        <v>#NAME?</v>
      </c>
      <c r="F60" s="446" t="e">
        <f t="shared" ca="1" si="5"/>
        <v>#N/A</v>
      </c>
      <c r="G60" s="445" t="e">
        <f ca="1">_xll.qlDayCounterYearFraction(DayCounter,D59,D60)</f>
        <v>#NAME?</v>
      </c>
      <c r="I60" s="444" t="b">
        <f t="shared" ca="1" si="6"/>
        <v>0</v>
      </c>
      <c r="J60" s="443" t="e">
        <f ca="1"/>
        <v>#NAME?</v>
      </c>
      <c r="K60" s="442" t="e">
        <f t="shared" ca="1" si="4"/>
        <v>#NAME?</v>
      </c>
      <c r="L60" s="430"/>
      <c r="M60" s="441" t="b">
        <f ca="1">IF(AND(NOT(I60),AND(I$4:I59)),TRUE,I60)</f>
        <v>0</v>
      </c>
      <c r="N60" s="440" t="e">
        <f ca="1">IF(AND(NOT(ISBLANK(Jumpoverwrite1)),AND(NOT(M60),AND(M$4:M59))),($J60*$G60-LN(1+Jumpoverwrite1*O$2))/$G60,_xll.qlInterpolationInterpolate(M$3,$F60,TRUE))</f>
        <v>#NAME?</v>
      </c>
      <c r="O60" s="440" t="str">
        <f ca="1">IF(AND(NOT(M60),AND(M$4:M59)),MIN(EXP((N60-$J60)*$G60),1),"")</f>
        <v/>
      </c>
      <c r="P60" s="429"/>
      <c r="Q60" s="441" t="b">
        <f ca="1">IF(AND(NOT(M60),AND(M$4:M59)),TRUE,M60)</f>
        <v>0</v>
      </c>
      <c r="R60" s="440" t="e">
        <f ca="1">IF(AND(NOT(ISBLANK(Jumpoverwrite2)),AND(NOT(Q60),AND(Q$4:Q59))),($J60*$G60-LN(1+Jumpoverwrite2*S$2))/$G60,_xll.qlInterpolationInterpolate(Q$3,$F60,TRUE))</f>
        <v>#NAME?</v>
      </c>
      <c r="S60" s="440" t="str">
        <f ca="1">IF(AND(NOT(Q60),AND(Q$4:Q59)),MIN(EXP((R60-$J60)*$G60),1),"")</f>
        <v/>
      </c>
      <c r="T60" s="429"/>
      <c r="U60" s="441" t="b">
        <f ca="1">IF(AND(NOT(Q60),AND(Q$4:Q59)),TRUE,Q60)</f>
        <v>0</v>
      </c>
      <c r="V60" s="440" t="e">
        <f ca="1">IF(AND(NOT(ISBLANK(Jumpoverwrite3)),AND(NOT(U60),AND(U$4:U59))),($J60*$G60-LN(1+Jumpoverwrite3*W$2))/$G60,_xll.qlInterpolationInterpolate(U$3,$F60,TRUE))</f>
        <v>#NAME?</v>
      </c>
      <c r="W60" s="440" t="str">
        <f ca="1">IF(AND(NOT(U60),AND(U$4:U59)),MIN(EXP((V60-$J60)*$G60),1),"")</f>
        <v/>
      </c>
      <c r="X60" s="429"/>
      <c r="Y60" s="441" t="b">
        <f ca="1">IF(AND(NOT(U60),AND(U$4:U59)),TRUE,U60)</f>
        <v>0</v>
      </c>
      <c r="Z60" s="440" t="e">
        <f ca="1">IF(AND(NOT(ISBLANK(Jumpoverwrite4)),AND(NOT(Y60),AND(Y$4:Y59))),($J60*$G60-LN(1+Jumpoverwrite4*AA$2))/$G60,_xll.qlInterpolationInterpolate(Y$3,$F60,TRUE))</f>
        <v>#NAME?</v>
      </c>
      <c r="AA60" s="440" t="str">
        <f ca="1">IF(AND(NOT(Y60),AND(Y$4:Y59)),MIN(EXP((Z60-$J60)*$G60),1),"")</f>
        <v/>
      </c>
      <c r="AB60" s="429"/>
      <c r="AC60" s="441" t="b">
        <f ca="1">IF(AND(NOT(Y60),AND(Y$4:Y59)),TRUE,Y60)</f>
        <v>0</v>
      </c>
      <c r="AD60" s="440" t="e">
        <f ca="1">IF(AND(NOT(ISBLANK(Jumpoverwrite5)),AND(NOT(AC60),AND(AC$4:AC59))),($J60*$G60-LN(1+Jumpoverwrite5*AE$2))/$G60,_xll.qlInterpolationInterpolate(AC$3,$F60,TRUE))</f>
        <v>#NAME?</v>
      </c>
      <c r="AE60" s="440" t="str">
        <f ca="1">IF(AND(NOT(AC60),AND(AC$4:AC59)),MIN(EXP((AD60-$J60)*$G60),1),"")</f>
        <v/>
      </c>
      <c r="AF60" s="429"/>
      <c r="AG60" s="441" t="b">
        <f ca="1">IF(AND(NOT(AC60),AND(AC$4:AC59)),TRUE,AC60)</f>
        <v>0</v>
      </c>
      <c r="AH60" s="440" t="e">
        <f ca="1">IF(AND(NOT(ISBLANK(Jumpoverwrite6)),AND(NOT(AG60),AND(AG$4:AG59))),($J60*$G60-LN(1+Jumpoverwrite6*AI$2))/$G60,_xll.qlInterpolationInterpolate(AG$3,$F60,TRUE))</f>
        <v>#NAME?</v>
      </c>
      <c r="AI60" s="440" t="str">
        <f ca="1">IF(AND(NOT(AG60),AND(AG$4:AG59)),MIN(EXP((AH60-$J60)*$G60),1),"")</f>
        <v/>
      </c>
      <c r="AJ60" s="429"/>
      <c r="AK60" s="441" t="b">
        <f ca="1">IF(AND(NOT(AG60),AND(AG$4:AG59)),TRUE,AG60)</f>
        <v>0</v>
      </c>
      <c r="AL60" s="440" t="e">
        <f ca="1">IF(AND(NOT(ISBLANK(Jumpoverwrite7)),AND(NOT(AK60),AND(AK$4:AK59))),($J60*$G60-LN(1+Jumpoverwrite7*AM$2))/$G60,_xll.qlInterpolationInterpolate(AK$3,$F60,TRUE))</f>
        <v>#NAME?</v>
      </c>
      <c r="AM60" s="440" t="str">
        <f ca="1">IF(AND(NOT(AK60),AND(AK$4:AK59)),MIN(EXP((AL60-$J60)*$G60),1),"")</f>
        <v/>
      </c>
      <c r="AO60" s="441" t="b">
        <f ca="1">IF(AND(NOT(AK60),AND(AK$4:AK59)),TRUE,AK60)</f>
        <v>0</v>
      </c>
      <c r="AP60" s="440" t="e">
        <f ca="1">IF(AND(NOT(ISBLANK(Jumpoverwrite8)),AND(NOT(AO60),AND(AO$4:AO59))),($J60*$G60-LN(1+Jumpoverwrite8*AQ$2))/$G60,_xll.qlInterpolationInterpolate(AO$3,$F60,TRUE))</f>
        <v>#NAME?</v>
      </c>
      <c r="AQ60" s="440" t="str">
        <f ca="1">IF(AND(NOT(AO60),AND(AO$4:AO59)),MIN(EXP((AP60-$J60)*$G60),1),"")</f>
        <v/>
      </c>
      <c r="AS60" s="441" t="b">
        <f ca="1">IF(AND(NOT(AO60),AND(AO$4:AO59)),TRUE,AO60)</f>
        <v>0</v>
      </c>
      <c r="AT60" s="440" t="e">
        <f ca="1">IF(AND(NOT(ISBLANK(Jumpoverwrite9)),AND(NOT(AS60),AND(AS$4:AS59))),($J60*$G60-LN(1+Jumpoverwrite9*AU$2))/$G60,_xll.qlInterpolationInterpolate(AS$3,$F60,TRUE))</f>
        <v>#NAME?</v>
      </c>
      <c r="AU60" s="440" t="str">
        <f ca="1">IF(AND(NOT(AS60),AND(AS$4:AS59)),MIN(EXP((AT60-$J60)*$G60),1),"")</f>
        <v/>
      </c>
      <c r="AW60" s="441" t="b">
        <f ca="1">IF(AND(NOT(AS60),AND(AS$4:AS59)),TRUE,AS60)</f>
        <v>0</v>
      </c>
      <c r="AX60" s="440" t="e">
        <f ca="1">IF(AND(NOT(ISBLANK(Jumpoverwrite10)),AND(NOT(AW60),AND(AW$4:AW59))),($J60*$G60-LN(1+Jumpoverwrite10*AY$2))/$G60,_xll.qlInterpolationInterpolate(AW$3,$F60,TRUE))</f>
        <v>#NAME?</v>
      </c>
      <c r="AY60" s="440" t="str">
        <f ca="1">IF(AND(NOT(AW60),AND(AW$4:AW59)),MIN(EXP((AX60-$J60)*$G60),1),"")</f>
        <v/>
      </c>
      <c r="BA60" s="441" t="b">
        <f ca="1">IF(AND(NOT(AW60),AND(AW$4:AW59)),TRUE,AW60)</f>
        <v>0</v>
      </c>
      <c r="BB60" s="440" t="e">
        <f ca="1">IF(AND(NOT(ISBLANK(Jumpoverwrite11)),AND(NOT(BA60),AND(BA$4:BA59))),($J60*$G60-LN(1+Jumpoverwrite11*BC$2))/$G60,_xll.qlInterpolationInterpolate(BA$3,$F60,TRUE))</f>
        <v>#NAME?</v>
      </c>
      <c r="BC60" s="440" t="str">
        <f ca="1">IF(AND(NOT(BA60),AND(BA$4:BA59)),MIN(EXP((BB60-$J60)*$G60),1),"")</f>
        <v/>
      </c>
      <c r="BE60" s="441" t="b">
        <f ca="1">IF(AND(NOT(BA60),AND(BA$4:BA59)),TRUE,BA60)</f>
        <v>0</v>
      </c>
      <c r="BF60" s="440" t="e">
        <f ca="1">IF(AND(NOT(ISBLANK(Jumpoverwrite12)),AND(NOT(BE60),AND(BE$4:BE59))),($J60*$G60-LN(1+Jumpoverwrite12*BG$2))/$G60,_xll.qlInterpolationInterpolate(BE$3,$F60,TRUE))</f>
        <v>#NAME?</v>
      </c>
      <c r="BG60" s="440" t="str">
        <f ca="1">IF(AND(NOT(BE60),AND(BE$4:BE59)),MIN(EXP((BF60-$J60)*$G60),1),"")</f>
        <v/>
      </c>
      <c r="BI60" s="441" t="b">
        <f t="shared" ca="1" si="7"/>
        <v>0</v>
      </c>
      <c r="BJ60" s="440" t="e">
        <f ca="1">IF(AND(NOT(ISBLANK(jumpoverwrite13)),AND(NOT(BI60),AND(BI$4:BI59))),($J60*$G60-LN(1+jumpoverwrite13*BK$2))/$G60,_xll.qlInterpolationInterpolate(BI$3,$F60,TRUE))</f>
        <v>#NAME?</v>
      </c>
      <c r="BK60" s="440" t="str">
        <f ca="1">IF(AND(NOT(BI60),AND(BI$4:BI59)),MIN(EXP((BJ60-$J60)*$G60),1),"")</f>
        <v/>
      </c>
    </row>
    <row r="61" spans="1:63" x14ac:dyDescent="0.2">
      <c r="A61" s="439" t="e">
        <f ca="1"/>
        <v>#NAME?</v>
      </c>
      <c r="B61" s="438" t="e">
        <f ca="1">_xll.qlRateHelperRate($A61,InterestRatesTrigger)</f>
        <v>#NAME?</v>
      </c>
      <c r="C61" s="437" t="e">
        <f ca="1">_xll.qlRateHelperEarliestDate($A61)</f>
        <v>#NAME?</v>
      </c>
      <c r="D61" s="436" t="e">
        <f ca="1">_xll.qlRateHelperPillarDate($A61)</f>
        <v>#NAME?</v>
      </c>
      <c r="F61" s="446" t="e">
        <f t="shared" ca="1" si="5"/>
        <v>#N/A</v>
      </c>
      <c r="G61" s="445" t="e">
        <f ca="1">_xll.qlDayCounterYearFraction(DayCounter,D60,D61)</f>
        <v>#NAME?</v>
      </c>
      <c r="I61" s="444" t="b">
        <f t="shared" ca="1" si="6"/>
        <v>0</v>
      </c>
      <c r="J61" s="443" t="e">
        <f ca="1"/>
        <v>#NAME?</v>
      </c>
      <c r="K61" s="442" t="e">
        <f t="shared" ca="1" si="4"/>
        <v>#NAME?</v>
      </c>
      <c r="L61" s="430"/>
      <c r="M61" s="441" t="b">
        <f ca="1">IF(AND(NOT(I61),AND(I$4:I60)),TRUE,I61)</f>
        <v>0</v>
      </c>
      <c r="N61" s="440" t="e">
        <f ca="1">IF(AND(NOT(ISBLANK(Jumpoverwrite1)),AND(NOT(M61),AND(M$4:M60))),($J61*$G61-LN(1+Jumpoverwrite1*O$2))/$G61,_xll.qlInterpolationInterpolate(M$3,$F61,TRUE))</f>
        <v>#NAME?</v>
      </c>
      <c r="O61" s="440" t="str">
        <f ca="1">IF(AND(NOT(M61),AND(M$4:M60)),MIN(EXP((N61-$J61)*$G61),1),"")</f>
        <v/>
      </c>
      <c r="P61" s="429"/>
      <c r="Q61" s="441" t="b">
        <f ca="1">IF(AND(NOT(M61),AND(M$4:M60)),TRUE,M61)</f>
        <v>0</v>
      </c>
      <c r="R61" s="440" t="e">
        <f ca="1">IF(AND(NOT(ISBLANK(Jumpoverwrite2)),AND(NOT(Q61),AND(Q$4:Q60))),($J61*$G61-LN(1+Jumpoverwrite2*S$2))/$G61,_xll.qlInterpolationInterpolate(Q$3,$F61,TRUE))</f>
        <v>#NAME?</v>
      </c>
      <c r="S61" s="440" t="str">
        <f ca="1">IF(AND(NOT(Q61),AND(Q$4:Q60)),MIN(EXP((R61-$J61)*$G61),1),"")</f>
        <v/>
      </c>
      <c r="T61" s="429"/>
      <c r="U61" s="441" t="b">
        <f ca="1">IF(AND(NOT(Q61),AND(Q$4:Q60)),TRUE,Q61)</f>
        <v>0</v>
      </c>
      <c r="V61" s="440" t="e">
        <f ca="1">IF(AND(NOT(ISBLANK(Jumpoverwrite3)),AND(NOT(U61),AND(U$4:U60))),($J61*$G61-LN(1+Jumpoverwrite3*W$2))/$G61,_xll.qlInterpolationInterpolate(U$3,$F61,TRUE))</f>
        <v>#NAME?</v>
      </c>
      <c r="W61" s="440" t="str">
        <f ca="1">IF(AND(NOT(U61),AND(U$4:U60)),MIN(EXP((V61-$J61)*$G61),1),"")</f>
        <v/>
      </c>
      <c r="X61" s="429"/>
      <c r="Y61" s="441" t="b">
        <f ca="1">IF(AND(NOT(U61),AND(U$4:U60)),TRUE,U61)</f>
        <v>0</v>
      </c>
      <c r="Z61" s="440" t="e">
        <f ca="1">IF(AND(NOT(ISBLANK(Jumpoverwrite4)),AND(NOT(Y61),AND(Y$4:Y60))),($J61*$G61-LN(1+Jumpoverwrite4*AA$2))/$G61,_xll.qlInterpolationInterpolate(Y$3,$F61,TRUE))</f>
        <v>#NAME?</v>
      </c>
      <c r="AA61" s="440" t="str">
        <f ca="1">IF(AND(NOT(Y61),AND(Y$4:Y60)),MIN(EXP((Z61-$J61)*$G61),1),"")</f>
        <v/>
      </c>
      <c r="AB61" s="429"/>
      <c r="AC61" s="441" t="b">
        <f ca="1">IF(AND(NOT(Y61),AND(Y$4:Y60)),TRUE,Y61)</f>
        <v>0</v>
      </c>
      <c r="AD61" s="440" t="e">
        <f ca="1">IF(AND(NOT(ISBLANK(Jumpoverwrite5)),AND(NOT(AC61),AND(AC$4:AC60))),($J61*$G61-LN(1+Jumpoverwrite5*AE$2))/$G61,_xll.qlInterpolationInterpolate(AC$3,$F61,TRUE))</f>
        <v>#NAME?</v>
      </c>
      <c r="AE61" s="440" t="str">
        <f ca="1">IF(AND(NOT(AC61),AND(AC$4:AC60)),MIN(EXP((AD61-$J61)*$G61),1),"")</f>
        <v/>
      </c>
      <c r="AF61" s="429"/>
      <c r="AG61" s="441" t="b">
        <f ca="1">IF(AND(NOT(AC61),AND(AC$4:AC60)),TRUE,AC61)</f>
        <v>0</v>
      </c>
      <c r="AH61" s="440" t="e">
        <f ca="1">IF(AND(NOT(ISBLANK(Jumpoverwrite6)),AND(NOT(AG61),AND(AG$4:AG60))),($J61*$G61-LN(1+Jumpoverwrite6*AI$2))/$G61,_xll.qlInterpolationInterpolate(AG$3,$F61,TRUE))</f>
        <v>#NAME?</v>
      </c>
      <c r="AI61" s="440" t="str">
        <f ca="1">IF(AND(NOT(AG61),AND(AG$4:AG60)),MIN(EXP((AH61-$J61)*$G61),1),"")</f>
        <v/>
      </c>
      <c r="AJ61" s="429"/>
      <c r="AK61" s="441" t="b">
        <f ca="1">IF(AND(NOT(AG61),AND(AG$4:AG60)),TRUE,AG61)</f>
        <v>0</v>
      </c>
      <c r="AL61" s="440" t="e">
        <f ca="1">IF(AND(NOT(ISBLANK(Jumpoverwrite7)),AND(NOT(AK61),AND(AK$4:AK60))),($J61*$G61-LN(1+Jumpoverwrite7*AM$2))/$G61,_xll.qlInterpolationInterpolate(AK$3,$F61,TRUE))</f>
        <v>#NAME?</v>
      </c>
      <c r="AM61" s="440" t="str">
        <f ca="1">IF(AND(NOT(AK61),AND(AK$4:AK60)),MIN(EXP((AL61-$J61)*$G61),1),"")</f>
        <v/>
      </c>
      <c r="AO61" s="441" t="b">
        <f ca="1">IF(AND(NOT(AK61),AND(AK$4:AK60)),TRUE,AK61)</f>
        <v>0</v>
      </c>
      <c r="AP61" s="440" t="e">
        <f ca="1">IF(AND(NOT(ISBLANK(Jumpoverwrite8)),AND(NOT(AO61),AND(AO$4:AO60))),($J61*$G61-LN(1+Jumpoverwrite8*AQ$2))/$G61,_xll.qlInterpolationInterpolate(AO$3,$F61,TRUE))</f>
        <v>#NAME?</v>
      </c>
      <c r="AQ61" s="440" t="str">
        <f ca="1">IF(AND(NOT(AO61),AND(AO$4:AO60)),MIN(EXP((AP61-$J61)*$G61),1),"")</f>
        <v/>
      </c>
      <c r="AS61" s="441" t="b">
        <f ca="1">IF(AND(NOT(AO61),AND(AO$4:AO60)),TRUE,AO61)</f>
        <v>0</v>
      </c>
      <c r="AT61" s="440" t="e">
        <f ca="1">IF(AND(NOT(ISBLANK(Jumpoverwrite9)),AND(NOT(AS61),AND(AS$4:AS60))),($J61*$G61-LN(1+Jumpoverwrite9*AU$2))/$G61,_xll.qlInterpolationInterpolate(AS$3,$F61,TRUE))</f>
        <v>#NAME?</v>
      </c>
      <c r="AU61" s="440" t="str">
        <f ca="1">IF(AND(NOT(AS61),AND(AS$4:AS60)),MIN(EXP((AT61-$J61)*$G61),1),"")</f>
        <v/>
      </c>
      <c r="AW61" s="441" t="b">
        <f ca="1">IF(AND(NOT(AS61),AND(AS$4:AS60)),TRUE,AS61)</f>
        <v>0</v>
      </c>
      <c r="AX61" s="440" t="e">
        <f ca="1">IF(AND(NOT(ISBLANK(Jumpoverwrite10)),AND(NOT(AW61),AND(AW$4:AW60))),($J61*$G61-LN(1+Jumpoverwrite10*AY$2))/$G61,_xll.qlInterpolationInterpolate(AW$3,$F61,TRUE))</f>
        <v>#NAME?</v>
      </c>
      <c r="AY61" s="440" t="str">
        <f ca="1">IF(AND(NOT(AW61),AND(AW$4:AW60)),MIN(EXP((AX61-$J61)*$G61),1),"")</f>
        <v/>
      </c>
      <c r="BA61" s="441" t="b">
        <f ca="1">IF(AND(NOT(AW61),AND(AW$4:AW60)),TRUE,AW61)</f>
        <v>0</v>
      </c>
      <c r="BB61" s="440" t="e">
        <f ca="1">IF(AND(NOT(ISBLANK(Jumpoverwrite11)),AND(NOT(BA61),AND(BA$4:BA60))),($J61*$G61-LN(1+Jumpoverwrite11*BC$2))/$G61,_xll.qlInterpolationInterpolate(BA$3,$F61,TRUE))</f>
        <v>#NAME?</v>
      </c>
      <c r="BC61" s="440" t="str">
        <f ca="1">IF(AND(NOT(BA61),AND(BA$4:BA60)),MIN(EXP((BB61-$J61)*$G61),1),"")</f>
        <v/>
      </c>
      <c r="BE61" s="441" t="b">
        <f ca="1">IF(AND(NOT(BA61),AND(BA$4:BA60)),TRUE,BA61)</f>
        <v>0</v>
      </c>
      <c r="BF61" s="440" t="e">
        <f ca="1">IF(AND(NOT(ISBLANK(Jumpoverwrite12)),AND(NOT(BE61),AND(BE$4:BE60))),($J61*$G61-LN(1+Jumpoverwrite12*BG$2))/$G61,_xll.qlInterpolationInterpolate(BE$3,$F61,TRUE))</f>
        <v>#NAME?</v>
      </c>
      <c r="BG61" s="440" t="str">
        <f ca="1">IF(AND(NOT(BE61),AND(BE$4:BE60)),MIN(EXP((BF61-$J61)*$G61),1),"")</f>
        <v/>
      </c>
      <c r="BI61" s="441" t="b">
        <f t="shared" ca="1" si="7"/>
        <v>0</v>
      </c>
      <c r="BJ61" s="440" t="e">
        <f ca="1">IF(AND(NOT(ISBLANK(jumpoverwrite13)),AND(NOT(BI61),AND(BI$4:BI60))),($J61*$G61-LN(1+jumpoverwrite13*BK$2))/$G61,_xll.qlInterpolationInterpolate(BI$3,$F61,TRUE))</f>
        <v>#NAME?</v>
      </c>
      <c r="BK61" s="440" t="str">
        <f ca="1">IF(AND(NOT(BI61),AND(BI$4:BI60)),MIN(EXP((BJ61-$J61)*$G61),1),"")</f>
        <v/>
      </c>
    </row>
    <row r="62" spans="1:63" x14ac:dyDescent="0.2">
      <c r="A62" s="439" t="e">
        <f ca="1"/>
        <v>#NAME?</v>
      </c>
      <c r="B62" s="438" t="e">
        <f ca="1">_xll.qlRateHelperRate($A62,InterestRatesTrigger)</f>
        <v>#NAME?</v>
      </c>
      <c r="C62" s="437" t="e">
        <f ca="1">_xll.qlRateHelperEarliestDate($A62)</f>
        <v>#NAME?</v>
      </c>
      <c r="D62" s="436" t="e">
        <f ca="1">_xll.qlRateHelperPillarDate($A62)</f>
        <v>#NAME?</v>
      </c>
      <c r="F62" s="446" t="e">
        <f t="shared" ca="1" si="5"/>
        <v>#N/A</v>
      </c>
      <c r="G62" s="445" t="e">
        <f ca="1">_xll.qlDayCounterYearFraction(DayCounter,D61,D62)</f>
        <v>#NAME?</v>
      </c>
      <c r="I62" s="444" t="b">
        <f t="shared" ca="1" si="6"/>
        <v>0</v>
      </c>
      <c r="J62" s="443" t="e">
        <f ca="1"/>
        <v>#NAME?</v>
      </c>
      <c r="K62" s="442" t="e">
        <f t="shared" ca="1" si="4"/>
        <v>#NAME?</v>
      </c>
      <c r="L62" s="430"/>
      <c r="M62" s="441" t="b">
        <f ca="1">IF(AND(NOT(I62),AND(I$4:I61)),TRUE,I62)</f>
        <v>0</v>
      </c>
      <c r="N62" s="440" t="e">
        <f ca="1">IF(AND(NOT(ISBLANK(Jumpoverwrite1)),AND(NOT(M62),AND(M$4:M61))),($J62*$G62-LN(1+Jumpoverwrite1*O$2))/$G62,_xll.qlInterpolationInterpolate(M$3,$F62,TRUE))</f>
        <v>#NAME?</v>
      </c>
      <c r="O62" s="440" t="str">
        <f ca="1">IF(AND(NOT(M62),AND(M$4:M61)),MIN(EXP((N62-$J62)*$G62),1),"")</f>
        <v/>
      </c>
      <c r="P62" s="429"/>
      <c r="Q62" s="441" t="b">
        <f ca="1">IF(AND(NOT(M62),AND(M$4:M61)),TRUE,M62)</f>
        <v>0</v>
      </c>
      <c r="R62" s="440" t="e">
        <f ca="1">IF(AND(NOT(ISBLANK(Jumpoverwrite2)),AND(NOT(Q62),AND(Q$4:Q61))),($J62*$G62-LN(1+Jumpoverwrite2*S$2))/$G62,_xll.qlInterpolationInterpolate(Q$3,$F62,TRUE))</f>
        <v>#NAME?</v>
      </c>
      <c r="S62" s="440" t="str">
        <f ca="1">IF(AND(NOT(Q62),AND(Q$4:Q61)),MIN(EXP((R62-$J62)*$G62),1),"")</f>
        <v/>
      </c>
      <c r="T62" s="429"/>
      <c r="U62" s="441" t="b">
        <f ca="1">IF(AND(NOT(Q62),AND(Q$4:Q61)),TRUE,Q62)</f>
        <v>0</v>
      </c>
      <c r="V62" s="440" t="e">
        <f ca="1">IF(AND(NOT(ISBLANK(Jumpoverwrite3)),AND(NOT(U62),AND(U$4:U61))),($J62*$G62-LN(1+Jumpoverwrite3*W$2))/$G62,_xll.qlInterpolationInterpolate(U$3,$F62,TRUE))</f>
        <v>#NAME?</v>
      </c>
      <c r="W62" s="440" t="str">
        <f ca="1">IF(AND(NOT(U62),AND(U$4:U61)),MIN(EXP((V62-$J62)*$G62),1),"")</f>
        <v/>
      </c>
      <c r="X62" s="429"/>
      <c r="Y62" s="441" t="b">
        <f ca="1">IF(AND(NOT(U62),AND(U$4:U61)),TRUE,U62)</f>
        <v>0</v>
      </c>
      <c r="Z62" s="440" t="e">
        <f ca="1">IF(AND(NOT(ISBLANK(Jumpoverwrite4)),AND(NOT(Y62),AND(Y$4:Y61))),($J62*$G62-LN(1+Jumpoverwrite4*AA$2))/$G62,_xll.qlInterpolationInterpolate(Y$3,$F62,TRUE))</f>
        <v>#NAME?</v>
      </c>
      <c r="AA62" s="440" t="str">
        <f ca="1">IF(AND(NOT(Y62),AND(Y$4:Y61)),MIN(EXP((Z62-$J62)*$G62),1),"")</f>
        <v/>
      </c>
      <c r="AB62" s="429"/>
      <c r="AC62" s="441" t="b">
        <f ca="1">IF(AND(NOT(Y62),AND(Y$4:Y61)),TRUE,Y62)</f>
        <v>0</v>
      </c>
      <c r="AD62" s="440" t="e">
        <f ca="1">IF(AND(NOT(ISBLANK(Jumpoverwrite5)),AND(NOT(AC62),AND(AC$4:AC61))),($J62*$G62-LN(1+Jumpoverwrite5*AE$2))/$G62,_xll.qlInterpolationInterpolate(AC$3,$F62,TRUE))</f>
        <v>#NAME?</v>
      </c>
      <c r="AE62" s="440" t="str">
        <f ca="1">IF(AND(NOT(AC62),AND(AC$4:AC61)),MIN(EXP((AD62-$J62)*$G62),1),"")</f>
        <v/>
      </c>
      <c r="AF62" s="429"/>
      <c r="AG62" s="441" t="b">
        <f ca="1">IF(AND(NOT(AC62),AND(AC$4:AC61)),TRUE,AC62)</f>
        <v>0</v>
      </c>
      <c r="AH62" s="440" t="e">
        <f ca="1">IF(AND(NOT(ISBLANK(Jumpoverwrite6)),AND(NOT(AG62),AND(AG$4:AG61))),($J62*$G62-LN(1+Jumpoverwrite6*AI$2))/$G62,_xll.qlInterpolationInterpolate(AG$3,$F62,TRUE))</f>
        <v>#NAME?</v>
      </c>
      <c r="AI62" s="440" t="str">
        <f ca="1">IF(AND(NOT(AG62),AND(AG$4:AG61)),MIN(EXP((AH62-$J62)*$G62),1),"")</f>
        <v/>
      </c>
      <c r="AJ62" s="429"/>
      <c r="AK62" s="441" t="b">
        <f ca="1">IF(AND(NOT(AG62),AND(AG$4:AG61)),TRUE,AG62)</f>
        <v>0</v>
      </c>
      <c r="AL62" s="440" t="e">
        <f ca="1">IF(AND(NOT(ISBLANK(Jumpoverwrite7)),AND(NOT(AK62),AND(AK$4:AK61))),($J62*$G62-LN(1+Jumpoverwrite7*AM$2))/$G62,_xll.qlInterpolationInterpolate(AK$3,$F62,TRUE))</f>
        <v>#NAME?</v>
      </c>
      <c r="AM62" s="440" t="str">
        <f ca="1">IF(AND(NOT(AK62),AND(AK$4:AK61)),MIN(EXP((AL62-$J62)*$G62),1),"")</f>
        <v/>
      </c>
      <c r="AO62" s="441" t="b">
        <f ca="1">IF(AND(NOT(AK62),AND(AK$4:AK61)),TRUE,AK62)</f>
        <v>0</v>
      </c>
      <c r="AP62" s="440" t="e">
        <f ca="1">IF(AND(NOT(ISBLANK(Jumpoverwrite8)),AND(NOT(AO62),AND(AO$4:AO61))),($J62*$G62-LN(1+Jumpoverwrite8*AQ$2))/$G62,_xll.qlInterpolationInterpolate(AO$3,$F62,TRUE))</f>
        <v>#NAME?</v>
      </c>
      <c r="AQ62" s="440" t="str">
        <f ca="1">IF(AND(NOT(AO62),AND(AO$4:AO61)),MIN(EXP((AP62-$J62)*$G62),1),"")</f>
        <v/>
      </c>
      <c r="AS62" s="441" t="b">
        <f ca="1">IF(AND(NOT(AO62),AND(AO$4:AO61)),TRUE,AO62)</f>
        <v>0</v>
      </c>
      <c r="AT62" s="440" t="e">
        <f ca="1">IF(AND(NOT(ISBLANK(Jumpoverwrite9)),AND(NOT(AS62),AND(AS$4:AS61))),($J62*$G62-LN(1+Jumpoverwrite9*AU$2))/$G62,_xll.qlInterpolationInterpolate(AS$3,$F62,TRUE))</f>
        <v>#NAME?</v>
      </c>
      <c r="AU62" s="440" t="str">
        <f ca="1">IF(AND(NOT(AS62),AND(AS$4:AS61)),MIN(EXP((AT62-$J62)*$G62),1),"")</f>
        <v/>
      </c>
      <c r="AW62" s="441" t="b">
        <f ca="1">IF(AND(NOT(AS62),AND(AS$4:AS61)),TRUE,AS62)</f>
        <v>0</v>
      </c>
      <c r="AX62" s="440" t="e">
        <f ca="1">IF(AND(NOT(ISBLANK(Jumpoverwrite10)),AND(NOT(AW62),AND(AW$4:AW61))),($J62*$G62-LN(1+Jumpoverwrite10*AY$2))/$G62,_xll.qlInterpolationInterpolate(AW$3,$F62,TRUE))</f>
        <v>#NAME?</v>
      </c>
      <c r="AY62" s="440" t="str">
        <f ca="1">IF(AND(NOT(AW62),AND(AW$4:AW61)),MIN(EXP((AX62-$J62)*$G62),1),"")</f>
        <v/>
      </c>
      <c r="BA62" s="441" t="b">
        <f ca="1">IF(AND(NOT(AW62),AND(AW$4:AW61)),TRUE,AW62)</f>
        <v>0</v>
      </c>
      <c r="BB62" s="440" t="e">
        <f ca="1">IF(AND(NOT(ISBLANK(Jumpoverwrite11)),AND(NOT(BA62),AND(BA$4:BA61))),($J62*$G62-LN(1+Jumpoverwrite11*BC$2))/$G62,_xll.qlInterpolationInterpolate(BA$3,$F62,TRUE))</f>
        <v>#NAME?</v>
      </c>
      <c r="BC62" s="440" t="str">
        <f ca="1">IF(AND(NOT(BA62),AND(BA$4:BA61)),MIN(EXP((BB62-$J62)*$G62),1),"")</f>
        <v/>
      </c>
      <c r="BE62" s="441" t="b">
        <f ca="1">IF(AND(NOT(BA62),AND(BA$4:BA61)),TRUE,BA62)</f>
        <v>0</v>
      </c>
      <c r="BF62" s="440" t="e">
        <f ca="1">IF(AND(NOT(ISBLANK(Jumpoverwrite12)),AND(NOT(BE62),AND(BE$4:BE61))),($J62*$G62-LN(1+Jumpoverwrite12*BG$2))/$G62,_xll.qlInterpolationInterpolate(BE$3,$F62,TRUE))</f>
        <v>#NAME?</v>
      </c>
      <c r="BG62" s="440" t="str">
        <f ca="1">IF(AND(NOT(BE62),AND(BE$4:BE61)),MIN(EXP((BF62-$J62)*$G62),1),"")</f>
        <v/>
      </c>
      <c r="BI62" s="441" t="b">
        <f t="shared" ca="1" si="7"/>
        <v>0</v>
      </c>
      <c r="BJ62" s="440" t="e">
        <f ca="1">IF(AND(NOT(ISBLANK(jumpoverwrite13)),AND(NOT(BI62),AND(BI$4:BI61))),($J62*$G62-LN(1+jumpoverwrite13*BK$2))/$G62,_xll.qlInterpolationInterpolate(BI$3,$F62,TRUE))</f>
        <v>#NAME?</v>
      </c>
      <c r="BK62" s="440" t="str">
        <f ca="1">IF(AND(NOT(BI62),AND(BI$4:BI61)),MIN(EXP((BJ62-$J62)*$G62),1),"")</f>
        <v/>
      </c>
    </row>
    <row r="63" spans="1:63" x14ac:dyDescent="0.2">
      <c r="A63" s="439" t="e">
        <f ca="1"/>
        <v>#NAME?</v>
      </c>
      <c r="B63" s="438" t="e">
        <f ca="1">_xll.qlRateHelperRate($A63,InterestRatesTrigger)</f>
        <v>#NAME?</v>
      </c>
      <c r="C63" s="437" t="e">
        <f ca="1">_xll.qlRateHelperEarliestDate($A63)</f>
        <v>#NAME?</v>
      </c>
      <c r="D63" s="436" t="e">
        <f ca="1">_xll.qlRateHelperPillarDate($A63)</f>
        <v>#NAME?</v>
      </c>
      <c r="F63" s="446" t="e">
        <f t="shared" ca="1" si="5"/>
        <v>#N/A</v>
      </c>
      <c r="G63" s="445" t="e">
        <f ca="1">_xll.qlDayCounterYearFraction(DayCounter,D62,D63)</f>
        <v>#NAME?</v>
      </c>
      <c r="I63" s="444" t="b">
        <f t="shared" ca="1" si="6"/>
        <v>0</v>
      </c>
      <c r="J63" s="443" t="e">
        <f ca="1"/>
        <v>#NAME?</v>
      </c>
      <c r="K63" s="442" t="e">
        <f t="shared" ca="1" si="4"/>
        <v>#NAME?</v>
      </c>
      <c r="L63" s="430"/>
      <c r="M63" s="441" t="b">
        <f ca="1">IF(AND(NOT(I63),AND(I$4:I62)),TRUE,I63)</f>
        <v>0</v>
      </c>
      <c r="N63" s="440" t="e">
        <f ca="1">IF(AND(NOT(ISBLANK(Jumpoverwrite1)),AND(NOT(M63),AND(M$4:M62))),($J63*$G63-LN(1+Jumpoverwrite1*O$2))/$G63,_xll.qlInterpolationInterpolate(M$3,$F63,TRUE))</f>
        <v>#NAME?</v>
      </c>
      <c r="O63" s="440" t="str">
        <f ca="1">IF(AND(NOT(M63),AND(M$4:M62)),MIN(EXP((N63-$J63)*$G63),1),"")</f>
        <v/>
      </c>
      <c r="P63" s="429"/>
      <c r="Q63" s="441" t="b">
        <f ca="1">IF(AND(NOT(M63),AND(M$4:M62)),TRUE,M63)</f>
        <v>0</v>
      </c>
      <c r="R63" s="440" t="e">
        <f ca="1">IF(AND(NOT(ISBLANK(Jumpoverwrite2)),AND(NOT(Q63),AND(Q$4:Q62))),($J63*$G63-LN(1+Jumpoverwrite2*S$2))/$G63,_xll.qlInterpolationInterpolate(Q$3,$F63,TRUE))</f>
        <v>#NAME?</v>
      </c>
      <c r="S63" s="440" t="str">
        <f ca="1">IF(AND(NOT(Q63),AND(Q$4:Q62)),MIN(EXP((R63-$J63)*$G63),1),"")</f>
        <v/>
      </c>
      <c r="T63" s="429"/>
      <c r="U63" s="441" t="b">
        <f ca="1">IF(AND(NOT(Q63),AND(Q$4:Q62)),TRUE,Q63)</f>
        <v>0</v>
      </c>
      <c r="V63" s="440" t="e">
        <f ca="1">IF(AND(NOT(ISBLANK(Jumpoverwrite3)),AND(NOT(U63),AND(U$4:U62))),($J63*$G63-LN(1+Jumpoverwrite3*W$2))/$G63,_xll.qlInterpolationInterpolate(U$3,$F63,TRUE))</f>
        <v>#NAME?</v>
      </c>
      <c r="W63" s="440" t="str">
        <f ca="1">IF(AND(NOT(U63),AND(U$4:U62)),MIN(EXP((V63-$J63)*$G63),1),"")</f>
        <v/>
      </c>
      <c r="X63" s="429"/>
      <c r="Y63" s="441" t="b">
        <f ca="1">IF(AND(NOT(U63),AND(U$4:U62)),TRUE,U63)</f>
        <v>0</v>
      </c>
      <c r="Z63" s="440" t="e">
        <f ca="1">IF(AND(NOT(ISBLANK(Jumpoverwrite4)),AND(NOT(Y63),AND(Y$4:Y62))),($J63*$G63-LN(1+Jumpoverwrite4*AA$2))/$G63,_xll.qlInterpolationInterpolate(Y$3,$F63,TRUE))</f>
        <v>#NAME?</v>
      </c>
      <c r="AA63" s="440" t="str">
        <f ca="1">IF(AND(NOT(Y63),AND(Y$4:Y62)),MIN(EXP((Z63-$J63)*$G63),1),"")</f>
        <v/>
      </c>
      <c r="AB63" s="429"/>
      <c r="AC63" s="441" t="b">
        <f ca="1">IF(AND(NOT(Y63),AND(Y$4:Y62)),TRUE,Y63)</f>
        <v>0</v>
      </c>
      <c r="AD63" s="440" t="e">
        <f ca="1">IF(AND(NOT(ISBLANK(Jumpoverwrite5)),AND(NOT(AC63),AND(AC$4:AC62))),($J63*$G63-LN(1+Jumpoverwrite5*AE$2))/$G63,_xll.qlInterpolationInterpolate(AC$3,$F63,TRUE))</f>
        <v>#NAME?</v>
      </c>
      <c r="AE63" s="440" t="str">
        <f ca="1">IF(AND(NOT(AC63),AND(AC$4:AC62)),MIN(EXP((AD63-$J63)*$G63),1),"")</f>
        <v/>
      </c>
      <c r="AF63" s="429"/>
      <c r="AG63" s="441" t="b">
        <f ca="1">IF(AND(NOT(AC63),AND(AC$4:AC62)),TRUE,AC63)</f>
        <v>0</v>
      </c>
      <c r="AH63" s="440" t="e">
        <f ca="1">IF(AND(NOT(ISBLANK(Jumpoverwrite6)),AND(NOT(AG63),AND(AG$4:AG62))),($J63*$G63-LN(1+Jumpoverwrite6*AI$2))/$G63,_xll.qlInterpolationInterpolate(AG$3,$F63,TRUE))</f>
        <v>#NAME?</v>
      </c>
      <c r="AI63" s="440" t="str">
        <f ca="1">IF(AND(NOT(AG63),AND(AG$4:AG62)),MIN(EXP((AH63-$J63)*$G63),1),"")</f>
        <v/>
      </c>
      <c r="AJ63" s="429"/>
      <c r="AK63" s="441" t="b">
        <f ca="1">IF(AND(NOT(AG63),AND(AG$4:AG62)),TRUE,AG63)</f>
        <v>0</v>
      </c>
      <c r="AL63" s="440" t="e">
        <f ca="1">IF(AND(NOT(ISBLANK(Jumpoverwrite7)),AND(NOT(AK63),AND(AK$4:AK62))),($J63*$G63-LN(1+Jumpoverwrite7*AM$2))/$G63,_xll.qlInterpolationInterpolate(AK$3,$F63,TRUE))</f>
        <v>#NAME?</v>
      </c>
      <c r="AM63" s="440" t="str">
        <f ca="1">IF(AND(NOT(AK63),AND(AK$4:AK62)),MIN(EXP((AL63-$J63)*$G63),1),"")</f>
        <v/>
      </c>
      <c r="AO63" s="441" t="b">
        <f ca="1">IF(AND(NOT(AK63),AND(AK$4:AK62)),TRUE,AK63)</f>
        <v>0</v>
      </c>
      <c r="AP63" s="440" t="e">
        <f ca="1">IF(AND(NOT(ISBLANK(Jumpoverwrite8)),AND(NOT(AO63),AND(AO$4:AO62))),($J63*$G63-LN(1+Jumpoverwrite8*AQ$2))/$G63,_xll.qlInterpolationInterpolate(AO$3,$F63,TRUE))</f>
        <v>#NAME?</v>
      </c>
      <c r="AQ63" s="440" t="str">
        <f ca="1">IF(AND(NOT(AO63),AND(AO$4:AO62)),MIN(EXP((AP63-$J63)*$G63),1),"")</f>
        <v/>
      </c>
      <c r="AS63" s="441" t="b">
        <f ca="1">IF(AND(NOT(AO63),AND(AO$4:AO62)),TRUE,AO63)</f>
        <v>0</v>
      </c>
      <c r="AT63" s="440" t="e">
        <f ca="1">IF(AND(NOT(ISBLANK(Jumpoverwrite9)),AND(NOT(AS63),AND(AS$4:AS62))),($J63*$G63-LN(1+Jumpoverwrite9*AU$2))/$G63,_xll.qlInterpolationInterpolate(AS$3,$F63,TRUE))</f>
        <v>#NAME?</v>
      </c>
      <c r="AU63" s="440" t="str">
        <f ca="1">IF(AND(NOT(AS63),AND(AS$4:AS62)),MIN(EXP((AT63-$J63)*$G63),1),"")</f>
        <v/>
      </c>
      <c r="AW63" s="441" t="b">
        <f ca="1">IF(AND(NOT(AS63),AND(AS$4:AS62)),TRUE,AS63)</f>
        <v>0</v>
      </c>
      <c r="AX63" s="440" t="e">
        <f ca="1">IF(AND(NOT(ISBLANK(Jumpoverwrite10)),AND(NOT(AW63),AND(AW$4:AW62))),($J63*$G63-LN(1+Jumpoverwrite10*AY$2))/$G63,_xll.qlInterpolationInterpolate(AW$3,$F63,TRUE))</f>
        <v>#NAME?</v>
      </c>
      <c r="AY63" s="440" t="str">
        <f ca="1">IF(AND(NOT(AW63),AND(AW$4:AW62)),MIN(EXP((AX63-$J63)*$G63),1),"")</f>
        <v/>
      </c>
      <c r="BA63" s="441" t="b">
        <f ca="1">IF(AND(NOT(AW63),AND(AW$4:AW62)),TRUE,AW63)</f>
        <v>0</v>
      </c>
      <c r="BB63" s="440" t="e">
        <f ca="1">IF(AND(NOT(ISBLANK(Jumpoverwrite11)),AND(NOT(BA63),AND(BA$4:BA62))),($J63*$G63-LN(1+Jumpoverwrite11*BC$2))/$G63,_xll.qlInterpolationInterpolate(BA$3,$F63,TRUE))</f>
        <v>#NAME?</v>
      </c>
      <c r="BC63" s="440" t="str">
        <f ca="1">IF(AND(NOT(BA63),AND(BA$4:BA62)),MIN(EXP((BB63-$J63)*$G63),1),"")</f>
        <v/>
      </c>
      <c r="BE63" s="441" t="b">
        <f ca="1">IF(AND(NOT(BA63),AND(BA$4:BA62)),TRUE,BA63)</f>
        <v>0</v>
      </c>
      <c r="BF63" s="440" t="e">
        <f ca="1">IF(AND(NOT(ISBLANK(Jumpoverwrite12)),AND(NOT(BE63),AND(BE$4:BE62))),($J63*$G63-LN(1+Jumpoverwrite12*BG$2))/$G63,_xll.qlInterpolationInterpolate(BE$3,$F63,TRUE))</f>
        <v>#NAME?</v>
      </c>
      <c r="BG63" s="440" t="str">
        <f ca="1">IF(AND(NOT(BE63),AND(BE$4:BE62)),MIN(EXP((BF63-$J63)*$G63),1),"")</f>
        <v/>
      </c>
      <c r="BI63" s="441" t="b">
        <f t="shared" ca="1" si="7"/>
        <v>0</v>
      </c>
      <c r="BJ63" s="440" t="e">
        <f ca="1">IF(AND(NOT(ISBLANK(jumpoverwrite13)),AND(NOT(BI63),AND(BI$4:BI62))),($J63*$G63-LN(1+jumpoverwrite13*BK$2))/$G63,_xll.qlInterpolationInterpolate(BI$3,$F63,TRUE))</f>
        <v>#NAME?</v>
      </c>
      <c r="BK63" s="440" t="str">
        <f ca="1">IF(AND(NOT(BI63),AND(BI$4:BI62)),MIN(EXP((BJ63-$J63)*$G63),1),"")</f>
        <v/>
      </c>
    </row>
    <row r="64" spans="1:63" x14ac:dyDescent="0.2">
      <c r="A64" s="439" t="e">
        <f ca="1"/>
        <v>#NAME?</v>
      </c>
      <c r="B64" s="438" t="e">
        <f ca="1">_xll.qlRateHelperRate($A64,InterestRatesTrigger)</f>
        <v>#NAME?</v>
      </c>
      <c r="C64" s="437" t="e">
        <f ca="1">_xll.qlRateHelperEarliestDate($A64)</f>
        <v>#NAME?</v>
      </c>
      <c r="D64" s="436" t="e">
        <f ca="1">_xll.qlRateHelperPillarDate($A64)</f>
        <v>#NAME?</v>
      </c>
      <c r="F64" s="446" t="e">
        <f t="shared" ca="1" si="5"/>
        <v>#N/A</v>
      </c>
      <c r="G64" s="445" t="e">
        <f ca="1">_xll.qlDayCounterYearFraction(DayCounter,D63,D64)</f>
        <v>#NAME?</v>
      </c>
      <c r="I64" s="444" t="b">
        <f t="shared" ca="1" si="6"/>
        <v>0</v>
      </c>
      <c r="J64" s="443" t="e">
        <f ca="1"/>
        <v>#NAME?</v>
      </c>
      <c r="K64" s="442" t="e">
        <f t="shared" ca="1" si="4"/>
        <v>#NAME?</v>
      </c>
      <c r="L64" s="430"/>
      <c r="M64" s="441" t="b">
        <f ca="1">IF(AND(NOT(I64),AND(I$4:I63)),TRUE,I64)</f>
        <v>0</v>
      </c>
      <c r="N64" s="440" t="e">
        <f ca="1">IF(AND(NOT(ISBLANK(Jumpoverwrite1)),AND(NOT(M64),AND(M$4:M63))),($J64*$G64-LN(1+Jumpoverwrite1*O$2))/$G64,_xll.qlInterpolationInterpolate(M$3,$F64,TRUE))</f>
        <v>#NAME?</v>
      </c>
      <c r="O64" s="440" t="str">
        <f ca="1">IF(AND(NOT(M64),AND(M$4:M63)),MIN(EXP((N64-$J64)*$G64),1),"")</f>
        <v/>
      </c>
      <c r="P64" s="429"/>
      <c r="Q64" s="441" t="b">
        <f ca="1">IF(AND(NOT(M64),AND(M$4:M63)),TRUE,M64)</f>
        <v>0</v>
      </c>
      <c r="R64" s="440" t="e">
        <f ca="1">IF(AND(NOT(ISBLANK(Jumpoverwrite2)),AND(NOT(Q64),AND(Q$4:Q63))),($J64*$G64-LN(1+Jumpoverwrite2*S$2))/$G64,_xll.qlInterpolationInterpolate(Q$3,$F64,TRUE))</f>
        <v>#NAME?</v>
      </c>
      <c r="S64" s="440" t="str">
        <f ca="1">IF(AND(NOT(Q64),AND(Q$4:Q63)),MIN(EXP((R64-$J64)*$G64),1),"")</f>
        <v/>
      </c>
      <c r="T64" s="429"/>
      <c r="U64" s="441" t="b">
        <f ca="1">IF(AND(NOT(Q64),AND(Q$4:Q63)),TRUE,Q64)</f>
        <v>0</v>
      </c>
      <c r="V64" s="440" t="e">
        <f ca="1">IF(AND(NOT(ISBLANK(Jumpoverwrite3)),AND(NOT(U64),AND(U$4:U63))),($J64*$G64-LN(1+Jumpoverwrite3*W$2))/$G64,_xll.qlInterpolationInterpolate(U$3,$F64,TRUE))</f>
        <v>#NAME?</v>
      </c>
      <c r="W64" s="440" t="str">
        <f ca="1">IF(AND(NOT(U64),AND(U$4:U63)),MIN(EXP((V64-$J64)*$G64),1),"")</f>
        <v/>
      </c>
      <c r="X64" s="429"/>
      <c r="Y64" s="441" t="b">
        <f ca="1">IF(AND(NOT(U64),AND(U$4:U63)),TRUE,U64)</f>
        <v>0</v>
      </c>
      <c r="Z64" s="440" t="e">
        <f ca="1">IF(AND(NOT(ISBLANK(Jumpoverwrite4)),AND(NOT(Y64),AND(Y$4:Y63))),($J64*$G64-LN(1+Jumpoverwrite4*AA$2))/$G64,_xll.qlInterpolationInterpolate(Y$3,$F64,TRUE))</f>
        <v>#NAME?</v>
      </c>
      <c r="AA64" s="440" t="str">
        <f ca="1">IF(AND(NOT(Y64),AND(Y$4:Y63)),MIN(EXP((Z64-$J64)*$G64),1),"")</f>
        <v/>
      </c>
      <c r="AB64" s="429"/>
      <c r="AC64" s="441" t="b">
        <f ca="1">IF(AND(NOT(Y64),AND(Y$4:Y63)),TRUE,Y64)</f>
        <v>0</v>
      </c>
      <c r="AD64" s="440" t="e">
        <f ca="1">IF(AND(NOT(ISBLANK(Jumpoverwrite5)),AND(NOT(AC64),AND(AC$4:AC63))),($J64*$G64-LN(1+Jumpoverwrite5*AE$2))/$G64,_xll.qlInterpolationInterpolate(AC$3,$F64,TRUE))</f>
        <v>#NAME?</v>
      </c>
      <c r="AE64" s="440" t="str">
        <f ca="1">IF(AND(NOT(AC64),AND(AC$4:AC63)),MIN(EXP((AD64-$J64)*$G64),1),"")</f>
        <v/>
      </c>
      <c r="AF64" s="429"/>
      <c r="AG64" s="441" t="b">
        <f ca="1">IF(AND(NOT(AC64),AND(AC$4:AC63)),TRUE,AC64)</f>
        <v>0</v>
      </c>
      <c r="AH64" s="440" t="e">
        <f ca="1">IF(AND(NOT(ISBLANK(Jumpoverwrite6)),AND(NOT(AG64),AND(AG$4:AG63))),($J64*$G64-LN(1+Jumpoverwrite6*AI$2))/$G64,_xll.qlInterpolationInterpolate(AG$3,$F64,TRUE))</f>
        <v>#NAME?</v>
      </c>
      <c r="AI64" s="440" t="str">
        <f ca="1">IF(AND(NOT(AG64),AND(AG$4:AG63)),MIN(EXP((AH64-$J64)*$G64),1),"")</f>
        <v/>
      </c>
      <c r="AJ64" s="429"/>
      <c r="AK64" s="441" t="b">
        <f ca="1">IF(AND(NOT(AG64),AND(AG$4:AG63)),TRUE,AG64)</f>
        <v>0</v>
      </c>
      <c r="AL64" s="440" t="e">
        <f ca="1">IF(AND(NOT(ISBLANK(Jumpoverwrite7)),AND(NOT(AK64),AND(AK$4:AK63))),($J64*$G64-LN(1+Jumpoverwrite7*AM$2))/$G64,_xll.qlInterpolationInterpolate(AK$3,$F64,TRUE))</f>
        <v>#NAME?</v>
      </c>
      <c r="AM64" s="440" t="str">
        <f ca="1">IF(AND(NOT(AK64),AND(AK$4:AK63)),MIN(EXP((AL64-$J64)*$G64),1),"")</f>
        <v/>
      </c>
      <c r="AO64" s="441" t="b">
        <f ca="1">IF(AND(NOT(AK64),AND(AK$4:AK63)),TRUE,AK64)</f>
        <v>0</v>
      </c>
      <c r="AP64" s="440" t="e">
        <f ca="1">IF(AND(NOT(ISBLANK(Jumpoverwrite8)),AND(NOT(AO64),AND(AO$4:AO63))),($J64*$G64-LN(1+Jumpoverwrite8*AQ$2))/$G64,_xll.qlInterpolationInterpolate(AO$3,$F64,TRUE))</f>
        <v>#NAME?</v>
      </c>
      <c r="AQ64" s="440" t="str">
        <f ca="1">IF(AND(NOT(AO64),AND(AO$4:AO63)),MIN(EXP((AP64-$J64)*$G64),1),"")</f>
        <v/>
      </c>
      <c r="AS64" s="441" t="b">
        <f ca="1">IF(AND(NOT(AO64),AND(AO$4:AO63)),TRUE,AO64)</f>
        <v>0</v>
      </c>
      <c r="AT64" s="440" t="e">
        <f ca="1">IF(AND(NOT(ISBLANK(Jumpoverwrite9)),AND(NOT(AS64),AND(AS$4:AS63))),($J64*$G64-LN(1+Jumpoverwrite9*AU$2))/$G64,_xll.qlInterpolationInterpolate(AS$3,$F64,TRUE))</f>
        <v>#NAME?</v>
      </c>
      <c r="AU64" s="440" t="str">
        <f ca="1">IF(AND(NOT(AS64),AND(AS$4:AS63)),MIN(EXP((AT64-$J64)*$G64),1),"")</f>
        <v/>
      </c>
      <c r="AW64" s="441" t="b">
        <f ca="1">IF(AND(NOT(AS64),AND(AS$4:AS63)),TRUE,AS64)</f>
        <v>0</v>
      </c>
      <c r="AX64" s="440" t="e">
        <f ca="1">IF(AND(NOT(ISBLANK(Jumpoverwrite10)),AND(NOT(AW64),AND(AW$4:AW63))),($J64*$G64-LN(1+Jumpoverwrite10*AY$2))/$G64,_xll.qlInterpolationInterpolate(AW$3,$F64,TRUE))</f>
        <v>#NAME?</v>
      </c>
      <c r="AY64" s="440" t="str">
        <f ca="1">IF(AND(NOT(AW64),AND(AW$4:AW63)),MIN(EXP((AX64-$J64)*$G64),1),"")</f>
        <v/>
      </c>
      <c r="BA64" s="441" t="b">
        <f ca="1">IF(AND(NOT(AW64),AND(AW$4:AW63)),TRUE,AW64)</f>
        <v>0</v>
      </c>
      <c r="BB64" s="440" t="e">
        <f ca="1">IF(AND(NOT(ISBLANK(Jumpoverwrite11)),AND(NOT(BA64),AND(BA$4:BA63))),($J64*$G64-LN(1+Jumpoverwrite11*BC$2))/$G64,_xll.qlInterpolationInterpolate(BA$3,$F64,TRUE))</f>
        <v>#NAME?</v>
      </c>
      <c r="BC64" s="440" t="str">
        <f ca="1">IF(AND(NOT(BA64),AND(BA$4:BA63)),MIN(EXP((BB64-$J64)*$G64),1),"")</f>
        <v/>
      </c>
      <c r="BE64" s="441" t="b">
        <f ca="1">IF(AND(NOT(BA64),AND(BA$4:BA63)),TRUE,BA64)</f>
        <v>0</v>
      </c>
      <c r="BF64" s="440" t="e">
        <f ca="1">IF(AND(NOT(ISBLANK(Jumpoverwrite12)),AND(NOT(BE64),AND(BE$4:BE63))),($J64*$G64-LN(1+Jumpoverwrite12*BG$2))/$G64,_xll.qlInterpolationInterpolate(BE$3,$F64,TRUE))</f>
        <v>#NAME?</v>
      </c>
      <c r="BG64" s="440" t="str">
        <f ca="1">IF(AND(NOT(BE64),AND(BE$4:BE63)),MIN(EXP((BF64-$J64)*$G64),1),"")</f>
        <v/>
      </c>
      <c r="BI64" s="441" t="b">
        <f t="shared" ca="1" si="7"/>
        <v>0</v>
      </c>
      <c r="BJ64" s="440" t="e">
        <f ca="1">IF(AND(NOT(ISBLANK(jumpoverwrite13)),AND(NOT(BI64),AND(BI$4:BI63))),($J64*$G64-LN(1+jumpoverwrite13*BK$2))/$G64,_xll.qlInterpolationInterpolate(BI$3,$F64,TRUE))</f>
        <v>#NAME?</v>
      </c>
      <c r="BK64" s="440" t="str">
        <f ca="1">IF(AND(NOT(BI64),AND(BI$4:BI63)),MIN(EXP((BJ64-$J64)*$G64),1),"")</f>
        <v/>
      </c>
    </row>
    <row r="65" spans="1:63" x14ac:dyDescent="0.2">
      <c r="A65" s="439" t="e">
        <f ca="1"/>
        <v>#NAME?</v>
      </c>
      <c r="B65" s="438" t="e">
        <f ca="1">_xll.qlRateHelperRate($A65,InterestRatesTrigger)</f>
        <v>#NAME?</v>
      </c>
      <c r="C65" s="437" t="e">
        <f ca="1">_xll.qlRateHelperEarliestDate($A65)</f>
        <v>#NAME?</v>
      </c>
      <c r="D65" s="436" t="e">
        <f ca="1">_xll.qlRateHelperPillarDate($A65)</f>
        <v>#NAME?</v>
      </c>
      <c r="F65" s="446" t="e">
        <f t="shared" ca="1" si="5"/>
        <v>#N/A</v>
      </c>
      <c r="G65" s="445" t="e">
        <f ca="1">_xll.qlDayCounterYearFraction(DayCounter,D64,D65)</f>
        <v>#NAME?</v>
      </c>
      <c r="I65" s="444" t="b">
        <f t="shared" ca="1" si="6"/>
        <v>0</v>
      </c>
      <c r="J65" s="443" t="e">
        <f ca="1"/>
        <v>#NAME?</v>
      </c>
      <c r="K65" s="442" t="e">
        <f t="shared" ca="1" si="4"/>
        <v>#NAME?</v>
      </c>
      <c r="L65" s="430"/>
      <c r="M65" s="441" t="b">
        <f ca="1">IF(AND(NOT(I65),AND(I$4:I64)),TRUE,I65)</f>
        <v>0</v>
      </c>
      <c r="N65" s="440" t="e">
        <f ca="1">IF(AND(NOT(ISBLANK(Jumpoverwrite1)),AND(NOT(M65),AND(M$4:M64))),($J65*$G65-LN(1+Jumpoverwrite1*O$2))/$G65,_xll.qlInterpolationInterpolate(M$3,$F65,TRUE))</f>
        <v>#NAME?</v>
      </c>
      <c r="O65" s="440" t="str">
        <f ca="1">IF(AND(NOT(M65),AND(M$4:M64)),MIN(EXP((N65-$J65)*$G65),1),"")</f>
        <v/>
      </c>
      <c r="P65" s="429"/>
      <c r="Q65" s="441" t="b">
        <f ca="1">IF(AND(NOT(M65),AND(M$4:M64)),TRUE,M65)</f>
        <v>0</v>
      </c>
      <c r="R65" s="440" t="e">
        <f ca="1">IF(AND(NOT(ISBLANK(Jumpoverwrite2)),AND(NOT(Q65),AND(Q$4:Q64))),($J65*$G65-LN(1+Jumpoverwrite2*S$2))/$G65,_xll.qlInterpolationInterpolate(Q$3,$F65,TRUE))</f>
        <v>#NAME?</v>
      </c>
      <c r="S65" s="440" t="str">
        <f ca="1">IF(AND(NOT(Q65),AND(Q$4:Q64)),MIN(EXP((R65-$J65)*$G65),1),"")</f>
        <v/>
      </c>
      <c r="T65" s="429"/>
      <c r="U65" s="441" t="b">
        <f ca="1">IF(AND(NOT(Q65),AND(Q$4:Q64)),TRUE,Q65)</f>
        <v>0</v>
      </c>
      <c r="V65" s="440" t="e">
        <f ca="1">IF(AND(NOT(ISBLANK(Jumpoverwrite3)),AND(NOT(U65),AND(U$4:U64))),($J65*$G65-LN(1+Jumpoverwrite3*W$2))/$G65,_xll.qlInterpolationInterpolate(U$3,$F65,TRUE))</f>
        <v>#NAME?</v>
      </c>
      <c r="W65" s="440" t="str">
        <f ca="1">IF(AND(NOT(U65),AND(U$4:U64)),MIN(EXP((V65-$J65)*$G65),1),"")</f>
        <v/>
      </c>
      <c r="X65" s="429"/>
      <c r="Y65" s="441" t="b">
        <f ca="1">IF(AND(NOT(U65),AND(U$4:U64)),TRUE,U65)</f>
        <v>0</v>
      </c>
      <c r="Z65" s="440" t="e">
        <f ca="1">IF(AND(NOT(ISBLANK(Jumpoverwrite4)),AND(NOT(Y65),AND(Y$4:Y64))),($J65*$G65-LN(1+Jumpoverwrite4*AA$2))/$G65,_xll.qlInterpolationInterpolate(Y$3,$F65,TRUE))</f>
        <v>#NAME?</v>
      </c>
      <c r="AA65" s="440" t="str">
        <f ca="1">IF(AND(NOT(Y65),AND(Y$4:Y64)),MIN(EXP((Z65-$J65)*$G65),1),"")</f>
        <v/>
      </c>
      <c r="AB65" s="429"/>
      <c r="AC65" s="441" t="b">
        <f ca="1">IF(AND(NOT(Y65),AND(Y$4:Y64)),TRUE,Y65)</f>
        <v>0</v>
      </c>
      <c r="AD65" s="440" t="e">
        <f ca="1">IF(AND(NOT(ISBLANK(Jumpoverwrite5)),AND(NOT(AC65),AND(AC$4:AC64))),($J65*$G65-LN(1+Jumpoverwrite5*AE$2))/$G65,_xll.qlInterpolationInterpolate(AC$3,$F65,TRUE))</f>
        <v>#NAME?</v>
      </c>
      <c r="AE65" s="440" t="str">
        <f ca="1">IF(AND(NOT(AC65),AND(AC$4:AC64)),MIN(EXP((AD65-$J65)*$G65),1),"")</f>
        <v/>
      </c>
      <c r="AF65" s="429"/>
      <c r="AG65" s="441" t="b">
        <f ca="1">IF(AND(NOT(AC65),AND(AC$4:AC64)),TRUE,AC65)</f>
        <v>0</v>
      </c>
      <c r="AH65" s="440" t="e">
        <f ca="1">IF(AND(NOT(ISBLANK(Jumpoverwrite6)),AND(NOT(AG65),AND(AG$4:AG64))),($J65*$G65-LN(1+Jumpoverwrite6*AI$2))/$G65,_xll.qlInterpolationInterpolate(AG$3,$F65,TRUE))</f>
        <v>#NAME?</v>
      </c>
      <c r="AI65" s="440" t="str">
        <f ca="1">IF(AND(NOT(AG65),AND(AG$4:AG64)),MIN(EXP((AH65-$J65)*$G65),1),"")</f>
        <v/>
      </c>
      <c r="AJ65" s="429"/>
      <c r="AK65" s="441" t="b">
        <f ca="1">IF(AND(NOT(AG65),AND(AG$4:AG64)),TRUE,AG65)</f>
        <v>0</v>
      </c>
      <c r="AL65" s="440" t="e">
        <f ca="1">IF(AND(NOT(ISBLANK(Jumpoverwrite7)),AND(NOT(AK65),AND(AK$4:AK64))),($J65*$G65-LN(1+Jumpoverwrite7*AM$2))/$G65,_xll.qlInterpolationInterpolate(AK$3,$F65,TRUE))</f>
        <v>#NAME?</v>
      </c>
      <c r="AM65" s="440" t="str">
        <f ca="1">IF(AND(NOT(AK65),AND(AK$4:AK64)),MIN(EXP((AL65-$J65)*$G65),1),"")</f>
        <v/>
      </c>
      <c r="AO65" s="441" t="b">
        <f ca="1">IF(AND(NOT(AK65),AND(AK$4:AK64)),TRUE,AK65)</f>
        <v>0</v>
      </c>
      <c r="AP65" s="440" t="e">
        <f ca="1">IF(AND(NOT(ISBLANK(Jumpoverwrite8)),AND(NOT(AO65),AND(AO$4:AO64))),($J65*$G65-LN(1+Jumpoverwrite8*AQ$2))/$G65,_xll.qlInterpolationInterpolate(AO$3,$F65,TRUE))</f>
        <v>#NAME?</v>
      </c>
      <c r="AQ65" s="440" t="str">
        <f ca="1">IF(AND(NOT(AO65),AND(AO$4:AO64)),MIN(EXP((AP65-$J65)*$G65),1),"")</f>
        <v/>
      </c>
      <c r="AS65" s="441" t="b">
        <f ca="1">IF(AND(NOT(AO65),AND(AO$4:AO64)),TRUE,AO65)</f>
        <v>0</v>
      </c>
      <c r="AT65" s="440" t="e">
        <f ca="1">IF(AND(NOT(ISBLANK(Jumpoverwrite9)),AND(NOT(AS65),AND(AS$4:AS64))),($J65*$G65-LN(1+Jumpoverwrite9*AU$2))/$G65,_xll.qlInterpolationInterpolate(AS$3,$F65,TRUE))</f>
        <v>#NAME?</v>
      </c>
      <c r="AU65" s="440" t="str">
        <f ca="1">IF(AND(NOT(AS65),AND(AS$4:AS64)),MIN(EXP((AT65-$J65)*$G65),1),"")</f>
        <v/>
      </c>
      <c r="AW65" s="441" t="b">
        <f ca="1">IF(AND(NOT(AS65),AND(AS$4:AS64)),TRUE,AS65)</f>
        <v>0</v>
      </c>
      <c r="AX65" s="440" t="e">
        <f ca="1">IF(AND(NOT(ISBLANK(Jumpoverwrite10)),AND(NOT(AW65),AND(AW$4:AW64))),($J65*$G65-LN(1+Jumpoverwrite10*AY$2))/$G65,_xll.qlInterpolationInterpolate(AW$3,$F65,TRUE))</f>
        <v>#NAME?</v>
      </c>
      <c r="AY65" s="440" t="str">
        <f ca="1">IF(AND(NOT(AW65),AND(AW$4:AW64)),MIN(EXP((AX65-$J65)*$G65),1),"")</f>
        <v/>
      </c>
      <c r="BA65" s="441" t="b">
        <f ca="1">IF(AND(NOT(AW65),AND(AW$4:AW64)),TRUE,AW65)</f>
        <v>0</v>
      </c>
      <c r="BB65" s="440" t="e">
        <f ca="1">IF(AND(NOT(ISBLANK(Jumpoverwrite11)),AND(NOT(BA65),AND(BA$4:BA64))),($J65*$G65-LN(1+Jumpoverwrite11*BC$2))/$G65,_xll.qlInterpolationInterpolate(BA$3,$F65,TRUE))</f>
        <v>#NAME?</v>
      </c>
      <c r="BC65" s="440" t="str">
        <f ca="1">IF(AND(NOT(BA65),AND(BA$4:BA64)),MIN(EXP((BB65-$J65)*$G65),1),"")</f>
        <v/>
      </c>
      <c r="BE65" s="441" t="b">
        <f ca="1">IF(AND(NOT(BA65),AND(BA$4:BA64)),TRUE,BA65)</f>
        <v>0</v>
      </c>
      <c r="BF65" s="440" t="e">
        <f ca="1">IF(AND(NOT(ISBLANK(Jumpoverwrite12)),AND(NOT(BE65),AND(BE$4:BE64))),($J65*$G65-LN(1+Jumpoverwrite12*BG$2))/$G65,_xll.qlInterpolationInterpolate(BE$3,$F65,TRUE))</f>
        <v>#NAME?</v>
      </c>
      <c r="BG65" s="440" t="str">
        <f ca="1">IF(AND(NOT(BE65),AND(BE$4:BE64)),MIN(EXP((BF65-$J65)*$G65),1),"")</f>
        <v/>
      </c>
      <c r="BI65" s="441" t="b">
        <f t="shared" ca="1" si="7"/>
        <v>0</v>
      </c>
      <c r="BJ65" s="440" t="e">
        <f ca="1">IF(AND(NOT(ISBLANK(jumpoverwrite13)),AND(NOT(BI65),AND(BI$4:BI64))),($J65*$G65-LN(1+jumpoverwrite13*BK$2))/$G65,_xll.qlInterpolationInterpolate(BI$3,$F65,TRUE))</f>
        <v>#NAME?</v>
      </c>
      <c r="BK65" s="440" t="str">
        <f ca="1">IF(AND(NOT(BI65),AND(BI$4:BI64)),MIN(EXP((BJ65-$J65)*$G65),1),"")</f>
        <v/>
      </c>
    </row>
    <row r="66" spans="1:63" x14ac:dyDescent="0.2">
      <c r="A66" s="439" t="e">
        <f ca="1"/>
        <v>#NAME?</v>
      </c>
      <c r="B66" s="438" t="e">
        <f ca="1">_xll.qlRateHelperRate($A66,InterestRatesTrigger)</f>
        <v>#NAME?</v>
      </c>
      <c r="C66" s="437" t="e">
        <f ca="1">_xll.qlRateHelperEarliestDate($A66)</f>
        <v>#NAME?</v>
      </c>
      <c r="D66" s="436" t="e">
        <f ca="1">_xll.qlRateHelperPillarDate($A66)</f>
        <v>#NAME?</v>
      </c>
      <c r="F66" s="446" t="e">
        <f t="shared" ca="1" si="5"/>
        <v>#N/A</v>
      </c>
      <c r="G66" s="445" t="e">
        <f ca="1">_xll.qlDayCounterYearFraction(DayCounter,D65,D66)</f>
        <v>#NAME?</v>
      </c>
      <c r="I66" s="444" t="b">
        <f t="shared" ca="1" si="6"/>
        <v>0</v>
      </c>
      <c r="J66" s="443" t="e">
        <f ca="1"/>
        <v>#NAME?</v>
      </c>
      <c r="K66" s="442" t="e">
        <f t="shared" ca="1" si="4"/>
        <v>#NAME?</v>
      </c>
      <c r="L66" s="430"/>
      <c r="M66" s="441" t="b">
        <f ca="1">IF(AND(NOT(I66),AND(I$4:I65)),TRUE,I66)</f>
        <v>0</v>
      </c>
      <c r="N66" s="440" t="e">
        <f ca="1">IF(AND(NOT(ISBLANK(Jumpoverwrite1)),AND(NOT(M66),AND(M$4:M65))),($J66*$G66-LN(1+Jumpoverwrite1*O$2))/$G66,_xll.qlInterpolationInterpolate(M$3,$F66,TRUE))</f>
        <v>#NAME?</v>
      </c>
      <c r="O66" s="440" t="str">
        <f ca="1">IF(AND(NOT(M66),AND(M$4:M65)),MIN(EXP((N66-$J66)*$G66),1),"")</f>
        <v/>
      </c>
      <c r="P66" s="429"/>
      <c r="Q66" s="441" t="b">
        <f ca="1">IF(AND(NOT(M66),AND(M$4:M65)),TRUE,M66)</f>
        <v>0</v>
      </c>
      <c r="R66" s="440" t="e">
        <f ca="1">IF(AND(NOT(ISBLANK(Jumpoverwrite2)),AND(NOT(Q66),AND(Q$4:Q65))),($J66*$G66-LN(1+Jumpoverwrite2*S$2))/$G66,_xll.qlInterpolationInterpolate(Q$3,$F66,TRUE))</f>
        <v>#NAME?</v>
      </c>
      <c r="S66" s="440" t="str">
        <f ca="1">IF(AND(NOT(Q66),AND(Q$4:Q65)),MIN(EXP((R66-$J66)*$G66),1),"")</f>
        <v/>
      </c>
      <c r="T66" s="429"/>
      <c r="U66" s="441" t="b">
        <f ca="1">IF(AND(NOT(Q66),AND(Q$4:Q65)),TRUE,Q66)</f>
        <v>0</v>
      </c>
      <c r="V66" s="440" t="e">
        <f ca="1">IF(AND(NOT(ISBLANK(Jumpoverwrite3)),AND(NOT(U66),AND(U$4:U65))),($J66*$G66-LN(1+Jumpoverwrite3*W$2))/$G66,_xll.qlInterpolationInterpolate(U$3,$F66,TRUE))</f>
        <v>#NAME?</v>
      </c>
      <c r="W66" s="440" t="str">
        <f ca="1">IF(AND(NOT(U66),AND(U$4:U65)),MIN(EXP((V66-$J66)*$G66),1),"")</f>
        <v/>
      </c>
      <c r="X66" s="429"/>
      <c r="Y66" s="441" t="b">
        <f ca="1">IF(AND(NOT(U66),AND(U$4:U65)),TRUE,U66)</f>
        <v>0</v>
      </c>
      <c r="Z66" s="440" t="e">
        <f ca="1">IF(AND(NOT(ISBLANK(Jumpoverwrite4)),AND(NOT(Y66),AND(Y$4:Y65))),($J66*$G66-LN(1+Jumpoverwrite4*AA$2))/$G66,_xll.qlInterpolationInterpolate(Y$3,$F66,TRUE))</f>
        <v>#NAME?</v>
      </c>
      <c r="AA66" s="440" t="str">
        <f ca="1">IF(AND(NOT(Y66),AND(Y$4:Y65)),MIN(EXP((Z66-$J66)*$G66),1),"")</f>
        <v/>
      </c>
      <c r="AB66" s="429"/>
      <c r="AC66" s="441" t="b">
        <f ca="1">IF(AND(NOT(Y66),AND(Y$4:Y65)),TRUE,Y66)</f>
        <v>0</v>
      </c>
      <c r="AD66" s="440" t="e">
        <f ca="1">IF(AND(NOT(ISBLANK(Jumpoverwrite5)),AND(NOT(AC66),AND(AC$4:AC65))),($J66*$G66-LN(1+Jumpoverwrite5*AE$2))/$G66,_xll.qlInterpolationInterpolate(AC$3,$F66,TRUE))</f>
        <v>#NAME?</v>
      </c>
      <c r="AE66" s="440" t="str">
        <f ca="1">IF(AND(NOT(AC66),AND(AC$4:AC65)),MIN(EXP((AD66-$J66)*$G66),1),"")</f>
        <v/>
      </c>
      <c r="AF66" s="429"/>
      <c r="AG66" s="441" t="b">
        <f ca="1">IF(AND(NOT(AC66),AND(AC$4:AC65)),TRUE,AC66)</f>
        <v>0</v>
      </c>
      <c r="AH66" s="440" t="e">
        <f ca="1">IF(AND(NOT(ISBLANK(Jumpoverwrite6)),AND(NOT(AG66),AND(AG$4:AG65))),($J66*$G66-LN(1+Jumpoverwrite6*AI$2))/$G66,_xll.qlInterpolationInterpolate(AG$3,$F66,TRUE))</f>
        <v>#NAME?</v>
      </c>
      <c r="AI66" s="440" t="str">
        <f ca="1">IF(AND(NOT(AG66),AND(AG$4:AG65)),MIN(EXP((AH66-$J66)*$G66),1),"")</f>
        <v/>
      </c>
      <c r="AJ66" s="429"/>
      <c r="AK66" s="441" t="b">
        <f ca="1">IF(AND(NOT(AG66),AND(AG$4:AG65)),TRUE,AG66)</f>
        <v>0</v>
      </c>
      <c r="AL66" s="440" t="e">
        <f ca="1">IF(AND(NOT(ISBLANK(Jumpoverwrite7)),AND(NOT(AK66),AND(AK$4:AK65))),($J66*$G66-LN(1+Jumpoverwrite7*AM$2))/$G66,_xll.qlInterpolationInterpolate(AK$3,$F66,TRUE))</f>
        <v>#NAME?</v>
      </c>
      <c r="AM66" s="440" t="str">
        <f ca="1">IF(AND(NOT(AK66),AND(AK$4:AK65)),MIN(EXP((AL66-$J66)*$G66),1),"")</f>
        <v/>
      </c>
      <c r="AO66" s="441" t="b">
        <f ca="1">IF(AND(NOT(AK66),AND(AK$4:AK65)),TRUE,AK66)</f>
        <v>0</v>
      </c>
      <c r="AP66" s="440" t="e">
        <f ca="1">IF(AND(NOT(ISBLANK(Jumpoverwrite8)),AND(NOT(AO66),AND(AO$4:AO65))),($J66*$G66-LN(1+Jumpoverwrite8*AQ$2))/$G66,_xll.qlInterpolationInterpolate(AO$3,$F66,TRUE))</f>
        <v>#NAME?</v>
      </c>
      <c r="AQ66" s="440" t="str">
        <f ca="1">IF(AND(NOT(AO66),AND(AO$4:AO65)),MIN(EXP((AP66-$J66)*$G66),1),"")</f>
        <v/>
      </c>
      <c r="AS66" s="441" t="b">
        <f ca="1">IF(AND(NOT(AO66),AND(AO$4:AO65)),TRUE,AO66)</f>
        <v>0</v>
      </c>
      <c r="AT66" s="440" t="e">
        <f ca="1">IF(AND(NOT(ISBLANK(Jumpoverwrite9)),AND(NOT(AS66),AND(AS$4:AS65))),($J66*$G66-LN(1+Jumpoverwrite9*AU$2))/$G66,_xll.qlInterpolationInterpolate(AS$3,$F66,TRUE))</f>
        <v>#NAME?</v>
      </c>
      <c r="AU66" s="440" t="str">
        <f ca="1">IF(AND(NOT(AS66),AND(AS$4:AS65)),MIN(EXP((AT66-$J66)*$G66),1),"")</f>
        <v/>
      </c>
      <c r="AW66" s="441" t="b">
        <f ca="1">IF(AND(NOT(AS66),AND(AS$4:AS65)),TRUE,AS66)</f>
        <v>0</v>
      </c>
      <c r="AX66" s="440" t="e">
        <f ca="1">IF(AND(NOT(ISBLANK(Jumpoverwrite10)),AND(NOT(AW66),AND(AW$4:AW65))),($J66*$G66-LN(1+Jumpoverwrite10*AY$2))/$G66,_xll.qlInterpolationInterpolate(AW$3,$F66,TRUE))</f>
        <v>#NAME?</v>
      </c>
      <c r="AY66" s="440" t="str">
        <f ca="1">IF(AND(NOT(AW66),AND(AW$4:AW65)),MIN(EXP((AX66-$J66)*$G66),1),"")</f>
        <v/>
      </c>
      <c r="BA66" s="441" t="b">
        <f ca="1">IF(AND(NOT(AW66),AND(AW$4:AW65)),TRUE,AW66)</f>
        <v>0</v>
      </c>
      <c r="BB66" s="440" t="e">
        <f ca="1">IF(AND(NOT(ISBLANK(Jumpoverwrite11)),AND(NOT(BA66),AND(BA$4:BA65))),($J66*$G66-LN(1+Jumpoverwrite11*BC$2))/$G66,_xll.qlInterpolationInterpolate(BA$3,$F66,TRUE))</f>
        <v>#NAME?</v>
      </c>
      <c r="BC66" s="440" t="str">
        <f ca="1">IF(AND(NOT(BA66),AND(BA$4:BA65)),MIN(EXP((BB66-$J66)*$G66),1),"")</f>
        <v/>
      </c>
      <c r="BE66" s="441" t="b">
        <f ca="1">IF(AND(NOT(BA66),AND(BA$4:BA65)),TRUE,BA66)</f>
        <v>0</v>
      </c>
      <c r="BF66" s="440" t="e">
        <f ca="1">IF(AND(NOT(ISBLANK(Jumpoverwrite12)),AND(NOT(BE66),AND(BE$4:BE65))),($J66*$G66-LN(1+Jumpoverwrite12*BG$2))/$G66,_xll.qlInterpolationInterpolate(BE$3,$F66,TRUE))</f>
        <v>#NAME?</v>
      </c>
      <c r="BG66" s="440" t="str">
        <f ca="1">IF(AND(NOT(BE66),AND(BE$4:BE65)),MIN(EXP((BF66-$J66)*$G66),1),"")</f>
        <v/>
      </c>
      <c r="BI66" s="441" t="b">
        <f t="shared" ca="1" si="7"/>
        <v>0</v>
      </c>
      <c r="BJ66" s="440" t="e">
        <f ca="1">IF(AND(NOT(ISBLANK(jumpoverwrite13)),AND(NOT(BI66),AND(BI$4:BI65))),($J66*$G66-LN(1+jumpoverwrite13*BK$2))/$G66,_xll.qlInterpolationInterpolate(BI$3,$F66,TRUE))</f>
        <v>#NAME?</v>
      </c>
      <c r="BK66" s="440" t="str">
        <f ca="1">IF(AND(NOT(BI66),AND(BI$4:BI65)),MIN(EXP((BJ66-$J66)*$G66),1),"")</f>
        <v/>
      </c>
    </row>
    <row r="67" spans="1:63" x14ac:dyDescent="0.2">
      <c r="A67" s="439" t="e">
        <f ca="1"/>
        <v>#NAME?</v>
      </c>
      <c r="B67" s="438" t="e">
        <f ca="1">_xll.qlRateHelperRate($A67,InterestRatesTrigger)</f>
        <v>#NAME?</v>
      </c>
      <c r="C67" s="437" t="e">
        <f ca="1">_xll.qlRateHelperEarliestDate($A67)</f>
        <v>#NAME?</v>
      </c>
      <c r="D67" s="436" t="e">
        <f ca="1">_xll.qlRateHelperPillarDate($A67)</f>
        <v>#NAME?</v>
      </c>
      <c r="F67" s="446" t="e">
        <f t="shared" ca="1" si="5"/>
        <v>#N/A</v>
      </c>
      <c r="G67" s="445" t="e">
        <f ca="1">_xll.qlDayCounterYearFraction(DayCounter,D66,D67)</f>
        <v>#NAME?</v>
      </c>
      <c r="I67" s="444" t="b">
        <f t="shared" ca="1" si="6"/>
        <v>0</v>
      </c>
      <c r="J67" s="443" t="e">
        <f ca="1"/>
        <v>#NAME?</v>
      </c>
      <c r="K67" s="442" t="e">
        <f t="shared" ca="1" si="4"/>
        <v>#NAME?</v>
      </c>
      <c r="L67" s="430"/>
      <c r="M67" s="441" t="b">
        <f ca="1">IF(AND(NOT(I67),AND(I$4:I66)),TRUE,I67)</f>
        <v>0</v>
      </c>
      <c r="N67" s="440" t="e">
        <f ca="1">IF(AND(NOT(ISBLANK(Jumpoverwrite1)),AND(NOT(M67),AND(M$4:M66))),($J67*$G67-LN(1+Jumpoverwrite1*O$2))/$G67,_xll.qlInterpolationInterpolate(M$3,$F67,TRUE))</f>
        <v>#NAME?</v>
      </c>
      <c r="O67" s="440" t="str">
        <f ca="1">IF(AND(NOT(M67),AND(M$4:M66)),MIN(EXP((N67-$J67)*$G67),1),"")</f>
        <v/>
      </c>
      <c r="P67" s="429"/>
      <c r="Q67" s="441" t="b">
        <f ca="1">IF(AND(NOT(M67),AND(M$4:M66)),TRUE,M67)</f>
        <v>0</v>
      </c>
      <c r="R67" s="440" t="e">
        <f ca="1">IF(AND(NOT(ISBLANK(Jumpoverwrite2)),AND(NOT(Q67),AND(Q$4:Q66))),($J67*$G67-LN(1+Jumpoverwrite2*S$2))/$G67,_xll.qlInterpolationInterpolate(Q$3,$F67,TRUE))</f>
        <v>#NAME?</v>
      </c>
      <c r="S67" s="440" t="str">
        <f ca="1">IF(AND(NOT(Q67),AND(Q$4:Q66)),MIN(EXP((R67-$J67)*$G67),1),"")</f>
        <v/>
      </c>
      <c r="T67" s="429"/>
      <c r="U67" s="441" t="b">
        <f ca="1">IF(AND(NOT(Q67),AND(Q$4:Q66)),TRUE,Q67)</f>
        <v>0</v>
      </c>
      <c r="V67" s="440" t="e">
        <f ca="1">IF(AND(NOT(ISBLANK(Jumpoverwrite3)),AND(NOT(U67),AND(U$4:U66))),($J67*$G67-LN(1+Jumpoverwrite3*W$2))/$G67,_xll.qlInterpolationInterpolate(U$3,$F67,TRUE))</f>
        <v>#NAME?</v>
      </c>
      <c r="W67" s="440" t="str">
        <f ca="1">IF(AND(NOT(U67),AND(U$4:U66)),MIN(EXP((V67-$J67)*$G67),1),"")</f>
        <v/>
      </c>
      <c r="X67" s="429"/>
      <c r="Y67" s="441" t="b">
        <f ca="1">IF(AND(NOT(U67),AND(U$4:U66)),TRUE,U67)</f>
        <v>0</v>
      </c>
      <c r="Z67" s="440" t="e">
        <f ca="1">IF(AND(NOT(ISBLANK(Jumpoverwrite4)),AND(NOT(Y67),AND(Y$4:Y66))),($J67*$G67-LN(1+Jumpoverwrite4*AA$2))/$G67,_xll.qlInterpolationInterpolate(Y$3,$F67,TRUE))</f>
        <v>#NAME?</v>
      </c>
      <c r="AA67" s="440" t="str">
        <f ca="1">IF(AND(NOT(Y67),AND(Y$4:Y66)),MIN(EXP((Z67-$J67)*$G67),1),"")</f>
        <v/>
      </c>
      <c r="AB67" s="429"/>
      <c r="AC67" s="441" t="b">
        <f ca="1">IF(AND(NOT(Y67),AND(Y$4:Y66)),TRUE,Y67)</f>
        <v>0</v>
      </c>
      <c r="AD67" s="440" t="e">
        <f ca="1">IF(AND(NOT(ISBLANK(Jumpoverwrite5)),AND(NOT(AC67),AND(AC$4:AC66))),($J67*$G67-LN(1+Jumpoverwrite5*AE$2))/$G67,_xll.qlInterpolationInterpolate(AC$3,$F67,TRUE))</f>
        <v>#NAME?</v>
      </c>
      <c r="AE67" s="440" t="str">
        <f ca="1">IF(AND(NOT(AC67),AND(AC$4:AC66)),MIN(EXP((AD67-$J67)*$G67),1),"")</f>
        <v/>
      </c>
      <c r="AF67" s="429"/>
      <c r="AG67" s="441" t="b">
        <f ca="1">IF(AND(NOT(AC67),AND(AC$4:AC66)),TRUE,AC67)</f>
        <v>0</v>
      </c>
      <c r="AH67" s="440" t="e">
        <f ca="1">IF(AND(NOT(ISBLANK(Jumpoverwrite6)),AND(NOT(AG67),AND(AG$4:AG66))),($J67*$G67-LN(1+Jumpoverwrite6*AI$2))/$G67,_xll.qlInterpolationInterpolate(AG$3,$F67,TRUE))</f>
        <v>#NAME?</v>
      </c>
      <c r="AI67" s="440" t="str">
        <f ca="1">IF(AND(NOT(AG67),AND(AG$4:AG66)),MIN(EXP((AH67-$J67)*$G67),1),"")</f>
        <v/>
      </c>
      <c r="AJ67" s="429"/>
      <c r="AK67" s="441" t="b">
        <f ca="1">IF(AND(NOT(AG67),AND(AG$4:AG66)),TRUE,AG67)</f>
        <v>0</v>
      </c>
      <c r="AL67" s="440" t="e">
        <f ca="1">IF(AND(NOT(ISBLANK(Jumpoverwrite7)),AND(NOT(AK67),AND(AK$4:AK66))),($J67*$G67-LN(1+Jumpoverwrite7*AM$2))/$G67,_xll.qlInterpolationInterpolate(AK$3,$F67,TRUE))</f>
        <v>#NAME?</v>
      </c>
      <c r="AM67" s="440" t="str">
        <f ca="1">IF(AND(NOT(AK67),AND(AK$4:AK66)),MIN(EXP((AL67-$J67)*$G67),1),"")</f>
        <v/>
      </c>
      <c r="AO67" s="441" t="b">
        <f ca="1">IF(AND(NOT(AK67),AND(AK$4:AK66)),TRUE,AK67)</f>
        <v>0</v>
      </c>
      <c r="AP67" s="440" t="e">
        <f ca="1">IF(AND(NOT(ISBLANK(Jumpoverwrite8)),AND(NOT(AO67),AND(AO$4:AO66))),($J67*$G67-LN(1+Jumpoverwrite8*AQ$2))/$G67,_xll.qlInterpolationInterpolate(AO$3,$F67,TRUE))</f>
        <v>#NAME?</v>
      </c>
      <c r="AQ67" s="440" t="str">
        <f ca="1">IF(AND(NOT(AO67),AND(AO$4:AO66)),MIN(EXP((AP67-$J67)*$G67),1),"")</f>
        <v/>
      </c>
      <c r="AS67" s="441" t="b">
        <f ca="1">IF(AND(NOT(AO67),AND(AO$4:AO66)),TRUE,AO67)</f>
        <v>0</v>
      </c>
      <c r="AT67" s="440" t="e">
        <f ca="1">IF(AND(NOT(ISBLANK(Jumpoverwrite9)),AND(NOT(AS67),AND(AS$4:AS66))),($J67*$G67-LN(1+Jumpoverwrite9*AU$2))/$G67,_xll.qlInterpolationInterpolate(AS$3,$F67,TRUE))</f>
        <v>#NAME?</v>
      </c>
      <c r="AU67" s="440" t="str">
        <f ca="1">IF(AND(NOT(AS67),AND(AS$4:AS66)),MIN(EXP((AT67-$J67)*$G67),1),"")</f>
        <v/>
      </c>
      <c r="AW67" s="441" t="b">
        <f ca="1">IF(AND(NOT(AS67),AND(AS$4:AS66)),TRUE,AS67)</f>
        <v>0</v>
      </c>
      <c r="AX67" s="440" t="e">
        <f ca="1">IF(AND(NOT(ISBLANK(Jumpoverwrite10)),AND(NOT(AW67),AND(AW$4:AW66))),($J67*$G67-LN(1+Jumpoverwrite10*AY$2))/$G67,_xll.qlInterpolationInterpolate(AW$3,$F67,TRUE))</f>
        <v>#NAME?</v>
      </c>
      <c r="AY67" s="440" t="str">
        <f ca="1">IF(AND(NOT(AW67),AND(AW$4:AW66)),MIN(EXP((AX67-$J67)*$G67),1),"")</f>
        <v/>
      </c>
      <c r="BA67" s="441" t="b">
        <f ca="1">IF(AND(NOT(AW67),AND(AW$4:AW66)),TRUE,AW67)</f>
        <v>0</v>
      </c>
      <c r="BB67" s="440" t="e">
        <f ca="1">IF(AND(NOT(ISBLANK(Jumpoverwrite11)),AND(NOT(BA67),AND(BA$4:BA66))),($J67*$G67-LN(1+Jumpoverwrite11*BC$2))/$G67,_xll.qlInterpolationInterpolate(BA$3,$F67,TRUE))</f>
        <v>#NAME?</v>
      </c>
      <c r="BC67" s="440" t="str">
        <f ca="1">IF(AND(NOT(BA67),AND(BA$4:BA66)),MIN(EXP((BB67-$J67)*$G67),1),"")</f>
        <v/>
      </c>
      <c r="BE67" s="441" t="b">
        <f ca="1">IF(AND(NOT(BA67),AND(BA$4:BA66)),TRUE,BA67)</f>
        <v>0</v>
      </c>
      <c r="BF67" s="440" t="e">
        <f ca="1">IF(AND(NOT(ISBLANK(Jumpoverwrite12)),AND(NOT(BE67),AND(BE$4:BE66))),($J67*$G67-LN(1+Jumpoverwrite12*BG$2))/$G67,_xll.qlInterpolationInterpolate(BE$3,$F67,TRUE))</f>
        <v>#NAME?</v>
      </c>
      <c r="BG67" s="440" t="str">
        <f ca="1">IF(AND(NOT(BE67),AND(BE$4:BE66)),MIN(EXP((BF67-$J67)*$G67),1),"")</f>
        <v/>
      </c>
      <c r="BI67" s="441" t="b">
        <f t="shared" ca="1" si="7"/>
        <v>0</v>
      </c>
      <c r="BJ67" s="440" t="e">
        <f ca="1">IF(AND(NOT(ISBLANK(jumpoverwrite13)),AND(NOT(BI67),AND(BI$4:BI66))),($J67*$G67-LN(1+jumpoverwrite13*BK$2))/$G67,_xll.qlInterpolationInterpolate(BI$3,$F67,TRUE))</f>
        <v>#NAME?</v>
      </c>
      <c r="BK67" s="440" t="str">
        <f ca="1">IF(AND(NOT(BI67),AND(BI$4:BI66)),MIN(EXP((BJ67-$J67)*$G67),1),"")</f>
        <v/>
      </c>
    </row>
    <row r="68" spans="1:63" x14ac:dyDescent="0.2">
      <c r="A68" s="439" t="e">
        <f ca="1"/>
        <v>#NAME?</v>
      </c>
      <c r="B68" s="438" t="e">
        <f ca="1">_xll.qlRateHelperRate($A68,InterestRatesTrigger)</f>
        <v>#NAME?</v>
      </c>
      <c r="C68" s="437" t="e">
        <f ca="1">_xll.qlRateHelperEarliestDate($A68)</f>
        <v>#NAME?</v>
      </c>
      <c r="D68" s="436" t="e">
        <f ca="1">_xll.qlRateHelperPillarDate($A68)</f>
        <v>#NAME?</v>
      </c>
      <c r="F68" s="446" t="e">
        <f t="shared" ca="1" si="5"/>
        <v>#N/A</v>
      </c>
      <c r="G68" s="445" t="e">
        <f ca="1">_xll.qlDayCounterYearFraction(DayCounter,D67,D68)</f>
        <v>#NAME?</v>
      </c>
      <c r="I68" s="444" t="b">
        <f t="shared" ca="1" si="6"/>
        <v>0</v>
      </c>
      <c r="J68" s="443" t="e">
        <f ca="1"/>
        <v>#NAME?</v>
      </c>
      <c r="K68" s="442" t="e">
        <f t="shared" ref="K68:K99" ca="1" si="8">D68</f>
        <v>#NAME?</v>
      </c>
      <c r="L68" s="430"/>
      <c r="M68" s="441" t="b">
        <f ca="1">IF(AND(NOT(I68),AND(I$4:I67)),TRUE,I68)</f>
        <v>0</v>
      </c>
      <c r="N68" s="440" t="e">
        <f ca="1">IF(AND(NOT(ISBLANK(Jumpoverwrite1)),AND(NOT(M68),AND(M$4:M67))),($J68*$G68-LN(1+Jumpoverwrite1*O$2))/$G68,_xll.qlInterpolationInterpolate(M$3,$F68,TRUE))</f>
        <v>#NAME?</v>
      </c>
      <c r="O68" s="440" t="str">
        <f ca="1">IF(AND(NOT(M68),AND(M$4:M67)),MIN(EXP((N68-$J68)*$G68),1),"")</f>
        <v/>
      </c>
      <c r="P68" s="429"/>
      <c r="Q68" s="441" t="b">
        <f ca="1">IF(AND(NOT(M68),AND(M$4:M67)),TRUE,M68)</f>
        <v>0</v>
      </c>
      <c r="R68" s="440" t="e">
        <f ca="1">IF(AND(NOT(ISBLANK(Jumpoverwrite2)),AND(NOT(Q68),AND(Q$4:Q67))),($J68*$G68-LN(1+Jumpoverwrite2*S$2))/$G68,_xll.qlInterpolationInterpolate(Q$3,$F68,TRUE))</f>
        <v>#NAME?</v>
      </c>
      <c r="S68" s="440" t="str">
        <f ca="1">IF(AND(NOT(Q68),AND(Q$4:Q67)),MIN(EXP((R68-$J68)*$G68),1),"")</f>
        <v/>
      </c>
      <c r="T68" s="429"/>
      <c r="U68" s="441" t="b">
        <f ca="1">IF(AND(NOT(Q68),AND(Q$4:Q67)),TRUE,Q68)</f>
        <v>0</v>
      </c>
      <c r="V68" s="440" t="e">
        <f ca="1">IF(AND(NOT(ISBLANK(Jumpoverwrite3)),AND(NOT(U68),AND(U$4:U67))),($J68*$G68-LN(1+Jumpoverwrite3*W$2))/$G68,_xll.qlInterpolationInterpolate(U$3,$F68,TRUE))</f>
        <v>#NAME?</v>
      </c>
      <c r="W68" s="440" t="str">
        <f ca="1">IF(AND(NOT(U68),AND(U$4:U67)),MIN(EXP((V68-$J68)*$G68),1),"")</f>
        <v/>
      </c>
      <c r="X68" s="429"/>
      <c r="Y68" s="441" t="b">
        <f ca="1">IF(AND(NOT(U68),AND(U$4:U67)),TRUE,U68)</f>
        <v>0</v>
      </c>
      <c r="Z68" s="440" t="e">
        <f ca="1">IF(AND(NOT(ISBLANK(Jumpoverwrite4)),AND(NOT(Y68),AND(Y$4:Y67))),($J68*$G68-LN(1+Jumpoverwrite4*AA$2))/$G68,_xll.qlInterpolationInterpolate(Y$3,$F68,TRUE))</f>
        <v>#NAME?</v>
      </c>
      <c r="AA68" s="440" t="str">
        <f ca="1">IF(AND(NOT(Y68),AND(Y$4:Y67)),MIN(EXP((Z68-$J68)*$G68),1),"")</f>
        <v/>
      </c>
      <c r="AB68" s="429"/>
      <c r="AC68" s="441" t="b">
        <f ca="1">IF(AND(NOT(Y68),AND(Y$4:Y67)),TRUE,Y68)</f>
        <v>0</v>
      </c>
      <c r="AD68" s="440" t="e">
        <f ca="1">IF(AND(NOT(ISBLANK(Jumpoverwrite5)),AND(NOT(AC68),AND(AC$4:AC67))),($J68*$G68-LN(1+Jumpoverwrite5*AE$2))/$G68,_xll.qlInterpolationInterpolate(AC$3,$F68,TRUE))</f>
        <v>#NAME?</v>
      </c>
      <c r="AE68" s="440" t="str">
        <f ca="1">IF(AND(NOT(AC68),AND(AC$4:AC67)),MIN(EXP((AD68-$J68)*$G68),1),"")</f>
        <v/>
      </c>
      <c r="AF68" s="429"/>
      <c r="AG68" s="441" t="b">
        <f ca="1">IF(AND(NOT(AC68),AND(AC$4:AC67)),TRUE,AC68)</f>
        <v>0</v>
      </c>
      <c r="AH68" s="440" t="e">
        <f ca="1">IF(AND(NOT(ISBLANK(Jumpoverwrite6)),AND(NOT(AG68),AND(AG$4:AG67))),($J68*$G68-LN(1+Jumpoverwrite6*AI$2))/$G68,_xll.qlInterpolationInterpolate(AG$3,$F68,TRUE))</f>
        <v>#NAME?</v>
      </c>
      <c r="AI68" s="440" t="str">
        <f ca="1">IF(AND(NOT(AG68),AND(AG$4:AG67)),MIN(EXP((AH68-$J68)*$G68),1),"")</f>
        <v/>
      </c>
      <c r="AJ68" s="429"/>
      <c r="AK68" s="441" t="b">
        <f ca="1">IF(AND(NOT(AG68),AND(AG$4:AG67)),TRUE,AG68)</f>
        <v>0</v>
      </c>
      <c r="AL68" s="440" t="e">
        <f ca="1">IF(AND(NOT(ISBLANK(Jumpoverwrite7)),AND(NOT(AK68),AND(AK$4:AK67))),($J68*$G68-LN(1+Jumpoverwrite7*AM$2))/$G68,_xll.qlInterpolationInterpolate(AK$3,$F68,TRUE))</f>
        <v>#NAME?</v>
      </c>
      <c r="AM68" s="440" t="str">
        <f ca="1">IF(AND(NOT(AK68),AND(AK$4:AK67)),MIN(EXP((AL68-$J68)*$G68),1),"")</f>
        <v/>
      </c>
      <c r="AO68" s="441" t="b">
        <f ca="1">IF(AND(NOT(AK68),AND(AK$4:AK67)),TRUE,AK68)</f>
        <v>0</v>
      </c>
      <c r="AP68" s="440" t="e">
        <f ca="1">IF(AND(NOT(ISBLANK(Jumpoverwrite8)),AND(NOT(AO68),AND(AO$4:AO67))),($J68*$G68-LN(1+Jumpoverwrite8*AQ$2))/$G68,_xll.qlInterpolationInterpolate(AO$3,$F68,TRUE))</f>
        <v>#NAME?</v>
      </c>
      <c r="AQ68" s="440" t="str">
        <f ca="1">IF(AND(NOT(AO68),AND(AO$4:AO67)),MIN(EXP((AP68-$J68)*$G68),1),"")</f>
        <v/>
      </c>
      <c r="AS68" s="441" t="b">
        <f ca="1">IF(AND(NOT(AO68),AND(AO$4:AO67)),TRUE,AO68)</f>
        <v>0</v>
      </c>
      <c r="AT68" s="440" t="e">
        <f ca="1">IF(AND(NOT(ISBLANK(Jumpoverwrite9)),AND(NOT(AS68),AND(AS$4:AS67))),($J68*$G68-LN(1+Jumpoverwrite9*AU$2))/$G68,_xll.qlInterpolationInterpolate(AS$3,$F68,TRUE))</f>
        <v>#NAME?</v>
      </c>
      <c r="AU68" s="440" t="str">
        <f ca="1">IF(AND(NOT(AS68),AND(AS$4:AS67)),MIN(EXP((AT68-$J68)*$G68),1),"")</f>
        <v/>
      </c>
      <c r="AW68" s="441" t="b">
        <f ca="1">IF(AND(NOT(AS68),AND(AS$4:AS67)),TRUE,AS68)</f>
        <v>0</v>
      </c>
      <c r="AX68" s="440" t="e">
        <f ca="1">IF(AND(NOT(ISBLANK(Jumpoverwrite10)),AND(NOT(AW68),AND(AW$4:AW67))),($J68*$G68-LN(1+Jumpoverwrite10*AY$2))/$G68,_xll.qlInterpolationInterpolate(AW$3,$F68,TRUE))</f>
        <v>#NAME?</v>
      </c>
      <c r="AY68" s="440" t="str">
        <f ca="1">IF(AND(NOT(AW68),AND(AW$4:AW67)),MIN(EXP((AX68-$J68)*$G68),1),"")</f>
        <v/>
      </c>
      <c r="BA68" s="441" t="b">
        <f ca="1">IF(AND(NOT(AW68),AND(AW$4:AW67)),TRUE,AW68)</f>
        <v>0</v>
      </c>
      <c r="BB68" s="440" t="e">
        <f ca="1">IF(AND(NOT(ISBLANK(Jumpoverwrite11)),AND(NOT(BA68),AND(BA$4:BA67))),($J68*$G68-LN(1+Jumpoverwrite11*BC$2))/$G68,_xll.qlInterpolationInterpolate(BA$3,$F68,TRUE))</f>
        <v>#NAME?</v>
      </c>
      <c r="BC68" s="440" t="str">
        <f ca="1">IF(AND(NOT(BA68),AND(BA$4:BA67)),MIN(EXP((BB68-$J68)*$G68),1),"")</f>
        <v/>
      </c>
      <c r="BE68" s="441" t="b">
        <f ca="1">IF(AND(NOT(BA68),AND(BA$4:BA67)),TRUE,BA68)</f>
        <v>0</v>
      </c>
      <c r="BF68" s="440" t="e">
        <f ca="1">IF(AND(NOT(ISBLANK(Jumpoverwrite12)),AND(NOT(BE68),AND(BE$4:BE67))),($J68*$G68-LN(1+Jumpoverwrite12*BG$2))/$G68,_xll.qlInterpolationInterpolate(BE$3,$F68,TRUE))</f>
        <v>#NAME?</v>
      </c>
      <c r="BG68" s="440" t="str">
        <f ca="1">IF(AND(NOT(BE68),AND(BE$4:BE67)),MIN(EXP((BF68-$J68)*$G68),1),"")</f>
        <v/>
      </c>
      <c r="BI68" s="441" t="b">
        <f t="shared" ca="1" si="7"/>
        <v>0</v>
      </c>
      <c r="BJ68" s="440" t="e">
        <f ca="1">IF(AND(NOT(ISBLANK(jumpoverwrite13)),AND(NOT(BI68),AND(BI$4:BI67))),($J68*$G68-LN(1+jumpoverwrite13*BK$2))/$G68,_xll.qlInterpolationInterpolate(BI$3,$F68,TRUE))</f>
        <v>#NAME?</v>
      </c>
      <c r="BK68" s="440" t="str">
        <f ca="1">IF(AND(NOT(BI68),AND(BI$4:BI67)),MIN(EXP((BJ68-$J68)*$G68),1),"")</f>
        <v/>
      </c>
    </row>
    <row r="69" spans="1:63" x14ac:dyDescent="0.2">
      <c r="A69" s="439" t="e">
        <f ca="1"/>
        <v>#NAME?</v>
      </c>
      <c r="B69" s="438" t="e">
        <f ca="1">_xll.qlRateHelperRate($A69,InterestRatesTrigger)</f>
        <v>#NAME?</v>
      </c>
      <c r="C69" s="437" t="e">
        <f ca="1">_xll.qlRateHelperEarliestDate($A69)</f>
        <v>#NAME?</v>
      </c>
      <c r="D69" s="436" t="e">
        <f ca="1">_xll.qlRateHelperPillarDate($A69)</f>
        <v>#NAME?</v>
      </c>
      <c r="F69" s="446" t="e">
        <f t="shared" ref="F69:F100" ca="1" si="9">IF(ISERROR(D69),NA(),(D69-D68)/2+D68)</f>
        <v>#N/A</v>
      </c>
      <c r="G69" s="445" t="e">
        <f ca="1">_xll.qlDayCounterYearFraction(DayCounter,D68,D69)</f>
        <v>#NAME?</v>
      </c>
      <c r="I69" s="444" t="b">
        <f t="shared" ref="I69:I100" ca="1" si="10">IF(ISERROR(K69),FALSE,IF(OR(MONTH(K69)-MONTH(K68)=1,YEAR(K69)-YEAR(K68)=1),FALSE,TRUE))</f>
        <v>0</v>
      </c>
      <c r="J69" s="443" t="e">
        <f ca="1"/>
        <v>#NAME?</v>
      </c>
      <c r="K69" s="442" t="e">
        <f t="shared" ca="1" si="8"/>
        <v>#NAME?</v>
      </c>
      <c r="L69" s="430"/>
      <c r="M69" s="441" t="b">
        <f ca="1">IF(AND(NOT(I69),AND(I$4:I68)),TRUE,I69)</f>
        <v>0</v>
      </c>
      <c r="N69" s="440" t="e">
        <f ca="1">IF(AND(NOT(ISBLANK(Jumpoverwrite1)),AND(NOT(M69),AND(M$4:M68))),($J69*$G69-LN(1+Jumpoverwrite1*O$2))/$G69,_xll.qlInterpolationInterpolate(M$3,$F69,TRUE))</f>
        <v>#NAME?</v>
      </c>
      <c r="O69" s="440" t="str">
        <f ca="1">IF(AND(NOT(M69),AND(M$4:M68)),MIN(EXP((N69-$J69)*$G69),1),"")</f>
        <v/>
      </c>
      <c r="P69" s="429"/>
      <c r="Q69" s="441" t="b">
        <f ca="1">IF(AND(NOT(M69),AND(M$4:M68)),TRUE,M69)</f>
        <v>0</v>
      </c>
      <c r="R69" s="440" t="e">
        <f ca="1">IF(AND(NOT(ISBLANK(Jumpoverwrite2)),AND(NOT(Q69),AND(Q$4:Q68))),($J69*$G69-LN(1+Jumpoverwrite2*S$2))/$G69,_xll.qlInterpolationInterpolate(Q$3,$F69,TRUE))</f>
        <v>#NAME?</v>
      </c>
      <c r="S69" s="440" t="str">
        <f ca="1">IF(AND(NOT(Q69),AND(Q$4:Q68)),MIN(EXP((R69-$J69)*$G69),1),"")</f>
        <v/>
      </c>
      <c r="T69" s="429"/>
      <c r="U69" s="441" t="b">
        <f ca="1">IF(AND(NOT(Q69),AND(Q$4:Q68)),TRUE,Q69)</f>
        <v>0</v>
      </c>
      <c r="V69" s="440" t="e">
        <f ca="1">IF(AND(NOT(ISBLANK(Jumpoverwrite3)),AND(NOT(U69),AND(U$4:U68))),($J69*$G69-LN(1+Jumpoverwrite3*W$2))/$G69,_xll.qlInterpolationInterpolate(U$3,$F69,TRUE))</f>
        <v>#NAME?</v>
      </c>
      <c r="W69" s="440" t="str">
        <f ca="1">IF(AND(NOT(U69),AND(U$4:U68)),MIN(EXP((V69-$J69)*$G69),1),"")</f>
        <v/>
      </c>
      <c r="X69" s="429"/>
      <c r="Y69" s="441" t="b">
        <f ca="1">IF(AND(NOT(U69),AND(U$4:U68)),TRUE,U69)</f>
        <v>0</v>
      </c>
      <c r="Z69" s="440" t="e">
        <f ca="1">IF(AND(NOT(ISBLANK(Jumpoverwrite4)),AND(NOT(Y69),AND(Y$4:Y68))),($J69*$G69-LN(1+Jumpoverwrite4*AA$2))/$G69,_xll.qlInterpolationInterpolate(Y$3,$F69,TRUE))</f>
        <v>#NAME?</v>
      </c>
      <c r="AA69" s="440" t="str">
        <f ca="1">IF(AND(NOT(Y69),AND(Y$4:Y68)),MIN(EXP((Z69-$J69)*$G69),1),"")</f>
        <v/>
      </c>
      <c r="AB69" s="429"/>
      <c r="AC69" s="441" t="b">
        <f ca="1">IF(AND(NOT(Y69),AND(Y$4:Y68)),TRUE,Y69)</f>
        <v>0</v>
      </c>
      <c r="AD69" s="440" t="e">
        <f ca="1">IF(AND(NOT(ISBLANK(Jumpoverwrite5)),AND(NOT(AC69),AND(AC$4:AC68))),($J69*$G69-LN(1+Jumpoverwrite5*AE$2))/$G69,_xll.qlInterpolationInterpolate(AC$3,$F69,TRUE))</f>
        <v>#NAME?</v>
      </c>
      <c r="AE69" s="440" t="str">
        <f ca="1">IF(AND(NOT(AC69),AND(AC$4:AC68)),MIN(EXP((AD69-$J69)*$G69),1),"")</f>
        <v/>
      </c>
      <c r="AF69" s="429"/>
      <c r="AG69" s="441" t="b">
        <f ca="1">IF(AND(NOT(AC69),AND(AC$4:AC68)),TRUE,AC69)</f>
        <v>0</v>
      </c>
      <c r="AH69" s="440" t="e">
        <f ca="1">IF(AND(NOT(ISBLANK(Jumpoverwrite6)),AND(NOT(AG69),AND(AG$4:AG68))),($J69*$G69-LN(1+Jumpoverwrite6*AI$2))/$G69,_xll.qlInterpolationInterpolate(AG$3,$F69,TRUE))</f>
        <v>#NAME?</v>
      </c>
      <c r="AI69" s="440" t="str">
        <f ca="1">IF(AND(NOT(AG69),AND(AG$4:AG68)),MIN(EXP((AH69-$J69)*$G69),1),"")</f>
        <v/>
      </c>
      <c r="AJ69" s="429"/>
      <c r="AK69" s="441" t="b">
        <f ca="1">IF(AND(NOT(AG69),AND(AG$4:AG68)),TRUE,AG69)</f>
        <v>0</v>
      </c>
      <c r="AL69" s="440" t="e">
        <f ca="1">IF(AND(NOT(ISBLANK(Jumpoverwrite7)),AND(NOT(AK69),AND(AK$4:AK68))),($J69*$G69-LN(1+Jumpoverwrite7*AM$2))/$G69,_xll.qlInterpolationInterpolate(AK$3,$F69,TRUE))</f>
        <v>#NAME?</v>
      </c>
      <c r="AM69" s="440" t="str">
        <f ca="1">IF(AND(NOT(AK69),AND(AK$4:AK68)),MIN(EXP((AL69-$J69)*$G69),1),"")</f>
        <v/>
      </c>
      <c r="AO69" s="441" t="b">
        <f ca="1">IF(AND(NOT(AK69),AND(AK$4:AK68)),TRUE,AK69)</f>
        <v>0</v>
      </c>
      <c r="AP69" s="440" t="e">
        <f ca="1">IF(AND(NOT(ISBLANK(Jumpoverwrite8)),AND(NOT(AO69),AND(AO$4:AO68))),($J69*$G69-LN(1+Jumpoverwrite8*AQ$2))/$G69,_xll.qlInterpolationInterpolate(AO$3,$F69,TRUE))</f>
        <v>#NAME?</v>
      </c>
      <c r="AQ69" s="440" t="str">
        <f ca="1">IF(AND(NOT(AO69),AND(AO$4:AO68)),MIN(EXP((AP69-$J69)*$G69),1),"")</f>
        <v/>
      </c>
      <c r="AS69" s="441" t="b">
        <f ca="1">IF(AND(NOT(AO69),AND(AO$4:AO68)),TRUE,AO69)</f>
        <v>0</v>
      </c>
      <c r="AT69" s="440" t="e">
        <f ca="1">IF(AND(NOT(ISBLANK(Jumpoverwrite9)),AND(NOT(AS69),AND(AS$4:AS68))),($J69*$G69-LN(1+Jumpoverwrite9*AU$2))/$G69,_xll.qlInterpolationInterpolate(AS$3,$F69,TRUE))</f>
        <v>#NAME?</v>
      </c>
      <c r="AU69" s="440" t="str">
        <f ca="1">IF(AND(NOT(AS69),AND(AS$4:AS68)),MIN(EXP((AT69-$J69)*$G69),1),"")</f>
        <v/>
      </c>
      <c r="AW69" s="441" t="b">
        <f ca="1">IF(AND(NOT(AS69),AND(AS$4:AS68)),TRUE,AS69)</f>
        <v>0</v>
      </c>
      <c r="AX69" s="440" t="e">
        <f ca="1">IF(AND(NOT(ISBLANK(Jumpoverwrite10)),AND(NOT(AW69),AND(AW$4:AW68))),($J69*$G69-LN(1+Jumpoverwrite10*AY$2))/$G69,_xll.qlInterpolationInterpolate(AW$3,$F69,TRUE))</f>
        <v>#NAME?</v>
      </c>
      <c r="AY69" s="440" t="str">
        <f ca="1">IF(AND(NOT(AW69),AND(AW$4:AW68)),MIN(EXP((AX69-$J69)*$G69),1),"")</f>
        <v/>
      </c>
      <c r="BA69" s="441" t="b">
        <f ca="1">IF(AND(NOT(AW69),AND(AW$4:AW68)),TRUE,AW69)</f>
        <v>0</v>
      </c>
      <c r="BB69" s="440" t="e">
        <f ca="1">IF(AND(NOT(ISBLANK(Jumpoverwrite11)),AND(NOT(BA69),AND(BA$4:BA68))),($J69*$G69-LN(1+Jumpoverwrite11*BC$2))/$G69,_xll.qlInterpolationInterpolate(BA$3,$F69,TRUE))</f>
        <v>#NAME?</v>
      </c>
      <c r="BC69" s="440" t="str">
        <f ca="1">IF(AND(NOT(BA69),AND(BA$4:BA68)),MIN(EXP((BB69-$J69)*$G69),1),"")</f>
        <v/>
      </c>
      <c r="BE69" s="441" t="b">
        <f ca="1">IF(AND(NOT(BA69),AND(BA$4:BA68)),TRUE,BA69)</f>
        <v>0</v>
      </c>
      <c r="BF69" s="440" t="e">
        <f ca="1">IF(AND(NOT(ISBLANK(Jumpoverwrite12)),AND(NOT(BE69),AND(BE$4:BE68))),($J69*$G69-LN(1+Jumpoverwrite12*BG$2))/$G69,_xll.qlInterpolationInterpolate(BE$3,$F69,TRUE))</f>
        <v>#NAME?</v>
      </c>
      <c r="BG69" s="440" t="str">
        <f ca="1">IF(AND(NOT(BE69),AND(BE$4:BE68)),MIN(EXP((BF69-$J69)*$G69),1),"")</f>
        <v/>
      </c>
      <c r="BI69" s="441" t="b">
        <f t="shared" ref="BI69:BI100" ca="1" si="11">IF(ISERROR(K69),FALSE,IF(YEAR(K69)-YEAR(SettlementDate)=2,FALSE,TRUE))</f>
        <v>0</v>
      </c>
      <c r="BJ69" s="440" t="e">
        <f ca="1">IF(AND(NOT(ISBLANK(jumpoverwrite13)),AND(NOT(BI69),AND(BI$4:BI68))),($J69*$G69-LN(1+jumpoverwrite13*BK$2))/$G69,_xll.qlInterpolationInterpolate(BI$3,$F69,TRUE))</f>
        <v>#NAME?</v>
      </c>
      <c r="BK69" s="440" t="str">
        <f ca="1">IF(AND(NOT(BI69),AND(BI$4:BI68)),MIN(EXP((BJ69-$J69)*$G69),1),"")</f>
        <v/>
      </c>
    </row>
    <row r="70" spans="1:63" x14ac:dyDescent="0.2">
      <c r="A70" s="439" t="e">
        <f ca="1"/>
        <v>#NAME?</v>
      </c>
      <c r="B70" s="438" t="e">
        <f ca="1">_xll.qlRateHelperRate($A70,InterestRatesTrigger)</f>
        <v>#NAME?</v>
      </c>
      <c r="C70" s="437" t="e">
        <f ca="1">_xll.qlRateHelperEarliestDate($A70)</f>
        <v>#NAME?</v>
      </c>
      <c r="D70" s="436" t="e">
        <f ca="1">_xll.qlRateHelperPillarDate($A70)</f>
        <v>#NAME?</v>
      </c>
      <c r="F70" s="446" t="e">
        <f t="shared" ca="1" si="9"/>
        <v>#N/A</v>
      </c>
      <c r="G70" s="445" t="e">
        <f ca="1">_xll.qlDayCounterYearFraction(DayCounter,D69,D70)</f>
        <v>#NAME?</v>
      </c>
      <c r="I70" s="444" t="b">
        <f t="shared" ca="1" si="10"/>
        <v>0</v>
      </c>
      <c r="J70" s="443" t="e">
        <f ca="1"/>
        <v>#NAME?</v>
      </c>
      <c r="K70" s="442" t="e">
        <f t="shared" ca="1" si="8"/>
        <v>#NAME?</v>
      </c>
      <c r="L70" s="430"/>
      <c r="M70" s="441" t="b">
        <f ca="1">IF(AND(NOT(I70),AND(I$4:I69)),TRUE,I70)</f>
        <v>0</v>
      </c>
      <c r="N70" s="440" t="e">
        <f ca="1">IF(AND(NOT(ISBLANK(Jumpoverwrite1)),AND(NOT(M70),AND(M$4:M69))),($J70*$G70-LN(1+Jumpoverwrite1*O$2))/$G70,_xll.qlInterpolationInterpolate(M$3,$F70,TRUE))</f>
        <v>#NAME?</v>
      </c>
      <c r="O70" s="440" t="str">
        <f ca="1">IF(AND(NOT(M70),AND(M$4:M69)),MIN(EXP((N70-$J70)*$G70),1),"")</f>
        <v/>
      </c>
      <c r="P70" s="429"/>
      <c r="Q70" s="441" t="b">
        <f ca="1">IF(AND(NOT(M70),AND(M$4:M69)),TRUE,M70)</f>
        <v>0</v>
      </c>
      <c r="R70" s="440" t="e">
        <f ca="1">IF(AND(NOT(ISBLANK(Jumpoverwrite2)),AND(NOT(Q70),AND(Q$4:Q69))),($J70*$G70-LN(1+Jumpoverwrite2*S$2))/$G70,_xll.qlInterpolationInterpolate(Q$3,$F70,TRUE))</f>
        <v>#NAME?</v>
      </c>
      <c r="S70" s="440" t="str">
        <f ca="1">IF(AND(NOT(Q70),AND(Q$4:Q69)),MIN(EXP((R70-$J70)*$G70),1),"")</f>
        <v/>
      </c>
      <c r="T70" s="429"/>
      <c r="U70" s="441" t="b">
        <f ca="1">IF(AND(NOT(Q70),AND(Q$4:Q69)),TRUE,Q70)</f>
        <v>0</v>
      </c>
      <c r="V70" s="440" t="e">
        <f ca="1">IF(AND(NOT(ISBLANK(Jumpoverwrite3)),AND(NOT(U70),AND(U$4:U69))),($J70*$G70-LN(1+Jumpoverwrite3*W$2))/$G70,_xll.qlInterpolationInterpolate(U$3,$F70,TRUE))</f>
        <v>#NAME?</v>
      </c>
      <c r="W70" s="440" t="str">
        <f ca="1">IF(AND(NOT(U70),AND(U$4:U69)),MIN(EXP((V70-$J70)*$G70),1),"")</f>
        <v/>
      </c>
      <c r="X70" s="429"/>
      <c r="Y70" s="441" t="b">
        <f ca="1">IF(AND(NOT(U70),AND(U$4:U69)),TRUE,U70)</f>
        <v>0</v>
      </c>
      <c r="Z70" s="440" t="e">
        <f ca="1">IF(AND(NOT(ISBLANK(Jumpoverwrite4)),AND(NOT(Y70),AND(Y$4:Y69))),($J70*$G70-LN(1+Jumpoverwrite4*AA$2))/$G70,_xll.qlInterpolationInterpolate(Y$3,$F70,TRUE))</f>
        <v>#NAME?</v>
      </c>
      <c r="AA70" s="440" t="str">
        <f ca="1">IF(AND(NOT(Y70),AND(Y$4:Y69)),MIN(EXP((Z70-$J70)*$G70),1),"")</f>
        <v/>
      </c>
      <c r="AB70" s="429"/>
      <c r="AC70" s="441" t="b">
        <f ca="1">IF(AND(NOT(Y70),AND(Y$4:Y69)),TRUE,Y70)</f>
        <v>0</v>
      </c>
      <c r="AD70" s="440" t="e">
        <f ca="1">IF(AND(NOT(ISBLANK(Jumpoverwrite5)),AND(NOT(AC70),AND(AC$4:AC69))),($J70*$G70-LN(1+Jumpoverwrite5*AE$2))/$G70,_xll.qlInterpolationInterpolate(AC$3,$F70,TRUE))</f>
        <v>#NAME?</v>
      </c>
      <c r="AE70" s="440" t="str">
        <f ca="1">IF(AND(NOT(AC70),AND(AC$4:AC69)),MIN(EXP((AD70-$J70)*$G70),1),"")</f>
        <v/>
      </c>
      <c r="AF70" s="429"/>
      <c r="AG70" s="441" t="b">
        <f ca="1">IF(AND(NOT(AC70),AND(AC$4:AC69)),TRUE,AC70)</f>
        <v>0</v>
      </c>
      <c r="AH70" s="440" t="e">
        <f ca="1">IF(AND(NOT(ISBLANK(Jumpoverwrite6)),AND(NOT(AG70),AND(AG$4:AG69))),($J70*$G70-LN(1+Jumpoverwrite6*AI$2))/$G70,_xll.qlInterpolationInterpolate(AG$3,$F70,TRUE))</f>
        <v>#NAME?</v>
      </c>
      <c r="AI70" s="440" t="str">
        <f ca="1">IF(AND(NOT(AG70),AND(AG$4:AG69)),MIN(EXP((AH70-$J70)*$G70),1),"")</f>
        <v/>
      </c>
      <c r="AJ70" s="429"/>
      <c r="AK70" s="441" t="b">
        <f ca="1">IF(AND(NOT(AG70),AND(AG$4:AG69)),TRUE,AG70)</f>
        <v>0</v>
      </c>
      <c r="AL70" s="440" t="e">
        <f ca="1">IF(AND(NOT(ISBLANK(Jumpoverwrite7)),AND(NOT(AK70),AND(AK$4:AK69))),($J70*$G70-LN(1+Jumpoverwrite7*AM$2))/$G70,_xll.qlInterpolationInterpolate(AK$3,$F70,TRUE))</f>
        <v>#NAME?</v>
      </c>
      <c r="AM70" s="440" t="str">
        <f ca="1">IF(AND(NOT(AK70),AND(AK$4:AK69)),MIN(EXP((AL70-$J70)*$G70),1),"")</f>
        <v/>
      </c>
      <c r="AO70" s="441" t="b">
        <f ca="1">IF(AND(NOT(AK70),AND(AK$4:AK69)),TRUE,AK70)</f>
        <v>0</v>
      </c>
      <c r="AP70" s="440" t="e">
        <f ca="1">IF(AND(NOT(ISBLANK(Jumpoverwrite8)),AND(NOT(AO70),AND(AO$4:AO69))),($J70*$G70-LN(1+Jumpoverwrite8*AQ$2))/$G70,_xll.qlInterpolationInterpolate(AO$3,$F70,TRUE))</f>
        <v>#NAME?</v>
      </c>
      <c r="AQ70" s="440" t="str">
        <f ca="1">IF(AND(NOT(AO70),AND(AO$4:AO69)),MIN(EXP((AP70-$J70)*$G70),1),"")</f>
        <v/>
      </c>
      <c r="AS70" s="441" t="b">
        <f ca="1">IF(AND(NOT(AO70),AND(AO$4:AO69)),TRUE,AO70)</f>
        <v>0</v>
      </c>
      <c r="AT70" s="440" t="e">
        <f ca="1">IF(AND(NOT(ISBLANK(Jumpoverwrite9)),AND(NOT(AS70),AND(AS$4:AS69))),($J70*$G70-LN(1+Jumpoverwrite9*AU$2))/$G70,_xll.qlInterpolationInterpolate(AS$3,$F70,TRUE))</f>
        <v>#NAME?</v>
      </c>
      <c r="AU70" s="440" t="str">
        <f ca="1">IF(AND(NOT(AS70),AND(AS$4:AS69)),MIN(EXP((AT70-$J70)*$G70),1),"")</f>
        <v/>
      </c>
      <c r="AW70" s="441" t="b">
        <f ca="1">IF(AND(NOT(AS70),AND(AS$4:AS69)),TRUE,AS70)</f>
        <v>0</v>
      </c>
      <c r="AX70" s="440" t="e">
        <f ca="1">IF(AND(NOT(ISBLANK(Jumpoverwrite10)),AND(NOT(AW70),AND(AW$4:AW69))),($J70*$G70-LN(1+Jumpoverwrite10*AY$2))/$G70,_xll.qlInterpolationInterpolate(AW$3,$F70,TRUE))</f>
        <v>#NAME?</v>
      </c>
      <c r="AY70" s="440" t="str">
        <f ca="1">IF(AND(NOT(AW70),AND(AW$4:AW69)),MIN(EXP((AX70-$J70)*$G70),1),"")</f>
        <v/>
      </c>
      <c r="BA70" s="441" t="b">
        <f ca="1">IF(AND(NOT(AW70),AND(AW$4:AW69)),TRUE,AW70)</f>
        <v>0</v>
      </c>
      <c r="BB70" s="440" t="e">
        <f ca="1">IF(AND(NOT(ISBLANK(Jumpoverwrite11)),AND(NOT(BA70),AND(BA$4:BA69))),($J70*$G70-LN(1+Jumpoverwrite11*BC$2))/$G70,_xll.qlInterpolationInterpolate(BA$3,$F70,TRUE))</f>
        <v>#NAME?</v>
      </c>
      <c r="BC70" s="440" t="str">
        <f ca="1">IF(AND(NOT(BA70),AND(BA$4:BA69)),MIN(EXP((BB70-$J70)*$G70),1),"")</f>
        <v/>
      </c>
      <c r="BE70" s="441" t="b">
        <f ca="1">IF(AND(NOT(BA70),AND(BA$4:BA69)),TRUE,BA70)</f>
        <v>0</v>
      </c>
      <c r="BF70" s="440" t="e">
        <f ca="1">IF(AND(NOT(ISBLANK(Jumpoverwrite12)),AND(NOT(BE70),AND(BE$4:BE69))),($J70*$G70-LN(1+Jumpoverwrite12*BG$2))/$G70,_xll.qlInterpolationInterpolate(BE$3,$F70,TRUE))</f>
        <v>#NAME?</v>
      </c>
      <c r="BG70" s="440" t="str">
        <f ca="1">IF(AND(NOT(BE70),AND(BE$4:BE69)),MIN(EXP((BF70-$J70)*$G70),1),"")</f>
        <v/>
      </c>
      <c r="BI70" s="441" t="b">
        <f t="shared" ca="1" si="11"/>
        <v>0</v>
      </c>
      <c r="BJ70" s="440" t="e">
        <f ca="1">IF(AND(NOT(ISBLANK(jumpoverwrite13)),AND(NOT(BI70),AND(BI$4:BI69))),($J70*$G70-LN(1+jumpoverwrite13*BK$2))/$G70,_xll.qlInterpolationInterpolate(BI$3,$F70,TRUE))</f>
        <v>#NAME?</v>
      </c>
      <c r="BK70" s="440" t="str">
        <f ca="1">IF(AND(NOT(BI70),AND(BI$4:BI69)),MIN(EXP((BJ70-$J70)*$G70),1),"")</f>
        <v/>
      </c>
    </row>
    <row r="71" spans="1:63" x14ac:dyDescent="0.2">
      <c r="A71" s="439" t="e">
        <f ca="1"/>
        <v>#NAME?</v>
      </c>
      <c r="B71" s="438" t="e">
        <f ca="1">_xll.qlRateHelperRate($A71,InterestRatesTrigger)</f>
        <v>#NAME?</v>
      </c>
      <c r="C71" s="437" t="e">
        <f ca="1">_xll.qlRateHelperEarliestDate($A71)</f>
        <v>#NAME?</v>
      </c>
      <c r="D71" s="436" t="e">
        <f ca="1">_xll.qlRateHelperPillarDate($A71)</f>
        <v>#NAME?</v>
      </c>
      <c r="F71" s="446" t="e">
        <f t="shared" ca="1" si="9"/>
        <v>#N/A</v>
      </c>
      <c r="G71" s="445" t="e">
        <f ca="1">_xll.qlDayCounterYearFraction(DayCounter,D70,D71)</f>
        <v>#NAME?</v>
      </c>
      <c r="I71" s="444" t="b">
        <f t="shared" ca="1" si="10"/>
        <v>0</v>
      </c>
      <c r="J71" s="443" t="e">
        <f ca="1"/>
        <v>#NAME?</v>
      </c>
      <c r="K71" s="442" t="e">
        <f t="shared" ca="1" si="8"/>
        <v>#NAME?</v>
      </c>
      <c r="L71" s="430"/>
      <c r="M71" s="441" t="b">
        <f ca="1">IF(AND(NOT(I71),AND(I$4:I70)),TRUE,I71)</f>
        <v>0</v>
      </c>
      <c r="N71" s="440" t="e">
        <f ca="1">IF(AND(NOT(ISBLANK(Jumpoverwrite1)),AND(NOT(M71),AND(M$4:M70))),($J71*$G71-LN(1+Jumpoverwrite1*O$2))/$G71,_xll.qlInterpolationInterpolate(M$3,$F71,TRUE))</f>
        <v>#NAME?</v>
      </c>
      <c r="O71" s="440" t="str">
        <f ca="1">IF(AND(NOT(M71),AND(M$4:M70)),MIN(EXP((N71-$J71)*$G71),1),"")</f>
        <v/>
      </c>
      <c r="P71" s="429"/>
      <c r="Q71" s="441" t="b">
        <f ca="1">IF(AND(NOT(M71),AND(M$4:M70)),TRUE,M71)</f>
        <v>0</v>
      </c>
      <c r="R71" s="440" t="e">
        <f ca="1">IF(AND(NOT(ISBLANK(Jumpoverwrite2)),AND(NOT(Q71),AND(Q$4:Q70))),($J71*$G71-LN(1+Jumpoverwrite2*S$2))/$G71,_xll.qlInterpolationInterpolate(Q$3,$F71,TRUE))</f>
        <v>#NAME?</v>
      </c>
      <c r="S71" s="440" t="str">
        <f ca="1">IF(AND(NOT(Q71),AND(Q$4:Q70)),MIN(EXP((R71-$J71)*$G71),1),"")</f>
        <v/>
      </c>
      <c r="T71" s="429"/>
      <c r="U71" s="441" t="b">
        <f ca="1">IF(AND(NOT(Q71),AND(Q$4:Q70)),TRUE,Q71)</f>
        <v>0</v>
      </c>
      <c r="V71" s="440" t="e">
        <f ca="1">IF(AND(NOT(ISBLANK(Jumpoverwrite3)),AND(NOT(U71),AND(U$4:U70))),($J71*$G71-LN(1+Jumpoverwrite3*W$2))/$G71,_xll.qlInterpolationInterpolate(U$3,$F71,TRUE))</f>
        <v>#NAME?</v>
      </c>
      <c r="W71" s="440" t="str">
        <f ca="1">IF(AND(NOT(U71),AND(U$4:U70)),MIN(EXP((V71-$J71)*$G71),1),"")</f>
        <v/>
      </c>
      <c r="X71" s="429"/>
      <c r="Y71" s="441" t="b">
        <f ca="1">IF(AND(NOT(U71),AND(U$4:U70)),TRUE,U71)</f>
        <v>0</v>
      </c>
      <c r="Z71" s="440" t="e">
        <f ca="1">IF(AND(NOT(ISBLANK(Jumpoverwrite4)),AND(NOT(Y71),AND(Y$4:Y70))),($J71*$G71-LN(1+Jumpoverwrite4*AA$2))/$G71,_xll.qlInterpolationInterpolate(Y$3,$F71,TRUE))</f>
        <v>#NAME?</v>
      </c>
      <c r="AA71" s="440" t="str">
        <f ca="1">IF(AND(NOT(Y71),AND(Y$4:Y70)),MIN(EXP((Z71-$J71)*$G71),1),"")</f>
        <v/>
      </c>
      <c r="AB71" s="429"/>
      <c r="AC71" s="441" t="b">
        <f ca="1">IF(AND(NOT(Y71),AND(Y$4:Y70)),TRUE,Y71)</f>
        <v>0</v>
      </c>
      <c r="AD71" s="440" t="e">
        <f ca="1">IF(AND(NOT(ISBLANK(Jumpoverwrite5)),AND(NOT(AC71),AND(AC$4:AC70))),($J71*$G71-LN(1+Jumpoverwrite5*AE$2))/$G71,_xll.qlInterpolationInterpolate(AC$3,$F71,TRUE))</f>
        <v>#NAME?</v>
      </c>
      <c r="AE71" s="440" t="str">
        <f ca="1">IF(AND(NOT(AC71),AND(AC$4:AC70)),MIN(EXP((AD71-$J71)*$G71),1),"")</f>
        <v/>
      </c>
      <c r="AF71" s="429"/>
      <c r="AG71" s="441" t="b">
        <f ca="1">IF(AND(NOT(AC71),AND(AC$4:AC70)),TRUE,AC71)</f>
        <v>0</v>
      </c>
      <c r="AH71" s="440" t="e">
        <f ca="1">IF(AND(NOT(ISBLANK(Jumpoverwrite6)),AND(NOT(AG71),AND(AG$4:AG70))),($J71*$G71-LN(1+Jumpoverwrite6*AI$2))/$G71,_xll.qlInterpolationInterpolate(AG$3,$F71,TRUE))</f>
        <v>#NAME?</v>
      </c>
      <c r="AI71" s="440" t="str">
        <f ca="1">IF(AND(NOT(AG71),AND(AG$4:AG70)),MIN(EXP((AH71-$J71)*$G71),1),"")</f>
        <v/>
      </c>
      <c r="AJ71" s="429"/>
      <c r="AK71" s="441" t="b">
        <f ca="1">IF(AND(NOT(AG71),AND(AG$4:AG70)),TRUE,AG71)</f>
        <v>0</v>
      </c>
      <c r="AL71" s="440" t="e">
        <f ca="1">IF(AND(NOT(ISBLANK(Jumpoverwrite7)),AND(NOT(AK71),AND(AK$4:AK70))),($J71*$G71-LN(1+Jumpoverwrite7*AM$2))/$G71,_xll.qlInterpolationInterpolate(AK$3,$F71,TRUE))</f>
        <v>#NAME?</v>
      </c>
      <c r="AM71" s="440" t="str">
        <f ca="1">IF(AND(NOT(AK71),AND(AK$4:AK70)),MIN(EXP((AL71-$J71)*$G71),1),"")</f>
        <v/>
      </c>
      <c r="AO71" s="441" t="b">
        <f ca="1">IF(AND(NOT(AK71),AND(AK$4:AK70)),TRUE,AK71)</f>
        <v>0</v>
      </c>
      <c r="AP71" s="440" t="e">
        <f ca="1">IF(AND(NOT(ISBLANK(Jumpoverwrite8)),AND(NOT(AO71),AND(AO$4:AO70))),($J71*$G71-LN(1+Jumpoverwrite8*AQ$2))/$G71,_xll.qlInterpolationInterpolate(AO$3,$F71,TRUE))</f>
        <v>#NAME?</v>
      </c>
      <c r="AQ71" s="440" t="str">
        <f ca="1">IF(AND(NOT(AO71),AND(AO$4:AO70)),MIN(EXP((AP71-$J71)*$G71),1),"")</f>
        <v/>
      </c>
      <c r="AS71" s="441" t="b">
        <f ca="1">IF(AND(NOT(AO71),AND(AO$4:AO70)),TRUE,AO71)</f>
        <v>0</v>
      </c>
      <c r="AT71" s="440" t="e">
        <f ca="1">IF(AND(NOT(ISBLANK(Jumpoverwrite9)),AND(NOT(AS71),AND(AS$4:AS70))),($J71*$G71-LN(1+Jumpoverwrite9*AU$2))/$G71,_xll.qlInterpolationInterpolate(AS$3,$F71,TRUE))</f>
        <v>#NAME?</v>
      </c>
      <c r="AU71" s="440" t="str">
        <f ca="1">IF(AND(NOT(AS71),AND(AS$4:AS70)),MIN(EXP((AT71-$J71)*$G71),1),"")</f>
        <v/>
      </c>
      <c r="AW71" s="441" t="b">
        <f ca="1">IF(AND(NOT(AS71),AND(AS$4:AS70)),TRUE,AS71)</f>
        <v>0</v>
      </c>
      <c r="AX71" s="440" t="e">
        <f ca="1">IF(AND(NOT(ISBLANK(Jumpoverwrite10)),AND(NOT(AW71),AND(AW$4:AW70))),($J71*$G71-LN(1+Jumpoverwrite10*AY$2))/$G71,_xll.qlInterpolationInterpolate(AW$3,$F71,TRUE))</f>
        <v>#NAME?</v>
      </c>
      <c r="AY71" s="440" t="str">
        <f ca="1">IF(AND(NOT(AW71),AND(AW$4:AW70)),MIN(EXP((AX71-$J71)*$G71),1),"")</f>
        <v/>
      </c>
      <c r="BA71" s="441" t="b">
        <f ca="1">IF(AND(NOT(AW71),AND(AW$4:AW70)),TRUE,AW71)</f>
        <v>0</v>
      </c>
      <c r="BB71" s="440" t="e">
        <f ca="1">IF(AND(NOT(ISBLANK(Jumpoverwrite11)),AND(NOT(BA71),AND(BA$4:BA70))),($J71*$G71-LN(1+Jumpoverwrite11*BC$2))/$G71,_xll.qlInterpolationInterpolate(BA$3,$F71,TRUE))</f>
        <v>#NAME?</v>
      </c>
      <c r="BC71" s="440" t="str">
        <f ca="1">IF(AND(NOT(BA71),AND(BA$4:BA70)),MIN(EXP((BB71-$J71)*$G71),1),"")</f>
        <v/>
      </c>
      <c r="BE71" s="441" t="b">
        <f ca="1">IF(AND(NOT(BA71),AND(BA$4:BA70)),TRUE,BA71)</f>
        <v>0</v>
      </c>
      <c r="BF71" s="440" t="e">
        <f ca="1">IF(AND(NOT(ISBLANK(Jumpoverwrite12)),AND(NOT(BE71),AND(BE$4:BE70))),($J71*$G71-LN(1+Jumpoverwrite12*BG$2))/$G71,_xll.qlInterpolationInterpolate(BE$3,$F71,TRUE))</f>
        <v>#NAME?</v>
      </c>
      <c r="BG71" s="440" t="str">
        <f ca="1">IF(AND(NOT(BE71),AND(BE$4:BE70)),MIN(EXP((BF71-$J71)*$G71),1),"")</f>
        <v/>
      </c>
      <c r="BI71" s="441" t="b">
        <f t="shared" ca="1" si="11"/>
        <v>0</v>
      </c>
      <c r="BJ71" s="440" t="e">
        <f ca="1">IF(AND(NOT(ISBLANK(jumpoverwrite13)),AND(NOT(BI71),AND(BI$4:BI70))),($J71*$G71-LN(1+jumpoverwrite13*BK$2))/$G71,_xll.qlInterpolationInterpolate(BI$3,$F71,TRUE))</f>
        <v>#NAME?</v>
      </c>
      <c r="BK71" s="440" t="str">
        <f ca="1">IF(AND(NOT(BI71),AND(BI$4:BI70)),MIN(EXP((BJ71-$J71)*$G71),1),"")</f>
        <v/>
      </c>
    </row>
    <row r="72" spans="1:63" x14ac:dyDescent="0.2">
      <c r="A72" s="439" t="e">
        <f ca="1"/>
        <v>#NAME?</v>
      </c>
      <c r="B72" s="438" t="e">
        <f ca="1">_xll.qlRateHelperRate($A72,InterestRatesTrigger)</f>
        <v>#NAME?</v>
      </c>
      <c r="C72" s="437" t="e">
        <f ca="1">_xll.qlRateHelperEarliestDate($A72)</f>
        <v>#NAME?</v>
      </c>
      <c r="D72" s="436" t="e">
        <f ca="1">_xll.qlRateHelperPillarDate($A72)</f>
        <v>#NAME?</v>
      </c>
      <c r="F72" s="446" t="e">
        <f t="shared" ca="1" si="9"/>
        <v>#N/A</v>
      </c>
      <c r="G72" s="445" t="e">
        <f ca="1">_xll.qlDayCounterYearFraction(DayCounter,D71,D72)</f>
        <v>#NAME?</v>
      </c>
      <c r="I72" s="444" t="b">
        <f t="shared" ca="1" si="10"/>
        <v>0</v>
      </c>
      <c r="J72" s="443" t="e">
        <f ca="1"/>
        <v>#NAME?</v>
      </c>
      <c r="K72" s="442" t="e">
        <f t="shared" ca="1" si="8"/>
        <v>#NAME?</v>
      </c>
      <c r="L72" s="430"/>
      <c r="M72" s="441" t="b">
        <f ca="1">IF(AND(NOT(I72),AND(I$4:I71)),TRUE,I72)</f>
        <v>0</v>
      </c>
      <c r="N72" s="440" t="e">
        <f ca="1">IF(AND(NOT(ISBLANK(Jumpoverwrite1)),AND(NOT(M72),AND(M$4:M71))),($J72*$G72-LN(1+Jumpoverwrite1*O$2))/$G72,_xll.qlInterpolationInterpolate(M$3,$F72,TRUE))</f>
        <v>#NAME?</v>
      </c>
      <c r="O72" s="440" t="str">
        <f ca="1">IF(AND(NOT(M72),AND(M$4:M71)),MIN(EXP((N72-$J72)*$G72),1),"")</f>
        <v/>
      </c>
      <c r="P72" s="429"/>
      <c r="Q72" s="441" t="b">
        <f ca="1">IF(AND(NOT(M72),AND(M$4:M71)),TRUE,M72)</f>
        <v>0</v>
      </c>
      <c r="R72" s="440" t="e">
        <f ca="1">IF(AND(NOT(ISBLANK(Jumpoverwrite2)),AND(NOT(Q72),AND(Q$4:Q71))),($J72*$G72-LN(1+Jumpoverwrite2*S$2))/$G72,_xll.qlInterpolationInterpolate(Q$3,$F72,TRUE))</f>
        <v>#NAME?</v>
      </c>
      <c r="S72" s="440" t="str">
        <f ca="1">IF(AND(NOT(Q72),AND(Q$4:Q71)),MIN(EXP((R72-$J72)*$G72),1),"")</f>
        <v/>
      </c>
      <c r="T72" s="429"/>
      <c r="U72" s="441" t="b">
        <f ca="1">IF(AND(NOT(Q72),AND(Q$4:Q71)),TRUE,Q72)</f>
        <v>0</v>
      </c>
      <c r="V72" s="440" t="e">
        <f ca="1">IF(AND(NOT(ISBLANK(Jumpoverwrite3)),AND(NOT(U72),AND(U$4:U71))),($J72*$G72-LN(1+Jumpoverwrite3*W$2))/$G72,_xll.qlInterpolationInterpolate(U$3,$F72,TRUE))</f>
        <v>#NAME?</v>
      </c>
      <c r="W72" s="440" t="str">
        <f ca="1">IF(AND(NOT(U72),AND(U$4:U71)),MIN(EXP((V72-$J72)*$G72),1),"")</f>
        <v/>
      </c>
      <c r="X72" s="429"/>
      <c r="Y72" s="441" t="b">
        <f ca="1">IF(AND(NOT(U72),AND(U$4:U71)),TRUE,U72)</f>
        <v>0</v>
      </c>
      <c r="Z72" s="440" t="e">
        <f ca="1">IF(AND(NOT(ISBLANK(Jumpoverwrite4)),AND(NOT(Y72),AND(Y$4:Y71))),($J72*$G72-LN(1+Jumpoverwrite4*AA$2))/$G72,_xll.qlInterpolationInterpolate(Y$3,$F72,TRUE))</f>
        <v>#NAME?</v>
      </c>
      <c r="AA72" s="440" t="str">
        <f ca="1">IF(AND(NOT(Y72),AND(Y$4:Y71)),MIN(EXP((Z72-$J72)*$G72),1),"")</f>
        <v/>
      </c>
      <c r="AB72" s="429"/>
      <c r="AC72" s="441" t="b">
        <f ca="1">IF(AND(NOT(Y72),AND(Y$4:Y71)),TRUE,Y72)</f>
        <v>0</v>
      </c>
      <c r="AD72" s="440" t="e">
        <f ca="1">IF(AND(NOT(ISBLANK(Jumpoverwrite5)),AND(NOT(AC72),AND(AC$4:AC71))),($J72*$G72-LN(1+Jumpoverwrite5*AE$2))/$G72,_xll.qlInterpolationInterpolate(AC$3,$F72,TRUE))</f>
        <v>#NAME?</v>
      </c>
      <c r="AE72" s="440" t="str">
        <f ca="1">IF(AND(NOT(AC72),AND(AC$4:AC71)),MIN(EXP((AD72-$J72)*$G72),1),"")</f>
        <v/>
      </c>
      <c r="AF72" s="429"/>
      <c r="AG72" s="441" t="b">
        <f ca="1">IF(AND(NOT(AC72),AND(AC$4:AC71)),TRUE,AC72)</f>
        <v>0</v>
      </c>
      <c r="AH72" s="440" t="e">
        <f ca="1">IF(AND(NOT(ISBLANK(Jumpoverwrite6)),AND(NOT(AG72),AND(AG$4:AG71))),($J72*$G72-LN(1+Jumpoverwrite6*AI$2))/$G72,_xll.qlInterpolationInterpolate(AG$3,$F72,TRUE))</f>
        <v>#NAME?</v>
      </c>
      <c r="AI72" s="440" t="str">
        <f ca="1">IF(AND(NOT(AG72),AND(AG$4:AG71)),MIN(EXP((AH72-$J72)*$G72),1),"")</f>
        <v/>
      </c>
      <c r="AJ72" s="429"/>
      <c r="AK72" s="441" t="b">
        <f ca="1">IF(AND(NOT(AG72),AND(AG$4:AG71)),TRUE,AG72)</f>
        <v>0</v>
      </c>
      <c r="AL72" s="440" t="e">
        <f ca="1">IF(AND(NOT(ISBLANK(Jumpoverwrite7)),AND(NOT(AK72),AND(AK$4:AK71))),($J72*$G72-LN(1+Jumpoverwrite7*AM$2))/$G72,_xll.qlInterpolationInterpolate(AK$3,$F72,TRUE))</f>
        <v>#NAME?</v>
      </c>
      <c r="AM72" s="440" t="str">
        <f ca="1">IF(AND(NOT(AK72),AND(AK$4:AK71)),MIN(EXP((AL72-$J72)*$G72),1),"")</f>
        <v/>
      </c>
      <c r="AO72" s="441" t="b">
        <f ca="1">IF(AND(NOT(AK72),AND(AK$4:AK71)),TRUE,AK72)</f>
        <v>0</v>
      </c>
      <c r="AP72" s="440" t="e">
        <f ca="1">IF(AND(NOT(ISBLANK(Jumpoverwrite8)),AND(NOT(AO72),AND(AO$4:AO71))),($J72*$G72-LN(1+Jumpoverwrite8*AQ$2))/$G72,_xll.qlInterpolationInterpolate(AO$3,$F72,TRUE))</f>
        <v>#NAME?</v>
      </c>
      <c r="AQ72" s="440" t="str">
        <f ca="1">IF(AND(NOT(AO72),AND(AO$4:AO71)),MIN(EXP((AP72-$J72)*$G72),1),"")</f>
        <v/>
      </c>
      <c r="AS72" s="441" t="b">
        <f ca="1">IF(AND(NOT(AO72),AND(AO$4:AO71)),TRUE,AO72)</f>
        <v>0</v>
      </c>
      <c r="AT72" s="440" t="e">
        <f ca="1">IF(AND(NOT(ISBLANK(Jumpoverwrite9)),AND(NOT(AS72),AND(AS$4:AS71))),($J72*$G72-LN(1+Jumpoverwrite9*AU$2))/$G72,_xll.qlInterpolationInterpolate(AS$3,$F72,TRUE))</f>
        <v>#NAME?</v>
      </c>
      <c r="AU72" s="440" t="str">
        <f ca="1">IF(AND(NOT(AS72),AND(AS$4:AS71)),MIN(EXP((AT72-$J72)*$G72),1),"")</f>
        <v/>
      </c>
      <c r="AW72" s="441" t="b">
        <f ca="1">IF(AND(NOT(AS72),AND(AS$4:AS71)),TRUE,AS72)</f>
        <v>0</v>
      </c>
      <c r="AX72" s="440" t="e">
        <f ca="1">IF(AND(NOT(ISBLANK(Jumpoverwrite10)),AND(NOT(AW72),AND(AW$4:AW71))),($J72*$G72-LN(1+Jumpoverwrite10*AY$2))/$G72,_xll.qlInterpolationInterpolate(AW$3,$F72,TRUE))</f>
        <v>#NAME?</v>
      </c>
      <c r="AY72" s="440" t="str">
        <f ca="1">IF(AND(NOT(AW72),AND(AW$4:AW71)),MIN(EXP((AX72-$J72)*$G72),1),"")</f>
        <v/>
      </c>
      <c r="BA72" s="441" t="b">
        <f ca="1">IF(AND(NOT(AW72),AND(AW$4:AW71)),TRUE,AW72)</f>
        <v>0</v>
      </c>
      <c r="BB72" s="440" t="e">
        <f ca="1">IF(AND(NOT(ISBLANK(Jumpoverwrite11)),AND(NOT(BA72),AND(BA$4:BA71))),($J72*$G72-LN(1+Jumpoverwrite11*BC$2))/$G72,_xll.qlInterpolationInterpolate(BA$3,$F72,TRUE))</f>
        <v>#NAME?</v>
      </c>
      <c r="BC72" s="440" t="str">
        <f ca="1">IF(AND(NOT(BA72),AND(BA$4:BA71)),MIN(EXP((BB72-$J72)*$G72),1),"")</f>
        <v/>
      </c>
      <c r="BE72" s="441" t="b">
        <f ca="1">IF(AND(NOT(BA72),AND(BA$4:BA71)),TRUE,BA72)</f>
        <v>0</v>
      </c>
      <c r="BF72" s="440" t="e">
        <f ca="1">IF(AND(NOT(ISBLANK(Jumpoverwrite12)),AND(NOT(BE72),AND(BE$4:BE71))),($J72*$G72-LN(1+Jumpoverwrite12*BG$2))/$G72,_xll.qlInterpolationInterpolate(BE$3,$F72,TRUE))</f>
        <v>#NAME?</v>
      </c>
      <c r="BG72" s="440" t="str">
        <f ca="1">IF(AND(NOT(BE72),AND(BE$4:BE71)),MIN(EXP((BF72-$J72)*$G72),1),"")</f>
        <v/>
      </c>
      <c r="BI72" s="441" t="b">
        <f t="shared" ca="1" si="11"/>
        <v>0</v>
      </c>
      <c r="BJ72" s="440" t="e">
        <f ca="1">IF(AND(NOT(ISBLANK(jumpoverwrite13)),AND(NOT(BI72),AND(BI$4:BI71))),($J72*$G72-LN(1+jumpoverwrite13*BK$2))/$G72,_xll.qlInterpolationInterpolate(BI$3,$F72,TRUE))</f>
        <v>#NAME?</v>
      </c>
      <c r="BK72" s="440" t="str">
        <f ca="1">IF(AND(NOT(BI72),AND(BI$4:BI71)),MIN(EXP((BJ72-$J72)*$G72),1),"")</f>
        <v/>
      </c>
    </row>
    <row r="73" spans="1:63" x14ac:dyDescent="0.2">
      <c r="A73" s="439" t="e">
        <f ca="1"/>
        <v>#NAME?</v>
      </c>
      <c r="B73" s="438" t="e">
        <f ca="1">_xll.qlRateHelperRate($A73,InterestRatesTrigger)</f>
        <v>#NAME?</v>
      </c>
      <c r="C73" s="437" t="e">
        <f ca="1">_xll.qlRateHelperEarliestDate($A73)</f>
        <v>#NAME?</v>
      </c>
      <c r="D73" s="436" t="e">
        <f ca="1">_xll.qlRateHelperPillarDate($A73)</f>
        <v>#NAME?</v>
      </c>
      <c r="F73" s="446" t="e">
        <f t="shared" ca="1" si="9"/>
        <v>#N/A</v>
      </c>
      <c r="G73" s="445" t="e">
        <f ca="1">_xll.qlDayCounterYearFraction(DayCounter,D72,D73)</f>
        <v>#NAME?</v>
      </c>
      <c r="I73" s="444" t="b">
        <f t="shared" ca="1" si="10"/>
        <v>0</v>
      </c>
      <c r="J73" s="443" t="e">
        <f ca="1"/>
        <v>#NAME?</v>
      </c>
      <c r="K73" s="442" t="e">
        <f t="shared" ca="1" si="8"/>
        <v>#NAME?</v>
      </c>
      <c r="L73" s="430"/>
      <c r="M73" s="441" t="b">
        <f ca="1">IF(AND(NOT(I73),AND(I$4:I72)),TRUE,I73)</f>
        <v>0</v>
      </c>
      <c r="N73" s="440" t="e">
        <f ca="1">IF(AND(NOT(ISBLANK(Jumpoverwrite1)),AND(NOT(M73),AND(M$4:M72))),($J73*$G73-LN(1+Jumpoverwrite1*O$2))/$G73,_xll.qlInterpolationInterpolate(M$3,$F73,TRUE))</f>
        <v>#NAME?</v>
      </c>
      <c r="O73" s="440" t="str">
        <f ca="1">IF(AND(NOT(M73),AND(M$4:M72)),MIN(EXP((N73-$J73)*$G73),1),"")</f>
        <v/>
      </c>
      <c r="P73" s="429"/>
      <c r="Q73" s="441" t="b">
        <f ca="1">IF(AND(NOT(M73),AND(M$4:M72)),TRUE,M73)</f>
        <v>0</v>
      </c>
      <c r="R73" s="440" t="e">
        <f ca="1">IF(AND(NOT(ISBLANK(Jumpoverwrite2)),AND(NOT(Q73),AND(Q$4:Q72))),($J73*$G73-LN(1+Jumpoverwrite2*S$2))/$G73,_xll.qlInterpolationInterpolate(Q$3,$F73,TRUE))</f>
        <v>#NAME?</v>
      </c>
      <c r="S73" s="440" t="str">
        <f ca="1">IF(AND(NOT(Q73),AND(Q$4:Q72)),MIN(EXP((R73-$J73)*$G73),1),"")</f>
        <v/>
      </c>
      <c r="T73" s="429"/>
      <c r="U73" s="441" t="b">
        <f ca="1">IF(AND(NOT(Q73),AND(Q$4:Q72)),TRUE,Q73)</f>
        <v>0</v>
      </c>
      <c r="V73" s="440" t="e">
        <f ca="1">IF(AND(NOT(ISBLANK(Jumpoverwrite3)),AND(NOT(U73),AND(U$4:U72))),($J73*$G73-LN(1+Jumpoverwrite3*W$2))/$G73,_xll.qlInterpolationInterpolate(U$3,$F73,TRUE))</f>
        <v>#NAME?</v>
      </c>
      <c r="W73" s="440" t="str">
        <f ca="1">IF(AND(NOT(U73),AND(U$4:U72)),MIN(EXP((V73-$J73)*$G73),1),"")</f>
        <v/>
      </c>
      <c r="X73" s="429"/>
      <c r="Y73" s="441" t="b">
        <f ca="1">IF(AND(NOT(U73),AND(U$4:U72)),TRUE,U73)</f>
        <v>0</v>
      </c>
      <c r="Z73" s="440" t="e">
        <f ca="1">IF(AND(NOT(ISBLANK(Jumpoverwrite4)),AND(NOT(Y73),AND(Y$4:Y72))),($J73*$G73-LN(1+Jumpoverwrite4*AA$2))/$G73,_xll.qlInterpolationInterpolate(Y$3,$F73,TRUE))</f>
        <v>#NAME?</v>
      </c>
      <c r="AA73" s="440" t="str">
        <f ca="1">IF(AND(NOT(Y73),AND(Y$4:Y72)),MIN(EXP((Z73-$J73)*$G73),1),"")</f>
        <v/>
      </c>
      <c r="AB73" s="429"/>
      <c r="AC73" s="441" t="b">
        <f ca="1">IF(AND(NOT(Y73),AND(Y$4:Y72)),TRUE,Y73)</f>
        <v>0</v>
      </c>
      <c r="AD73" s="440" t="e">
        <f ca="1">IF(AND(NOT(ISBLANK(Jumpoverwrite5)),AND(NOT(AC73),AND(AC$4:AC72))),($J73*$G73-LN(1+Jumpoverwrite5*AE$2))/$G73,_xll.qlInterpolationInterpolate(AC$3,$F73,TRUE))</f>
        <v>#NAME?</v>
      </c>
      <c r="AE73" s="440" t="str">
        <f ca="1">IF(AND(NOT(AC73),AND(AC$4:AC72)),MIN(EXP((AD73-$J73)*$G73),1),"")</f>
        <v/>
      </c>
      <c r="AF73" s="429"/>
      <c r="AG73" s="441" t="b">
        <f ca="1">IF(AND(NOT(AC73),AND(AC$4:AC72)),TRUE,AC73)</f>
        <v>0</v>
      </c>
      <c r="AH73" s="440" t="e">
        <f ca="1">IF(AND(NOT(ISBLANK(Jumpoverwrite6)),AND(NOT(AG73),AND(AG$4:AG72))),($J73*$G73-LN(1+Jumpoverwrite6*AI$2))/$G73,_xll.qlInterpolationInterpolate(AG$3,$F73,TRUE))</f>
        <v>#NAME?</v>
      </c>
      <c r="AI73" s="440" t="str">
        <f ca="1">IF(AND(NOT(AG73),AND(AG$4:AG72)),MIN(EXP((AH73-$J73)*$G73),1),"")</f>
        <v/>
      </c>
      <c r="AJ73" s="429"/>
      <c r="AK73" s="441" t="b">
        <f ca="1">IF(AND(NOT(AG73),AND(AG$4:AG72)),TRUE,AG73)</f>
        <v>0</v>
      </c>
      <c r="AL73" s="440" t="e">
        <f ca="1">IF(AND(NOT(ISBLANK(Jumpoverwrite7)),AND(NOT(AK73),AND(AK$4:AK72))),($J73*$G73-LN(1+Jumpoverwrite7*AM$2))/$G73,_xll.qlInterpolationInterpolate(AK$3,$F73,TRUE))</f>
        <v>#NAME?</v>
      </c>
      <c r="AM73" s="440" t="str">
        <f ca="1">IF(AND(NOT(AK73),AND(AK$4:AK72)),MIN(EXP((AL73-$J73)*$G73),1),"")</f>
        <v/>
      </c>
      <c r="AO73" s="441" t="b">
        <f ca="1">IF(AND(NOT(AK73),AND(AK$4:AK72)),TRUE,AK73)</f>
        <v>0</v>
      </c>
      <c r="AP73" s="440" t="e">
        <f ca="1">IF(AND(NOT(ISBLANK(Jumpoverwrite8)),AND(NOT(AO73),AND(AO$4:AO72))),($J73*$G73-LN(1+Jumpoverwrite8*AQ$2))/$G73,_xll.qlInterpolationInterpolate(AO$3,$F73,TRUE))</f>
        <v>#NAME?</v>
      </c>
      <c r="AQ73" s="440" t="str">
        <f ca="1">IF(AND(NOT(AO73),AND(AO$4:AO72)),MIN(EXP((AP73-$J73)*$G73),1),"")</f>
        <v/>
      </c>
      <c r="AS73" s="441" t="b">
        <f ca="1">IF(AND(NOT(AO73),AND(AO$4:AO72)),TRUE,AO73)</f>
        <v>0</v>
      </c>
      <c r="AT73" s="440" t="e">
        <f ca="1">IF(AND(NOT(ISBLANK(Jumpoverwrite9)),AND(NOT(AS73),AND(AS$4:AS72))),($J73*$G73-LN(1+Jumpoverwrite9*AU$2))/$G73,_xll.qlInterpolationInterpolate(AS$3,$F73,TRUE))</f>
        <v>#NAME?</v>
      </c>
      <c r="AU73" s="440" t="str">
        <f ca="1">IF(AND(NOT(AS73),AND(AS$4:AS72)),MIN(EXP((AT73-$J73)*$G73),1),"")</f>
        <v/>
      </c>
      <c r="AW73" s="441" t="b">
        <f ca="1">IF(AND(NOT(AS73),AND(AS$4:AS72)),TRUE,AS73)</f>
        <v>0</v>
      </c>
      <c r="AX73" s="440" t="e">
        <f ca="1">IF(AND(NOT(ISBLANK(Jumpoverwrite10)),AND(NOT(AW73),AND(AW$4:AW72))),($J73*$G73-LN(1+Jumpoverwrite10*AY$2))/$G73,_xll.qlInterpolationInterpolate(AW$3,$F73,TRUE))</f>
        <v>#NAME?</v>
      </c>
      <c r="AY73" s="440" t="str">
        <f ca="1">IF(AND(NOT(AW73),AND(AW$4:AW72)),MIN(EXP((AX73-$J73)*$G73),1),"")</f>
        <v/>
      </c>
      <c r="BA73" s="441" t="b">
        <f ca="1">IF(AND(NOT(AW73),AND(AW$4:AW72)),TRUE,AW73)</f>
        <v>0</v>
      </c>
      <c r="BB73" s="440" t="e">
        <f ca="1">IF(AND(NOT(ISBLANK(Jumpoverwrite11)),AND(NOT(BA73),AND(BA$4:BA72))),($J73*$G73-LN(1+Jumpoverwrite11*BC$2))/$G73,_xll.qlInterpolationInterpolate(BA$3,$F73,TRUE))</f>
        <v>#NAME?</v>
      </c>
      <c r="BC73" s="440" t="str">
        <f ca="1">IF(AND(NOT(BA73),AND(BA$4:BA72)),MIN(EXP((BB73-$J73)*$G73),1),"")</f>
        <v/>
      </c>
      <c r="BE73" s="441" t="b">
        <f ca="1">IF(AND(NOT(BA73),AND(BA$4:BA72)),TRUE,BA73)</f>
        <v>0</v>
      </c>
      <c r="BF73" s="440" t="e">
        <f ca="1">IF(AND(NOT(ISBLANK(Jumpoverwrite12)),AND(NOT(BE73),AND(BE$4:BE72))),($J73*$G73-LN(1+Jumpoverwrite12*BG$2))/$G73,_xll.qlInterpolationInterpolate(BE$3,$F73,TRUE))</f>
        <v>#NAME?</v>
      </c>
      <c r="BG73" s="440" t="str">
        <f ca="1">IF(AND(NOT(BE73),AND(BE$4:BE72)),MIN(EXP((BF73-$J73)*$G73),1),"")</f>
        <v/>
      </c>
      <c r="BI73" s="441" t="b">
        <f t="shared" ca="1" si="11"/>
        <v>0</v>
      </c>
      <c r="BJ73" s="440" t="e">
        <f ca="1">IF(AND(NOT(ISBLANK(jumpoverwrite13)),AND(NOT(BI73),AND(BI$4:BI72))),($J73*$G73-LN(1+jumpoverwrite13*BK$2))/$G73,_xll.qlInterpolationInterpolate(BI$3,$F73,TRUE))</f>
        <v>#NAME?</v>
      </c>
      <c r="BK73" s="440" t="str">
        <f ca="1">IF(AND(NOT(BI73),AND(BI$4:BI72)),MIN(EXP((BJ73-$J73)*$G73),1),"")</f>
        <v/>
      </c>
    </row>
    <row r="74" spans="1:63" x14ac:dyDescent="0.2">
      <c r="A74" s="439" t="e">
        <f ca="1"/>
        <v>#NAME?</v>
      </c>
      <c r="B74" s="438" t="e">
        <f ca="1">_xll.qlRateHelperRate($A74,InterestRatesTrigger)</f>
        <v>#NAME?</v>
      </c>
      <c r="C74" s="437" t="e">
        <f ca="1">_xll.qlRateHelperEarliestDate($A74)</f>
        <v>#NAME?</v>
      </c>
      <c r="D74" s="436" t="e">
        <f ca="1">_xll.qlRateHelperPillarDate($A74)</f>
        <v>#NAME?</v>
      </c>
      <c r="F74" s="446" t="e">
        <f t="shared" ca="1" si="9"/>
        <v>#N/A</v>
      </c>
      <c r="G74" s="445" t="e">
        <f ca="1">_xll.qlDayCounterYearFraction(DayCounter,D73,D74)</f>
        <v>#NAME?</v>
      </c>
      <c r="I74" s="444" t="b">
        <f t="shared" ca="1" si="10"/>
        <v>0</v>
      </c>
      <c r="J74" s="443" t="e">
        <f ca="1"/>
        <v>#NAME?</v>
      </c>
      <c r="K74" s="442" t="e">
        <f t="shared" ca="1" si="8"/>
        <v>#NAME?</v>
      </c>
      <c r="L74" s="430"/>
      <c r="M74" s="441" t="b">
        <f ca="1">IF(AND(NOT(I74),AND(I$4:I73)),TRUE,I74)</f>
        <v>0</v>
      </c>
      <c r="N74" s="440" t="e">
        <f ca="1">IF(AND(NOT(ISBLANK(Jumpoverwrite1)),AND(NOT(M74),AND(M$4:M73))),($J74*$G74-LN(1+Jumpoverwrite1*O$2))/$G74,_xll.qlInterpolationInterpolate(M$3,$F74,TRUE))</f>
        <v>#NAME?</v>
      </c>
      <c r="O74" s="440" t="str">
        <f ca="1">IF(AND(NOT(M74),AND(M$4:M73)),MIN(EXP((N74-$J74)*$G74),1),"")</f>
        <v/>
      </c>
      <c r="P74" s="429"/>
      <c r="Q74" s="441" t="b">
        <f ca="1">IF(AND(NOT(M74),AND(M$4:M73)),TRUE,M74)</f>
        <v>0</v>
      </c>
      <c r="R74" s="440" t="e">
        <f ca="1">IF(AND(NOT(ISBLANK(Jumpoverwrite2)),AND(NOT(Q74),AND(Q$4:Q73))),($J74*$G74-LN(1+Jumpoverwrite2*S$2))/$G74,_xll.qlInterpolationInterpolate(Q$3,$F74,TRUE))</f>
        <v>#NAME?</v>
      </c>
      <c r="S74" s="440" t="str">
        <f ca="1">IF(AND(NOT(Q74),AND(Q$4:Q73)),MIN(EXP((R74-$J74)*$G74),1),"")</f>
        <v/>
      </c>
      <c r="T74" s="429"/>
      <c r="U74" s="441" t="b">
        <f ca="1">IF(AND(NOT(Q74),AND(Q$4:Q73)),TRUE,Q74)</f>
        <v>0</v>
      </c>
      <c r="V74" s="440" t="e">
        <f ca="1">IF(AND(NOT(ISBLANK(Jumpoverwrite3)),AND(NOT(U74),AND(U$4:U73))),($J74*$G74-LN(1+Jumpoverwrite3*W$2))/$G74,_xll.qlInterpolationInterpolate(U$3,$F74,TRUE))</f>
        <v>#NAME?</v>
      </c>
      <c r="W74" s="440" t="str">
        <f ca="1">IF(AND(NOT(U74),AND(U$4:U73)),MIN(EXP((V74-$J74)*$G74),1),"")</f>
        <v/>
      </c>
      <c r="X74" s="429"/>
      <c r="Y74" s="441" t="b">
        <f ca="1">IF(AND(NOT(U74),AND(U$4:U73)),TRUE,U74)</f>
        <v>0</v>
      </c>
      <c r="Z74" s="440" t="e">
        <f ca="1">IF(AND(NOT(ISBLANK(Jumpoverwrite4)),AND(NOT(Y74),AND(Y$4:Y73))),($J74*$G74-LN(1+Jumpoverwrite4*AA$2))/$G74,_xll.qlInterpolationInterpolate(Y$3,$F74,TRUE))</f>
        <v>#NAME?</v>
      </c>
      <c r="AA74" s="440" t="str">
        <f ca="1">IF(AND(NOT(Y74),AND(Y$4:Y73)),MIN(EXP((Z74-$J74)*$G74),1),"")</f>
        <v/>
      </c>
      <c r="AB74" s="429"/>
      <c r="AC74" s="441" t="b">
        <f ca="1">IF(AND(NOT(Y74),AND(Y$4:Y73)),TRUE,Y74)</f>
        <v>0</v>
      </c>
      <c r="AD74" s="440" t="e">
        <f ca="1">IF(AND(NOT(ISBLANK(Jumpoverwrite5)),AND(NOT(AC74),AND(AC$4:AC73))),($J74*$G74-LN(1+Jumpoverwrite5*AE$2))/$G74,_xll.qlInterpolationInterpolate(AC$3,$F74,TRUE))</f>
        <v>#NAME?</v>
      </c>
      <c r="AE74" s="440" t="str">
        <f ca="1">IF(AND(NOT(AC74),AND(AC$4:AC73)),MIN(EXP((AD74-$J74)*$G74),1),"")</f>
        <v/>
      </c>
      <c r="AF74" s="429"/>
      <c r="AG74" s="441" t="b">
        <f ca="1">IF(AND(NOT(AC74),AND(AC$4:AC73)),TRUE,AC74)</f>
        <v>0</v>
      </c>
      <c r="AH74" s="440" t="e">
        <f ca="1">IF(AND(NOT(ISBLANK(Jumpoverwrite6)),AND(NOT(AG74),AND(AG$4:AG73))),($J74*$G74-LN(1+Jumpoverwrite6*AI$2))/$G74,_xll.qlInterpolationInterpolate(AG$3,$F74,TRUE))</f>
        <v>#NAME?</v>
      </c>
      <c r="AI74" s="440" t="str">
        <f ca="1">IF(AND(NOT(AG74),AND(AG$4:AG73)),MIN(EXP((AH74-$J74)*$G74),1),"")</f>
        <v/>
      </c>
      <c r="AJ74" s="429"/>
      <c r="AK74" s="441" t="b">
        <f ca="1">IF(AND(NOT(AG74),AND(AG$4:AG73)),TRUE,AG74)</f>
        <v>0</v>
      </c>
      <c r="AL74" s="440" t="e">
        <f ca="1">IF(AND(NOT(ISBLANK(Jumpoverwrite7)),AND(NOT(AK74),AND(AK$4:AK73))),($J74*$G74-LN(1+Jumpoverwrite7*AM$2))/$G74,_xll.qlInterpolationInterpolate(AK$3,$F74,TRUE))</f>
        <v>#NAME?</v>
      </c>
      <c r="AM74" s="440" t="str">
        <f ca="1">IF(AND(NOT(AK74),AND(AK$4:AK73)),MIN(EXP((AL74-$J74)*$G74),1),"")</f>
        <v/>
      </c>
      <c r="AO74" s="441" t="b">
        <f ca="1">IF(AND(NOT(AK74),AND(AK$4:AK73)),TRUE,AK74)</f>
        <v>0</v>
      </c>
      <c r="AP74" s="440" t="e">
        <f ca="1">IF(AND(NOT(ISBLANK(Jumpoverwrite8)),AND(NOT(AO74),AND(AO$4:AO73))),($J74*$G74-LN(1+Jumpoverwrite8*AQ$2))/$G74,_xll.qlInterpolationInterpolate(AO$3,$F74,TRUE))</f>
        <v>#NAME?</v>
      </c>
      <c r="AQ74" s="440" t="str">
        <f ca="1">IF(AND(NOT(AO74),AND(AO$4:AO73)),MIN(EXP((AP74-$J74)*$G74),1),"")</f>
        <v/>
      </c>
      <c r="AS74" s="441" t="b">
        <f ca="1">IF(AND(NOT(AO74),AND(AO$4:AO73)),TRUE,AO74)</f>
        <v>0</v>
      </c>
      <c r="AT74" s="440" t="e">
        <f ca="1">IF(AND(NOT(ISBLANK(Jumpoverwrite9)),AND(NOT(AS74),AND(AS$4:AS73))),($J74*$G74-LN(1+Jumpoverwrite9*AU$2))/$G74,_xll.qlInterpolationInterpolate(AS$3,$F74,TRUE))</f>
        <v>#NAME?</v>
      </c>
      <c r="AU74" s="440" t="str">
        <f ca="1">IF(AND(NOT(AS74),AND(AS$4:AS73)),MIN(EXP((AT74-$J74)*$G74),1),"")</f>
        <v/>
      </c>
      <c r="AW74" s="441" t="b">
        <f ca="1">IF(AND(NOT(AS74),AND(AS$4:AS73)),TRUE,AS74)</f>
        <v>0</v>
      </c>
      <c r="AX74" s="440" t="e">
        <f ca="1">IF(AND(NOT(ISBLANK(Jumpoverwrite10)),AND(NOT(AW74),AND(AW$4:AW73))),($J74*$G74-LN(1+Jumpoverwrite10*AY$2))/$G74,_xll.qlInterpolationInterpolate(AW$3,$F74,TRUE))</f>
        <v>#NAME?</v>
      </c>
      <c r="AY74" s="440" t="str">
        <f ca="1">IF(AND(NOT(AW74),AND(AW$4:AW73)),MIN(EXP((AX74-$J74)*$G74),1),"")</f>
        <v/>
      </c>
      <c r="BA74" s="441" t="b">
        <f ca="1">IF(AND(NOT(AW74),AND(AW$4:AW73)),TRUE,AW74)</f>
        <v>0</v>
      </c>
      <c r="BB74" s="440" t="e">
        <f ca="1">IF(AND(NOT(ISBLANK(Jumpoverwrite11)),AND(NOT(BA74),AND(BA$4:BA73))),($J74*$G74-LN(1+Jumpoverwrite11*BC$2))/$G74,_xll.qlInterpolationInterpolate(BA$3,$F74,TRUE))</f>
        <v>#NAME?</v>
      </c>
      <c r="BC74" s="440" t="str">
        <f ca="1">IF(AND(NOT(BA74),AND(BA$4:BA73)),MIN(EXP((BB74-$J74)*$G74),1),"")</f>
        <v/>
      </c>
      <c r="BE74" s="441" t="b">
        <f ca="1">IF(AND(NOT(BA74),AND(BA$4:BA73)),TRUE,BA74)</f>
        <v>0</v>
      </c>
      <c r="BF74" s="440" t="e">
        <f ca="1">IF(AND(NOT(ISBLANK(Jumpoverwrite12)),AND(NOT(BE74),AND(BE$4:BE73))),($J74*$G74-LN(1+Jumpoverwrite12*BG$2))/$G74,_xll.qlInterpolationInterpolate(BE$3,$F74,TRUE))</f>
        <v>#NAME?</v>
      </c>
      <c r="BG74" s="440" t="str">
        <f ca="1">IF(AND(NOT(BE74),AND(BE$4:BE73)),MIN(EXP((BF74-$J74)*$G74),1),"")</f>
        <v/>
      </c>
      <c r="BI74" s="441" t="b">
        <f t="shared" ca="1" si="11"/>
        <v>0</v>
      </c>
      <c r="BJ74" s="440" t="e">
        <f ca="1">IF(AND(NOT(ISBLANK(jumpoverwrite13)),AND(NOT(BI74),AND(BI$4:BI73))),($J74*$G74-LN(1+jumpoverwrite13*BK$2))/$G74,_xll.qlInterpolationInterpolate(BI$3,$F74,TRUE))</f>
        <v>#NAME?</v>
      </c>
      <c r="BK74" s="440" t="str">
        <f ca="1">IF(AND(NOT(BI74),AND(BI$4:BI73)),MIN(EXP((BJ74-$J74)*$G74),1),"")</f>
        <v/>
      </c>
    </row>
    <row r="75" spans="1:63" x14ac:dyDescent="0.2">
      <c r="A75" s="439" t="e">
        <f ca="1"/>
        <v>#NAME?</v>
      </c>
      <c r="B75" s="438" t="e">
        <f ca="1">_xll.qlRateHelperRate($A75,InterestRatesTrigger)</f>
        <v>#NAME?</v>
      </c>
      <c r="C75" s="437" t="e">
        <f ca="1">_xll.qlRateHelperEarliestDate($A75)</f>
        <v>#NAME?</v>
      </c>
      <c r="D75" s="436" t="e">
        <f ca="1">_xll.qlRateHelperPillarDate($A75)</f>
        <v>#NAME?</v>
      </c>
      <c r="F75" s="446" t="e">
        <f t="shared" ca="1" si="9"/>
        <v>#N/A</v>
      </c>
      <c r="G75" s="445" t="e">
        <f ca="1">_xll.qlDayCounterYearFraction(DayCounter,D74,D75)</f>
        <v>#NAME?</v>
      </c>
      <c r="I75" s="444" t="b">
        <f t="shared" ca="1" si="10"/>
        <v>0</v>
      </c>
      <c r="J75" s="443" t="e">
        <f ca="1"/>
        <v>#NAME?</v>
      </c>
      <c r="K75" s="442" t="e">
        <f t="shared" ca="1" si="8"/>
        <v>#NAME?</v>
      </c>
      <c r="L75" s="430"/>
      <c r="M75" s="441" t="b">
        <f ca="1">IF(AND(NOT(I75),AND(I$4:I74)),TRUE,I75)</f>
        <v>0</v>
      </c>
      <c r="N75" s="440" t="e">
        <f ca="1">IF(AND(NOT(ISBLANK(Jumpoverwrite1)),AND(NOT(M75),AND(M$4:M74))),($J75*$G75-LN(1+Jumpoverwrite1*O$2))/$G75,_xll.qlInterpolationInterpolate(M$3,$F75,TRUE))</f>
        <v>#NAME?</v>
      </c>
      <c r="O75" s="440" t="str">
        <f ca="1">IF(AND(NOT(M75),AND(M$4:M74)),MIN(EXP((N75-$J75)*$G75),1),"")</f>
        <v/>
      </c>
      <c r="P75" s="429"/>
      <c r="Q75" s="441" t="b">
        <f ca="1">IF(AND(NOT(M75),AND(M$4:M74)),TRUE,M75)</f>
        <v>0</v>
      </c>
      <c r="R75" s="440" t="e">
        <f ca="1">IF(AND(NOT(ISBLANK(Jumpoverwrite2)),AND(NOT(Q75),AND(Q$4:Q74))),($J75*$G75-LN(1+Jumpoverwrite2*S$2))/$G75,_xll.qlInterpolationInterpolate(Q$3,$F75,TRUE))</f>
        <v>#NAME?</v>
      </c>
      <c r="S75" s="440" t="str">
        <f ca="1">IF(AND(NOT(Q75),AND(Q$4:Q74)),MIN(EXP((R75-$J75)*$G75),1),"")</f>
        <v/>
      </c>
      <c r="T75" s="429"/>
      <c r="U75" s="441" t="b">
        <f ca="1">IF(AND(NOT(Q75),AND(Q$4:Q74)),TRUE,Q75)</f>
        <v>0</v>
      </c>
      <c r="V75" s="440" t="e">
        <f ca="1">IF(AND(NOT(ISBLANK(Jumpoverwrite3)),AND(NOT(U75),AND(U$4:U74))),($J75*$G75-LN(1+Jumpoverwrite3*W$2))/$G75,_xll.qlInterpolationInterpolate(U$3,$F75,TRUE))</f>
        <v>#NAME?</v>
      </c>
      <c r="W75" s="440" t="str">
        <f ca="1">IF(AND(NOT(U75),AND(U$4:U74)),MIN(EXP((V75-$J75)*$G75),1),"")</f>
        <v/>
      </c>
      <c r="X75" s="429"/>
      <c r="Y75" s="441" t="b">
        <f ca="1">IF(AND(NOT(U75),AND(U$4:U74)),TRUE,U75)</f>
        <v>0</v>
      </c>
      <c r="Z75" s="440" t="e">
        <f ca="1">IF(AND(NOT(ISBLANK(Jumpoverwrite4)),AND(NOT(Y75),AND(Y$4:Y74))),($J75*$G75-LN(1+Jumpoverwrite4*AA$2))/$G75,_xll.qlInterpolationInterpolate(Y$3,$F75,TRUE))</f>
        <v>#NAME?</v>
      </c>
      <c r="AA75" s="440" t="str">
        <f ca="1">IF(AND(NOT(Y75),AND(Y$4:Y74)),MIN(EXP((Z75-$J75)*$G75),1),"")</f>
        <v/>
      </c>
      <c r="AB75" s="429"/>
      <c r="AC75" s="441" t="b">
        <f ca="1">IF(AND(NOT(Y75),AND(Y$4:Y74)),TRUE,Y75)</f>
        <v>0</v>
      </c>
      <c r="AD75" s="440" t="e">
        <f ca="1">IF(AND(NOT(ISBLANK(Jumpoverwrite5)),AND(NOT(AC75),AND(AC$4:AC74))),($J75*$G75-LN(1+Jumpoverwrite5*AE$2))/$G75,_xll.qlInterpolationInterpolate(AC$3,$F75,TRUE))</f>
        <v>#NAME?</v>
      </c>
      <c r="AE75" s="440" t="str">
        <f ca="1">IF(AND(NOT(AC75),AND(AC$4:AC74)),MIN(EXP((AD75-$J75)*$G75),1),"")</f>
        <v/>
      </c>
      <c r="AF75" s="429"/>
      <c r="AG75" s="441" t="b">
        <f ca="1">IF(AND(NOT(AC75),AND(AC$4:AC74)),TRUE,AC75)</f>
        <v>0</v>
      </c>
      <c r="AH75" s="440" t="e">
        <f ca="1">IF(AND(NOT(ISBLANK(Jumpoverwrite6)),AND(NOT(AG75),AND(AG$4:AG74))),($J75*$G75-LN(1+Jumpoverwrite6*AI$2))/$G75,_xll.qlInterpolationInterpolate(AG$3,$F75,TRUE))</f>
        <v>#NAME?</v>
      </c>
      <c r="AI75" s="440" t="str">
        <f ca="1">IF(AND(NOT(AG75),AND(AG$4:AG74)),MIN(EXP((AH75-$J75)*$G75),1),"")</f>
        <v/>
      </c>
      <c r="AJ75" s="429"/>
      <c r="AK75" s="441" t="b">
        <f ca="1">IF(AND(NOT(AG75),AND(AG$4:AG74)),TRUE,AG75)</f>
        <v>0</v>
      </c>
      <c r="AL75" s="440" t="e">
        <f ca="1">IF(AND(NOT(ISBLANK(Jumpoverwrite7)),AND(NOT(AK75),AND(AK$4:AK74))),($J75*$G75-LN(1+Jumpoverwrite7*AM$2))/$G75,_xll.qlInterpolationInterpolate(AK$3,$F75,TRUE))</f>
        <v>#NAME?</v>
      </c>
      <c r="AM75" s="440" t="str">
        <f ca="1">IF(AND(NOT(AK75),AND(AK$4:AK74)),MIN(EXP((AL75-$J75)*$G75),1),"")</f>
        <v/>
      </c>
      <c r="AO75" s="441" t="b">
        <f ca="1">IF(AND(NOT(AK75),AND(AK$4:AK74)),TRUE,AK75)</f>
        <v>0</v>
      </c>
      <c r="AP75" s="440" t="e">
        <f ca="1">IF(AND(NOT(ISBLANK(Jumpoverwrite8)),AND(NOT(AO75),AND(AO$4:AO74))),($J75*$G75-LN(1+Jumpoverwrite8*AQ$2))/$G75,_xll.qlInterpolationInterpolate(AO$3,$F75,TRUE))</f>
        <v>#NAME?</v>
      </c>
      <c r="AQ75" s="440" t="str">
        <f ca="1">IF(AND(NOT(AO75),AND(AO$4:AO74)),MIN(EXP((AP75-$J75)*$G75),1),"")</f>
        <v/>
      </c>
      <c r="AS75" s="441" t="b">
        <f ca="1">IF(AND(NOT(AO75),AND(AO$4:AO74)),TRUE,AO75)</f>
        <v>0</v>
      </c>
      <c r="AT75" s="440" t="e">
        <f ca="1">IF(AND(NOT(ISBLANK(Jumpoverwrite9)),AND(NOT(AS75),AND(AS$4:AS74))),($J75*$G75-LN(1+Jumpoverwrite9*AU$2))/$G75,_xll.qlInterpolationInterpolate(AS$3,$F75,TRUE))</f>
        <v>#NAME?</v>
      </c>
      <c r="AU75" s="440" t="str">
        <f ca="1">IF(AND(NOT(AS75),AND(AS$4:AS74)),MIN(EXP((AT75-$J75)*$G75),1),"")</f>
        <v/>
      </c>
      <c r="AW75" s="441" t="b">
        <f ca="1">IF(AND(NOT(AS75),AND(AS$4:AS74)),TRUE,AS75)</f>
        <v>0</v>
      </c>
      <c r="AX75" s="440" t="e">
        <f ca="1">IF(AND(NOT(ISBLANK(Jumpoverwrite10)),AND(NOT(AW75),AND(AW$4:AW74))),($J75*$G75-LN(1+Jumpoverwrite10*AY$2))/$G75,_xll.qlInterpolationInterpolate(AW$3,$F75,TRUE))</f>
        <v>#NAME?</v>
      </c>
      <c r="AY75" s="440" t="str">
        <f ca="1">IF(AND(NOT(AW75),AND(AW$4:AW74)),MIN(EXP((AX75-$J75)*$G75),1),"")</f>
        <v/>
      </c>
      <c r="BA75" s="441" t="b">
        <f ca="1">IF(AND(NOT(AW75),AND(AW$4:AW74)),TRUE,AW75)</f>
        <v>0</v>
      </c>
      <c r="BB75" s="440" t="e">
        <f ca="1">IF(AND(NOT(ISBLANK(Jumpoverwrite11)),AND(NOT(BA75),AND(BA$4:BA74))),($J75*$G75-LN(1+Jumpoverwrite11*BC$2))/$G75,_xll.qlInterpolationInterpolate(BA$3,$F75,TRUE))</f>
        <v>#NAME?</v>
      </c>
      <c r="BC75" s="440" t="str">
        <f ca="1">IF(AND(NOT(BA75),AND(BA$4:BA74)),MIN(EXP((BB75-$J75)*$G75),1),"")</f>
        <v/>
      </c>
      <c r="BE75" s="441" t="b">
        <f ca="1">IF(AND(NOT(BA75),AND(BA$4:BA74)),TRUE,BA75)</f>
        <v>0</v>
      </c>
      <c r="BF75" s="440" t="e">
        <f ca="1">IF(AND(NOT(ISBLANK(Jumpoverwrite12)),AND(NOT(BE75),AND(BE$4:BE74))),($J75*$G75-LN(1+Jumpoverwrite12*BG$2))/$G75,_xll.qlInterpolationInterpolate(BE$3,$F75,TRUE))</f>
        <v>#NAME?</v>
      </c>
      <c r="BG75" s="440" t="str">
        <f ca="1">IF(AND(NOT(BE75),AND(BE$4:BE74)),MIN(EXP((BF75-$J75)*$G75),1),"")</f>
        <v/>
      </c>
      <c r="BI75" s="441" t="b">
        <f t="shared" ca="1" si="11"/>
        <v>0</v>
      </c>
      <c r="BJ75" s="440" t="e">
        <f ca="1">IF(AND(NOT(ISBLANK(jumpoverwrite13)),AND(NOT(BI75),AND(BI$4:BI74))),($J75*$G75-LN(1+jumpoverwrite13*BK$2))/$G75,_xll.qlInterpolationInterpolate(BI$3,$F75,TRUE))</f>
        <v>#NAME?</v>
      </c>
      <c r="BK75" s="440" t="str">
        <f ca="1">IF(AND(NOT(BI75),AND(BI$4:BI74)),MIN(EXP((BJ75-$J75)*$G75),1),"")</f>
        <v/>
      </c>
    </row>
    <row r="76" spans="1:63" x14ac:dyDescent="0.2">
      <c r="A76" s="439" t="e">
        <f ca="1"/>
        <v>#NAME?</v>
      </c>
      <c r="B76" s="438" t="e">
        <f ca="1">_xll.qlRateHelperRate($A76,InterestRatesTrigger)</f>
        <v>#NAME?</v>
      </c>
      <c r="C76" s="437" t="e">
        <f ca="1">_xll.qlRateHelperEarliestDate($A76)</f>
        <v>#NAME?</v>
      </c>
      <c r="D76" s="436" t="e">
        <f ca="1">_xll.qlRateHelperPillarDate($A76)</f>
        <v>#NAME?</v>
      </c>
      <c r="F76" s="446" t="e">
        <f t="shared" ca="1" si="9"/>
        <v>#N/A</v>
      </c>
      <c r="G76" s="445" t="e">
        <f ca="1">_xll.qlDayCounterYearFraction(DayCounter,D75,D76)</f>
        <v>#NAME?</v>
      </c>
      <c r="I76" s="444" t="b">
        <f t="shared" ca="1" si="10"/>
        <v>0</v>
      </c>
      <c r="J76" s="443" t="e">
        <f ca="1"/>
        <v>#NAME?</v>
      </c>
      <c r="K76" s="442" t="e">
        <f t="shared" ca="1" si="8"/>
        <v>#NAME?</v>
      </c>
      <c r="L76" s="430"/>
      <c r="M76" s="441" t="b">
        <f ca="1">IF(AND(NOT(I76),AND(I$4:I75)),TRUE,I76)</f>
        <v>0</v>
      </c>
      <c r="N76" s="440" t="e">
        <f ca="1">IF(AND(NOT(ISBLANK(Jumpoverwrite1)),AND(NOT(M76),AND(M$4:M75))),($J76*$G76-LN(1+Jumpoverwrite1*O$2))/$G76,_xll.qlInterpolationInterpolate(M$3,$F76,TRUE))</f>
        <v>#NAME?</v>
      </c>
      <c r="O76" s="440" t="str">
        <f ca="1">IF(AND(NOT(M76),AND(M$4:M75)),MIN(EXP((N76-$J76)*$G76),1),"")</f>
        <v/>
      </c>
      <c r="P76" s="429"/>
      <c r="Q76" s="441" t="b">
        <f ca="1">IF(AND(NOT(M76),AND(M$4:M75)),TRUE,M76)</f>
        <v>0</v>
      </c>
      <c r="R76" s="440" t="e">
        <f ca="1">IF(AND(NOT(ISBLANK(Jumpoverwrite2)),AND(NOT(Q76),AND(Q$4:Q75))),($J76*$G76-LN(1+Jumpoverwrite2*S$2))/$G76,_xll.qlInterpolationInterpolate(Q$3,$F76,TRUE))</f>
        <v>#NAME?</v>
      </c>
      <c r="S76" s="440" t="str">
        <f ca="1">IF(AND(NOT(Q76),AND(Q$4:Q75)),MIN(EXP((R76-$J76)*$G76),1),"")</f>
        <v/>
      </c>
      <c r="T76" s="429"/>
      <c r="U76" s="441" t="b">
        <f ca="1">IF(AND(NOT(Q76),AND(Q$4:Q75)),TRUE,Q76)</f>
        <v>0</v>
      </c>
      <c r="V76" s="440" t="e">
        <f ca="1">IF(AND(NOT(ISBLANK(Jumpoverwrite3)),AND(NOT(U76),AND(U$4:U75))),($J76*$G76-LN(1+Jumpoverwrite3*W$2))/$G76,_xll.qlInterpolationInterpolate(U$3,$F76,TRUE))</f>
        <v>#NAME?</v>
      </c>
      <c r="W76" s="440" t="str">
        <f ca="1">IF(AND(NOT(U76),AND(U$4:U75)),MIN(EXP((V76-$J76)*$G76),1),"")</f>
        <v/>
      </c>
      <c r="X76" s="429"/>
      <c r="Y76" s="441" t="b">
        <f ca="1">IF(AND(NOT(U76),AND(U$4:U75)),TRUE,U76)</f>
        <v>0</v>
      </c>
      <c r="Z76" s="440" t="e">
        <f ca="1">IF(AND(NOT(ISBLANK(Jumpoverwrite4)),AND(NOT(Y76),AND(Y$4:Y75))),($J76*$G76-LN(1+Jumpoverwrite4*AA$2))/$G76,_xll.qlInterpolationInterpolate(Y$3,$F76,TRUE))</f>
        <v>#NAME?</v>
      </c>
      <c r="AA76" s="440" t="str">
        <f ca="1">IF(AND(NOT(Y76),AND(Y$4:Y75)),MIN(EXP((Z76-$J76)*$G76),1),"")</f>
        <v/>
      </c>
      <c r="AB76" s="429"/>
      <c r="AC76" s="441" t="b">
        <f ca="1">IF(AND(NOT(Y76),AND(Y$4:Y75)),TRUE,Y76)</f>
        <v>0</v>
      </c>
      <c r="AD76" s="440" t="e">
        <f ca="1">IF(AND(NOT(ISBLANK(Jumpoverwrite5)),AND(NOT(AC76),AND(AC$4:AC75))),($J76*$G76-LN(1+Jumpoverwrite5*AE$2))/$G76,_xll.qlInterpolationInterpolate(AC$3,$F76,TRUE))</f>
        <v>#NAME?</v>
      </c>
      <c r="AE76" s="440" t="str">
        <f ca="1">IF(AND(NOT(AC76),AND(AC$4:AC75)),MIN(EXP((AD76-$J76)*$G76),1),"")</f>
        <v/>
      </c>
      <c r="AF76" s="429"/>
      <c r="AG76" s="441" t="b">
        <f ca="1">IF(AND(NOT(AC76),AND(AC$4:AC75)),TRUE,AC76)</f>
        <v>0</v>
      </c>
      <c r="AH76" s="440" t="e">
        <f ca="1">IF(AND(NOT(ISBLANK(Jumpoverwrite6)),AND(NOT(AG76),AND(AG$4:AG75))),($J76*$G76-LN(1+Jumpoverwrite6*AI$2))/$G76,_xll.qlInterpolationInterpolate(AG$3,$F76,TRUE))</f>
        <v>#NAME?</v>
      </c>
      <c r="AI76" s="440" t="str">
        <f ca="1">IF(AND(NOT(AG76),AND(AG$4:AG75)),MIN(EXP((AH76-$J76)*$G76),1),"")</f>
        <v/>
      </c>
      <c r="AJ76" s="429"/>
      <c r="AK76" s="441" t="b">
        <f ca="1">IF(AND(NOT(AG76),AND(AG$4:AG75)),TRUE,AG76)</f>
        <v>0</v>
      </c>
      <c r="AL76" s="440" t="e">
        <f ca="1">IF(AND(NOT(ISBLANK(Jumpoverwrite7)),AND(NOT(AK76),AND(AK$4:AK75))),($J76*$G76-LN(1+Jumpoverwrite7*AM$2))/$G76,_xll.qlInterpolationInterpolate(AK$3,$F76,TRUE))</f>
        <v>#NAME?</v>
      </c>
      <c r="AM76" s="440" t="str">
        <f ca="1">IF(AND(NOT(AK76),AND(AK$4:AK75)),MIN(EXP((AL76-$J76)*$G76),1),"")</f>
        <v/>
      </c>
      <c r="AO76" s="441" t="b">
        <f ca="1">IF(AND(NOT(AK76),AND(AK$4:AK75)),TRUE,AK76)</f>
        <v>0</v>
      </c>
      <c r="AP76" s="440" t="e">
        <f ca="1">IF(AND(NOT(ISBLANK(Jumpoverwrite8)),AND(NOT(AO76),AND(AO$4:AO75))),($J76*$G76-LN(1+Jumpoverwrite8*AQ$2))/$G76,_xll.qlInterpolationInterpolate(AO$3,$F76,TRUE))</f>
        <v>#NAME?</v>
      </c>
      <c r="AQ76" s="440" t="str">
        <f ca="1">IF(AND(NOT(AO76),AND(AO$4:AO75)),MIN(EXP((AP76-$J76)*$G76),1),"")</f>
        <v/>
      </c>
      <c r="AS76" s="441" t="b">
        <f ca="1">IF(AND(NOT(AO76),AND(AO$4:AO75)),TRUE,AO76)</f>
        <v>0</v>
      </c>
      <c r="AT76" s="440" t="e">
        <f ca="1">IF(AND(NOT(ISBLANK(Jumpoverwrite9)),AND(NOT(AS76),AND(AS$4:AS75))),($J76*$G76-LN(1+Jumpoverwrite9*AU$2))/$G76,_xll.qlInterpolationInterpolate(AS$3,$F76,TRUE))</f>
        <v>#NAME?</v>
      </c>
      <c r="AU76" s="440" t="str">
        <f ca="1">IF(AND(NOT(AS76),AND(AS$4:AS75)),MIN(EXP((AT76-$J76)*$G76),1),"")</f>
        <v/>
      </c>
      <c r="AW76" s="441" t="b">
        <f ca="1">IF(AND(NOT(AS76),AND(AS$4:AS75)),TRUE,AS76)</f>
        <v>0</v>
      </c>
      <c r="AX76" s="440" t="e">
        <f ca="1">IF(AND(NOT(ISBLANK(Jumpoverwrite10)),AND(NOT(AW76),AND(AW$4:AW75))),($J76*$G76-LN(1+Jumpoverwrite10*AY$2))/$G76,_xll.qlInterpolationInterpolate(AW$3,$F76,TRUE))</f>
        <v>#NAME?</v>
      </c>
      <c r="AY76" s="440" t="str">
        <f ca="1">IF(AND(NOT(AW76),AND(AW$4:AW75)),MIN(EXP((AX76-$J76)*$G76),1),"")</f>
        <v/>
      </c>
      <c r="BA76" s="441" t="b">
        <f ca="1">IF(AND(NOT(AW76),AND(AW$4:AW75)),TRUE,AW76)</f>
        <v>0</v>
      </c>
      <c r="BB76" s="440" t="e">
        <f ca="1">IF(AND(NOT(ISBLANK(Jumpoverwrite11)),AND(NOT(BA76),AND(BA$4:BA75))),($J76*$G76-LN(1+Jumpoverwrite11*BC$2))/$G76,_xll.qlInterpolationInterpolate(BA$3,$F76,TRUE))</f>
        <v>#NAME?</v>
      </c>
      <c r="BC76" s="440" t="str">
        <f ca="1">IF(AND(NOT(BA76),AND(BA$4:BA75)),MIN(EXP((BB76-$J76)*$G76),1),"")</f>
        <v/>
      </c>
      <c r="BE76" s="441" t="b">
        <f ca="1">IF(AND(NOT(BA76),AND(BA$4:BA75)),TRUE,BA76)</f>
        <v>0</v>
      </c>
      <c r="BF76" s="440" t="e">
        <f ca="1">IF(AND(NOT(ISBLANK(Jumpoverwrite12)),AND(NOT(BE76),AND(BE$4:BE75))),($J76*$G76-LN(1+Jumpoverwrite12*BG$2))/$G76,_xll.qlInterpolationInterpolate(BE$3,$F76,TRUE))</f>
        <v>#NAME?</v>
      </c>
      <c r="BG76" s="440" t="str">
        <f ca="1">IF(AND(NOT(BE76),AND(BE$4:BE75)),MIN(EXP((BF76-$J76)*$G76),1),"")</f>
        <v/>
      </c>
      <c r="BI76" s="441" t="b">
        <f t="shared" ca="1" si="11"/>
        <v>0</v>
      </c>
      <c r="BJ76" s="440" t="e">
        <f ca="1">IF(AND(NOT(ISBLANK(jumpoverwrite13)),AND(NOT(BI76),AND(BI$4:BI75))),($J76*$G76-LN(1+jumpoverwrite13*BK$2))/$G76,_xll.qlInterpolationInterpolate(BI$3,$F76,TRUE))</f>
        <v>#NAME?</v>
      </c>
      <c r="BK76" s="440" t="str">
        <f ca="1">IF(AND(NOT(BI76),AND(BI$4:BI75)),MIN(EXP((BJ76-$J76)*$G76),1),"")</f>
        <v/>
      </c>
    </row>
    <row r="77" spans="1:63" x14ac:dyDescent="0.2">
      <c r="A77" s="439" t="e">
        <f ca="1"/>
        <v>#NAME?</v>
      </c>
      <c r="B77" s="438" t="e">
        <f ca="1">_xll.qlRateHelperRate($A77,InterestRatesTrigger)</f>
        <v>#NAME?</v>
      </c>
      <c r="C77" s="437" t="e">
        <f ca="1">_xll.qlRateHelperEarliestDate($A77)</f>
        <v>#NAME?</v>
      </c>
      <c r="D77" s="436" t="e">
        <f ca="1">_xll.qlRateHelperPillarDate($A77)</f>
        <v>#NAME?</v>
      </c>
      <c r="F77" s="446" t="e">
        <f t="shared" ca="1" si="9"/>
        <v>#N/A</v>
      </c>
      <c r="G77" s="445" t="e">
        <f ca="1">_xll.qlDayCounterYearFraction(DayCounter,D76,D77)</f>
        <v>#NAME?</v>
      </c>
      <c r="I77" s="444" t="b">
        <f t="shared" ca="1" si="10"/>
        <v>0</v>
      </c>
      <c r="J77" s="443" t="e">
        <f ca="1"/>
        <v>#NAME?</v>
      </c>
      <c r="K77" s="442" t="e">
        <f t="shared" ca="1" si="8"/>
        <v>#NAME?</v>
      </c>
      <c r="L77" s="430"/>
      <c r="M77" s="441" t="b">
        <f ca="1">IF(AND(NOT(I77),AND(I$4:I76)),TRUE,I77)</f>
        <v>0</v>
      </c>
      <c r="N77" s="440" t="e">
        <f ca="1">IF(AND(NOT(ISBLANK(Jumpoverwrite1)),AND(NOT(M77),AND(M$4:M76))),($J77*$G77-LN(1+Jumpoverwrite1*O$2))/$G77,_xll.qlInterpolationInterpolate(M$3,$F77,TRUE))</f>
        <v>#NAME?</v>
      </c>
      <c r="O77" s="440" t="str">
        <f ca="1">IF(AND(NOT(M77),AND(M$4:M76)),MIN(EXP((N77-$J77)*$G77),1),"")</f>
        <v/>
      </c>
      <c r="P77" s="429"/>
      <c r="Q77" s="441" t="b">
        <f ca="1">IF(AND(NOT(M77),AND(M$4:M76)),TRUE,M77)</f>
        <v>0</v>
      </c>
      <c r="R77" s="440" t="e">
        <f ca="1">IF(AND(NOT(ISBLANK(Jumpoverwrite2)),AND(NOT(Q77),AND(Q$4:Q76))),($J77*$G77-LN(1+Jumpoverwrite2*S$2))/$G77,_xll.qlInterpolationInterpolate(Q$3,$F77,TRUE))</f>
        <v>#NAME?</v>
      </c>
      <c r="S77" s="440" t="str">
        <f ca="1">IF(AND(NOT(Q77),AND(Q$4:Q76)),MIN(EXP((R77-$J77)*$G77),1),"")</f>
        <v/>
      </c>
      <c r="T77" s="429"/>
      <c r="U77" s="441" t="b">
        <f ca="1">IF(AND(NOT(Q77),AND(Q$4:Q76)),TRUE,Q77)</f>
        <v>0</v>
      </c>
      <c r="V77" s="440" t="e">
        <f ca="1">IF(AND(NOT(ISBLANK(Jumpoverwrite3)),AND(NOT(U77),AND(U$4:U76))),($J77*$G77-LN(1+Jumpoverwrite3*W$2))/$G77,_xll.qlInterpolationInterpolate(U$3,$F77,TRUE))</f>
        <v>#NAME?</v>
      </c>
      <c r="W77" s="440" t="str">
        <f ca="1">IF(AND(NOT(U77),AND(U$4:U76)),MIN(EXP((V77-$J77)*$G77),1),"")</f>
        <v/>
      </c>
      <c r="X77" s="429"/>
      <c r="Y77" s="441" t="b">
        <f ca="1">IF(AND(NOT(U77),AND(U$4:U76)),TRUE,U77)</f>
        <v>0</v>
      </c>
      <c r="Z77" s="440" t="e">
        <f ca="1">IF(AND(NOT(ISBLANK(Jumpoverwrite4)),AND(NOT(Y77),AND(Y$4:Y76))),($J77*$G77-LN(1+Jumpoverwrite4*AA$2))/$G77,_xll.qlInterpolationInterpolate(Y$3,$F77,TRUE))</f>
        <v>#NAME?</v>
      </c>
      <c r="AA77" s="440" t="str">
        <f ca="1">IF(AND(NOT(Y77),AND(Y$4:Y76)),MIN(EXP((Z77-$J77)*$G77),1),"")</f>
        <v/>
      </c>
      <c r="AB77" s="429"/>
      <c r="AC77" s="441" t="b">
        <f ca="1">IF(AND(NOT(Y77),AND(Y$4:Y76)),TRUE,Y77)</f>
        <v>0</v>
      </c>
      <c r="AD77" s="440" t="e">
        <f ca="1">IF(AND(NOT(ISBLANK(Jumpoverwrite5)),AND(NOT(AC77),AND(AC$4:AC76))),($J77*$G77-LN(1+Jumpoverwrite5*AE$2))/$G77,_xll.qlInterpolationInterpolate(AC$3,$F77,TRUE))</f>
        <v>#NAME?</v>
      </c>
      <c r="AE77" s="440" t="str">
        <f ca="1">IF(AND(NOT(AC77),AND(AC$4:AC76)),MIN(EXP((AD77-$J77)*$G77),1),"")</f>
        <v/>
      </c>
      <c r="AF77" s="429"/>
      <c r="AG77" s="441" t="b">
        <f ca="1">IF(AND(NOT(AC77),AND(AC$4:AC76)),TRUE,AC77)</f>
        <v>0</v>
      </c>
      <c r="AH77" s="440" t="e">
        <f ca="1">IF(AND(NOT(ISBLANK(Jumpoverwrite6)),AND(NOT(AG77),AND(AG$4:AG76))),($J77*$G77-LN(1+Jumpoverwrite6*AI$2))/$G77,_xll.qlInterpolationInterpolate(AG$3,$F77,TRUE))</f>
        <v>#NAME?</v>
      </c>
      <c r="AI77" s="440" t="str">
        <f ca="1">IF(AND(NOT(AG77),AND(AG$4:AG76)),MIN(EXP((AH77-$J77)*$G77),1),"")</f>
        <v/>
      </c>
      <c r="AJ77" s="429"/>
      <c r="AK77" s="441" t="b">
        <f ca="1">IF(AND(NOT(AG77),AND(AG$4:AG76)),TRUE,AG77)</f>
        <v>0</v>
      </c>
      <c r="AL77" s="440" t="e">
        <f ca="1">IF(AND(NOT(ISBLANK(Jumpoverwrite7)),AND(NOT(AK77),AND(AK$4:AK76))),($J77*$G77-LN(1+Jumpoverwrite7*AM$2))/$G77,_xll.qlInterpolationInterpolate(AK$3,$F77,TRUE))</f>
        <v>#NAME?</v>
      </c>
      <c r="AM77" s="440" t="str">
        <f ca="1">IF(AND(NOT(AK77),AND(AK$4:AK76)),MIN(EXP((AL77-$J77)*$G77),1),"")</f>
        <v/>
      </c>
      <c r="AO77" s="441" t="b">
        <f ca="1">IF(AND(NOT(AK77),AND(AK$4:AK76)),TRUE,AK77)</f>
        <v>0</v>
      </c>
      <c r="AP77" s="440" t="e">
        <f ca="1">IF(AND(NOT(ISBLANK(Jumpoverwrite8)),AND(NOT(AO77),AND(AO$4:AO76))),($J77*$G77-LN(1+Jumpoverwrite8*AQ$2))/$G77,_xll.qlInterpolationInterpolate(AO$3,$F77,TRUE))</f>
        <v>#NAME?</v>
      </c>
      <c r="AQ77" s="440" t="str">
        <f ca="1">IF(AND(NOT(AO77),AND(AO$4:AO76)),MIN(EXP((AP77-$J77)*$G77),1),"")</f>
        <v/>
      </c>
      <c r="AS77" s="441" t="b">
        <f ca="1">IF(AND(NOT(AO77),AND(AO$4:AO76)),TRUE,AO77)</f>
        <v>0</v>
      </c>
      <c r="AT77" s="440" t="e">
        <f ca="1">IF(AND(NOT(ISBLANK(Jumpoverwrite9)),AND(NOT(AS77),AND(AS$4:AS76))),($J77*$G77-LN(1+Jumpoverwrite9*AU$2))/$G77,_xll.qlInterpolationInterpolate(AS$3,$F77,TRUE))</f>
        <v>#NAME?</v>
      </c>
      <c r="AU77" s="440" t="str">
        <f ca="1">IF(AND(NOT(AS77),AND(AS$4:AS76)),MIN(EXP((AT77-$J77)*$G77),1),"")</f>
        <v/>
      </c>
      <c r="AW77" s="441" t="b">
        <f ca="1">IF(AND(NOT(AS77),AND(AS$4:AS76)),TRUE,AS77)</f>
        <v>0</v>
      </c>
      <c r="AX77" s="440" t="e">
        <f ca="1">IF(AND(NOT(ISBLANK(Jumpoverwrite10)),AND(NOT(AW77),AND(AW$4:AW76))),($J77*$G77-LN(1+Jumpoverwrite10*AY$2))/$G77,_xll.qlInterpolationInterpolate(AW$3,$F77,TRUE))</f>
        <v>#NAME?</v>
      </c>
      <c r="AY77" s="440" t="str">
        <f ca="1">IF(AND(NOT(AW77),AND(AW$4:AW76)),MIN(EXP((AX77-$J77)*$G77),1),"")</f>
        <v/>
      </c>
      <c r="BA77" s="441" t="b">
        <f ca="1">IF(AND(NOT(AW77),AND(AW$4:AW76)),TRUE,AW77)</f>
        <v>0</v>
      </c>
      <c r="BB77" s="440" t="e">
        <f ca="1">IF(AND(NOT(ISBLANK(Jumpoverwrite11)),AND(NOT(BA77),AND(BA$4:BA76))),($J77*$G77-LN(1+Jumpoverwrite11*BC$2))/$G77,_xll.qlInterpolationInterpolate(BA$3,$F77,TRUE))</f>
        <v>#NAME?</v>
      </c>
      <c r="BC77" s="440" t="str">
        <f ca="1">IF(AND(NOT(BA77),AND(BA$4:BA76)),MIN(EXP((BB77-$J77)*$G77),1),"")</f>
        <v/>
      </c>
      <c r="BE77" s="441" t="b">
        <f ca="1">IF(AND(NOT(BA77),AND(BA$4:BA76)),TRUE,BA77)</f>
        <v>0</v>
      </c>
      <c r="BF77" s="440" t="e">
        <f ca="1">IF(AND(NOT(ISBLANK(Jumpoverwrite12)),AND(NOT(BE77),AND(BE$4:BE76))),($J77*$G77-LN(1+Jumpoverwrite12*BG$2))/$G77,_xll.qlInterpolationInterpolate(BE$3,$F77,TRUE))</f>
        <v>#NAME?</v>
      </c>
      <c r="BG77" s="440" t="str">
        <f ca="1">IF(AND(NOT(BE77),AND(BE$4:BE76)),MIN(EXP((BF77-$J77)*$G77),1),"")</f>
        <v/>
      </c>
      <c r="BI77" s="441" t="b">
        <f t="shared" ca="1" si="11"/>
        <v>0</v>
      </c>
      <c r="BJ77" s="440" t="e">
        <f ca="1">IF(AND(NOT(ISBLANK(jumpoverwrite13)),AND(NOT(BI77),AND(BI$4:BI76))),($J77*$G77-LN(1+jumpoverwrite13*BK$2))/$G77,_xll.qlInterpolationInterpolate(BI$3,$F77,TRUE))</f>
        <v>#NAME?</v>
      </c>
      <c r="BK77" s="440" t="str">
        <f ca="1">IF(AND(NOT(BI77),AND(BI$4:BI76)),MIN(EXP((BJ77-$J77)*$G77),1),"")</f>
        <v/>
      </c>
    </row>
    <row r="78" spans="1:63" x14ac:dyDescent="0.2">
      <c r="A78" s="439" t="e">
        <f ca="1"/>
        <v>#NAME?</v>
      </c>
      <c r="B78" s="438" t="e">
        <f ca="1">_xll.qlRateHelperRate($A78,InterestRatesTrigger)</f>
        <v>#NAME?</v>
      </c>
      <c r="C78" s="437" t="e">
        <f ca="1">_xll.qlRateHelperEarliestDate($A78)</f>
        <v>#NAME?</v>
      </c>
      <c r="D78" s="436" t="e">
        <f ca="1">_xll.qlRateHelperPillarDate($A78)</f>
        <v>#NAME?</v>
      </c>
      <c r="F78" s="446" t="e">
        <f t="shared" ca="1" si="9"/>
        <v>#N/A</v>
      </c>
      <c r="G78" s="445" t="e">
        <f ca="1">_xll.qlDayCounterYearFraction(DayCounter,D77,D78)</f>
        <v>#NAME?</v>
      </c>
      <c r="I78" s="444" t="b">
        <f t="shared" ca="1" si="10"/>
        <v>0</v>
      </c>
      <c r="J78" s="443" t="e">
        <f ca="1"/>
        <v>#NAME?</v>
      </c>
      <c r="K78" s="442" t="e">
        <f t="shared" ca="1" si="8"/>
        <v>#NAME?</v>
      </c>
      <c r="L78" s="430"/>
      <c r="M78" s="441" t="b">
        <f ca="1">IF(AND(NOT(I78),AND(I$4:I77)),TRUE,I78)</f>
        <v>0</v>
      </c>
      <c r="N78" s="440" t="e">
        <f ca="1">IF(AND(NOT(ISBLANK(Jumpoverwrite1)),AND(NOT(M78),AND(M$4:M77))),($J78*$G78-LN(1+Jumpoverwrite1*O$2))/$G78,_xll.qlInterpolationInterpolate(M$3,$F78,TRUE))</f>
        <v>#NAME?</v>
      </c>
      <c r="O78" s="440" t="str">
        <f ca="1">IF(AND(NOT(M78),AND(M$4:M77)),MIN(EXP((N78-$J78)*$G78),1),"")</f>
        <v/>
      </c>
      <c r="P78" s="429"/>
      <c r="Q78" s="441" t="b">
        <f ca="1">IF(AND(NOT(M78),AND(M$4:M77)),TRUE,M78)</f>
        <v>0</v>
      </c>
      <c r="R78" s="440" t="e">
        <f ca="1">IF(AND(NOT(ISBLANK(Jumpoverwrite2)),AND(NOT(Q78),AND(Q$4:Q77))),($J78*$G78-LN(1+Jumpoverwrite2*S$2))/$G78,_xll.qlInterpolationInterpolate(Q$3,$F78,TRUE))</f>
        <v>#NAME?</v>
      </c>
      <c r="S78" s="440" t="str">
        <f ca="1">IF(AND(NOT(Q78),AND(Q$4:Q77)),MIN(EXP((R78-$J78)*$G78),1),"")</f>
        <v/>
      </c>
      <c r="T78" s="429"/>
      <c r="U78" s="441" t="b">
        <f ca="1">IF(AND(NOT(Q78),AND(Q$4:Q77)),TRUE,Q78)</f>
        <v>0</v>
      </c>
      <c r="V78" s="440" t="e">
        <f ca="1">IF(AND(NOT(ISBLANK(Jumpoverwrite3)),AND(NOT(U78),AND(U$4:U77))),($J78*$G78-LN(1+Jumpoverwrite3*W$2))/$G78,_xll.qlInterpolationInterpolate(U$3,$F78,TRUE))</f>
        <v>#NAME?</v>
      </c>
      <c r="W78" s="440" t="str">
        <f ca="1">IF(AND(NOT(U78),AND(U$4:U77)),MIN(EXP((V78-$J78)*$G78),1),"")</f>
        <v/>
      </c>
      <c r="X78" s="429"/>
      <c r="Y78" s="441" t="b">
        <f ca="1">IF(AND(NOT(U78),AND(U$4:U77)),TRUE,U78)</f>
        <v>0</v>
      </c>
      <c r="Z78" s="440" t="e">
        <f ca="1">IF(AND(NOT(ISBLANK(Jumpoverwrite4)),AND(NOT(Y78),AND(Y$4:Y77))),($J78*$G78-LN(1+Jumpoverwrite4*AA$2))/$G78,_xll.qlInterpolationInterpolate(Y$3,$F78,TRUE))</f>
        <v>#NAME?</v>
      </c>
      <c r="AA78" s="440" t="str">
        <f ca="1">IF(AND(NOT(Y78),AND(Y$4:Y77)),MIN(EXP((Z78-$J78)*$G78),1),"")</f>
        <v/>
      </c>
      <c r="AB78" s="429"/>
      <c r="AC78" s="441" t="b">
        <f ca="1">IF(AND(NOT(Y78),AND(Y$4:Y77)),TRUE,Y78)</f>
        <v>0</v>
      </c>
      <c r="AD78" s="440" t="e">
        <f ca="1">IF(AND(NOT(ISBLANK(Jumpoverwrite5)),AND(NOT(AC78),AND(AC$4:AC77))),($J78*$G78-LN(1+Jumpoverwrite5*AE$2))/$G78,_xll.qlInterpolationInterpolate(AC$3,$F78,TRUE))</f>
        <v>#NAME?</v>
      </c>
      <c r="AE78" s="440" t="str">
        <f ca="1">IF(AND(NOT(AC78),AND(AC$4:AC77)),MIN(EXP((AD78-$J78)*$G78),1),"")</f>
        <v/>
      </c>
      <c r="AF78" s="429"/>
      <c r="AG78" s="441" t="b">
        <f ca="1">IF(AND(NOT(AC78),AND(AC$4:AC77)),TRUE,AC78)</f>
        <v>0</v>
      </c>
      <c r="AH78" s="440" t="e">
        <f ca="1">IF(AND(NOT(ISBLANK(Jumpoverwrite6)),AND(NOT(AG78),AND(AG$4:AG77))),($J78*$G78-LN(1+Jumpoverwrite6*AI$2))/$G78,_xll.qlInterpolationInterpolate(AG$3,$F78,TRUE))</f>
        <v>#NAME?</v>
      </c>
      <c r="AI78" s="440" t="str">
        <f ca="1">IF(AND(NOT(AG78),AND(AG$4:AG77)),MIN(EXP((AH78-$J78)*$G78),1),"")</f>
        <v/>
      </c>
      <c r="AJ78" s="429"/>
      <c r="AK78" s="441" t="b">
        <f ca="1">IF(AND(NOT(AG78),AND(AG$4:AG77)),TRUE,AG78)</f>
        <v>0</v>
      </c>
      <c r="AL78" s="440" t="e">
        <f ca="1">IF(AND(NOT(ISBLANK(Jumpoverwrite7)),AND(NOT(AK78),AND(AK$4:AK77))),($J78*$G78-LN(1+Jumpoverwrite7*AM$2))/$G78,_xll.qlInterpolationInterpolate(AK$3,$F78,TRUE))</f>
        <v>#NAME?</v>
      </c>
      <c r="AM78" s="440" t="str">
        <f ca="1">IF(AND(NOT(AK78),AND(AK$4:AK77)),MIN(EXP((AL78-$J78)*$G78),1),"")</f>
        <v/>
      </c>
      <c r="AO78" s="441" t="b">
        <f ca="1">IF(AND(NOT(AK78),AND(AK$4:AK77)),TRUE,AK78)</f>
        <v>0</v>
      </c>
      <c r="AP78" s="440" t="e">
        <f ca="1">IF(AND(NOT(ISBLANK(Jumpoverwrite8)),AND(NOT(AO78),AND(AO$4:AO77))),($J78*$G78-LN(1+Jumpoverwrite8*AQ$2))/$G78,_xll.qlInterpolationInterpolate(AO$3,$F78,TRUE))</f>
        <v>#NAME?</v>
      </c>
      <c r="AQ78" s="440" t="str">
        <f ca="1">IF(AND(NOT(AO78),AND(AO$4:AO77)),MIN(EXP((AP78-$J78)*$G78),1),"")</f>
        <v/>
      </c>
      <c r="AS78" s="441" t="b">
        <f ca="1">IF(AND(NOT(AO78),AND(AO$4:AO77)),TRUE,AO78)</f>
        <v>0</v>
      </c>
      <c r="AT78" s="440" t="e">
        <f ca="1">IF(AND(NOT(ISBLANK(Jumpoverwrite9)),AND(NOT(AS78),AND(AS$4:AS77))),($J78*$G78-LN(1+Jumpoverwrite9*AU$2))/$G78,_xll.qlInterpolationInterpolate(AS$3,$F78,TRUE))</f>
        <v>#NAME?</v>
      </c>
      <c r="AU78" s="440" t="str">
        <f ca="1">IF(AND(NOT(AS78),AND(AS$4:AS77)),MIN(EXP((AT78-$J78)*$G78),1),"")</f>
        <v/>
      </c>
      <c r="AW78" s="441" t="b">
        <f ca="1">IF(AND(NOT(AS78),AND(AS$4:AS77)),TRUE,AS78)</f>
        <v>0</v>
      </c>
      <c r="AX78" s="440" t="e">
        <f ca="1">IF(AND(NOT(ISBLANK(Jumpoverwrite10)),AND(NOT(AW78),AND(AW$4:AW77))),($J78*$G78-LN(1+Jumpoverwrite10*AY$2))/$G78,_xll.qlInterpolationInterpolate(AW$3,$F78,TRUE))</f>
        <v>#NAME?</v>
      </c>
      <c r="AY78" s="440" t="str">
        <f ca="1">IF(AND(NOT(AW78),AND(AW$4:AW77)),MIN(EXP((AX78-$J78)*$G78),1),"")</f>
        <v/>
      </c>
      <c r="BA78" s="441" t="b">
        <f ca="1">IF(AND(NOT(AW78),AND(AW$4:AW77)),TRUE,AW78)</f>
        <v>0</v>
      </c>
      <c r="BB78" s="440" t="e">
        <f ca="1">IF(AND(NOT(ISBLANK(Jumpoverwrite11)),AND(NOT(BA78),AND(BA$4:BA77))),($J78*$G78-LN(1+Jumpoverwrite11*BC$2))/$G78,_xll.qlInterpolationInterpolate(BA$3,$F78,TRUE))</f>
        <v>#NAME?</v>
      </c>
      <c r="BC78" s="440" t="str">
        <f ca="1">IF(AND(NOT(BA78),AND(BA$4:BA77)),MIN(EXP((BB78-$J78)*$G78),1),"")</f>
        <v/>
      </c>
      <c r="BE78" s="441" t="b">
        <f ca="1">IF(AND(NOT(BA78),AND(BA$4:BA77)),TRUE,BA78)</f>
        <v>0</v>
      </c>
      <c r="BF78" s="440" t="e">
        <f ca="1">IF(AND(NOT(ISBLANK(Jumpoverwrite12)),AND(NOT(BE78),AND(BE$4:BE77))),($J78*$G78-LN(1+Jumpoverwrite12*BG$2))/$G78,_xll.qlInterpolationInterpolate(BE$3,$F78,TRUE))</f>
        <v>#NAME?</v>
      </c>
      <c r="BG78" s="440" t="str">
        <f ca="1">IF(AND(NOT(BE78),AND(BE$4:BE77)),MIN(EXP((BF78-$J78)*$G78),1),"")</f>
        <v/>
      </c>
      <c r="BI78" s="441" t="b">
        <f t="shared" ca="1" si="11"/>
        <v>0</v>
      </c>
      <c r="BJ78" s="440" t="e">
        <f ca="1">IF(AND(NOT(ISBLANK(jumpoverwrite13)),AND(NOT(BI78),AND(BI$4:BI77))),($J78*$G78-LN(1+jumpoverwrite13*BK$2))/$G78,_xll.qlInterpolationInterpolate(BI$3,$F78,TRUE))</f>
        <v>#NAME?</v>
      </c>
      <c r="BK78" s="440" t="str">
        <f ca="1">IF(AND(NOT(BI78),AND(BI$4:BI77)),MIN(EXP((BJ78-$J78)*$G78),1),"")</f>
        <v/>
      </c>
    </row>
    <row r="79" spans="1:63" x14ac:dyDescent="0.2">
      <c r="A79" s="439" t="e">
        <f ca="1"/>
        <v>#NAME?</v>
      </c>
      <c r="B79" s="438" t="e">
        <f ca="1">_xll.qlRateHelperRate($A79,InterestRatesTrigger)</f>
        <v>#NAME?</v>
      </c>
      <c r="C79" s="437" t="e">
        <f ca="1">_xll.qlRateHelperEarliestDate($A79)</f>
        <v>#NAME?</v>
      </c>
      <c r="D79" s="436" t="e">
        <f ca="1">_xll.qlRateHelperPillarDate($A79)</f>
        <v>#NAME?</v>
      </c>
      <c r="F79" s="446" t="e">
        <f t="shared" ca="1" si="9"/>
        <v>#N/A</v>
      </c>
      <c r="G79" s="445" t="e">
        <f ca="1">_xll.qlDayCounterYearFraction(DayCounter,D78,D79)</f>
        <v>#NAME?</v>
      </c>
      <c r="I79" s="444" t="b">
        <f t="shared" ca="1" si="10"/>
        <v>0</v>
      </c>
      <c r="J79" s="443" t="e">
        <f ca="1"/>
        <v>#NAME?</v>
      </c>
      <c r="K79" s="442" t="e">
        <f t="shared" ca="1" si="8"/>
        <v>#NAME?</v>
      </c>
      <c r="L79" s="430"/>
      <c r="M79" s="441" t="b">
        <f ca="1">IF(AND(NOT(I79),AND(I$4:I78)),TRUE,I79)</f>
        <v>0</v>
      </c>
      <c r="N79" s="440" t="e">
        <f ca="1">IF(AND(NOT(ISBLANK(Jumpoverwrite1)),AND(NOT(M79),AND(M$4:M78))),($J79*$G79-LN(1+Jumpoverwrite1*O$2))/$G79,_xll.qlInterpolationInterpolate(M$3,$F79,TRUE))</f>
        <v>#NAME?</v>
      </c>
      <c r="O79" s="440" t="str">
        <f ca="1">IF(AND(NOT(M79),AND(M$4:M78)),MIN(EXP((N79-$J79)*$G79),1),"")</f>
        <v/>
      </c>
      <c r="P79" s="429"/>
      <c r="Q79" s="441" t="b">
        <f ca="1">IF(AND(NOT(M79),AND(M$4:M78)),TRUE,M79)</f>
        <v>0</v>
      </c>
      <c r="R79" s="440" t="e">
        <f ca="1">IF(AND(NOT(ISBLANK(Jumpoverwrite2)),AND(NOT(Q79),AND(Q$4:Q78))),($J79*$G79-LN(1+Jumpoverwrite2*S$2))/$G79,_xll.qlInterpolationInterpolate(Q$3,$F79,TRUE))</f>
        <v>#NAME?</v>
      </c>
      <c r="S79" s="440" t="str">
        <f ca="1">IF(AND(NOT(Q79),AND(Q$4:Q78)),MIN(EXP((R79-$J79)*$G79),1),"")</f>
        <v/>
      </c>
      <c r="T79" s="429"/>
      <c r="U79" s="441" t="b">
        <f ca="1">IF(AND(NOT(Q79),AND(Q$4:Q78)),TRUE,Q79)</f>
        <v>0</v>
      </c>
      <c r="V79" s="440" t="e">
        <f ca="1">IF(AND(NOT(ISBLANK(Jumpoverwrite3)),AND(NOT(U79),AND(U$4:U78))),($J79*$G79-LN(1+Jumpoverwrite3*W$2))/$G79,_xll.qlInterpolationInterpolate(U$3,$F79,TRUE))</f>
        <v>#NAME?</v>
      </c>
      <c r="W79" s="440" t="str">
        <f ca="1">IF(AND(NOT(U79),AND(U$4:U78)),MIN(EXP((V79-$J79)*$G79),1),"")</f>
        <v/>
      </c>
      <c r="X79" s="429"/>
      <c r="Y79" s="441" t="b">
        <f ca="1">IF(AND(NOT(U79),AND(U$4:U78)),TRUE,U79)</f>
        <v>0</v>
      </c>
      <c r="Z79" s="440" t="e">
        <f ca="1">IF(AND(NOT(ISBLANK(Jumpoverwrite4)),AND(NOT(Y79),AND(Y$4:Y78))),($J79*$G79-LN(1+Jumpoverwrite4*AA$2))/$G79,_xll.qlInterpolationInterpolate(Y$3,$F79,TRUE))</f>
        <v>#NAME?</v>
      </c>
      <c r="AA79" s="440" t="str">
        <f ca="1">IF(AND(NOT(Y79),AND(Y$4:Y78)),MIN(EXP((Z79-$J79)*$G79),1),"")</f>
        <v/>
      </c>
      <c r="AB79" s="429"/>
      <c r="AC79" s="441" t="b">
        <f ca="1">IF(AND(NOT(Y79),AND(Y$4:Y78)),TRUE,Y79)</f>
        <v>0</v>
      </c>
      <c r="AD79" s="440" t="e">
        <f ca="1">IF(AND(NOT(ISBLANK(Jumpoverwrite5)),AND(NOT(AC79),AND(AC$4:AC78))),($J79*$G79-LN(1+Jumpoverwrite5*AE$2))/$G79,_xll.qlInterpolationInterpolate(AC$3,$F79,TRUE))</f>
        <v>#NAME?</v>
      </c>
      <c r="AE79" s="440" t="str">
        <f ca="1">IF(AND(NOT(AC79),AND(AC$4:AC78)),MIN(EXP((AD79-$J79)*$G79),1),"")</f>
        <v/>
      </c>
      <c r="AF79" s="429"/>
      <c r="AG79" s="441" t="b">
        <f ca="1">IF(AND(NOT(AC79),AND(AC$4:AC78)),TRUE,AC79)</f>
        <v>0</v>
      </c>
      <c r="AH79" s="440" t="e">
        <f ca="1">IF(AND(NOT(ISBLANK(Jumpoverwrite6)),AND(NOT(AG79),AND(AG$4:AG78))),($J79*$G79-LN(1+Jumpoverwrite6*AI$2))/$G79,_xll.qlInterpolationInterpolate(AG$3,$F79,TRUE))</f>
        <v>#NAME?</v>
      </c>
      <c r="AI79" s="440" t="str">
        <f ca="1">IF(AND(NOT(AG79),AND(AG$4:AG78)),MIN(EXP((AH79-$J79)*$G79),1),"")</f>
        <v/>
      </c>
      <c r="AJ79" s="429"/>
      <c r="AK79" s="441" t="b">
        <f ca="1">IF(AND(NOT(AG79),AND(AG$4:AG78)),TRUE,AG79)</f>
        <v>0</v>
      </c>
      <c r="AL79" s="440" t="e">
        <f ca="1">IF(AND(NOT(ISBLANK(Jumpoverwrite7)),AND(NOT(AK79),AND(AK$4:AK78))),($J79*$G79-LN(1+Jumpoverwrite7*AM$2))/$G79,_xll.qlInterpolationInterpolate(AK$3,$F79,TRUE))</f>
        <v>#NAME?</v>
      </c>
      <c r="AM79" s="440" t="str">
        <f ca="1">IF(AND(NOT(AK79),AND(AK$4:AK78)),MIN(EXP((AL79-$J79)*$G79),1),"")</f>
        <v/>
      </c>
      <c r="AO79" s="441" t="b">
        <f ca="1">IF(AND(NOT(AK79),AND(AK$4:AK78)),TRUE,AK79)</f>
        <v>0</v>
      </c>
      <c r="AP79" s="440" t="e">
        <f ca="1">IF(AND(NOT(ISBLANK(Jumpoverwrite8)),AND(NOT(AO79),AND(AO$4:AO78))),($J79*$G79-LN(1+Jumpoverwrite8*AQ$2))/$G79,_xll.qlInterpolationInterpolate(AO$3,$F79,TRUE))</f>
        <v>#NAME?</v>
      </c>
      <c r="AQ79" s="440" t="str">
        <f ca="1">IF(AND(NOT(AO79),AND(AO$4:AO78)),MIN(EXP((AP79-$J79)*$G79),1),"")</f>
        <v/>
      </c>
      <c r="AS79" s="441" t="b">
        <f ca="1">IF(AND(NOT(AO79),AND(AO$4:AO78)),TRUE,AO79)</f>
        <v>0</v>
      </c>
      <c r="AT79" s="440" t="e">
        <f ca="1">IF(AND(NOT(ISBLANK(Jumpoverwrite9)),AND(NOT(AS79),AND(AS$4:AS78))),($J79*$G79-LN(1+Jumpoverwrite9*AU$2))/$G79,_xll.qlInterpolationInterpolate(AS$3,$F79,TRUE))</f>
        <v>#NAME?</v>
      </c>
      <c r="AU79" s="440" t="str">
        <f ca="1">IF(AND(NOT(AS79),AND(AS$4:AS78)),MIN(EXP((AT79-$J79)*$G79),1),"")</f>
        <v/>
      </c>
      <c r="AW79" s="441" t="b">
        <f ca="1">IF(AND(NOT(AS79),AND(AS$4:AS78)),TRUE,AS79)</f>
        <v>0</v>
      </c>
      <c r="AX79" s="440" t="e">
        <f ca="1">IF(AND(NOT(ISBLANK(Jumpoverwrite10)),AND(NOT(AW79),AND(AW$4:AW78))),($J79*$G79-LN(1+Jumpoverwrite10*AY$2))/$G79,_xll.qlInterpolationInterpolate(AW$3,$F79,TRUE))</f>
        <v>#NAME?</v>
      </c>
      <c r="AY79" s="440" t="str">
        <f ca="1">IF(AND(NOT(AW79),AND(AW$4:AW78)),MIN(EXP((AX79-$J79)*$G79),1),"")</f>
        <v/>
      </c>
      <c r="BA79" s="441" t="b">
        <f ca="1">IF(AND(NOT(AW79),AND(AW$4:AW78)),TRUE,AW79)</f>
        <v>0</v>
      </c>
      <c r="BB79" s="440" t="e">
        <f ca="1">IF(AND(NOT(ISBLANK(Jumpoverwrite11)),AND(NOT(BA79),AND(BA$4:BA78))),($J79*$G79-LN(1+Jumpoverwrite11*BC$2))/$G79,_xll.qlInterpolationInterpolate(BA$3,$F79,TRUE))</f>
        <v>#NAME?</v>
      </c>
      <c r="BC79" s="440" t="str">
        <f ca="1">IF(AND(NOT(BA79),AND(BA$4:BA78)),MIN(EXP((BB79-$J79)*$G79),1),"")</f>
        <v/>
      </c>
      <c r="BE79" s="441" t="b">
        <f ca="1">IF(AND(NOT(BA79),AND(BA$4:BA78)),TRUE,BA79)</f>
        <v>0</v>
      </c>
      <c r="BF79" s="440" t="e">
        <f ca="1">IF(AND(NOT(ISBLANK(Jumpoverwrite12)),AND(NOT(BE79),AND(BE$4:BE78))),($J79*$G79-LN(1+Jumpoverwrite12*BG$2))/$G79,_xll.qlInterpolationInterpolate(BE$3,$F79,TRUE))</f>
        <v>#NAME?</v>
      </c>
      <c r="BG79" s="440" t="str">
        <f ca="1">IF(AND(NOT(BE79),AND(BE$4:BE78)),MIN(EXP((BF79-$J79)*$G79),1),"")</f>
        <v/>
      </c>
      <c r="BI79" s="441" t="b">
        <f t="shared" ca="1" si="11"/>
        <v>0</v>
      </c>
      <c r="BJ79" s="440" t="e">
        <f ca="1">IF(AND(NOT(ISBLANK(jumpoverwrite13)),AND(NOT(BI79),AND(BI$4:BI78))),($J79*$G79-LN(1+jumpoverwrite13*BK$2))/$G79,_xll.qlInterpolationInterpolate(BI$3,$F79,TRUE))</f>
        <v>#NAME?</v>
      </c>
      <c r="BK79" s="440" t="str">
        <f ca="1">IF(AND(NOT(BI79),AND(BI$4:BI78)),MIN(EXP((BJ79-$J79)*$G79),1),"")</f>
        <v/>
      </c>
    </row>
    <row r="80" spans="1:63" x14ac:dyDescent="0.2">
      <c r="A80" s="439" t="e">
        <f ca="1"/>
        <v>#NAME?</v>
      </c>
      <c r="B80" s="438" t="e">
        <f ca="1">_xll.qlRateHelperRate($A80,InterestRatesTrigger)</f>
        <v>#NAME?</v>
      </c>
      <c r="C80" s="437" t="e">
        <f ca="1">_xll.qlRateHelperEarliestDate($A80)</f>
        <v>#NAME?</v>
      </c>
      <c r="D80" s="436" t="e">
        <f ca="1">_xll.qlRateHelperPillarDate($A80)</f>
        <v>#NAME?</v>
      </c>
      <c r="F80" s="446" t="e">
        <f t="shared" ca="1" si="9"/>
        <v>#N/A</v>
      </c>
      <c r="G80" s="445" t="e">
        <f ca="1">_xll.qlDayCounterYearFraction(DayCounter,D79,D80)</f>
        <v>#NAME?</v>
      </c>
      <c r="I80" s="444" t="b">
        <f t="shared" ca="1" si="10"/>
        <v>0</v>
      </c>
      <c r="J80" s="443" t="e">
        <f ca="1"/>
        <v>#NAME?</v>
      </c>
      <c r="K80" s="442" t="e">
        <f t="shared" ca="1" si="8"/>
        <v>#NAME?</v>
      </c>
      <c r="L80" s="430"/>
      <c r="M80" s="441" t="b">
        <f ca="1">IF(AND(NOT(I80),AND(I$4:I79)),TRUE,I80)</f>
        <v>0</v>
      </c>
      <c r="N80" s="440" t="e">
        <f ca="1">IF(AND(NOT(ISBLANK(Jumpoverwrite1)),AND(NOT(M80),AND(M$4:M79))),($J80*$G80-LN(1+Jumpoverwrite1*O$2))/$G80,_xll.qlInterpolationInterpolate(M$3,$F80,TRUE))</f>
        <v>#NAME?</v>
      </c>
      <c r="O80" s="440" t="str">
        <f ca="1">IF(AND(NOT(M80),AND(M$4:M79)),MIN(EXP((N80-$J80)*$G80),1),"")</f>
        <v/>
      </c>
      <c r="P80" s="429"/>
      <c r="Q80" s="441" t="b">
        <f ca="1">IF(AND(NOT(M80),AND(M$4:M79)),TRUE,M80)</f>
        <v>0</v>
      </c>
      <c r="R80" s="440" t="e">
        <f ca="1">IF(AND(NOT(ISBLANK(Jumpoverwrite2)),AND(NOT(Q80),AND(Q$4:Q79))),($J80*$G80-LN(1+Jumpoverwrite2*S$2))/$G80,_xll.qlInterpolationInterpolate(Q$3,$F80,TRUE))</f>
        <v>#NAME?</v>
      </c>
      <c r="S80" s="440" t="str">
        <f ca="1">IF(AND(NOT(Q80),AND(Q$4:Q79)),MIN(EXP((R80-$J80)*$G80),1),"")</f>
        <v/>
      </c>
      <c r="T80" s="429"/>
      <c r="U80" s="441" t="b">
        <f ca="1">IF(AND(NOT(Q80),AND(Q$4:Q79)),TRUE,Q80)</f>
        <v>0</v>
      </c>
      <c r="V80" s="440" t="e">
        <f ca="1">IF(AND(NOT(ISBLANK(Jumpoverwrite3)),AND(NOT(U80),AND(U$4:U79))),($J80*$G80-LN(1+Jumpoverwrite3*W$2))/$G80,_xll.qlInterpolationInterpolate(U$3,$F80,TRUE))</f>
        <v>#NAME?</v>
      </c>
      <c r="W80" s="440" t="str">
        <f ca="1">IF(AND(NOT(U80),AND(U$4:U79)),MIN(EXP((V80-$J80)*$G80),1),"")</f>
        <v/>
      </c>
      <c r="X80" s="429"/>
      <c r="Y80" s="441" t="b">
        <f ca="1">IF(AND(NOT(U80),AND(U$4:U79)),TRUE,U80)</f>
        <v>0</v>
      </c>
      <c r="Z80" s="440" t="e">
        <f ca="1">IF(AND(NOT(ISBLANK(Jumpoverwrite4)),AND(NOT(Y80),AND(Y$4:Y79))),($J80*$G80-LN(1+Jumpoverwrite4*AA$2))/$G80,_xll.qlInterpolationInterpolate(Y$3,$F80,TRUE))</f>
        <v>#NAME?</v>
      </c>
      <c r="AA80" s="440" t="str">
        <f ca="1">IF(AND(NOT(Y80),AND(Y$4:Y79)),MIN(EXP((Z80-$J80)*$G80),1),"")</f>
        <v/>
      </c>
      <c r="AB80" s="429"/>
      <c r="AC80" s="441" t="b">
        <f ca="1">IF(AND(NOT(Y80),AND(Y$4:Y79)),TRUE,Y80)</f>
        <v>0</v>
      </c>
      <c r="AD80" s="440" t="e">
        <f ca="1">IF(AND(NOT(ISBLANK(Jumpoverwrite5)),AND(NOT(AC80),AND(AC$4:AC79))),($J80*$G80-LN(1+Jumpoverwrite5*AE$2))/$G80,_xll.qlInterpolationInterpolate(AC$3,$F80,TRUE))</f>
        <v>#NAME?</v>
      </c>
      <c r="AE80" s="440" t="str">
        <f ca="1">IF(AND(NOT(AC80),AND(AC$4:AC79)),MIN(EXP((AD80-$J80)*$G80),1),"")</f>
        <v/>
      </c>
      <c r="AF80" s="429"/>
      <c r="AG80" s="441" t="b">
        <f ca="1">IF(AND(NOT(AC80),AND(AC$4:AC79)),TRUE,AC80)</f>
        <v>0</v>
      </c>
      <c r="AH80" s="440" t="e">
        <f ca="1">IF(AND(NOT(ISBLANK(Jumpoverwrite6)),AND(NOT(AG80),AND(AG$4:AG79))),($J80*$G80-LN(1+Jumpoverwrite6*AI$2))/$G80,_xll.qlInterpolationInterpolate(AG$3,$F80,TRUE))</f>
        <v>#NAME?</v>
      </c>
      <c r="AI80" s="440" t="str">
        <f ca="1">IF(AND(NOT(AG80),AND(AG$4:AG79)),MIN(EXP((AH80-$J80)*$G80),1),"")</f>
        <v/>
      </c>
      <c r="AJ80" s="429"/>
      <c r="AK80" s="441" t="b">
        <f ca="1">IF(AND(NOT(AG80),AND(AG$4:AG79)),TRUE,AG80)</f>
        <v>0</v>
      </c>
      <c r="AL80" s="440" t="e">
        <f ca="1">IF(AND(NOT(ISBLANK(Jumpoverwrite7)),AND(NOT(AK80),AND(AK$4:AK79))),($J80*$G80-LN(1+Jumpoverwrite7*AM$2))/$G80,_xll.qlInterpolationInterpolate(AK$3,$F80,TRUE))</f>
        <v>#NAME?</v>
      </c>
      <c r="AM80" s="440" t="str">
        <f ca="1">IF(AND(NOT(AK80),AND(AK$4:AK79)),MIN(EXP((AL80-$J80)*$G80),1),"")</f>
        <v/>
      </c>
      <c r="AO80" s="441" t="b">
        <f ca="1">IF(AND(NOT(AK80),AND(AK$4:AK79)),TRUE,AK80)</f>
        <v>0</v>
      </c>
      <c r="AP80" s="440" t="e">
        <f ca="1">IF(AND(NOT(ISBLANK(Jumpoverwrite8)),AND(NOT(AO80),AND(AO$4:AO79))),($J80*$G80-LN(1+Jumpoverwrite8*AQ$2))/$G80,_xll.qlInterpolationInterpolate(AO$3,$F80,TRUE))</f>
        <v>#NAME?</v>
      </c>
      <c r="AQ80" s="440" t="str">
        <f ca="1">IF(AND(NOT(AO80),AND(AO$4:AO79)),MIN(EXP((AP80-$J80)*$G80),1),"")</f>
        <v/>
      </c>
      <c r="AS80" s="441" t="b">
        <f ca="1">IF(AND(NOT(AO80),AND(AO$4:AO79)),TRUE,AO80)</f>
        <v>0</v>
      </c>
      <c r="AT80" s="440" t="e">
        <f ca="1">IF(AND(NOT(ISBLANK(Jumpoverwrite9)),AND(NOT(AS80),AND(AS$4:AS79))),($J80*$G80-LN(1+Jumpoverwrite9*AU$2))/$G80,_xll.qlInterpolationInterpolate(AS$3,$F80,TRUE))</f>
        <v>#NAME?</v>
      </c>
      <c r="AU80" s="440" t="str">
        <f ca="1">IF(AND(NOT(AS80),AND(AS$4:AS79)),MIN(EXP((AT80-$J80)*$G80),1),"")</f>
        <v/>
      </c>
      <c r="AW80" s="441" t="b">
        <f ca="1">IF(AND(NOT(AS80),AND(AS$4:AS79)),TRUE,AS80)</f>
        <v>0</v>
      </c>
      <c r="AX80" s="440" t="e">
        <f ca="1">IF(AND(NOT(ISBLANK(Jumpoverwrite10)),AND(NOT(AW80),AND(AW$4:AW79))),($J80*$G80-LN(1+Jumpoverwrite10*AY$2))/$G80,_xll.qlInterpolationInterpolate(AW$3,$F80,TRUE))</f>
        <v>#NAME?</v>
      </c>
      <c r="AY80" s="440" t="str">
        <f ca="1">IF(AND(NOT(AW80),AND(AW$4:AW79)),MIN(EXP((AX80-$J80)*$G80),1),"")</f>
        <v/>
      </c>
      <c r="BA80" s="441" t="b">
        <f ca="1">IF(AND(NOT(AW80),AND(AW$4:AW79)),TRUE,AW80)</f>
        <v>0</v>
      </c>
      <c r="BB80" s="440" t="e">
        <f ca="1">IF(AND(NOT(ISBLANK(Jumpoverwrite11)),AND(NOT(BA80),AND(BA$4:BA79))),($J80*$G80-LN(1+Jumpoverwrite11*BC$2))/$G80,_xll.qlInterpolationInterpolate(BA$3,$F80,TRUE))</f>
        <v>#NAME?</v>
      </c>
      <c r="BC80" s="440" t="str">
        <f ca="1">IF(AND(NOT(BA80),AND(BA$4:BA79)),MIN(EXP((BB80-$J80)*$G80),1),"")</f>
        <v/>
      </c>
      <c r="BE80" s="441" t="b">
        <f ca="1">IF(AND(NOT(BA80),AND(BA$4:BA79)),TRUE,BA80)</f>
        <v>0</v>
      </c>
      <c r="BF80" s="440" t="e">
        <f ca="1">IF(AND(NOT(ISBLANK(Jumpoverwrite12)),AND(NOT(BE80),AND(BE$4:BE79))),($J80*$G80-LN(1+Jumpoverwrite12*BG$2))/$G80,_xll.qlInterpolationInterpolate(BE$3,$F80,TRUE))</f>
        <v>#NAME?</v>
      </c>
      <c r="BG80" s="440" t="str">
        <f ca="1">IF(AND(NOT(BE80),AND(BE$4:BE79)),MIN(EXP((BF80-$J80)*$G80),1),"")</f>
        <v/>
      </c>
      <c r="BI80" s="441" t="b">
        <f t="shared" ca="1" si="11"/>
        <v>0</v>
      </c>
      <c r="BJ80" s="440" t="e">
        <f ca="1">IF(AND(NOT(ISBLANK(jumpoverwrite13)),AND(NOT(BI80),AND(BI$4:BI79))),($J80*$G80-LN(1+jumpoverwrite13*BK$2))/$G80,_xll.qlInterpolationInterpolate(BI$3,$F80,TRUE))</f>
        <v>#NAME?</v>
      </c>
      <c r="BK80" s="440" t="str">
        <f ca="1">IF(AND(NOT(BI80),AND(BI$4:BI79)),MIN(EXP((BJ80-$J80)*$G80),1),"")</f>
        <v/>
      </c>
    </row>
    <row r="81" spans="1:63" x14ac:dyDescent="0.2">
      <c r="A81" s="439" t="e">
        <f ca="1"/>
        <v>#NAME?</v>
      </c>
      <c r="B81" s="438" t="e">
        <f ca="1">_xll.qlRateHelperRate($A81,InterestRatesTrigger)</f>
        <v>#NAME?</v>
      </c>
      <c r="C81" s="437" t="e">
        <f ca="1">_xll.qlRateHelperEarliestDate($A81)</f>
        <v>#NAME?</v>
      </c>
      <c r="D81" s="436" t="e">
        <f ca="1">_xll.qlRateHelperPillarDate($A81)</f>
        <v>#NAME?</v>
      </c>
      <c r="F81" s="446" t="e">
        <f t="shared" ca="1" si="9"/>
        <v>#N/A</v>
      </c>
      <c r="G81" s="445" t="e">
        <f ca="1">_xll.qlDayCounterYearFraction(DayCounter,D80,D81)</f>
        <v>#NAME?</v>
      </c>
      <c r="I81" s="444" t="b">
        <f t="shared" ca="1" si="10"/>
        <v>0</v>
      </c>
      <c r="J81" s="443" t="e">
        <f ca="1"/>
        <v>#NAME?</v>
      </c>
      <c r="K81" s="442" t="e">
        <f t="shared" ca="1" si="8"/>
        <v>#NAME?</v>
      </c>
      <c r="L81" s="430"/>
      <c r="M81" s="441" t="b">
        <f ca="1">IF(AND(NOT(I81),AND(I$4:I80)),TRUE,I81)</f>
        <v>0</v>
      </c>
      <c r="N81" s="440" t="e">
        <f ca="1">IF(AND(NOT(ISBLANK(Jumpoverwrite1)),AND(NOT(M81),AND(M$4:M80))),($J81*$G81-LN(1+Jumpoverwrite1*O$2))/$G81,_xll.qlInterpolationInterpolate(M$3,$F81,TRUE))</f>
        <v>#NAME?</v>
      </c>
      <c r="O81" s="440" t="str">
        <f ca="1">IF(AND(NOT(M81),AND(M$4:M80)),MIN(EXP((N81-$J81)*$G81),1),"")</f>
        <v/>
      </c>
      <c r="P81" s="429"/>
      <c r="Q81" s="441" t="b">
        <f ca="1">IF(AND(NOT(M81),AND(M$4:M80)),TRUE,M81)</f>
        <v>0</v>
      </c>
      <c r="R81" s="440" t="e">
        <f ca="1">IF(AND(NOT(ISBLANK(Jumpoverwrite2)),AND(NOT(Q81),AND(Q$4:Q80))),($J81*$G81-LN(1+Jumpoverwrite2*S$2))/$G81,_xll.qlInterpolationInterpolate(Q$3,$F81,TRUE))</f>
        <v>#NAME?</v>
      </c>
      <c r="S81" s="440" t="str">
        <f ca="1">IF(AND(NOT(Q81),AND(Q$4:Q80)),MIN(EXP((R81-$J81)*$G81),1),"")</f>
        <v/>
      </c>
      <c r="T81" s="429"/>
      <c r="U81" s="441" t="b">
        <f ca="1">IF(AND(NOT(Q81),AND(Q$4:Q80)),TRUE,Q81)</f>
        <v>0</v>
      </c>
      <c r="V81" s="440" t="e">
        <f ca="1">IF(AND(NOT(ISBLANK(Jumpoverwrite3)),AND(NOT(U81),AND(U$4:U80))),($J81*$G81-LN(1+Jumpoverwrite3*W$2))/$G81,_xll.qlInterpolationInterpolate(U$3,$F81,TRUE))</f>
        <v>#NAME?</v>
      </c>
      <c r="W81" s="440" t="str">
        <f ca="1">IF(AND(NOT(U81),AND(U$4:U80)),MIN(EXP((V81-$J81)*$G81),1),"")</f>
        <v/>
      </c>
      <c r="X81" s="429"/>
      <c r="Y81" s="441" t="b">
        <f ca="1">IF(AND(NOT(U81),AND(U$4:U80)),TRUE,U81)</f>
        <v>0</v>
      </c>
      <c r="Z81" s="440" t="e">
        <f ca="1">IF(AND(NOT(ISBLANK(Jumpoverwrite4)),AND(NOT(Y81),AND(Y$4:Y80))),($J81*$G81-LN(1+Jumpoverwrite4*AA$2))/$G81,_xll.qlInterpolationInterpolate(Y$3,$F81,TRUE))</f>
        <v>#NAME?</v>
      </c>
      <c r="AA81" s="440" t="str">
        <f ca="1">IF(AND(NOT(Y81),AND(Y$4:Y80)),MIN(EXP((Z81-$J81)*$G81),1),"")</f>
        <v/>
      </c>
      <c r="AB81" s="429"/>
      <c r="AC81" s="441" t="b">
        <f ca="1">IF(AND(NOT(Y81),AND(Y$4:Y80)),TRUE,Y81)</f>
        <v>0</v>
      </c>
      <c r="AD81" s="440" t="e">
        <f ca="1">IF(AND(NOT(ISBLANK(Jumpoverwrite5)),AND(NOT(AC81),AND(AC$4:AC80))),($J81*$G81-LN(1+Jumpoverwrite5*AE$2))/$G81,_xll.qlInterpolationInterpolate(AC$3,$F81,TRUE))</f>
        <v>#NAME?</v>
      </c>
      <c r="AE81" s="440" t="str">
        <f ca="1">IF(AND(NOT(AC81),AND(AC$4:AC80)),MIN(EXP((AD81-$J81)*$G81),1),"")</f>
        <v/>
      </c>
      <c r="AF81" s="429"/>
      <c r="AG81" s="441" t="b">
        <f ca="1">IF(AND(NOT(AC81),AND(AC$4:AC80)),TRUE,AC81)</f>
        <v>0</v>
      </c>
      <c r="AH81" s="440" t="e">
        <f ca="1">IF(AND(NOT(ISBLANK(Jumpoverwrite6)),AND(NOT(AG81),AND(AG$4:AG80))),($J81*$G81-LN(1+Jumpoverwrite6*AI$2))/$G81,_xll.qlInterpolationInterpolate(AG$3,$F81,TRUE))</f>
        <v>#NAME?</v>
      </c>
      <c r="AI81" s="440" t="str">
        <f ca="1">IF(AND(NOT(AG81),AND(AG$4:AG80)),MIN(EXP((AH81-$J81)*$G81),1),"")</f>
        <v/>
      </c>
      <c r="AJ81" s="429"/>
      <c r="AK81" s="441" t="b">
        <f ca="1">IF(AND(NOT(AG81),AND(AG$4:AG80)),TRUE,AG81)</f>
        <v>0</v>
      </c>
      <c r="AL81" s="440" t="e">
        <f ca="1">IF(AND(NOT(ISBLANK(Jumpoverwrite7)),AND(NOT(AK81),AND(AK$4:AK80))),($J81*$G81-LN(1+Jumpoverwrite7*AM$2))/$G81,_xll.qlInterpolationInterpolate(AK$3,$F81,TRUE))</f>
        <v>#NAME?</v>
      </c>
      <c r="AM81" s="440" t="str">
        <f ca="1">IF(AND(NOT(AK81),AND(AK$4:AK80)),MIN(EXP((AL81-$J81)*$G81),1),"")</f>
        <v/>
      </c>
      <c r="AO81" s="441" t="b">
        <f ca="1">IF(AND(NOT(AK81),AND(AK$4:AK80)),TRUE,AK81)</f>
        <v>0</v>
      </c>
      <c r="AP81" s="440" t="e">
        <f ca="1">IF(AND(NOT(ISBLANK(Jumpoverwrite8)),AND(NOT(AO81),AND(AO$4:AO80))),($J81*$G81-LN(1+Jumpoverwrite8*AQ$2))/$G81,_xll.qlInterpolationInterpolate(AO$3,$F81,TRUE))</f>
        <v>#NAME?</v>
      </c>
      <c r="AQ81" s="440" t="str">
        <f ca="1">IF(AND(NOT(AO81),AND(AO$4:AO80)),MIN(EXP((AP81-$J81)*$G81),1),"")</f>
        <v/>
      </c>
      <c r="AS81" s="441" t="b">
        <f ca="1">IF(AND(NOT(AO81),AND(AO$4:AO80)),TRUE,AO81)</f>
        <v>0</v>
      </c>
      <c r="AT81" s="440" t="e">
        <f ca="1">IF(AND(NOT(ISBLANK(Jumpoverwrite9)),AND(NOT(AS81),AND(AS$4:AS80))),($J81*$G81-LN(1+Jumpoverwrite9*AU$2))/$G81,_xll.qlInterpolationInterpolate(AS$3,$F81,TRUE))</f>
        <v>#NAME?</v>
      </c>
      <c r="AU81" s="440" t="str">
        <f ca="1">IF(AND(NOT(AS81),AND(AS$4:AS80)),MIN(EXP((AT81-$J81)*$G81),1),"")</f>
        <v/>
      </c>
      <c r="AW81" s="441" t="b">
        <f ca="1">IF(AND(NOT(AS81),AND(AS$4:AS80)),TRUE,AS81)</f>
        <v>0</v>
      </c>
      <c r="AX81" s="440" t="e">
        <f ca="1">IF(AND(NOT(ISBLANK(Jumpoverwrite10)),AND(NOT(AW81),AND(AW$4:AW80))),($J81*$G81-LN(1+Jumpoverwrite10*AY$2))/$G81,_xll.qlInterpolationInterpolate(AW$3,$F81,TRUE))</f>
        <v>#NAME?</v>
      </c>
      <c r="AY81" s="440" t="str">
        <f ca="1">IF(AND(NOT(AW81),AND(AW$4:AW80)),MIN(EXP((AX81-$J81)*$G81),1),"")</f>
        <v/>
      </c>
      <c r="BA81" s="441" t="b">
        <f ca="1">IF(AND(NOT(AW81),AND(AW$4:AW80)),TRUE,AW81)</f>
        <v>0</v>
      </c>
      <c r="BB81" s="440" t="e">
        <f ca="1">IF(AND(NOT(ISBLANK(Jumpoverwrite11)),AND(NOT(BA81),AND(BA$4:BA80))),($J81*$G81-LN(1+Jumpoverwrite11*BC$2))/$G81,_xll.qlInterpolationInterpolate(BA$3,$F81,TRUE))</f>
        <v>#NAME?</v>
      </c>
      <c r="BC81" s="440" t="str">
        <f ca="1">IF(AND(NOT(BA81),AND(BA$4:BA80)),MIN(EXP((BB81-$J81)*$G81),1),"")</f>
        <v/>
      </c>
      <c r="BE81" s="441" t="b">
        <f ca="1">IF(AND(NOT(BA81),AND(BA$4:BA80)),TRUE,BA81)</f>
        <v>0</v>
      </c>
      <c r="BF81" s="440" t="e">
        <f ca="1">IF(AND(NOT(ISBLANK(Jumpoverwrite12)),AND(NOT(BE81),AND(BE$4:BE80))),($J81*$G81-LN(1+Jumpoverwrite12*BG$2))/$G81,_xll.qlInterpolationInterpolate(BE$3,$F81,TRUE))</f>
        <v>#NAME?</v>
      </c>
      <c r="BG81" s="440" t="str">
        <f ca="1">IF(AND(NOT(BE81),AND(BE$4:BE80)),MIN(EXP((BF81-$J81)*$G81),1),"")</f>
        <v/>
      </c>
      <c r="BI81" s="441" t="b">
        <f t="shared" ca="1" si="11"/>
        <v>0</v>
      </c>
      <c r="BJ81" s="440" t="e">
        <f ca="1">IF(AND(NOT(ISBLANK(jumpoverwrite13)),AND(NOT(BI81),AND(BI$4:BI80))),($J81*$G81-LN(1+jumpoverwrite13*BK$2))/$G81,_xll.qlInterpolationInterpolate(BI$3,$F81,TRUE))</f>
        <v>#NAME?</v>
      </c>
      <c r="BK81" s="440" t="str">
        <f ca="1">IF(AND(NOT(BI81),AND(BI$4:BI80)),MIN(EXP((BJ81-$J81)*$G81),1),"")</f>
        <v/>
      </c>
    </row>
    <row r="82" spans="1:63" x14ac:dyDescent="0.2">
      <c r="A82" s="439" t="e">
        <f ca="1"/>
        <v>#NAME?</v>
      </c>
      <c r="B82" s="438" t="e">
        <f ca="1">_xll.qlRateHelperRate($A82,InterestRatesTrigger)</f>
        <v>#NAME?</v>
      </c>
      <c r="C82" s="437" t="e">
        <f ca="1">_xll.qlRateHelperEarliestDate($A82)</f>
        <v>#NAME?</v>
      </c>
      <c r="D82" s="436" t="e">
        <f ca="1">_xll.qlRateHelperPillarDate($A82)</f>
        <v>#NAME?</v>
      </c>
      <c r="F82" s="446" t="e">
        <f t="shared" ca="1" si="9"/>
        <v>#N/A</v>
      </c>
      <c r="G82" s="445" t="e">
        <f ca="1">_xll.qlDayCounterYearFraction(DayCounter,D81,D82)</f>
        <v>#NAME?</v>
      </c>
      <c r="I82" s="444" t="b">
        <f t="shared" ca="1" si="10"/>
        <v>0</v>
      </c>
      <c r="J82" s="443" t="e">
        <f ca="1"/>
        <v>#NAME?</v>
      </c>
      <c r="K82" s="442" t="e">
        <f t="shared" ca="1" si="8"/>
        <v>#NAME?</v>
      </c>
      <c r="L82" s="430"/>
      <c r="M82" s="441" t="b">
        <f ca="1">IF(AND(NOT(I82),AND(I$4:I81)),TRUE,I82)</f>
        <v>0</v>
      </c>
      <c r="N82" s="440" t="e">
        <f ca="1">IF(AND(NOT(ISBLANK(Jumpoverwrite1)),AND(NOT(M82),AND(M$4:M81))),($J82*$G82-LN(1+Jumpoverwrite1*O$2))/$G82,_xll.qlInterpolationInterpolate(M$3,$F82,TRUE))</f>
        <v>#NAME?</v>
      </c>
      <c r="O82" s="440" t="str">
        <f ca="1">IF(AND(NOT(M82),AND(M$4:M81)),MIN(EXP((N82-$J82)*$G82),1),"")</f>
        <v/>
      </c>
      <c r="P82" s="429"/>
      <c r="Q82" s="441" t="b">
        <f ca="1">IF(AND(NOT(M82),AND(M$4:M81)),TRUE,M82)</f>
        <v>0</v>
      </c>
      <c r="R82" s="440" t="e">
        <f ca="1">IF(AND(NOT(ISBLANK(Jumpoverwrite2)),AND(NOT(Q82),AND(Q$4:Q81))),($J82*$G82-LN(1+Jumpoverwrite2*S$2))/$G82,_xll.qlInterpolationInterpolate(Q$3,$F82,TRUE))</f>
        <v>#NAME?</v>
      </c>
      <c r="S82" s="440" t="str">
        <f ca="1">IF(AND(NOT(Q82),AND(Q$4:Q81)),MIN(EXP((R82-$J82)*$G82),1),"")</f>
        <v/>
      </c>
      <c r="T82" s="429"/>
      <c r="U82" s="441" t="b">
        <f ca="1">IF(AND(NOT(Q82),AND(Q$4:Q81)),TRUE,Q82)</f>
        <v>0</v>
      </c>
      <c r="V82" s="440" t="e">
        <f ca="1">IF(AND(NOT(ISBLANK(Jumpoverwrite3)),AND(NOT(U82),AND(U$4:U81))),($J82*$G82-LN(1+Jumpoverwrite3*W$2))/$G82,_xll.qlInterpolationInterpolate(U$3,$F82,TRUE))</f>
        <v>#NAME?</v>
      </c>
      <c r="W82" s="440" t="str">
        <f ca="1">IF(AND(NOT(U82),AND(U$4:U81)),MIN(EXP((V82-$J82)*$G82),1),"")</f>
        <v/>
      </c>
      <c r="X82" s="429"/>
      <c r="Y82" s="441" t="b">
        <f ca="1">IF(AND(NOT(U82),AND(U$4:U81)),TRUE,U82)</f>
        <v>0</v>
      </c>
      <c r="Z82" s="440" t="e">
        <f ca="1">IF(AND(NOT(ISBLANK(Jumpoverwrite4)),AND(NOT(Y82),AND(Y$4:Y81))),($J82*$G82-LN(1+Jumpoverwrite4*AA$2))/$G82,_xll.qlInterpolationInterpolate(Y$3,$F82,TRUE))</f>
        <v>#NAME?</v>
      </c>
      <c r="AA82" s="440" t="str">
        <f ca="1">IF(AND(NOT(Y82),AND(Y$4:Y81)),MIN(EXP((Z82-$J82)*$G82),1),"")</f>
        <v/>
      </c>
      <c r="AB82" s="429"/>
      <c r="AC82" s="441" t="b">
        <f ca="1">IF(AND(NOT(Y82),AND(Y$4:Y81)),TRUE,Y82)</f>
        <v>0</v>
      </c>
      <c r="AD82" s="440" t="e">
        <f ca="1">IF(AND(NOT(ISBLANK(Jumpoverwrite5)),AND(NOT(AC82),AND(AC$4:AC81))),($J82*$G82-LN(1+Jumpoverwrite5*AE$2))/$G82,_xll.qlInterpolationInterpolate(AC$3,$F82,TRUE))</f>
        <v>#NAME?</v>
      </c>
      <c r="AE82" s="440" t="str">
        <f ca="1">IF(AND(NOT(AC82),AND(AC$4:AC81)),MIN(EXP((AD82-$J82)*$G82),1),"")</f>
        <v/>
      </c>
      <c r="AF82" s="429"/>
      <c r="AG82" s="441" t="b">
        <f ca="1">IF(AND(NOT(AC82),AND(AC$4:AC81)),TRUE,AC82)</f>
        <v>0</v>
      </c>
      <c r="AH82" s="440" t="e">
        <f ca="1">IF(AND(NOT(ISBLANK(Jumpoverwrite6)),AND(NOT(AG82),AND(AG$4:AG81))),($J82*$G82-LN(1+Jumpoverwrite6*AI$2))/$G82,_xll.qlInterpolationInterpolate(AG$3,$F82,TRUE))</f>
        <v>#NAME?</v>
      </c>
      <c r="AI82" s="440" t="str">
        <f ca="1">IF(AND(NOT(AG82),AND(AG$4:AG81)),MIN(EXP((AH82-$J82)*$G82),1),"")</f>
        <v/>
      </c>
      <c r="AJ82" s="429"/>
      <c r="AK82" s="441" t="b">
        <f ca="1">IF(AND(NOT(AG82),AND(AG$4:AG81)),TRUE,AG82)</f>
        <v>0</v>
      </c>
      <c r="AL82" s="440" t="e">
        <f ca="1">IF(AND(NOT(ISBLANK(Jumpoverwrite7)),AND(NOT(AK82),AND(AK$4:AK81))),($J82*$G82-LN(1+Jumpoverwrite7*AM$2))/$G82,_xll.qlInterpolationInterpolate(AK$3,$F82,TRUE))</f>
        <v>#NAME?</v>
      </c>
      <c r="AM82" s="440" t="str">
        <f ca="1">IF(AND(NOT(AK82),AND(AK$4:AK81)),MIN(EXP((AL82-$J82)*$G82),1),"")</f>
        <v/>
      </c>
      <c r="AO82" s="441" t="b">
        <f ca="1">IF(AND(NOT(AK82),AND(AK$4:AK81)),TRUE,AK82)</f>
        <v>0</v>
      </c>
      <c r="AP82" s="440" t="e">
        <f ca="1">IF(AND(NOT(ISBLANK(Jumpoverwrite8)),AND(NOT(AO82),AND(AO$4:AO81))),($J82*$G82-LN(1+Jumpoverwrite8*AQ$2))/$G82,_xll.qlInterpolationInterpolate(AO$3,$F82,TRUE))</f>
        <v>#NAME?</v>
      </c>
      <c r="AQ82" s="440" t="str">
        <f ca="1">IF(AND(NOT(AO82),AND(AO$4:AO81)),MIN(EXP((AP82-$J82)*$G82),1),"")</f>
        <v/>
      </c>
      <c r="AS82" s="441" t="b">
        <f ca="1">IF(AND(NOT(AO82),AND(AO$4:AO81)),TRUE,AO82)</f>
        <v>0</v>
      </c>
      <c r="AT82" s="440" t="e">
        <f ca="1">IF(AND(NOT(ISBLANK(Jumpoverwrite9)),AND(NOT(AS82),AND(AS$4:AS81))),($J82*$G82-LN(1+Jumpoverwrite9*AU$2))/$G82,_xll.qlInterpolationInterpolate(AS$3,$F82,TRUE))</f>
        <v>#NAME?</v>
      </c>
      <c r="AU82" s="440" t="str">
        <f ca="1">IF(AND(NOT(AS82),AND(AS$4:AS81)),MIN(EXP((AT82-$J82)*$G82),1),"")</f>
        <v/>
      </c>
      <c r="AW82" s="441" t="b">
        <f ca="1">IF(AND(NOT(AS82),AND(AS$4:AS81)),TRUE,AS82)</f>
        <v>0</v>
      </c>
      <c r="AX82" s="440" t="e">
        <f ca="1">IF(AND(NOT(ISBLANK(Jumpoverwrite10)),AND(NOT(AW82),AND(AW$4:AW81))),($J82*$G82-LN(1+Jumpoverwrite10*AY$2))/$G82,_xll.qlInterpolationInterpolate(AW$3,$F82,TRUE))</f>
        <v>#NAME?</v>
      </c>
      <c r="AY82" s="440" t="str">
        <f ca="1">IF(AND(NOT(AW82),AND(AW$4:AW81)),MIN(EXP((AX82-$J82)*$G82),1),"")</f>
        <v/>
      </c>
      <c r="BA82" s="441" t="b">
        <f ca="1">IF(AND(NOT(AW82),AND(AW$4:AW81)),TRUE,AW82)</f>
        <v>0</v>
      </c>
      <c r="BB82" s="440" t="e">
        <f ca="1">IF(AND(NOT(ISBLANK(Jumpoverwrite11)),AND(NOT(BA82),AND(BA$4:BA81))),($J82*$G82-LN(1+Jumpoverwrite11*BC$2))/$G82,_xll.qlInterpolationInterpolate(BA$3,$F82,TRUE))</f>
        <v>#NAME?</v>
      </c>
      <c r="BC82" s="440" t="str">
        <f ca="1">IF(AND(NOT(BA82),AND(BA$4:BA81)),MIN(EXP((BB82-$J82)*$G82),1),"")</f>
        <v/>
      </c>
      <c r="BE82" s="441" t="b">
        <f ca="1">IF(AND(NOT(BA82),AND(BA$4:BA81)),TRUE,BA82)</f>
        <v>0</v>
      </c>
      <c r="BF82" s="440" t="e">
        <f ca="1">IF(AND(NOT(ISBLANK(Jumpoverwrite12)),AND(NOT(BE82),AND(BE$4:BE81))),($J82*$G82-LN(1+Jumpoverwrite12*BG$2))/$G82,_xll.qlInterpolationInterpolate(BE$3,$F82,TRUE))</f>
        <v>#NAME?</v>
      </c>
      <c r="BG82" s="440" t="str">
        <f ca="1">IF(AND(NOT(BE82),AND(BE$4:BE81)),MIN(EXP((BF82-$J82)*$G82),1),"")</f>
        <v/>
      </c>
      <c r="BI82" s="441" t="b">
        <f t="shared" ca="1" si="11"/>
        <v>0</v>
      </c>
      <c r="BJ82" s="440" t="e">
        <f ca="1">IF(AND(NOT(ISBLANK(jumpoverwrite13)),AND(NOT(BI82),AND(BI$4:BI81))),($J82*$G82-LN(1+jumpoverwrite13*BK$2))/$G82,_xll.qlInterpolationInterpolate(BI$3,$F82,TRUE))</f>
        <v>#NAME?</v>
      </c>
      <c r="BK82" s="440" t="str">
        <f ca="1">IF(AND(NOT(BI82),AND(BI$4:BI81)),MIN(EXP((BJ82-$J82)*$G82),1),"")</f>
        <v/>
      </c>
    </row>
    <row r="83" spans="1:63" x14ac:dyDescent="0.2">
      <c r="A83" s="439" t="e">
        <f ca="1"/>
        <v>#NAME?</v>
      </c>
      <c r="B83" s="438" t="e">
        <f ca="1">_xll.qlRateHelperRate($A83,InterestRatesTrigger)</f>
        <v>#NAME?</v>
      </c>
      <c r="C83" s="437" t="e">
        <f ca="1">_xll.qlRateHelperEarliestDate($A83)</f>
        <v>#NAME?</v>
      </c>
      <c r="D83" s="436" t="e">
        <f ca="1">_xll.qlRateHelperPillarDate($A83)</f>
        <v>#NAME?</v>
      </c>
      <c r="F83" s="446" t="e">
        <f t="shared" ca="1" si="9"/>
        <v>#N/A</v>
      </c>
      <c r="G83" s="445" t="e">
        <f ca="1">_xll.qlDayCounterYearFraction(DayCounter,D82,D83)</f>
        <v>#NAME?</v>
      </c>
      <c r="I83" s="444" t="b">
        <f t="shared" ca="1" si="10"/>
        <v>0</v>
      </c>
      <c r="J83" s="443" t="e">
        <f ca="1"/>
        <v>#NAME?</v>
      </c>
      <c r="K83" s="442" t="e">
        <f t="shared" ca="1" si="8"/>
        <v>#NAME?</v>
      </c>
      <c r="L83" s="430"/>
      <c r="M83" s="441" t="b">
        <f ca="1">IF(AND(NOT(I83),AND(I$4:I82)),TRUE,I83)</f>
        <v>0</v>
      </c>
      <c r="N83" s="440" t="e">
        <f ca="1">IF(AND(NOT(ISBLANK(Jumpoverwrite1)),AND(NOT(M83),AND(M$4:M82))),($J83*$G83-LN(1+Jumpoverwrite1*O$2))/$G83,_xll.qlInterpolationInterpolate(M$3,$F83,TRUE))</f>
        <v>#NAME?</v>
      </c>
      <c r="O83" s="440" t="str">
        <f ca="1">IF(AND(NOT(M83),AND(M$4:M82)),MIN(EXP((N83-$J83)*$G83),1),"")</f>
        <v/>
      </c>
      <c r="P83" s="429"/>
      <c r="Q83" s="441" t="b">
        <f ca="1">IF(AND(NOT(M83),AND(M$4:M82)),TRUE,M83)</f>
        <v>0</v>
      </c>
      <c r="R83" s="440" t="e">
        <f ca="1">IF(AND(NOT(ISBLANK(Jumpoverwrite2)),AND(NOT(Q83),AND(Q$4:Q82))),($J83*$G83-LN(1+Jumpoverwrite2*S$2))/$G83,_xll.qlInterpolationInterpolate(Q$3,$F83,TRUE))</f>
        <v>#NAME?</v>
      </c>
      <c r="S83" s="440" t="str">
        <f ca="1">IF(AND(NOT(Q83),AND(Q$4:Q82)),MIN(EXP((R83-$J83)*$G83),1),"")</f>
        <v/>
      </c>
      <c r="T83" s="429"/>
      <c r="U83" s="441" t="b">
        <f ca="1">IF(AND(NOT(Q83),AND(Q$4:Q82)),TRUE,Q83)</f>
        <v>0</v>
      </c>
      <c r="V83" s="440" t="e">
        <f ca="1">IF(AND(NOT(ISBLANK(Jumpoverwrite3)),AND(NOT(U83),AND(U$4:U82))),($J83*$G83-LN(1+Jumpoverwrite3*W$2))/$G83,_xll.qlInterpolationInterpolate(U$3,$F83,TRUE))</f>
        <v>#NAME?</v>
      </c>
      <c r="W83" s="440" t="str">
        <f ca="1">IF(AND(NOT(U83),AND(U$4:U82)),MIN(EXP((V83-$J83)*$G83),1),"")</f>
        <v/>
      </c>
      <c r="X83" s="429"/>
      <c r="Y83" s="441" t="b">
        <f ca="1">IF(AND(NOT(U83),AND(U$4:U82)),TRUE,U83)</f>
        <v>0</v>
      </c>
      <c r="Z83" s="440" t="e">
        <f ca="1">IF(AND(NOT(ISBLANK(Jumpoverwrite4)),AND(NOT(Y83),AND(Y$4:Y82))),($J83*$G83-LN(1+Jumpoverwrite4*AA$2))/$G83,_xll.qlInterpolationInterpolate(Y$3,$F83,TRUE))</f>
        <v>#NAME?</v>
      </c>
      <c r="AA83" s="440" t="str">
        <f ca="1">IF(AND(NOT(Y83),AND(Y$4:Y82)),MIN(EXP((Z83-$J83)*$G83),1),"")</f>
        <v/>
      </c>
      <c r="AB83" s="429"/>
      <c r="AC83" s="441" t="b">
        <f ca="1">IF(AND(NOT(Y83),AND(Y$4:Y82)),TRUE,Y83)</f>
        <v>0</v>
      </c>
      <c r="AD83" s="440" t="e">
        <f ca="1">IF(AND(NOT(ISBLANK(Jumpoverwrite5)),AND(NOT(AC83),AND(AC$4:AC82))),($J83*$G83-LN(1+Jumpoverwrite5*AE$2))/$G83,_xll.qlInterpolationInterpolate(AC$3,$F83,TRUE))</f>
        <v>#NAME?</v>
      </c>
      <c r="AE83" s="440" t="str">
        <f ca="1">IF(AND(NOT(AC83),AND(AC$4:AC82)),MIN(EXP((AD83-$J83)*$G83),1),"")</f>
        <v/>
      </c>
      <c r="AF83" s="429"/>
      <c r="AG83" s="441" t="b">
        <f ca="1">IF(AND(NOT(AC83),AND(AC$4:AC82)),TRUE,AC83)</f>
        <v>0</v>
      </c>
      <c r="AH83" s="440" t="e">
        <f ca="1">IF(AND(NOT(ISBLANK(Jumpoverwrite6)),AND(NOT(AG83),AND(AG$4:AG82))),($J83*$G83-LN(1+Jumpoverwrite6*AI$2))/$G83,_xll.qlInterpolationInterpolate(AG$3,$F83,TRUE))</f>
        <v>#NAME?</v>
      </c>
      <c r="AI83" s="440" t="str">
        <f ca="1">IF(AND(NOT(AG83),AND(AG$4:AG82)),MIN(EXP((AH83-$J83)*$G83),1),"")</f>
        <v/>
      </c>
      <c r="AJ83" s="429"/>
      <c r="AK83" s="441" t="b">
        <f ca="1">IF(AND(NOT(AG83),AND(AG$4:AG82)),TRUE,AG83)</f>
        <v>0</v>
      </c>
      <c r="AL83" s="440" t="e">
        <f ca="1">IF(AND(NOT(ISBLANK(Jumpoverwrite7)),AND(NOT(AK83),AND(AK$4:AK82))),($J83*$G83-LN(1+Jumpoverwrite7*AM$2))/$G83,_xll.qlInterpolationInterpolate(AK$3,$F83,TRUE))</f>
        <v>#NAME?</v>
      </c>
      <c r="AM83" s="440" t="str">
        <f ca="1">IF(AND(NOT(AK83),AND(AK$4:AK82)),MIN(EXP((AL83-$J83)*$G83),1),"")</f>
        <v/>
      </c>
      <c r="AO83" s="441" t="b">
        <f ca="1">IF(AND(NOT(AK83),AND(AK$4:AK82)),TRUE,AK83)</f>
        <v>0</v>
      </c>
      <c r="AP83" s="440" t="e">
        <f ca="1">IF(AND(NOT(ISBLANK(Jumpoverwrite8)),AND(NOT(AO83),AND(AO$4:AO82))),($J83*$G83-LN(1+Jumpoverwrite8*AQ$2))/$G83,_xll.qlInterpolationInterpolate(AO$3,$F83,TRUE))</f>
        <v>#NAME?</v>
      </c>
      <c r="AQ83" s="440" t="str">
        <f ca="1">IF(AND(NOT(AO83),AND(AO$4:AO82)),MIN(EXP((AP83-$J83)*$G83),1),"")</f>
        <v/>
      </c>
      <c r="AS83" s="441" t="b">
        <f ca="1">IF(AND(NOT(AO83),AND(AO$4:AO82)),TRUE,AO83)</f>
        <v>0</v>
      </c>
      <c r="AT83" s="440" t="e">
        <f ca="1">IF(AND(NOT(ISBLANK(Jumpoverwrite9)),AND(NOT(AS83),AND(AS$4:AS82))),($J83*$G83-LN(1+Jumpoverwrite9*AU$2))/$G83,_xll.qlInterpolationInterpolate(AS$3,$F83,TRUE))</f>
        <v>#NAME?</v>
      </c>
      <c r="AU83" s="440" t="str">
        <f ca="1">IF(AND(NOT(AS83),AND(AS$4:AS82)),MIN(EXP((AT83-$J83)*$G83),1),"")</f>
        <v/>
      </c>
      <c r="AW83" s="441" t="b">
        <f ca="1">IF(AND(NOT(AS83),AND(AS$4:AS82)),TRUE,AS83)</f>
        <v>0</v>
      </c>
      <c r="AX83" s="440" t="e">
        <f ca="1">IF(AND(NOT(ISBLANK(Jumpoverwrite10)),AND(NOT(AW83),AND(AW$4:AW82))),($J83*$G83-LN(1+Jumpoverwrite10*AY$2))/$G83,_xll.qlInterpolationInterpolate(AW$3,$F83,TRUE))</f>
        <v>#NAME?</v>
      </c>
      <c r="AY83" s="440" t="str">
        <f ca="1">IF(AND(NOT(AW83),AND(AW$4:AW82)),MIN(EXP((AX83-$J83)*$G83),1),"")</f>
        <v/>
      </c>
      <c r="BA83" s="441" t="b">
        <f ca="1">IF(AND(NOT(AW83),AND(AW$4:AW82)),TRUE,AW83)</f>
        <v>0</v>
      </c>
      <c r="BB83" s="440" t="e">
        <f ca="1">IF(AND(NOT(ISBLANK(Jumpoverwrite11)),AND(NOT(BA83),AND(BA$4:BA82))),($J83*$G83-LN(1+Jumpoverwrite11*BC$2))/$G83,_xll.qlInterpolationInterpolate(BA$3,$F83,TRUE))</f>
        <v>#NAME?</v>
      </c>
      <c r="BC83" s="440" t="str">
        <f ca="1">IF(AND(NOT(BA83),AND(BA$4:BA82)),MIN(EXP((BB83-$J83)*$G83),1),"")</f>
        <v/>
      </c>
      <c r="BE83" s="441" t="b">
        <f ca="1">IF(AND(NOT(BA83),AND(BA$4:BA82)),TRUE,BA83)</f>
        <v>0</v>
      </c>
      <c r="BF83" s="440" t="e">
        <f ca="1">IF(AND(NOT(ISBLANK(Jumpoverwrite12)),AND(NOT(BE83),AND(BE$4:BE82))),($J83*$G83-LN(1+Jumpoverwrite12*BG$2))/$G83,_xll.qlInterpolationInterpolate(BE$3,$F83,TRUE))</f>
        <v>#NAME?</v>
      </c>
      <c r="BG83" s="440" t="str">
        <f ca="1">IF(AND(NOT(BE83),AND(BE$4:BE82)),MIN(EXP((BF83-$J83)*$G83),1),"")</f>
        <v/>
      </c>
      <c r="BI83" s="441" t="b">
        <f t="shared" ca="1" si="11"/>
        <v>0</v>
      </c>
      <c r="BJ83" s="440" t="e">
        <f ca="1">IF(AND(NOT(ISBLANK(jumpoverwrite13)),AND(NOT(BI83),AND(BI$4:BI82))),($J83*$G83-LN(1+jumpoverwrite13*BK$2))/$G83,_xll.qlInterpolationInterpolate(BI$3,$F83,TRUE))</f>
        <v>#NAME?</v>
      </c>
      <c r="BK83" s="440" t="str">
        <f ca="1">IF(AND(NOT(BI83),AND(BI$4:BI82)),MIN(EXP((BJ83-$J83)*$G83),1),"")</f>
        <v/>
      </c>
    </row>
    <row r="84" spans="1:63" x14ac:dyDescent="0.2">
      <c r="A84" s="439" t="e">
        <f ca="1"/>
        <v>#NAME?</v>
      </c>
      <c r="B84" s="438" t="e">
        <f ca="1">_xll.qlRateHelperRate($A84,InterestRatesTrigger)</f>
        <v>#NAME?</v>
      </c>
      <c r="C84" s="437" t="e">
        <f ca="1">_xll.qlRateHelperEarliestDate($A84)</f>
        <v>#NAME?</v>
      </c>
      <c r="D84" s="436" t="e">
        <f ca="1">_xll.qlRateHelperPillarDate($A84)</f>
        <v>#NAME?</v>
      </c>
      <c r="F84" s="446" t="e">
        <f t="shared" ca="1" si="9"/>
        <v>#N/A</v>
      </c>
      <c r="G84" s="445" t="e">
        <f ca="1">_xll.qlDayCounterYearFraction(DayCounter,D83,D84)</f>
        <v>#NAME?</v>
      </c>
      <c r="I84" s="444" t="b">
        <f t="shared" ca="1" si="10"/>
        <v>0</v>
      </c>
      <c r="J84" s="443" t="e">
        <f ca="1"/>
        <v>#NAME?</v>
      </c>
      <c r="K84" s="442" t="e">
        <f t="shared" ca="1" si="8"/>
        <v>#NAME?</v>
      </c>
      <c r="L84" s="430"/>
      <c r="M84" s="441" t="b">
        <f ca="1">IF(AND(NOT(I84),AND(I$4:I83)),TRUE,I84)</f>
        <v>0</v>
      </c>
      <c r="N84" s="440" t="e">
        <f ca="1">IF(AND(NOT(ISBLANK(Jumpoverwrite1)),AND(NOT(M84),AND(M$4:M83))),($J84*$G84-LN(1+Jumpoverwrite1*O$2))/$G84,_xll.qlInterpolationInterpolate(M$3,$F84,TRUE))</f>
        <v>#NAME?</v>
      </c>
      <c r="O84" s="440" t="str">
        <f ca="1">IF(AND(NOT(M84),AND(M$4:M83)),MIN(EXP((N84-$J84)*$G84),1),"")</f>
        <v/>
      </c>
      <c r="P84" s="429"/>
      <c r="Q84" s="441" t="b">
        <f ca="1">IF(AND(NOT(M84),AND(M$4:M83)),TRUE,M84)</f>
        <v>0</v>
      </c>
      <c r="R84" s="440" t="e">
        <f ca="1">IF(AND(NOT(ISBLANK(Jumpoverwrite2)),AND(NOT(Q84),AND(Q$4:Q83))),($J84*$G84-LN(1+Jumpoverwrite2*S$2))/$G84,_xll.qlInterpolationInterpolate(Q$3,$F84,TRUE))</f>
        <v>#NAME?</v>
      </c>
      <c r="S84" s="440" t="str">
        <f ca="1">IF(AND(NOT(Q84),AND(Q$4:Q83)),MIN(EXP((R84-$J84)*$G84),1),"")</f>
        <v/>
      </c>
      <c r="T84" s="429"/>
      <c r="U84" s="441" t="b">
        <f ca="1">IF(AND(NOT(Q84),AND(Q$4:Q83)),TRUE,Q84)</f>
        <v>0</v>
      </c>
      <c r="V84" s="440" t="e">
        <f ca="1">IF(AND(NOT(ISBLANK(Jumpoverwrite3)),AND(NOT(U84),AND(U$4:U83))),($J84*$G84-LN(1+Jumpoverwrite3*W$2))/$G84,_xll.qlInterpolationInterpolate(U$3,$F84,TRUE))</f>
        <v>#NAME?</v>
      </c>
      <c r="W84" s="440" t="str">
        <f ca="1">IF(AND(NOT(U84),AND(U$4:U83)),MIN(EXP((V84-$J84)*$G84),1),"")</f>
        <v/>
      </c>
      <c r="X84" s="429"/>
      <c r="Y84" s="441" t="b">
        <f ca="1">IF(AND(NOT(U84),AND(U$4:U83)),TRUE,U84)</f>
        <v>0</v>
      </c>
      <c r="Z84" s="440" t="e">
        <f ca="1">IF(AND(NOT(ISBLANK(Jumpoverwrite4)),AND(NOT(Y84),AND(Y$4:Y83))),($J84*$G84-LN(1+Jumpoverwrite4*AA$2))/$G84,_xll.qlInterpolationInterpolate(Y$3,$F84,TRUE))</f>
        <v>#NAME?</v>
      </c>
      <c r="AA84" s="440" t="str">
        <f ca="1">IF(AND(NOT(Y84),AND(Y$4:Y83)),MIN(EXP((Z84-$J84)*$G84),1),"")</f>
        <v/>
      </c>
      <c r="AB84" s="429"/>
      <c r="AC84" s="441" t="b">
        <f ca="1">IF(AND(NOT(Y84),AND(Y$4:Y83)),TRUE,Y84)</f>
        <v>0</v>
      </c>
      <c r="AD84" s="440" t="e">
        <f ca="1">IF(AND(NOT(ISBLANK(Jumpoverwrite5)),AND(NOT(AC84),AND(AC$4:AC83))),($J84*$G84-LN(1+Jumpoverwrite5*AE$2))/$G84,_xll.qlInterpolationInterpolate(AC$3,$F84,TRUE))</f>
        <v>#NAME?</v>
      </c>
      <c r="AE84" s="440" t="str">
        <f ca="1">IF(AND(NOT(AC84),AND(AC$4:AC83)),MIN(EXP((AD84-$J84)*$G84),1),"")</f>
        <v/>
      </c>
      <c r="AF84" s="429"/>
      <c r="AG84" s="441" t="b">
        <f ca="1">IF(AND(NOT(AC84),AND(AC$4:AC83)),TRUE,AC84)</f>
        <v>0</v>
      </c>
      <c r="AH84" s="440" t="e">
        <f ca="1">IF(AND(NOT(ISBLANK(Jumpoverwrite6)),AND(NOT(AG84),AND(AG$4:AG83))),($J84*$G84-LN(1+Jumpoverwrite6*AI$2))/$G84,_xll.qlInterpolationInterpolate(AG$3,$F84,TRUE))</f>
        <v>#NAME?</v>
      </c>
      <c r="AI84" s="440" t="str">
        <f ca="1">IF(AND(NOT(AG84),AND(AG$4:AG83)),MIN(EXP((AH84-$J84)*$G84),1),"")</f>
        <v/>
      </c>
      <c r="AJ84" s="429"/>
      <c r="AK84" s="441" t="b">
        <f ca="1">IF(AND(NOT(AG84),AND(AG$4:AG83)),TRUE,AG84)</f>
        <v>0</v>
      </c>
      <c r="AL84" s="440" t="e">
        <f ca="1">IF(AND(NOT(ISBLANK(Jumpoverwrite7)),AND(NOT(AK84),AND(AK$4:AK83))),($J84*$G84-LN(1+Jumpoverwrite7*AM$2))/$G84,_xll.qlInterpolationInterpolate(AK$3,$F84,TRUE))</f>
        <v>#NAME?</v>
      </c>
      <c r="AM84" s="440" t="str">
        <f ca="1">IF(AND(NOT(AK84),AND(AK$4:AK83)),MIN(EXP((AL84-$J84)*$G84),1),"")</f>
        <v/>
      </c>
      <c r="AO84" s="441" t="b">
        <f ca="1">IF(AND(NOT(AK84),AND(AK$4:AK83)),TRUE,AK84)</f>
        <v>0</v>
      </c>
      <c r="AP84" s="440" t="e">
        <f ca="1">IF(AND(NOT(ISBLANK(Jumpoverwrite8)),AND(NOT(AO84),AND(AO$4:AO83))),($J84*$G84-LN(1+Jumpoverwrite8*AQ$2))/$G84,_xll.qlInterpolationInterpolate(AO$3,$F84,TRUE))</f>
        <v>#NAME?</v>
      </c>
      <c r="AQ84" s="440" t="str">
        <f ca="1">IF(AND(NOT(AO84),AND(AO$4:AO83)),MIN(EXP((AP84-$J84)*$G84),1),"")</f>
        <v/>
      </c>
      <c r="AS84" s="441" t="b">
        <f ca="1">IF(AND(NOT(AO84),AND(AO$4:AO83)),TRUE,AO84)</f>
        <v>0</v>
      </c>
      <c r="AT84" s="440" t="e">
        <f ca="1">IF(AND(NOT(ISBLANK(Jumpoverwrite9)),AND(NOT(AS84),AND(AS$4:AS83))),($J84*$G84-LN(1+Jumpoverwrite9*AU$2))/$G84,_xll.qlInterpolationInterpolate(AS$3,$F84,TRUE))</f>
        <v>#NAME?</v>
      </c>
      <c r="AU84" s="440" t="str">
        <f ca="1">IF(AND(NOT(AS84),AND(AS$4:AS83)),MIN(EXP((AT84-$J84)*$G84),1),"")</f>
        <v/>
      </c>
      <c r="AW84" s="441" t="b">
        <f ca="1">IF(AND(NOT(AS84),AND(AS$4:AS83)),TRUE,AS84)</f>
        <v>0</v>
      </c>
      <c r="AX84" s="440" t="e">
        <f ca="1">IF(AND(NOT(ISBLANK(Jumpoverwrite10)),AND(NOT(AW84),AND(AW$4:AW83))),($J84*$G84-LN(1+Jumpoverwrite10*AY$2))/$G84,_xll.qlInterpolationInterpolate(AW$3,$F84,TRUE))</f>
        <v>#NAME?</v>
      </c>
      <c r="AY84" s="440" t="str">
        <f ca="1">IF(AND(NOT(AW84),AND(AW$4:AW83)),MIN(EXP((AX84-$J84)*$G84),1),"")</f>
        <v/>
      </c>
      <c r="BA84" s="441" t="b">
        <f ca="1">IF(AND(NOT(AW84),AND(AW$4:AW83)),TRUE,AW84)</f>
        <v>0</v>
      </c>
      <c r="BB84" s="440" t="e">
        <f ca="1">IF(AND(NOT(ISBLANK(Jumpoverwrite11)),AND(NOT(BA84),AND(BA$4:BA83))),($J84*$G84-LN(1+Jumpoverwrite11*BC$2))/$G84,_xll.qlInterpolationInterpolate(BA$3,$F84,TRUE))</f>
        <v>#NAME?</v>
      </c>
      <c r="BC84" s="440" t="str">
        <f ca="1">IF(AND(NOT(BA84),AND(BA$4:BA83)),MIN(EXP((BB84-$J84)*$G84),1),"")</f>
        <v/>
      </c>
      <c r="BE84" s="441" t="b">
        <f ca="1">IF(AND(NOT(BA84),AND(BA$4:BA83)),TRUE,BA84)</f>
        <v>0</v>
      </c>
      <c r="BF84" s="440" t="e">
        <f ca="1">IF(AND(NOT(ISBLANK(Jumpoverwrite12)),AND(NOT(BE84),AND(BE$4:BE83))),($J84*$G84-LN(1+Jumpoverwrite12*BG$2))/$G84,_xll.qlInterpolationInterpolate(BE$3,$F84,TRUE))</f>
        <v>#NAME?</v>
      </c>
      <c r="BG84" s="440" t="str">
        <f ca="1">IF(AND(NOT(BE84),AND(BE$4:BE83)),MIN(EXP((BF84-$J84)*$G84),1),"")</f>
        <v/>
      </c>
      <c r="BI84" s="441" t="b">
        <f t="shared" ca="1" si="11"/>
        <v>0</v>
      </c>
      <c r="BJ84" s="440" t="e">
        <f ca="1">IF(AND(NOT(ISBLANK(jumpoverwrite13)),AND(NOT(BI84),AND(BI$4:BI83))),($J84*$G84-LN(1+jumpoverwrite13*BK$2))/$G84,_xll.qlInterpolationInterpolate(BI$3,$F84,TRUE))</f>
        <v>#NAME?</v>
      </c>
      <c r="BK84" s="440" t="str">
        <f ca="1">IF(AND(NOT(BI84),AND(BI$4:BI83)),MIN(EXP((BJ84-$J84)*$G84),1),"")</f>
        <v/>
      </c>
    </row>
    <row r="85" spans="1:63" x14ac:dyDescent="0.2">
      <c r="A85" s="439" t="e">
        <f ca="1"/>
        <v>#NAME?</v>
      </c>
      <c r="B85" s="438" t="e">
        <f ca="1">_xll.qlRateHelperRate($A85,InterestRatesTrigger)</f>
        <v>#NAME?</v>
      </c>
      <c r="C85" s="437" t="e">
        <f ca="1">_xll.qlRateHelperEarliestDate($A85)</f>
        <v>#NAME?</v>
      </c>
      <c r="D85" s="436" t="e">
        <f ca="1">_xll.qlRateHelperPillarDate($A85)</f>
        <v>#NAME?</v>
      </c>
      <c r="F85" s="446" t="e">
        <f t="shared" ca="1" si="9"/>
        <v>#N/A</v>
      </c>
      <c r="G85" s="445" t="e">
        <f ca="1">_xll.qlDayCounterYearFraction(DayCounter,D84,D85)</f>
        <v>#NAME?</v>
      </c>
      <c r="I85" s="444" t="b">
        <f t="shared" ca="1" si="10"/>
        <v>0</v>
      </c>
      <c r="J85" s="443" t="e">
        <f ca="1"/>
        <v>#NAME?</v>
      </c>
      <c r="K85" s="442" t="e">
        <f t="shared" ca="1" si="8"/>
        <v>#NAME?</v>
      </c>
      <c r="L85" s="430"/>
      <c r="M85" s="441" t="b">
        <f ca="1">IF(AND(NOT(I85),AND(I$4:I84)),TRUE,I85)</f>
        <v>0</v>
      </c>
      <c r="N85" s="440" t="e">
        <f ca="1">IF(AND(NOT(ISBLANK(Jumpoverwrite1)),AND(NOT(M85),AND(M$4:M84))),($J85*$G85-LN(1+Jumpoverwrite1*O$2))/$G85,_xll.qlInterpolationInterpolate(M$3,$F85,TRUE))</f>
        <v>#NAME?</v>
      </c>
      <c r="O85" s="440" t="str">
        <f ca="1">IF(AND(NOT(M85),AND(M$4:M84)),MIN(EXP((N85-$J85)*$G85),1),"")</f>
        <v/>
      </c>
      <c r="P85" s="429"/>
      <c r="Q85" s="441" t="b">
        <f ca="1">IF(AND(NOT(M85),AND(M$4:M84)),TRUE,M85)</f>
        <v>0</v>
      </c>
      <c r="R85" s="440" t="e">
        <f ca="1">IF(AND(NOT(ISBLANK(Jumpoverwrite2)),AND(NOT(Q85),AND(Q$4:Q84))),($J85*$G85-LN(1+Jumpoverwrite2*S$2))/$G85,_xll.qlInterpolationInterpolate(Q$3,$F85,TRUE))</f>
        <v>#NAME?</v>
      </c>
      <c r="S85" s="440" t="str">
        <f ca="1">IF(AND(NOT(Q85),AND(Q$4:Q84)),MIN(EXP((R85-$J85)*$G85),1),"")</f>
        <v/>
      </c>
      <c r="T85" s="429"/>
      <c r="U85" s="441" t="b">
        <f ca="1">IF(AND(NOT(Q85),AND(Q$4:Q84)),TRUE,Q85)</f>
        <v>0</v>
      </c>
      <c r="V85" s="440" t="e">
        <f ca="1">IF(AND(NOT(ISBLANK(Jumpoverwrite3)),AND(NOT(U85),AND(U$4:U84))),($J85*$G85-LN(1+Jumpoverwrite3*W$2))/$G85,_xll.qlInterpolationInterpolate(U$3,$F85,TRUE))</f>
        <v>#NAME?</v>
      </c>
      <c r="W85" s="440" t="str">
        <f ca="1">IF(AND(NOT(U85),AND(U$4:U84)),MIN(EXP((V85-$J85)*$G85),1),"")</f>
        <v/>
      </c>
      <c r="X85" s="429"/>
      <c r="Y85" s="441" t="b">
        <f ca="1">IF(AND(NOT(U85),AND(U$4:U84)),TRUE,U85)</f>
        <v>0</v>
      </c>
      <c r="Z85" s="440" t="e">
        <f ca="1">IF(AND(NOT(ISBLANK(Jumpoverwrite4)),AND(NOT(Y85),AND(Y$4:Y84))),($J85*$G85-LN(1+Jumpoverwrite4*AA$2))/$G85,_xll.qlInterpolationInterpolate(Y$3,$F85,TRUE))</f>
        <v>#NAME?</v>
      </c>
      <c r="AA85" s="440" t="str">
        <f ca="1">IF(AND(NOT(Y85),AND(Y$4:Y84)),MIN(EXP((Z85-$J85)*$G85),1),"")</f>
        <v/>
      </c>
      <c r="AB85" s="429"/>
      <c r="AC85" s="441" t="b">
        <f ca="1">IF(AND(NOT(Y85),AND(Y$4:Y84)),TRUE,Y85)</f>
        <v>0</v>
      </c>
      <c r="AD85" s="440" t="e">
        <f ca="1">IF(AND(NOT(ISBLANK(Jumpoverwrite5)),AND(NOT(AC85),AND(AC$4:AC84))),($J85*$G85-LN(1+Jumpoverwrite5*AE$2))/$G85,_xll.qlInterpolationInterpolate(AC$3,$F85,TRUE))</f>
        <v>#NAME?</v>
      </c>
      <c r="AE85" s="440" t="str">
        <f ca="1">IF(AND(NOT(AC85),AND(AC$4:AC84)),MIN(EXP((AD85-$J85)*$G85),1),"")</f>
        <v/>
      </c>
      <c r="AF85" s="429"/>
      <c r="AG85" s="441" t="b">
        <f ca="1">IF(AND(NOT(AC85),AND(AC$4:AC84)),TRUE,AC85)</f>
        <v>0</v>
      </c>
      <c r="AH85" s="440" t="e">
        <f ca="1">IF(AND(NOT(ISBLANK(Jumpoverwrite6)),AND(NOT(AG85),AND(AG$4:AG84))),($J85*$G85-LN(1+Jumpoverwrite6*AI$2))/$G85,_xll.qlInterpolationInterpolate(AG$3,$F85,TRUE))</f>
        <v>#NAME?</v>
      </c>
      <c r="AI85" s="440" t="str">
        <f ca="1">IF(AND(NOT(AG85),AND(AG$4:AG84)),MIN(EXP((AH85-$J85)*$G85),1),"")</f>
        <v/>
      </c>
      <c r="AJ85" s="429"/>
      <c r="AK85" s="441" t="b">
        <f ca="1">IF(AND(NOT(AG85),AND(AG$4:AG84)),TRUE,AG85)</f>
        <v>0</v>
      </c>
      <c r="AL85" s="440" t="e">
        <f ca="1">IF(AND(NOT(ISBLANK(Jumpoverwrite7)),AND(NOT(AK85),AND(AK$4:AK84))),($J85*$G85-LN(1+Jumpoverwrite7*AM$2))/$G85,_xll.qlInterpolationInterpolate(AK$3,$F85,TRUE))</f>
        <v>#NAME?</v>
      </c>
      <c r="AM85" s="440" t="str">
        <f ca="1">IF(AND(NOT(AK85),AND(AK$4:AK84)),MIN(EXP((AL85-$J85)*$G85),1),"")</f>
        <v/>
      </c>
      <c r="AO85" s="441" t="b">
        <f ca="1">IF(AND(NOT(AK85),AND(AK$4:AK84)),TRUE,AK85)</f>
        <v>0</v>
      </c>
      <c r="AP85" s="440" t="e">
        <f ca="1">IF(AND(NOT(ISBLANK(Jumpoverwrite8)),AND(NOT(AO85),AND(AO$4:AO84))),($J85*$G85-LN(1+Jumpoverwrite8*AQ$2))/$G85,_xll.qlInterpolationInterpolate(AO$3,$F85,TRUE))</f>
        <v>#NAME?</v>
      </c>
      <c r="AQ85" s="440" t="str">
        <f ca="1">IF(AND(NOT(AO85),AND(AO$4:AO84)),MIN(EXP((AP85-$J85)*$G85),1),"")</f>
        <v/>
      </c>
      <c r="AS85" s="441" t="b">
        <f ca="1">IF(AND(NOT(AO85),AND(AO$4:AO84)),TRUE,AO85)</f>
        <v>0</v>
      </c>
      <c r="AT85" s="440" t="e">
        <f ca="1">IF(AND(NOT(ISBLANK(Jumpoverwrite9)),AND(NOT(AS85),AND(AS$4:AS84))),($J85*$G85-LN(1+Jumpoverwrite9*AU$2))/$G85,_xll.qlInterpolationInterpolate(AS$3,$F85,TRUE))</f>
        <v>#NAME?</v>
      </c>
      <c r="AU85" s="440" t="str">
        <f ca="1">IF(AND(NOT(AS85),AND(AS$4:AS84)),MIN(EXP((AT85-$J85)*$G85),1),"")</f>
        <v/>
      </c>
      <c r="AW85" s="441" t="b">
        <f ca="1">IF(AND(NOT(AS85),AND(AS$4:AS84)),TRUE,AS85)</f>
        <v>0</v>
      </c>
      <c r="AX85" s="440" t="e">
        <f ca="1">IF(AND(NOT(ISBLANK(Jumpoverwrite10)),AND(NOT(AW85),AND(AW$4:AW84))),($J85*$G85-LN(1+Jumpoverwrite10*AY$2))/$G85,_xll.qlInterpolationInterpolate(AW$3,$F85,TRUE))</f>
        <v>#NAME?</v>
      </c>
      <c r="AY85" s="440" t="str">
        <f ca="1">IF(AND(NOT(AW85),AND(AW$4:AW84)),MIN(EXP((AX85-$J85)*$G85),1),"")</f>
        <v/>
      </c>
      <c r="BA85" s="441" t="b">
        <f ca="1">IF(AND(NOT(AW85),AND(AW$4:AW84)),TRUE,AW85)</f>
        <v>0</v>
      </c>
      <c r="BB85" s="440" t="e">
        <f ca="1">IF(AND(NOT(ISBLANK(Jumpoverwrite11)),AND(NOT(BA85),AND(BA$4:BA84))),($J85*$G85-LN(1+Jumpoverwrite11*BC$2))/$G85,_xll.qlInterpolationInterpolate(BA$3,$F85,TRUE))</f>
        <v>#NAME?</v>
      </c>
      <c r="BC85" s="440" t="str">
        <f ca="1">IF(AND(NOT(BA85),AND(BA$4:BA84)),MIN(EXP((BB85-$J85)*$G85),1),"")</f>
        <v/>
      </c>
      <c r="BE85" s="441" t="b">
        <f ca="1">IF(AND(NOT(BA85),AND(BA$4:BA84)),TRUE,BA85)</f>
        <v>0</v>
      </c>
      <c r="BF85" s="440" t="e">
        <f ca="1">IF(AND(NOT(ISBLANK(Jumpoverwrite12)),AND(NOT(BE85),AND(BE$4:BE84))),($J85*$G85-LN(1+Jumpoverwrite12*BG$2))/$G85,_xll.qlInterpolationInterpolate(BE$3,$F85,TRUE))</f>
        <v>#NAME?</v>
      </c>
      <c r="BG85" s="440" t="str">
        <f ca="1">IF(AND(NOT(BE85),AND(BE$4:BE84)),MIN(EXP((BF85-$J85)*$G85),1),"")</f>
        <v/>
      </c>
      <c r="BI85" s="441" t="b">
        <f t="shared" ca="1" si="11"/>
        <v>0</v>
      </c>
      <c r="BJ85" s="440" t="e">
        <f ca="1">IF(AND(NOT(ISBLANK(jumpoverwrite13)),AND(NOT(BI85),AND(BI$4:BI84))),($J85*$G85-LN(1+jumpoverwrite13*BK$2))/$G85,_xll.qlInterpolationInterpolate(BI$3,$F85,TRUE))</f>
        <v>#NAME?</v>
      </c>
      <c r="BK85" s="440" t="str">
        <f ca="1">IF(AND(NOT(BI85),AND(BI$4:BI84)),MIN(EXP((BJ85-$J85)*$G85),1),"")</f>
        <v/>
      </c>
    </row>
    <row r="86" spans="1:63" x14ac:dyDescent="0.2">
      <c r="A86" s="439" t="e">
        <f ca="1"/>
        <v>#NAME?</v>
      </c>
      <c r="B86" s="438" t="e">
        <f ca="1">_xll.qlRateHelperRate($A86,InterestRatesTrigger)</f>
        <v>#NAME?</v>
      </c>
      <c r="C86" s="437" t="e">
        <f ca="1">_xll.qlRateHelperEarliestDate($A86)</f>
        <v>#NAME?</v>
      </c>
      <c r="D86" s="436" t="e">
        <f ca="1">_xll.qlRateHelperPillarDate($A86)</f>
        <v>#NAME?</v>
      </c>
      <c r="F86" s="446" t="e">
        <f t="shared" ca="1" si="9"/>
        <v>#N/A</v>
      </c>
      <c r="G86" s="445" t="e">
        <f ca="1">_xll.qlDayCounterYearFraction(DayCounter,D85,D86)</f>
        <v>#NAME?</v>
      </c>
      <c r="I86" s="444" t="b">
        <f t="shared" ca="1" si="10"/>
        <v>0</v>
      </c>
      <c r="J86" s="443" t="e">
        <f ca="1"/>
        <v>#NAME?</v>
      </c>
      <c r="K86" s="442" t="e">
        <f t="shared" ca="1" si="8"/>
        <v>#NAME?</v>
      </c>
      <c r="L86" s="430"/>
      <c r="M86" s="441" t="b">
        <f ca="1">IF(AND(NOT(I86),AND(I$4:I85)),TRUE,I86)</f>
        <v>0</v>
      </c>
      <c r="N86" s="440" t="e">
        <f ca="1">IF(AND(NOT(ISBLANK(Jumpoverwrite1)),AND(NOT(M86),AND(M$4:M85))),($J86*$G86-LN(1+Jumpoverwrite1*O$2))/$G86,_xll.qlInterpolationInterpolate(M$3,$F86,TRUE))</f>
        <v>#NAME?</v>
      </c>
      <c r="O86" s="440" t="str">
        <f ca="1">IF(AND(NOT(M86),AND(M$4:M85)),MIN(EXP((N86-$J86)*$G86),1),"")</f>
        <v/>
      </c>
      <c r="P86" s="429"/>
      <c r="Q86" s="441" t="b">
        <f ca="1">IF(AND(NOT(M86),AND(M$4:M85)),TRUE,M86)</f>
        <v>0</v>
      </c>
      <c r="R86" s="440" t="e">
        <f ca="1">IF(AND(NOT(ISBLANK(Jumpoverwrite2)),AND(NOT(Q86),AND(Q$4:Q85))),($J86*$G86-LN(1+Jumpoverwrite2*S$2))/$G86,_xll.qlInterpolationInterpolate(Q$3,$F86,TRUE))</f>
        <v>#NAME?</v>
      </c>
      <c r="S86" s="440" t="str">
        <f ca="1">IF(AND(NOT(Q86),AND(Q$4:Q85)),MIN(EXP((R86-$J86)*$G86),1),"")</f>
        <v/>
      </c>
      <c r="T86" s="429"/>
      <c r="U86" s="441" t="b">
        <f ca="1">IF(AND(NOT(Q86),AND(Q$4:Q85)),TRUE,Q86)</f>
        <v>0</v>
      </c>
      <c r="V86" s="440" t="e">
        <f ca="1">IF(AND(NOT(ISBLANK(Jumpoverwrite3)),AND(NOT(U86),AND(U$4:U85))),($J86*$G86-LN(1+Jumpoverwrite3*W$2))/$G86,_xll.qlInterpolationInterpolate(U$3,$F86,TRUE))</f>
        <v>#NAME?</v>
      </c>
      <c r="W86" s="440" t="str">
        <f ca="1">IF(AND(NOT(U86),AND(U$4:U85)),MIN(EXP((V86-$J86)*$G86),1),"")</f>
        <v/>
      </c>
      <c r="X86" s="429"/>
      <c r="Y86" s="441" t="b">
        <f ca="1">IF(AND(NOT(U86),AND(U$4:U85)),TRUE,U86)</f>
        <v>0</v>
      </c>
      <c r="Z86" s="440" t="e">
        <f ca="1">IF(AND(NOT(ISBLANK(Jumpoverwrite4)),AND(NOT(Y86),AND(Y$4:Y85))),($J86*$G86-LN(1+Jumpoverwrite4*AA$2))/$G86,_xll.qlInterpolationInterpolate(Y$3,$F86,TRUE))</f>
        <v>#NAME?</v>
      </c>
      <c r="AA86" s="440" t="str">
        <f ca="1">IF(AND(NOT(Y86),AND(Y$4:Y85)),MIN(EXP((Z86-$J86)*$G86),1),"")</f>
        <v/>
      </c>
      <c r="AB86" s="429"/>
      <c r="AC86" s="441" t="b">
        <f ca="1">IF(AND(NOT(Y86),AND(Y$4:Y85)),TRUE,Y86)</f>
        <v>0</v>
      </c>
      <c r="AD86" s="440" t="e">
        <f ca="1">IF(AND(NOT(ISBLANK(Jumpoverwrite5)),AND(NOT(AC86),AND(AC$4:AC85))),($J86*$G86-LN(1+Jumpoverwrite5*AE$2))/$G86,_xll.qlInterpolationInterpolate(AC$3,$F86,TRUE))</f>
        <v>#NAME?</v>
      </c>
      <c r="AE86" s="440" t="str">
        <f ca="1">IF(AND(NOT(AC86),AND(AC$4:AC85)),MIN(EXP((AD86-$J86)*$G86),1),"")</f>
        <v/>
      </c>
      <c r="AF86" s="429"/>
      <c r="AG86" s="441" t="b">
        <f ca="1">IF(AND(NOT(AC86),AND(AC$4:AC85)),TRUE,AC86)</f>
        <v>0</v>
      </c>
      <c r="AH86" s="440" t="e">
        <f ca="1">IF(AND(NOT(ISBLANK(Jumpoverwrite6)),AND(NOT(AG86),AND(AG$4:AG85))),($J86*$G86-LN(1+Jumpoverwrite6*AI$2))/$G86,_xll.qlInterpolationInterpolate(AG$3,$F86,TRUE))</f>
        <v>#NAME?</v>
      </c>
      <c r="AI86" s="440" t="str">
        <f ca="1">IF(AND(NOT(AG86),AND(AG$4:AG85)),MIN(EXP((AH86-$J86)*$G86),1),"")</f>
        <v/>
      </c>
      <c r="AJ86" s="429"/>
      <c r="AK86" s="441" t="b">
        <f ca="1">IF(AND(NOT(AG86),AND(AG$4:AG85)),TRUE,AG86)</f>
        <v>0</v>
      </c>
      <c r="AL86" s="440" t="e">
        <f ca="1">IF(AND(NOT(ISBLANK(Jumpoverwrite7)),AND(NOT(AK86),AND(AK$4:AK85))),($J86*$G86-LN(1+Jumpoverwrite7*AM$2))/$G86,_xll.qlInterpolationInterpolate(AK$3,$F86,TRUE))</f>
        <v>#NAME?</v>
      </c>
      <c r="AM86" s="440" t="str">
        <f ca="1">IF(AND(NOT(AK86),AND(AK$4:AK85)),MIN(EXP((AL86-$J86)*$G86),1),"")</f>
        <v/>
      </c>
      <c r="AO86" s="441" t="b">
        <f ca="1">IF(AND(NOT(AK86),AND(AK$4:AK85)),TRUE,AK86)</f>
        <v>0</v>
      </c>
      <c r="AP86" s="440" t="e">
        <f ca="1">IF(AND(NOT(ISBLANK(Jumpoverwrite8)),AND(NOT(AO86),AND(AO$4:AO85))),($J86*$G86-LN(1+Jumpoverwrite8*AQ$2))/$G86,_xll.qlInterpolationInterpolate(AO$3,$F86,TRUE))</f>
        <v>#NAME?</v>
      </c>
      <c r="AQ86" s="440" t="str">
        <f ca="1">IF(AND(NOT(AO86),AND(AO$4:AO85)),MIN(EXP((AP86-$J86)*$G86),1),"")</f>
        <v/>
      </c>
      <c r="AS86" s="441" t="b">
        <f ca="1">IF(AND(NOT(AO86),AND(AO$4:AO85)),TRUE,AO86)</f>
        <v>0</v>
      </c>
      <c r="AT86" s="440" t="e">
        <f ca="1">IF(AND(NOT(ISBLANK(Jumpoverwrite9)),AND(NOT(AS86),AND(AS$4:AS85))),($J86*$G86-LN(1+Jumpoverwrite9*AU$2))/$G86,_xll.qlInterpolationInterpolate(AS$3,$F86,TRUE))</f>
        <v>#NAME?</v>
      </c>
      <c r="AU86" s="440" t="str">
        <f ca="1">IF(AND(NOT(AS86),AND(AS$4:AS85)),MIN(EXP((AT86-$J86)*$G86),1),"")</f>
        <v/>
      </c>
      <c r="AW86" s="441" t="b">
        <f ca="1">IF(AND(NOT(AS86),AND(AS$4:AS85)),TRUE,AS86)</f>
        <v>0</v>
      </c>
      <c r="AX86" s="440" t="e">
        <f ca="1">IF(AND(NOT(ISBLANK(Jumpoverwrite10)),AND(NOT(AW86),AND(AW$4:AW85))),($J86*$G86-LN(1+Jumpoverwrite10*AY$2))/$G86,_xll.qlInterpolationInterpolate(AW$3,$F86,TRUE))</f>
        <v>#NAME?</v>
      </c>
      <c r="AY86" s="440" t="str">
        <f ca="1">IF(AND(NOT(AW86),AND(AW$4:AW85)),MIN(EXP((AX86-$J86)*$G86),1),"")</f>
        <v/>
      </c>
      <c r="BA86" s="441" t="b">
        <f ca="1">IF(AND(NOT(AW86),AND(AW$4:AW85)),TRUE,AW86)</f>
        <v>0</v>
      </c>
      <c r="BB86" s="440" t="e">
        <f ca="1">IF(AND(NOT(ISBLANK(Jumpoverwrite11)),AND(NOT(BA86),AND(BA$4:BA85))),($J86*$G86-LN(1+Jumpoverwrite11*BC$2))/$G86,_xll.qlInterpolationInterpolate(BA$3,$F86,TRUE))</f>
        <v>#NAME?</v>
      </c>
      <c r="BC86" s="440" t="str">
        <f ca="1">IF(AND(NOT(BA86),AND(BA$4:BA85)),MIN(EXP((BB86-$J86)*$G86),1),"")</f>
        <v/>
      </c>
      <c r="BE86" s="441" t="b">
        <f ca="1">IF(AND(NOT(BA86),AND(BA$4:BA85)),TRUE,BA86)</f>
        <v>0</v>
      </c>
      <c r="BF86" s="440" t="e">
        <f ca="1">IF(AND(NOT(ISBLANK(Jumpoverwrite12)),AND(NOT(BE86),AND(BE$4:BE85))),($J86*$G86-LN(1+Jumpoverwrite12*BG$2))/$G86,_xll.qlInterpolationInterpolate(BE$3,$F86,TRUE))</f>
        <v>#NAME?</v>
      </c>
      <c r="BG86" s="440" t="str">
        <f ca="1">IF(AND(NOT(BE86),AND(BE$4:BE85)),MIN(EXP((BF86-$J86)*$G86),1),"")</f>
        <v/>
      </c>
      <c r="BI86" s="441" t="b">
        <f t="shared" ca="1" si="11"/>
        <v>0</v>
      </c>
      <c r="BJ86" s="440" t="e">
        <f ca="1">IF(AND(NOT(ISBLANK(jumpoverwrite13)),AND(NOT(BI86),AND(BI$4:BI85))),($J86*$G86-LN(1+jumpoverwrite13*BK$2))/$G86,_xll.qlInterpolationInterpolate(BI$3,$F86,TRUE))</f>
        <v>#NAME?</v>
      </c>
      <c r="BK86" s="440" t="str">
        <f ca="1">IF(AND(NOT(BI86),AND(BI$4:BI85)),MIN(EXP((BJ86-$J86)*$G86),1),"")</f>
        <v/>
      </c>
    </row>
    <row r="87" spans="1:63" x14ac:dyDescent="0.2">
      <c r="A87" s="439" t="e">
        <f ca="1"/>
        <v>#NAME?</v>
      </c>
      <c r="B87" s="438" t="e">
        <f ca="1">_xll.qlRateHelperRate($A87,InterestRatesTrigger)</f>
        <v>#NAME?</v>
      </c>
      <c r="C87" s="437" t="e">
        <f ca="1">_xll.qlRateHelperEarliestDate($A87)</f>
        <v>#NAME?</v>
      </c>
      <c r="D87" s="436" t="e">
        <f ca="1">_xll.qlRateHelperPillarDate($A87)</f>
        <v>#NAME?</v>
      </c>
      <c r="F87" s="446" t="e">
        <f t="shared" ca="1" si="9"/>
        <v>#N/A</v>
      </c>
      <c r="G87" s="445" t="e">
        <f ca="1">_xll.qlDayCounterYearFraction(DayCounter,D86,D87)</f>
        <v>#NAME?</v>
      </c>
      <c r="I87" s="444" t="b">
        <f t="shared" ca="1" si="10"/>
        <v>0</v>
      </c>
      <c r="J87" s="443" t="e">
        <f ca="1"/>
        <v>#NAME?</v>
      </c>
      <c r="K87" s="442" t="e">
        <f t="shared" ca="1" si="8"/>
        <v>#NAME?</v>
      </c>
      <c r="L87" s="430"/>
      <c r="M87" s="441" t="b">
        <f ca="1">IF(AND(NOT(I87),AND(I$4:I86)),TRUE,I87)</f>
        <v>0</v>
      </c>
      <c r="N87" s="440" t="e">
        <f ca="1">IF(AND(NOT(ISBLANK(Jumpoverwrite1)),AND(NOT(M87),AND(M$4:M86))),($J87*$G87-LN(1+Jumpoverwrite1*O$2))/$G87,_xll.qlInterpolationInterpolate(M$3,$F87,TRUE))</f>
        <v>#NAME?</v>
      </c>
      <c r="O87" s="440" t="str">
        <f ca="1">IF(AND(NOT(M87),AND(M$4:M86)),MIN(EXP((N87-$J87)*$G87),1),"")</f>
        <v/>
      </c>
      <c r="P87" s="429"/>
      <c r="Q87" s="441" t="b">
        <f ca="1">IF(AND(NOT(M87),AND(M$4:M86)),TRUE,M87)</f>
        <v>0</v>
      </c>
      <c r="R87" s="440" t="e">
        <f ca="1">IF(AND(NOT(ISBLANK(Jumpoverwrite2)),AND(NOT(Q87),AND(Q$4:Q86))),($J87*$G87-LN(1+Jumpoverwrite2*S$2))/$G87,_xll.qlInterpolationInterpolate(Q$3,$F87,TRUE))</f>
        <v>#NAME?</v>
      </c>
      <c r="S87" s="440" t="str">
        <f ca="1">IF(AND(NOT(Q87),AND(Q$4:Q86)),MIN(EXP((R87-$J87)*$G87),1),"")</f>
        <v/>
      </c>
      <c r="T87" s="429"/>
      <c r="U87" s="441" t="b">
        <f ca="1">IF(AND(NOT(Q87),AND(Q$4:Q86)),TRUE,Q87)</f>
        <v>0</v>
      </c>
      <c r="V87" s="440" t="e">
        <f ca="1">IF(AND(NOT(ISBLANK(Jumpoverwrite3)),AND(NOT(U87),AND(U$4:U86))),($J87*$G87-LN(1+Jumpoverwrite3*W$2))/$G87,_xll.qlInterpolationInterpolate(U$3,$F87,TRUE))</f>
        <v>#NAME?</v>
      </c>
      <c r="W87" s="440" t="str">
        <f ca="1">IF(AND(NOT(U87),AND(U$4:U86)),MIN(EXP((V87-$J87)*$G87),1),"")</f>
        <v/>
      </c>
      <c r="X87" s="429"/>
      <c r="Y87" s="441" t="b">
        <f ca="1">IF(AND(NOT(U87),AND(U$4:U86)),TRUE,U87)</f>
        <v>0</v>
      </c>
      <c r="Z87" s="440" t="e">
        <f ca="1">IF(AND(NOT(ISBLANK(Jumpoverwrite4)),AND(NOT(Y87),AND(Y$4:Y86))),($J87*$G87-LN(1+Jumpoverwrite4*AA$2))/$G87,_xll.qlInterpolationInterpolate(Y$3,$F87,TRUE))</f>
        <v>#NAME?</v>
      </c>
      <c r="AA87" s="440" t="str">
        <f ca="1">IF(AND(NOT(Y87),AND(Y$4:Y86)),MIN(EXP((Z87-$J87)*$G87),1),"")</f>
        <v/>
      </c>
      <c r="AB87" s="429"/>
      <c r="AC87" s="441" t="b">
        <f ca="1">IF(AND(NOT(Y87),AND(Y$4:Y86)),TRUE,Y87)</f>
        <v>0</v>
      </c>
      <c r="AD87" s="440" t="e">
        <f ca="1">IF(AND(NOT(ISBLANK(Jumpoverwrite5)),AND(NOT(AC87),AND(AC$4:AC86))),($J87*$G87-LN(1+Jumpoverwrite5*AE$2))/$G87,_xll.qlInterpolationInterpolate(AC$3,$F87,TRUE))</f>
        <v>#NAME?</v>
      </c>
      <c r="AE87" s="440" t="str">
        <f ca="1">IF(AND(NOT(AC87),AND(AC$4:AC86)),MIN(EXP((AD87-$J87)*$G87),1),"")</f>
        <v/>
      </c>
      <c r="AF87" s="429"/>
      <c r="AG87" s="441" t="b">
        <f ca="1">IF(AND(NOT(AC87),AND(AC$4:AC86)),TRUE,AC87)</f>
        <v>0</v>
      </c>
      <c r="AH87" s="440" t="e">
        <f ca="1">IF(AND(NOT(ISBLANK(Jumpoverwrite6)),AND(NOT(AG87),AND(AG$4:AG86))),($J87*$G87-LN(1+Jumpoverwrite6*AI$2))/$G87,_xll.qlInterpolationInterpolate(AG$3,$F87,TRUE))</f>
        <v>#NAME?</v>
      </c>
      <c r="AI87" s="440" t="str">
        <f ca="1">IF(AND(NOT(AG87),AND(AG$4:AG86)),MIN(EXP((AH87-$J87)*$G87),1),"")</f>
        <v/>
      </c>
      <c r="AJ87" s="429"/>
      <c r="AK87" s="441" t="b">
        <f ca="1">IF(AND(NOT(AG87),AND(AG$4:AG86)),TRUE,AG87)</f>
        <v>0</v>
      </c>
      <c r="AL87" s="440" t="e">
        <f ca="1">IF(AND(NOT(ISBLANK(Jumpoverwrite7)),AND(NOT(AK87),AND(AK$4:AK86))),($J87*$G87-LN(1+Jumpoverwrite7*AM$2))/$G87,_xll.qlInterpolationInterpolate(AK$3,$F87,TRUE))</f>
        <v>#NAME?</v>
      </c>
      <c r="AM87" s="440" t="str">
        <f ca="1">IF(AND(NOT(AK87),AND(AK$4:AK86)),MIN(EXP((AL87-$J87)*$G87),1),"")</f>
        <v/>
      </c>
      <c r="AO87" s="441" t="b">
        <f ca="1">IF(AND(NOT(AK87),AND(AK$4:AK86)),TRUE,AK87)</f>
        <v>0</v>
      </c>
      <c r="AP87" s="440" t="e">
        <f ca="1">IF(AND(NOT(ISBLANK(Jumpoverwrite8)),AND(NOT(AO87),AND(AO$4:AO86))),($J87*$G87-LN(1+Jumpoverwrite8*AQ$2))/$G87,_xll.qlInterpolationInterpolate(AO$3,$F87,TRUE))</f>
        <v>#NAME?</v>
      </c>
      <c r="AQ87" s="440" t="str">
        <f ca="1">IF(AND(NOT(AO87),AND(AO$4:AO86)),MIN(EXP((AP87-$J87)*$G87),1),"")</f>
        <v/>
      </c>
      <c r="AS87" s="441" t="b">
        <f ca="1">IF(AND(NOT(AO87),AND(AO$4:AO86)),TRUE,AO87)</f>
        <v>0</v>
      </c>
      <c r="AT87" s="440" t="e">
        <f ca="1">IF(AND(NOT(ISBLANK(Jumpoverwrite9)),AND(NOT(AS87),AND(AS$4:AS86))),($J87*$G87-LN(1+Jumpoverwrite9*AU$2))/$G87,_xll.qlInterpolationInterpolate(AS$3,$F87,TRUE))</f>
        <v>#NAME?</v>
      </c>
      <c r="AU87" s="440" t="str">
        <f ca="1">IF(AND(NOT(AS87),AND(AS$4:AS86)),MIN(EXP((AT87-$J87)*$G87),1),"")</f>
        <v/>
      </c>
      <c r="AW87" s="441" t="b">
        <f ca="1">IF(AND(NOT(AS87),AND(AS$4:AS86)),TRUE,AS87)</f>
        <v>0</v>
      </c>
      <c r="AX87" s="440" t="e">
        <f ca="1">IF(AND(NOT(ISBLANK(Jumpoverwrite10)),AND(NOT(AW87),AND(AW$4:AW86))),($J87*$G87-LN(1+Jumpoverwrite10*AY$2))/$G87,_xll.qlInterpolationInterpolate(AW$3,$F87,TRUE))</f>
        <v>#NAME?</v>
      </c>
      <c r="AY87" s="440" t="str">
        <f ca="1">IF(AND(NOT(AW87),AND(AW$4:AW86)),MIN(EXP((AX87-$J87)*$G87),1),"")</f>
        <v/>
      </c>
      <c r="BA87" s="441" t="b">
        <f ca="1">IF(AND(NOT(AW87),AND(AW$4:AW86)),TRUE,AW87)</f>
        <v>0</v>
      </c>
      <c r="BB87" s="440" t="e">
        <f ca="1">IF(AND(NOT(ISBLANK(Jumpoverwrite11)),AND(NOT(BA87),AND(BA$4:BA86))),($J87*$G87-LN(1+Jumpoverwrite11*BC$2))/$G87,_xll.qlInterpolationInterpolate(BA$3,$F87,TRUE))</f>
        <v>#NAME?</v>
      </c>
      <c r="BC87" s="440" t="str">
        <f ca="1">IF(AND(NOT(BA87),AND(BA$4:BA86)),MIN(EXP((BB87-$J87)*$G87),1),"")</f>
        <v/>
      </c>
      <c r="BE87" s="441" t="b">
        <f ca="1">IF(AND(NOT(BA87),AND(BA$4:BA86)),TRUE,BA87)</f>
        <v>0</v>
      </c>
      <c r="BF87" s="440" t="e">
        <f ca="1">IF(AND(NOT(ISBLANK(Jumpoverwrite12)),AND(NOT(BE87),AND(BE$4:BE86))),($J87*$G87-LN(1+Jumpoverwrite12*BG$2))/$G87,_xll.qlInterpolationInterpolate(BE$3,$F87,TRUE))</f>
        <v>#NAME?</v>
      </c>
      <c r="BG87" s="440" t="str">
        <f ca="1">IF(AND(NOT(BE87),AND(BE$4:BE86)),MIN(EXP((BF87-$J87)*$G87),1),"")</f>
        <v/>
      </c>
      <c r="BI87" s="441" t="b">
        <f t="shared" ca="1" si="11"/>
        <v>0</v>
      </c>
      <c r="BJ87" s="440" t="e">
        <f ca="1">IF(AND(NOT(ISBLANK(jumpoverwrite13)),AND(NOT(BI87),AND(BI$4:BI86))),($J87*$G87-LN(1+jumpoverwrite13*BK$2))/$G87,_xll.qlInterpolationInterpolate(BI$3,$F87,TRUE))</f>
        <v>#NAME?</v>
      </c>
      <c r="BK87" s="440" t="str">
        <f ca="1">IF(AND(NOT(BI87),AND(BI$4:BI86)),MIN(EXP((BJ87-$J87)*$G87),1),"")</f>
        <v/>
      </c>
    </row>
    <row r="88" spans="1:63" x14ac:dyDescent="0.2">
      <c r="A88" s="439" t="e">
        <f ca="1"/>
        <v>#NAME?</v>
      </c>
      <c r="B88" s="438" t="e">
        <f ca="1">_xll.qlRateHelperRate($A88,InterestRatesTrigger)</f>
        <v>#NAME?</v>
      </c>
      <c r="C88" s="437" t="e">
        <f ca="1">_xll.qlRateHelperEarliestDate($A88)</f>
        <v>#NAME?</v>
      </c>
      <c r="D88" s="436" t="e">
        <f ca="1">_xll.qlRateHelperPillarDate($A88)</f>
        <v>#NAME?</v>
      </c>
      <c r="F88" s="446" t="e">
        <f t="shared" ca="1" si="9"/>
        <v>#N/A</v>
      </c>
      <c r="G88" s="445" t="e">
        <f ca="1">_xll.qlDayCounterYearFraction(DayCounter,D87,D88)</f>
        <v>#NAME?</v>
      </c>
      <c r="I88" s="444" t="b">
        <f t="shared" ca="1" si="10"/>
        <v>0</v>
      </c>
      <c r="J88" s="443" t="e">
        <f ca="1"/>
        <v>#NAME?</v>
      </c>
      <c r="K88" s="442" t="e">
        <f t="shared" ca="1" si="8"/>
        <v>#NAME?</v>
      </c>
      <c r="L88" s="430"/>
      <c r="M88" s="441" t="b">
        <f ca="1">IF(AND(NOT(I88),AND(I$4:I87)),TRUE,I88)</f>
        <v>0</v>
      </c>
      <c r="N88" s="440" t="e">
        <f ca="1">IF(AND(NOT(ISBLANK(Jumpoverwrite1)),AND(NOT(M88),AND(M$4:M87))),($J88*$G88-LN(1+Jumpoverwrite1*O$2))/$G88,_xll.qlInterpolationInterpolate(M$3,$F88,TRUE))</f>
        <v>#NAME?</v>
      </c>
      <c r="O88" s="440" t="str">
        <f ca="1">IF(AND(NOT(M88),AND(M$4:M87)),MIN(EXP((N88-$J88)*$G88),1),"")</f>
        <v/>
      </c>
      <c r="P88" s="429"/>
      <c r="Q88" s="441" t="b">
        <f ca="1">IF(AND(NOT(M88),AND(M$4:M87)),TRUE,M88)</f>
        <v>0</v>
      </c>
      <c r="R88" s="440" t="e">
        <f ca="1">IF(AND(NOT(ISBLANK(Jumpoverwrite2)),AND(NOT(Q88),AND(Q$4:Q87))),($J88*$G88-LN(1+Jumpoverwrite2*S$2))/$G88,_xll.qlInterpolationInterpolate(Q$3,$F88,TRUE))</f>
        <v>#NAME?</v>
      </c>
      <c r="S88" s="440" t="str">
        <f ca="1">IF(AND(NOT(Q88),AND(Q$4:Q87)),MIN(EXP((R88-$J88)*$G88),1),"")</f>
        <v/>
      </c>
      <c r="T88" s="429"/>
      <c r="U88" s="441" t="b">
        <f ca="1">IF(AND(NOT(Q88),AND(Q$4:Q87)),TRUE,Q88)</f>
        <v>0</v>
      </c>
      <c r="V88" s="440" t="e">
        <f ca="1">IF(AND(NOT(ISBLANK(Jumpoverwrite3)),AND(NOT(U88),AND(U$4:U87))),($J88*$G88-LN(1+Jumpoverwrite3*W$2))/$G88,_xll.qlInterpolationInterpolate(U$3,$F88,TRUE))</f>
        <v>#NAME?</v>
      </c>
      <c r="W88" s="440" t="str">
        <f ca="1">IF(AND(NOT(U88),AND(U$4:U87)),MIN(EXP((V88-$J88)*$G88),1),"")</f>
        <v/>
      </c>
      <c r="X88" s="429"/>
      <c r="Y88" s="441" t="b">
        <f ca="1">IF(AND(NOT(U88),AND(U$4:U87)),TRUE,U88)</f>
        <v>0</v>
      </c>
      <c r="Z88" s="440" t="e">
        <f ca="1">IF(AND(NOT(ISBLANK(Jumpoverwrite4)),AND(NOT(Y88),AND(Y$4:Y87))),($J88*$G88-LN(1+Jumpoverwrite4*AA$2))/$G88,_xll.qlInterpolationInterpolate(Y$3,$F88,TRUE))</f>
        <v>#NAME?</v>
      </c>
      <c r="AA88" s="440" t="str">
        <f ca="1">IF(AND(NOT(Y88),AND(Y$4:Y87)),MIN(EXP((Z88-$J88)*$G88),1),"")</f>
        <v/>
      </c>
      <c r="AB88" s="429"/>
      <c r="AC88" s="441" t="b">
        <f ca="1">IF(AND(NOT(Y88),AND(Y$4:Y87)),TRUE,Y88)</f>
        <v>0</v>
      </c>
      <c r="AD88" s="440" t="e">
        <f ca="1">IF(AND(NOT(ISBLANK(Jumpoverwrite5)),AND(NOT(AC88),AND(AC$4:AC87))),($J88*$G88-LN(1+Jumpoverwrite5*AE$2))/$G88,_xll.qlInterpolationInterpolate(AC$3,$F88,TRUE))</f>
        <v>#NAME?</v>
      </c>
      <c r="AE88" s="440" t="str">
        <f ca="1">IF(AND(NOT(AC88),AND(AC$4:AC87)),MIN(EXP((AD88-$J88)*$G88),1),"")</f>
        <v/>
      </c>
      <c r="AF88" s="429"/>
      <c r="AG88" s="441" t="b">
        <f ca="1">IF(AND(NOT(AC88),AND(AC$4:AC87)),TRUE,AC88)</f>
        <v>0</v>
      </c>
      <c r="AH88" s="440" t="e">
        <f ca="1">IF(AND(NOT(ISBLANK(Jumpoverwrite6)),AND(NOT(AG88),AND(AG$4:AG87))),($J88*$G88-LN(1+Jumpoverwrite6*AI$2))/$G88,_xll.qlInterpolationInterpolate(AG$3,$F88,TRUE))</f>
        <v>#NAME?</v>
      </c>
      <c r="AI88" s="440" t="str">
        <f ca="1">IF(AND(NOT(AG88),AND(AG$4:AG87)),MIN(EXP((AH88-$J88)*$G88),1),"")</f>
        <v/>
      </c>
      <c r="AJ88" s="429"/>
      <c r="AK88" s="441" t="b">
        <f ca="1">IF(AND(NOT(AG88),AND(AG$4:AG87)),TRUE,AG88)</f>
        <v>0</v>
      </c>
      <c r="AL88" s="440" t="e">
        <f ca="1">IF(AND(NOT(ISBLANK(Jumpoverwrite7)),AND(NOT(AK88),AND(AK$4:AK87))),($J88*$G88-LN(1+Jumpoverwrite7*AM$2))/$G88,_xll.qlInterpolationInterpolate(AK$3,$F88,TRUE))</f>
        <v>#NAME?</v>
      </c>
      <c r="AM88" s="440" t="str">
        <f ca="1">IF(AND(NOT(AK88),AND(AK$4:AK87)),MIN(EXP((AL88-$J88)*$G88),1),"")</f>
        <v/>
      </c>
      <c r="AO88" s="441" t="b">
        <f ca="1">IF(AND(NOT(AK88),AND(AK$4:AK87)),TRUE,AK88)</f>
        <v>0</v>
      </c>
      <c r="AP88" s="440" t="e">
        <f ca="1">IF(AND(NOT(ISBLANK(Jumpoverwrite8)),AND(NOT(AO88),AND(AO$4:AO87))),($J88*$G88-LN(1+Jumpoverwrite8*AQ$2))/$G88,_xll.qlInterpolationInterpolate(AO$3,$F88,TRUE))</f>
        <v>#NAME?</v>
      </c>
      <c r="AQ88" s="440" t="str">
        <f ca="1">IF(AND(NOT(AO88),AND(AO$4:AO87)),MIN(EXP((AP88-$J88)*$G88),1),"")</f>
        <v/>
      </c>
      <c r="AS88" s="441" t="b">
        <f ca="1">IF(AND(NOT(AO88),AND(AO$4:AO87)),TRUE,AO88)</f>
        <v>0</v>
      </c>
      <c r="AT88" s="440" t="e">
        <f ca="1">IF(AND(NOT(ISBLANK(Jumpoverwrite9)),AND(NOT(AS88),AND(AS$4:AS87))),($J88*$G88-LN(1+Jumpoverwrite9*AU$2))/$G88,_xll.qlInterpolationInterpolate(AS$3,$F88,TRUE))</f>
        <v>#NAME?</v>
      </c>
      <c r="AU88" s="440" t="str">
        <f ca="1">IF(AND(NOT(AS88),AND(AS$4:AS87)),MIN(EXP((AT88-$J88)*$G88),1),"")</f>
        <v/>
      </c>
      <c r="AW88" s="441" t="b">
        <f ca="1">IF(AND(NOT(AS88),AND(AS$4:AS87)),TRUE,AS88)</f>
        <v>0</v>
      </c>
      <c r="AX88" s="440" t="e">
        <f ca="1">IF(AND(NOT(ISBLANK(Jumpoverwrite10)),AND(NOT(AW88),AND(AW$4:AW87))),($J88*$G88-LN(1+Jumpoverwrite10*AY$2))/$G88,_xll.qlInterpolationInterpolate(AW$3,$F88,TRUE))</f>
        <v>#NAME?</v>
      </c>
      <c r="AY88" s="440" t="str">
        <f ca="1">IF(AND(NOT(AW88),AND(AW$4:AW87)),MIN(EXP((AX88-$J88)*$G88),1),"")</f>
        <v/>
      </c>
      <c r="BA88" s="441" t="b">
        <f ca="1">IF(AND(NOT(AW88),AND(AW$4:AW87)),TRUE,AW88)</f>
        <v>0</v>
      </c>
      <c r="BB88" s="440" t="e">
        <f ca="1">IF(AND(NOT(ISBLANK(Jumpoverwrite11)),AND(NOT(BA88),AND(BA$4:BA87))),($J88*$G88-LN(1+Jumpoverwrite11*BC$2))/$G88,_xll.qlInterpolationInterpolate(BA$3,$F88,TRUE))</f>
        <v>#NAME?</v>
      </c>
      <c r="BC88" s="440" t="str">
        <f ca="1">IF(AND(NOT(BA88),AND(BA$4:BA87)),MIN(EXP((BB88-$J88)*$G88),1),"")</f>
        <v/>
      </c>
      <c r="BE88" s="441" t="b">
        <f ca="1">IF(AND(NOT(BA88),AND(BA$4:BA87)),TRUE,BA88)</f>
        <v>0</v>
      </c>
      <c r="BF88" s="440" t="e">
        <f ca="1">IF(AND(NOT(ISBLANK(Jumpoverwrite12)),AND(NOT(BE88),AND(BE$4:BE87))),($J88*$G88-LN(1+Jumpoverwrite12*BG$2))/$G88,_xll.qlInterpolationInterpolate(BE$3,$F88,TRUE))</f>
        <v>#NAME?</v>
      </c>
      <c r="BG88" s="440" t="str">
        <f ca="1">IF(AND(NOT(BE88),AND(BE$4:BE87)),MIN(EXP((BF88-$J88)*$G88),1),"")</f>
        <v/>
      </c>
      <c r="BI88" s="441" t="b">
        <f t="shared" ca="1" si="11"/>
        <v>0</v>
      </c>
      <c r="BJ88" s="440" t="e">
        <f ca="1">IF(AND(NOT(ISBLANK(jumpoverwrite13)),AND(NOT(BI88),AND(BI$4:BI87))),($J88*$G88-LN(1+jumpoverwrite13*BK$2))/$G88,_xll.qlInterpolationInterpolate(BI$3,$F88,TRUE))</f>
        <v>#NAME?</v>
      </c>
      <c r="BK88" s="440" t="str">
        <f ca="1">IF(AND(NOT(BI88),AND(BI$4:BI87)),MIN(EXP((BJ88-$J88)*$G88),1),"")</f>
        <v/>
      </c>
    </row>
    <row r="89" spans="1:63" x14ac:dyDescent="0.2">
      <c r="A89" s="439" t="e">
        <f ca="1"/>
        <v>#NAME?</v>
      </c>
      <c r="B89" s="438" t="e">
        <f ca="1">_xll.qlRateHelperRate($A89,InterestRatesTrigger)</f>
        <v>#NAME?</v>
      </c>
      <c r="C89" s="437" t="e">
        <f ca="1">_xll.qlRateHelperEarliestDate($A89)</f>
        <v>#NAME?</v>
      </c>
      <c r="D89" s="436" t="e">
        <f ca="1">_xll.qlRateHelperPillarDate($A89)</f>
        <v>#NAME?</v>
      </c>
      <c r="F89" s="446" t="e">
        <f t="shared" ca="1" si="9"/>
        <v>#N/A</v>
      </c>
      <c r="G89" s="445" t="e">
        <f ca="1">_xll.qlDayCounterYearFraction(DayCounter,D88,D89)</f>
        <v>#NAME?</v>
      </c>
      <c r="I89" s="444" t="b">
        <f t="shared" ca="1" si="10"/>
        <v>0</v>
      </c>
      <c r="J89" s="443" t="e">
        <f ca="1"/>
        <v>#NAME?</v>
      </c>
      <c r="K89" s="442" t="e">
        <f t="shared" ca="1" si="8"/>
        <v>#NAME?</v>
      </c>
      <c r="L89" s="430"/>
      <c r="M89" s="441" t="b">
        <f ca="1">IF(AND(NOT(I89),AND(I$4:I88)),TRUE,I89)</f>
        <v>0</v>
      </c>
      <c r="N89" s="440" t="e">
        <f ca="1">IF(AND(NOT(ISBLANK(Jumpoverwrite1)),AND(NOT(M89),AND(M$4:M88))),($J89*$G89-LN(1+Jumpoverwrite1*O$2))/$G89,_xll.qlInterpolationInterpolate(M$3,$F89,TRUE))</f>
        <v>#NAME?</v>
      </c>
      <c r="O89" s="440" t="str">
        <f ca="1">IF(AND(NOT(M89),AND(M$4:M88)),MIN(EXP((N89-$J89)*$G89),1),"")</f>
        <v/>
      </c>
      <c r="P89" s="429"/>
      <c r="Q89" s="441" t="b">
        <f ca="1">IF(AND(NOT(M89),AND(M$4:M88)),TRUE,M89)</f>
        <v>0</v>
      </c>
      <c r="R89" s="440" t="e">
        <f ca="1">IF(AND(NOT(ISBLANK(Jumpoverwrite2)),AND(NOT(Q89),AND(Q$4:Q88))),($J89*$G89-LN(1+Jumpoverwrite2*S$2))/$G89,_xll.qlInterpolationInterpolate(Q$3,$F89,TRUE))</f>
        <v>#NAME?</v>
      </c>
      <c r="S89" s="440" t="str">
        <f ca="1">IF(AND(NOT(Q89),AND(Q$4:Q88)),MIN(EXP((R89-$J89)*$G89),1),"")</f>
        <v/>
      </c>
      <c r="T89" s="429"/>
      <c r="U89" s="441" t="b">
        <f ca="1">IF(AND(NOT(Q89),AND(Q$4:Q88)),TRUE,Q89)</f>
        <v>0</v>
      </c>
      <c r="V89" s="440" t="e">
        <f ca="1">IF(AND(NOT(ISBLANK(Jumpoverwrite3)),AND(NOT(U89),AND(U$4:U88))),($J89*$G89-LN(1+Jumpoverwrite3*W$2))/$G89,_xll.qlInterpolationInterpolate(U$3,$F89,TRUE))</f>
        <v>#NAME?</v>
      </c>
      <c r="W89" s="440" t="str">
        <f ca="1">IF(AND(NOT(U89),AND(U$4:U88)),MIN(EXP((V89-$J89)*$G89),1),"")</f>
        <v/>
      </c>
      <c r="X89" s="429"/>
      <c r="Y89" s="441" t="b">
        <f ca="1">IF(AND(NOT(U89),AND(U$4:U88)),TRUE,U89)</f>
        <v>0</v>
      </c>
      <c r="Z89" s="440" t="e">
        <f ca="1">IF(AND(NOT(ISBLANK(Jumpoverwrite4)),AND(NOT(Y89),AND(Y$4:Y88))),($J89*$G89-LN(1+Jumpoverwrite4*AA$2))/$G89,_xll.qlInterpolationInterpolate(Y$3,$F89,TRUE))</f>
        <v>#NAME?</v>
      </c>
      <c r="AA89" s="440" t="str">
        <f ca="1">IF(AND(NOT(Y89),AND(Y$4:Y88)),MIN(EXP((Z89-$J89)*$G89),1),"")</f>
        <v/>
      </c>
      <c r="AB89" s="429"/>
      <c r="AC89" s="441" t="b">
        <f ca="1">IF(AND(NOT(Y89),AND(Y$4:Y88)),TRUE,Y89)</f>
        <v>0</v>
      </c>
      <c r="AD89" s="440" t="e">
        <f ca="1">IF(AND(NOT(ISBLANK(Jumpoverwrite5)),AND(NOT(AC89),AND(AC$4:AC88))),($J89*$G89-LN(1+Jumpoverwrite5*AE$2))/$G89,_xll.qlInterpolationInterpolate(AC$3,$F89,TRUE))</f>
        <v>#NAME?</v>
      </c>
      <c r="AE89" s="440" t="str">
        <f ca="1">IF(AND(NOT(AC89),AND(AC$4:AC88)),MIN(EXP((AD89-$J89)*$G89),1),"")</f>
        <v/>
      </c>
      <c r="AF89" s="429"/>
      <c r="AG89" s="441" t="b">
        <f ca="1">IF(AND(NOT(AC89),AND(AC$4:AC88)),TRUE,AC89)</f>
        <v>0</v>
      </c>
      <c r="AH89" s="440" t="e">
        <f ca="1">IF(AND(NOT(ISBLANK(Jumpoverwrite6)),AND(NOT(AG89),AND(AG$4:AG88))),($J89*$G89-LN(1+Jumpoverwrite6*AI$2))/$G89,_xll.qlInterpolationInterpolate(AG$3,$F89,TRUE))</f>
        <v>#NAME?</v>
      </c>
      <c r="AI89" s="440" t="str">
        <f ca="1">IF(AND(NOT(AG89),AND(AG$4:AG88)),MIN(EXP((AH89-$J89)*$G89),1),"")</f>
        <v/>
      </c>
      <c r="AJ89" s="429"/>
      <c r="AK89" s="441" t="b">
        <f ca="1">IF(AND(NOT(AG89),AND(AG$4:AG88)),TRUE,AG89)</f>
        <v>0</v>
      </c>
      <c r="AL89" s="440" t="e">
        <f ca="1">IF(AND(NOT(ISBLANK(Jumpoverwrite7)),AND(NOT(AK89),AND(AK$4:AK88))),($J89*$G89-LN(1+Jumpoverwrite7*AM$2))/$G89,_xll.qlInterpolationInterpolate(AK$3,$F89,TRUE))</f>
        <v>#NAME?</v>
      </c>
      <c r="AM89" s="440" t="str">
        <f ca="1">IF(AND(NOT(AK89),AND(AK$4:AK88)),MIN(EXP((AL89-$J89)*$G89),1),"")</f>
        <v/>
      </c>
      <c r="AO89" s="441" t="b">
        <f ca="1">IF(AND(NOT(AK89),AND(AK$4:AK88)),TRUE,AK89)</f>
        <v>0</v>
      </c>
      <c r="AP89" s="440" t="e">
        <f ca="1">IF(AND(NOT(ISBLANK(Jumpoverwrite8)),AND(NOT(AO89),AND(AO$4:AO88))),($J89*$G89-LN(1+Jumpoverwrite8*AQ$2))/$G89,_xll.qlInterpolationInterpolate(AO$3,$F89,TRUE))</f>
        <v>#NAME?</v>
      </c>
      <c r="AQ89" s="440" t="str">
        <f ca="1">IF(AND(NOT(AO89),AND(AO$4:AO88)),MIN(EXP((AP89-$J89)*$G89),1),"")</f>
        <v/>
      </c>
      <c r="AS89" s="441" t="b">
        <f ca="1">IF(AND(NOT(AO89),AND(AO$4:AO88)),TRUE,AO89)</f>
        <v>0</v>
      </c>
      <c r="AT89" s="440" t="e">
        <f ca="1">IF(AND(NOT(ISBLANK(Jumpoverwrite9)),AND(NOT(AS89),AND(AS$4:AS88))),($J89*$G89-LN(1+Jumpoverwrite9*AU$2))/$G89,_xll.qlInterpolationInterpolate(AS$3,$F89,TRUE))</f>
        <v>#NAME?</v>
      </c>
      <c r="AU89" s="440" t="str">
        <f ca="1">IF(AND(NOT(AS89),AND(AS$4:AS88)),MIN(EXP((AT89-$J89)*$G89),1),"")</f>
        <v/>
      </c>
      <c r="AW89" s="441" t="b">
        <f ca="1">IF(AND(NOT(AS89),AND(AS$4:AS88)),TRUE,AS89)</f>
        <v>0</v>
      </c>
      <c r="AX89" s="440" t="e">
        <f ca="1">IF(AND(NOT(ISBLANK(Jumpoverwrite10)),AND(NOT(AW89),AND(AW$4:AW88))),($J89*$G89-LN(1+Jumpoverwrite10*AY$2))/$G89,_xll.qlInterpolationInterpolate(AW$3,$F89,TRUE))</f>
        <v>#NAME?</v>
      </c>
      <c r="AY89" s="440" t="str">
        <f ca="1">IF(AND(NOT(AW89),AND(AW$4:AW88)),MIN(EXP((AX89-$J89)*$G89),1),"")</f>
        <v/>
      </c>
      <c r="BA89" s="441" t="b">
        <f ca="1">IF(AND(NOT(AW89),AND(AW$4:AW88)),TRUE,AW89)</f>
        <v>0</v>
      </c>
      <c r="BB89" s="440" t="e">
        <f ca="1">IF(AND(NOT(ISBLANK(Jumpoverwrite11)),AND(NOT(BA89),AND(BA$4:BA88))),($J89*$G89-LN(1+Jumpoverwrite11*BC$2))/$G89,_xll.qlInterpolationInterpolate(BA$3,$F89,TRUE))</f>
        <v>#NAME?</v>
      </c>
      <c r="BC89" s="440" t="str">
        <f ca="1">IF(AND(NOT(BA89),AND(BA$4:BA88)),MIN(EXP((BB89-$J89)*$G89),1),"")</f>
        <v/>
      </c>
      <c r="BE89" s="441" t="b">
        <f ca="1">IF(AND(NOT(BA89),AND(BA$4:BA88)),TRUE,BA89)</f>
        <v>0</v>
      </c>
      <c r="BF89" s="440" t="e">
        <f ca="1">IF(AND(NOT(ISBLANK(Jumpoverwrite12)),AND(NOT(BE89),AND(BE$4:BE88))),($J89*$G89-LN(1+Jumpoverwrite12*BG$2))/$G89,_xll.qlInterpolationInterpolate(BE$3,$F89,TRUE))</f>
        <v>#NAME?</v>
      </c>
      <c r="BG89" s="440" t="str">
        <f ca="1">IF(AND(NOT(BE89),AND(BE$4:BE88)),MIN(EXP((BF89-$J89)*$G89),1),"")</f>
        <v/>
      </c>
      <c r="BI89" s="441" t="b">
        <f t="shared" ca="1" si="11"/>
        <v>0</v>
      </c>
      <c r="BJ89" s="440" t="e">
        <f ca="1">IF(AND(NOT(ISBLANK(jumpoverwrite13)),AND(NOT(BI89),AND(BI$4:BI88))),($J89*$G89-LN(1+jumpoverwrite13*BK$2))/$G89,_xll.qlInterpolationInterpolate(BI$3,$F89,TRUE))</f>
        <v>#NAME?</v>
      </c>
      <c r="BK89" s="440" t="str">
        <f ca="1">IF(AND(NOT(BI89),AND(BI$4:BI88)),MIN(EXP((BJ89-$J89)*$G89),1),"")</f>
        <v/>
      </c>
    </row>
    <row r="90" spans="1:63" x14ac:dyDescent="0.2">
      <c r="A90" s="439" t="e">
        <f ca="1"/>
        <v>#NAME?</v>
      </c>
      <c r="B90" s="438" t="e">
        <f ca="1">_xll.qlRateHelperRate($A90,InterestRatesTrigger)</f>
        <v>#NAME?</v>
      </c>
      <c r="C90" s="437" t="e">
        <f ca="1">_xll.qlRateHelperEarliestDate($A90)</f>
        <v>#NAME?</v>
      </c>
      <c r="D90" s="436" t="e">
        <f ca="1">_xll.qlRateHelperPillarDate($A90)</f>
        <v>#NAME?</v>
      </c>
      <c r="F90" s="446" t="e">
        <f t="shared" ca="1" si="9"/>
        <v>#N/A</v>
      </c>
      <c r="G90" s="445" t="e">
        <f ca="1">_xll.qlDayCounterYearFraction(DayCounter,D89,D90)</f>
        <v>#NAME?</v>
      </c>
      <c r="I90" s="444" t="b">
        <f t="shared" ca="1" si="10"/>
        <v>0</v>
      </c>
      <c r="J90" s="443" t="e">
        <f ca="1"/>
        <v>#NAME?</v>
      </c>
      <c r="K90" s="442" t="e">
        <f t="shared" ca="1" si="8"/>
        <v>#NAME?</v>
      </c>
      <c r="L90" s="430"/>
      <c r="M90" s="441" t="b">
        <f ca="1">IF(AND(NOT(I90),AND(I$4:I89)),TRUE,I90)</f>
        <v>0</v>
      </c>
      <c r="N90" s="440" t="e">
        <f ca="1">IF(AND(NOT(ISBLANK(Jumpoverwrite1)),AND(NOT(M90),AND(M$4:M89))),($J90*$G90-LN(1+Jumpoverwrite1*O$2))/$G90,_xll.qlInterpolationInterpolate(M$3,$F90,TRUE))</f>
        <v>#NAME?</v>
      </c>
      <c r="O90" s="440" t="str">
        <f ca="1">IF(AND(NOT(M90),AND(M$4:M89)),MIN(EXP((N90-$J90)*$G90),1),"")</f>
        <v/>
      </c>
      <c r="P90" s="429"/>
      <c r="Q90" s="441" t="b">
        <f ca="1">IF(AND(NOT(M90),AND(M$4:M89)),TRUE,M90)</f>
        <v>0</v>
      </c>
      <c r="R90" s="440" t="e">
        <f ca="1">IF(AND(NOT(ISBLANK(Jumpoverwrite2)),AND(NOT(Q90),AND(Q$4:Q89))),($J90*$G90-LN(1+Jumpoverwrite2*S$2))/$G90,_xll.qlInterpolationInterpolate(Q$3,$F90,TRUE))</f>
        <v>#NAME?</v>
      </c>
      <c r="S90" s="440" t="str">
        <f ca="1">IF(AND(NOT(Q90),AND(Q$4:Q89)),MIN(EXP((R90-$J90)*$G90),1),"")</f>
        <v/>
      </c>
      <c r="T90" s="429"/>
      <c r="U90" s="441" t="b">
        <f ca="1">IF(AND(NOT(Q90),AND(Q$4:Q89)),TRUE,Q90)</f>
        <v>0</v>
      </c>
      <c r="V90" s="440" t="e">
        <f ca="1">IF(AND(NOT(ISBLANK(Jumpoverwrite3)),AND(NOT(U90),AND(U$4:U89))),($J90*$G90-LN(1+Jumpoverwrite3*W$2))/$G90,_xll.qlInterpolationInterpolate(U$3,$F90,TRUE))</f>
        <v>#NAME?</v>
      </c>
      <c r="W90" s="440" t="str">
        <f ca="1">IF(AND(NOT(U90),AND(U$4:U89)),MIN(EXP((V90-$J90)*$G90),1),"")</f>
        <v/>
      </c>
      <c r="X90" s="429"/>
      <c r="Y90" s="441" t="b">
        <f ca="1">IF(AND(NOT(U90),AND(U$4:U89)),TRUE,U90)</f>
        <v>0</v>
      </c>
      <c r="Z90" s="440" t="e">
        <f ca="1">IF(AND(NOT(ISBLANK(Jumpoverwrite4)),AND(NOT(Y90),AND(Y$4:Y89))),($J90*$G90-LN(1+Jumpoverwrite4*AA$2))/$G90,_xll.qlInterpolationInterpolate(Y$3,$F90,TRUE))</f>
        <v>#NAME?</v>
      </c>
      <c r="AA90" s="440" t="str">
        <f ca="1">IF(AND(NOT(Y90),AND(Y$4:Y89)),MIN(EXP((Z90-$J90)*$G90),1),"")</f>
        <v/>
      </c>
      <c r="AB90" s="429"/>
      <c r="AC90" s="441" t="b">
        <f ca="1">IF(AND(NOT(Y90),AND(Y$4:Y89)),TRUE,Y90)</f>
        <v>0</v>
      </c>
      <c r="AD90" s="440" t="e">
        <f ca="1">IF(AND(NOT(ISBLANK(Jumpoverwrite5)),AND(NOT(AC90),AND(AC$4:AC89))),($J90*$G90-LN(1+Jumpoverwrite5*AE$2))/$G90,_xll.qlInterpolationInterpolate(AC$3,$F90,TRUE))</f>
        <v>#NAME?</v>
      </c>
      <c r="AE90" s="440" t="str">
        <f ca="1">IF(AND(NOT(AC90),AND(AC$4:AC89)),MIN(EXP((AD90-$J90)*$G90),1),"")</f>
        <v/>
      </c>
      <c r="AF90" s="429"/>
      <c r="AG90" s="441" t="b">
        <f ca="1">IF(AND(NOT(AC90),AND(AC$4:AC89)),TRUE,AC90)</f>
        <v>0</v>
      </c>
      <c r="AH90" s="440" t="e">
        <f ca="1">IF(AND(NOT(ISBLANK(Jumpoverwrite6)),AND(NOT(AG90),AND(AG$4:AG89))),($J90*$G90-LN(1+Jumpoverwrite6*AI$2))/$G90,_xll.qlInterpolationInterpolate(AG$3,$F90,TRUE))</f>
        <v>#NAME?</v>
      </c>
      <c r="AI90" s="440" t="str">
        <f ca="1">IF(AND(NOT(AG90),AND(AG$4:AG89)),MIN(EXP((AH90-$J90)*$G90),1),"")</f>
        <v/>
      </c>
      <c r="AJ90" s="429"/>
      <c r="AK90" s="441" t="b">
        <f ca="1">IF(AND(NOT(AG90),AND(AG$4:AG89)),TRUE,AG90)</f>
        <v>0</v>
      </c>
      <c r="AL90" s="440" t="e">
        <f ca="1">IF(AND(NOT(ISBLANK(Jumpoverwrite7)),AND(NOT(AK90),AND(AK$4:AK89))),($J90*$G90-LN(1+Jumpoverwrite7*AM$2))/$G90,_xll.qlInterpolationInterpolate(AK$3,$F90,TRUE))</f>
        <v>#NAME?</v>
      </c>
      <c r="AM90" s="440" t="str">
        <f ca="1">IF(AND(NOT(AK90),AND(AK$4:AK89)),MIN(EXP((AL90-$J90)*$G90),1),"")</f>
        <v/>
      </c>
      <c r="AO90" s="441" t="b">
        <f ca="1">IF(AND(NOT(AK90),AND(AK$4:AK89)),TRUE,AK90)</f>
        <v>0</v>
      </c>
      <c r="AP90" s="440" t="e">
        <f ca="1">IF(AND(NOT(ISBLANK(Jumpoverwrite8)),AND(NOT(AO90),AND(AO$4:AO89))),($J90*$G90-LN(1+Jumpoverwrite8*AQ$2))/$G90,_xll.qlInterpolationInterpolate(AO$3,$F90,TRUE))</f>
        <v>#NAME?</v>
      </c>
      <c r="AQ90" s="440" t="str">
        <f ca="1">IF(AND(NOT(AO90),AND(AO$4:AO89)),MIN(EXP((AP90-$J90)*$G90),1),"")</f>
        <v/>
      </c>
      <c r="AS90" s="441" t="b">
        <f ca="1">IF(AND(NOT(AO90),AND(AO$4:AO89)),TRUE,AO90)</f>
        <v>0</v>
      </c>
      <c r="AT90" s="440" t="e">
        <f ca="1">IF(AND(NOT(ISBLANK(Jumpoverwrite9)),AND(NOT(AS90),AND(AS$4:AS89))),($J90*$G90-LN(1+Jumpoverwrite9*AU$2))/$G90,_xll.qlInterpolationInterpolate(AS$3,$F90,TRUE))</f>
        <v>#NAME?</v>
      </c>
      <c r="AU90" s="440" t="str">
        <f ca="1">IF(AND(NOT(AS90),AND(AS$4:AS89)),MIN(EXP((AT90-$J90)*$G90),1),"")</f>
        <v/>
      </c>
      <c r="AW90" s="441" t="b">
        <f ca="1">IF(AND(NOT(AS90),AND(AS$4:AS89)),TRUE,AS90)</f>
        <v>0</v>
      </c>
      <c r="AX90" s="440" t="e">
        <f ca="1">IF(AND(NOT(ISBLANK(Jumpoverwrite10)),AND(NOT(AW90),AND(AW$4:AW89))),($J90*$G90-LN(1+Jumpoverwrite10*AY$2))/$G90,_xll.qlInterpolationInterpolate(AW$3,$F90,TRUE))</f>
        <v>#NAME?</v>
      </c>
      <c r="AY90" s="440" t="str">
        <f ca="1">IF(AND(NOT(AW90),AND(AW$4:AW89)),MIN(EXP((AX90-$J90)*$G90),1),"")</f>
        <v/>
      </c>
      <c r="BA90" s="441" t="b">
        <f ca="1">IF(AND(NOT(AW90),AND(AW$4:AW89)),TRUE,AW90)</f>
        <v>0</v>
      </c>
      <c r="BB90" s="440" t="e">
        <f ca="1">IF(AND(NOT(ISBLANK(Jumpoverwrite11)),AND(NOT(BA90),AND(BA$4:BA89))),($J90*$G90-LN(1+Jumpoverwrite11*BC$2))/$G90,_xll.qlInterpolationInterpolate(BA$3,$F90,TRUE))</f>
        <v>#NAME?</v>
      </c>
      <c r="BC90" s="440" t="str">
        <f ca="1">IF(AND(NOT(BA90),AND(BA$4:BA89)),MIN(EXP((BB90-$J90)*$G90),1),"")</f>
        <v/>
      </c>
      <c r="BE90" s="441" t="b">
        <f ca="1">IF(AND(NOT(BA90),AND(BA$4:BA89)),TRUE,BA90)</f>
        <v>0</v>
      </c>
      <c r="BF90" s="440" t="e">
        <f ca="1">IF(AND(NOT(ISBLANK(Jumpoverwrite12)),AND(NOT(BE90),AND(BE$4:BE89))),($J90*$G90-LN(1+Jumpoverwrite12*BG$2))/$G90,_xll.qlInterpolationInterpolate(BE$3,$F90,TRUE))</f>
        <v>#NAME?</v>
      </c>
      <c r="BG90" s="440" t="str">
        <f ca="1">IF(AND(NOT(BE90),AND(BE$4:BE89)),MIN(EXP((BF90-$J90)*$G90),1),"")</f>
        <v/>
      </c>
      <c r="BI90" s="441" t="b">
        <f t="shared" ca="1" si="11"/>
        <v>0</v>
      </c>
      <c r="BJ90" s="440" t="e">
        <f ca="1">IF(AND(NOT(ISBLANK(jumpoverwrite13)),AND(NOT(BI90),AND(BI$4:BI89))),($J90*$G90-LN(1+jumpoverwrite13*BK$2))/$G90,_xll.qlInterpolationInterpolate(BI$3,$F90,TRUE))</f>
        <v>#NAME?</v>
      </c>
      <c r="BK90" s="440" t="str">
        <f ca="1">IF(AND(NOT(BI90),AND(BI$4:BI89)),MIN(EXP((BJ90-$J90)*$G90),1),"")</f>
        <v/>
      </c>
    </row>
    <row r="91" spans="1:63" x14ac:dyDescent="0.2">
      <c r="A91" s="439" t="e">
        <f ca="1"/>
        <v>#NAME?</v>
      </c>
      <c r="B91" s="438" t="e">
        <f ca="1">_xll.qlRateHelperRate($A91,InterestRatesTrigger)</f>
        <v>#NAME?</v>
      </c>
      <c r="C91" s="437" t="e">
        <f ca="1">_xll.qlRateHelperEarliestDate($A91)</f>
        <v>#NAME?</v>
      </c>
      <c r="D91" s="436" t="e">
        <f ca="1">_xll.qlRateHelperPillarDate($A91)</f>
        <v>#NAME?</v>
      </c>
      <c r="F91" s="446" t="e">
        <f t="shared" ca="1" si="9"/>
        <v>#N/A</v>
      </c>
      <c r="G91" s="445" t="e">
        <f ca="1">_xll.qlDayCounterYearFraction(DayCounter,D90,D91)</f>
        <v>#NAME?</v>
      </c>
      <c r="I91" s="444" t="b">
        <f t="shared" ca="1" si="10"/>
        <v>0</v>
      </c>
      <c r="J91" s="443" t="e">
        <f ca="1"/>
        <v>#NAME?</v>
      </c>
      <c r="K91" s="442" t="e">
        <f t="shared" ca="1" si="8"/>
        <v>#NAME?</v>
      </c>
      <c r="L91" s="430"/>
      <c r="M91" s="441" t="b">
        <f ca="1">IF(AND(NOT(I91),AND(I$4:I90)),TRUE,I91)</f>
        <v>0</v>
      </c>
      <c r="N91" s="440" t="e">
        <f ca="1">IF(AND(NOT(ISBLANK(Jumpoverwrite1)),AND(NOT(M91),AND(M$4:M90))),($J91*$G91-LN(1+Jumpoverwrite1*O$2))/$G91,_xll.qlInterpolationInterpolate(M$3,$F91,TRUE))</f>
        <v>#NAME?</v>
      </c>
      <c r="O91" s="440" t="str">
        <f ca="1">IF(AND(NOT(M91),AND(M$4:M90)),MIN(EXP((N91-$J91)*$G91),1),"")</f>
        <v/>
      </c>
      <c r="P91" s="429"/>
      <c r="Q91" s="441" t="b">
        <f ca="1">IF(AND(NOT(M91),AND(M$4:M90)),TRUE,M91)</f>
        <v>0</v>
      </c>
      <c r="R91" s="440" t="e">
        <f ca="1">IF(AND(NOT(ISBLANK(Jumpoverwrite2)),AND(NOT(Q91),AND(Q$4:Q90))),($J91*$G91-LN(1+Jumpoverwrite2*S$2))/$G91,_xll.qlInterpolationInterpolate(Q$3,$F91,TRUE))</f>
        <v>#NAME?</v>
      </c>
      <c r="S91" s="440" t="str">
        <f ca="1">IF(AND(NOT(Q91),AND(Q$4:Q90)),MIN(EXP((R91-$J91)*$G91),1),"")</f>
        <v/>
      </c>
      <c r="T91" s="429"/>
      <c r="U91" s="441" t="b">
        <f ca="1">IF(AND(NOT(Q91),AND(Q$4:Q90)),TRUE,Q91)</f>
        <v>0</v>
      </c>
      <c r="V91" s="440" t="e">
        <f ca="1">IF(AND(NOT(ISBLANK(Jumpoverwrite3)),AND(NOT(U91),AND(U$4:U90))),($J91*$G91-LN(1+Jumpoverwrite3*W$2))/$G91,_xll.qlInterpolationInterpolate(U$3,$F91,TRUE))</f>
        <v>#NAME?</v>
      </c>
      <c r="W91" s="440" t="str">
        <f ca="1">IF(AND(NOT(U91),AND(U$4:U90)),MIN(EXP((V91-$J91)*$G91),1),"")</f>
        <v/>
      </c>
      <c r="X91" s="429"/>
      <c r="Y91" s="441" t="b">
        <f ca="1">IF(AND(NOT(U91),AND(U$4:U90)),TRUE,U91)</f>
        <v>0</v>
      </c>
      <c r="Z91" s="440" t="e">
        <f ca="1">IF(AND(NOT(ISBLANK(Jumpoverwrite4)),AND(NOT(Y91),AND(Y$4:Y90))),($J91*$G91-LN(1+Jumpoverwrite4*AA$2))/$G91,_xll.qlInterpolationInterpolate(Y$3,$F91,TRUE))</f>
        <v>#NAME?</v>
      </c>
      <c r="AA91" s="440" t="str">
        <f ca="1">IF(AND(NOT(Y91),AND(Y$4:Y90)),MIN(EXP((Z91-$J91)*$G91),1),"")</f>
        <v/>
      </c>
      <c r="AB91" s="429"/>
      <c r="AC91" s="441" t="b">
        <f ca="1">IF(AND(NOT(Y91),AND(Y$4:Y90)),TRUE,Y91)</f>
        <v>0</v>
      </c>
      <c r="AD91" s="440" t="e">
        <f ca="1">IF(AND(NOT(ISBLANK(Jumpoverwrite5)),AND(NOT(AC91),AND(AC$4:AC90))),($J91*$G91-LN(1+Jumpoverwrite5*AE$2))/$G91,_xll.qlInterpolationInterpolate(AC$3,$F91,TRUE))</f>
        <v>#NAME?</v>
      </c>
      <c r="AE91" s="440" t="str">
        <f ca="1">IF(AND(NOT(AC91),AND(AC$4:AC90)),MIN(EXP((AD91-$J91)*$G91),1),"")</f>
        <v/>
      </c>
      <c r="AF91" s="429"/>
      <c r="AG91" s="441" t="b">
        <f ca="1">IF(AND(NOT(AC91),AND(AC$4:AC90)),TRUE,AC91)</f>
        <v>0</v>
      </c>
      <c r="AH91" s="440" t="e">
        <f ca="1">IF(AND(NOT(ISBLANK(Jumpoverwrite6)),AND(NOT(AG91),AND(AG$4:AG90))),($J91*$G91-LN(1+Jumpoverwrite6*AI$2))/$G91,_xll.qlInterpolationInterpolate(AG$3,$F91,TRUE))</f>
        <v>#NAME?</v>
      </c>
      <c r="AI91" s="440" t="str">
        <f ca="1">IF(AND(NOT(AG91),AND(AG$4:AG90)),MIN(EXP((AH91-$J91)*$G91),1),"")</f>
        <v/>
      </c>
      <c r="AJ91" s="429"/>
      <c r="AK91" s="441" t="b">
        <f ca="1">IF(AND(NOT(AG91),AND(AG$4:AG90)),TRUE,AG91)</f>
        <v>0</v>
      </c>
      <c r="AL91" s="440" t="e">
        <f ca="1">IF(AND(NOT(ISBLANK(Jumpoverwrite7)),AND(NOT(AK91),AND(AK$4:AK90))),($J91*$G91-LN(1+Jumpoverwrite7*AM$2))/$G91,_xll.qlInterpolationInterpolate(AK$3,$F91,TRUE))</f>
        <v>#NAME?</v>
      </c>
      <c r="AM91" s="440" t="str">
        <f ca="1">IF(AND(NOT(AK91),AND(AK$4:AK90)),MIN(EXP((AL91-$J91)*$G91),1),"")</f>
        <v/>
      </c>
      <c r="AO91" s="441" t="b">
        <f ca="1">IF(AND(NOT(AK91),AND(AK$4:AK90)),TRUE,AK91)</f>
        <v>0</v>
      </c>
      <c r="AP91" s="440" t="e">
        <f ca="1">IF(AND(NOT(ISBLANK(Jumpoverwrite8)),AND(NOT(AO91),AND(AO$4:AO90))),($J91*$G91-LN(1+Jumpoverwrite8*AQ$2))/$G91,_xll.qlInterpolationInterpolate(AO$3,$F91,TRUE))</f>
        <v>#NAME?</v>
      </c>
      <c r="AQ91" s="440" t="str">
        <f ca="1">IF(AND(NOT(AO91),AND(AO$4:AO90)),MIN(EXP((AP91-$J91)*$G91),1),"")</f>
        <v/>
      </c>
      <c r="AS91" s="441" t="b">
        <f ca="1">IF(AND(NOT(AO91),AND(AO$4:AO90)),TRUE,AO91)</f>
        <v>0</v>
      </c>
      <c r="AT91" s="440" t="e">
        <f ca="1">IF(AND(NOT(ISBLANK(Jumpoverwrite9)),AND(NOT(AS91),AND(AS$4:AS90))),($J91*$G91-LN(1+Jumpoverwrite9*AU$2))/$G91,_xll.qlInterpolationInterpolate(AS$3,$F91,TRUE))</f>
        <v>#NAME?</v>
      </c>
      <c r="AU91" s="440" t="str">
        <f ca="1">IF(AND(NOT(AS91),AND(AS$4:AS90)),MIN(EXP((AT91-$J91)*$G91),1),"")</f>
        <v/>
      </c>
      <c r="AW91" s="441" t="b">
        <f ca="1">IF(AND(NOT(AS91),AND(AS$4:AS90)),TRUE,AS91)</f>
        <v>0</v>
      </c>
      <c r="AX91" s="440" t="e">
        <f ca="1">IF(AND(NOT(ISBLANK(Jumpoverwrite10)),AND(NOT(AW91),AND(AW$4:AW90))),($J91*$G91-LN(1+Jumpoverwrite10*AY$2))/$G91,_xll.qlInterpolationInterpolate(AW$3,$F91,TRUE))</f>
        <v>#NAME?</v>
      </c>
      <c r="AY91" s="440" t="str">
        <f ca="1">IF(AND(NOT(AW91),AND(AW$4:AW90)),MIN(EXP((AX91-$J91)*$G91),1),"")</f>
        <v/>
      </c>
      <c r="BA91" s="441" t="b">
        <f ca="1">IF(AND(NOT(AW91),AND(AW$4:AW90)),TRUE,AW91)</f>
        <v>0</v>
      </c>
      <c r="BB91" s="440" t="e">
        <f ca="1">IF(AND(NOT(ISBLANK(Jumpoverwrite11)),AND(NOT(BA91),AND(BA$4:BA90))),($J91*$G91-LN(1+Jumpoverwrite11*BC$2))/$G91,_xll.qlInterpolationInterpolate(BA$3,$F91,TRUE))</f>
        <v>#NAME?</v>
      </c>
      <c r="BC91" s="440" t="str">
        <f ca="1">IF(AND(NOT(BA91),AND(BA$4:BA90)),MIN(EXP((BB91-$J91)*$G91),1),"")</f>
        <v/>
      </c>
      <c r="BE91" s="441" t="b">
        <f ca="1">IF(AND(NOT(BA91),AND(BA$4:BA90)),TRUE,BA91)</f>
        <v>0</v>
      </c>
      <c r="BF91" s="440" t="e">
        <f ca="1">IF(AND(NOT(ISBLANK(Jumpoverwrite12)),AND(NOT(BE91),AND(BE$4:BE90))),($J91*$G91-LN(1+Jumpoverwrite12*BG$2))/$G91,_xll.qlInterpolationInterpolate(BE$3,$F91,TRUE))</f>
        <v>#NAME?</v>
      </c>
      <c r="BG91" s="440" t="str">
        <f ca="1">IF(AND(NOT(BE91),AND(BE$4:BE90)),MIN(EXP((BF91-$J91)*$G91),1),"")</f>
        <v/>
      </c>
      <c r="BI91" s="441" t="b">
        <f t="shared" ca="1" si="11"/>
        <v>0</v>
      </c>
      <c r="BJ91" s="440" t="e">
        <f ca="1">IF(AND(NOT(ISBLANK(jumpoverwrite13)),AND(NOT(BI91),AND(BI$4:BI90))),($J91*$G91-LN(1+jumpoverwrite13*BK$2))/$G91,_xll.qlInterpolationInterpolate(BI$3,$F91,TRUE))</f>
        <v>#NAME?</v>
      </c>
      <c r="BK91" s="440" t="str">
        <f ca="1">IF(AND(NOT(BI91),AND(BI$4:BI90)),MIN(EXP((BJ91-$J91)*$G91),1),"")</f>
        <v/>
      </c>
    </row>
    <row r="92" spans="1:63" x14ac:dyDescent="0.2">
      <c r="A92" s="439" t="e">
        <f ca="1"/>
        <v>#NAME?</v>
      </c>
      <c r="B92" s="438" t="e">
        <f ca="1">_xll.qlRateHelperRate($A92,InterestRatesTrigger)</f>
        <v>#NAME?</v>
      </c>
      <c r="C92" s="437" t="e">
        <f ca="1">_xll.qlRateHelperEarliestDate($A92)</f>
        <v>#NAME?</v>
      </c>
      <c r="D92" s="436" t="e">
        <f ca="1">_xll.qlRateHelperPillarDate($A92)</f>
        <v>#NAME?</v>
      </c>
      <c r="F92" s="446" t="e">
        <f t="shared" ca="1" si="9"/>
        <v>#N/A</v>
      </c>
      <c r="G92" s="445" t="e">
        <f ca="1">_xll.qlDayCounterYearFraction(DayCounter,D91,D92)</f>
        <v>#NAME?</v>
      </c>
      <c r="I92" s="444" t="b">
        <f t="shared" ca="1" si="10"/>
        <v>0</v>
      </c>
      <c r="J92" s="443" t="e">
        <f ca="1"/>
        <v>#NAME?</v>
      </c>
      <c r="K92" s="442" t="e">
        <f t="shared" ca="1" si="8"/>
        <v>#NAME?</v>
      </c>
      <c r="L92" s="430"/>
      <c r="M92" s="441" t="b">
        <f ca="1">IF(AND(NOT(I92),AND(I$4:I91)),TRUE,I92)</f>
        <v>0</v>
      </c>
      <c r="N92" s="440" t="e">
        <f ca="1">IF(AND(NOT(ISBLANK(Jumpoverwrite1)),AND(NOT(M92),AND(M$4:M91))),($J92*$G92-LN(1+Jumpoverwrite1*O$2))/$G92,_xll.qlInterpolationInterpolate(M$3,$F92,TRUE))</f>
        <v>#NAME?</v>
      </c>
      <c r="O92" s="440" t="str">
        <f ca="1">IF(AND(NOT(M92),AND(M$4:M91)),MIN(EXP((N92-$J92)*$G92),1),"")</f>
        <v/>
      </c>
      <c r="P92" s="429"/>
      <c r="Q92" s="441" t="b">
        <f ca="1">IF(AND(NOT(M92),AND(M$4:M91)),TRUE,M92)</f>
        <v>0</v>
      </c>
      <c r="R92" s="440" t="e">
        <f ca="1">IF(AND(NOT(ISBLANK(Jumpoverwrite2)),AND(NOT(Q92),AND(Q$4:Q91))),($J92*$G92-LN(1+Jumpoverwrite2*S$2))/$G92,_xll.qlInterpolationInterpolate(Q$3,$F92,TRUE))</f>
        <v>#NAME?</v>
      </c>
      <c r="S92" s="440" t="str">
        <f ca="1">IF(AND(NOT(Q92),AND(Q$4:Q91)),MIN(EXP((R92-$J92)*$G92),1),"")</f>
        <v/>
      </c>
      <c r="T92" s="429"/>
      <c r="U92" s="441" t="b">
        <f ca="1">IF(AND(NOT(Q92),AND(Q$4:Q91)),TRUE,Q92)</f>
        <v>0</v>
      </c>
      <c r="V92" s="440" t="e">
        <f ca="1">IF(AND(NOT(ISBLANK(Jumpoverwrite3)),AND(NOT(U92),AND(U$4:U91))),($J92*$G92-LN(1+Jumpoverwrite3*W$2))/$G92,_xll.qlInterpolationInterpolate(U$3,$F92,TRUE))</f>
        <v>#NAME?</v>
      </c>
      <c r="W92" s="440" t="str">
        <f ca="1">IF(AND(NOT(U92),AND(U$4:U91)),MIN(EXP((V92-$J92)*$G92),1),"")</f>
        <v/>
      </c>
      <c r="X92" s="429"/>
      <c r="Y92" s="441" t="b">
        <f ca="1">IF(AND(NOT(U92),AND(U$4:U91)),TRUE,U92)</f>
        <v>0</v>
      </c>
      <c r="Z92" s="440" t="e">
        <f ca="1">IF(AND(NOT(ISBLANK(Jumpoverwrite4)),AND(NOT(Y92),AND(Y$4:Y91))),($J92*$G92-LN(1+Jumpoverwrite4*AA$2))/$G92,_xll.qlInterpolationInterpolate(Y$3,$F92,TRUE))</f>
        <v>#NAME?</v>
      </c>
      <c r="AA92" s="440" t="str">
        <f ca="1">IF(AND(NOT(Y92),AND(Y$4:Y91)),MIN(EXP((Z92-$J92)*$G92),1),"")</f>
        <v/>
      </c>
      <c r="AB92" s="429"/>
      <c r="AC92" s="441" t="b">
        <f ca="1">IF(AND(NOT(Y92),AND(Y$4:Y91)),TRUE,Y92)</f>
        <v>0</v>
      </c>
      <c r="AD92" s="440" t="e">
        <f ca="1">IF(AND(NOT(ISBLANK(Jumpoverwrite5)),AND(NOT(AC92),AND(AC$4:AC91))),($J92*$G92-LN(1+Jumpoverwrite5*AE$2))/$G92,_xll.qlInterpolationInterpolate(AC$3,$F92,TRUE))</f>
        <v>#NAME?</v>
      </c>
      <c r="AE92" s="440" t="str">
        <f ca="1">IF(AND(NOT(AC92),AND(AC$4:AC91)),MIN(EXP((AD92-$J92)*$G92),1),"")</f>
        <v/>
      </c>
      <c r="AF92" s="429"/>
      <c r="AG92" s="441" t="b">
        <f ca="1">IF(AND(NOT(AC92),AND(AC$4:AC91)),TRUE,AC92)</f>
        <v>0</v>
      </c>
      <c r="AH92" s="440" t="e">
        <f ca="1">IF(AND(NOT(ISBLANK(Jumpoverwrite6)),AND(NOT(AG92),AND(AG$4:AG91))),($J92*$G92-LN(1+Jumpoverwrite6*AI$2))/$G92,_xll.qlInterpolationInterpolate(AG$3,$F92,TRUE))</f>
        <v>#NAME?</v>
      </c>
      <c r="AI92" s="440" t="str">
        <f ca="1">IF(AND(NOT(AG92),AND(AG$4:AG91)),MIN(EXP((AH92-$J92)*$G92),1),"")</f>
        <v/>
      </c>
      <c r="AJ92" s="429"/>
      <c r="AK92" s="441" t="b">
        <f ca="1">IF(AND(NOT(AG92),AND(AG$4:AG91)),TRUE,AG92)</f>
        <v>0</v>
      </c>
      <c r="AL92" s="440" t="e">
        <f ca="1">IF(AND(NOT(ISBLANK(Jumpoverwrite7)),AND(NOT(AK92),AND(AK$4:AK91))),($J92*$G92-LN(1+Jumpoverwrite7*AM$2))/$G92,_xll.qlInterpolationInterpolate(AK$3,$F92,TRUE))</f>
        <v>#NAME?</v>
      </c>
      <c r="AM92" s="440" t="str">
        <f ca="1">IF(AND(NOT(AK92),AND(AK$4:AK91)),MIN(EXP((AL92-$J92)*$G92),1),"")</f>
        <v/>
      </c>
      <c r="AO92" s="441" t="b">
        <f ca="1">IF(AND(NOT(AK92),AND(AK$4:AK91)),TRUE,AK92)</f>
        <v>0</v>
      </c>
      <c r="AP92" s="440" t="e">
        <f ca="1">IF(AND(NOT(ISBLANK(Jumpoverwrite8)),AND(NOT(AO92),AND(AO$4:AO91))),($J92*$G92-LN(1+Jumpoverwrite8*AQ$2))/$G92,_xll.qlInterpolationInterpolate(AO$3,$F92,TRUE))</f>
        <v>#NAME?</v>
      </c>
      <c r="AQ92" s="440" t="str">
        <f ca="1">IF(AND(NOT(AO92),AND(AO$4:AO91)),MIN(EXP((AP92-$J92)*$G92),1),"")</f>
        <v/>
      </c>
      <c r="AS92" s="441" t="b">
        <f ca="1">IF(AND(NOT(AO92),AND(AO$4:AO91)),TRUE,AO92)</f>
        <v>0</v>
      </c>
      <c r="AT92" s="440" t="e">
        <f ca="1">IF(AND(NOT(ISBLANK(Jumpoverwrite9)),AND(NOT(AS92),AND(AS$4:AS91))),($J92*$G92-LN(1+Jumpoverwrite9*AU$2))/$G92,_xll.qlInterpolationInterpolate(AS$3,$F92,TRUE))</f>
        <v>#NAME?</v>
      </c>
      <c r="AU92" s="440" t="str">
        <f ca="1">IF(AND(NOT(AS92),AND(AS$4:AS91)),MIN(EXP((AT92-$J92)*$G92),1),"")</f>
        <v/>
      </c>
      <c r="AW92" s="441" t="b">
        <f ca="1">IF(AND(NOT(AS92),AND(AS$4:AS91)),TRUE,AS92)</f>
        <v>0</v>
      </c>
      <c r="AX92" s="440" t="e">
        <f ca="1">IF(AND(NOT(ISBLANK(Jumpoverwrite10)),AND(NOT(AW92),AND(AW$4:AW91))),($J92*$G92-LN(1+Jumpoverwrite10*AY$2))/$G92,_xll.qlInterpolationInterpolate(AW$3,$F92,TRUE))</f>
        <v>#NAME?</v>
      </c>
      <c r="AY92" s="440" t="str">
        <f ca="1">IF(AND(NOT(AW92),AND(AW$4:AW91)),MIN(EXP((AX92-$J92)*$G92),1),"")</f>
        <v/>
      </c>
      <c r="BA92" s="441" t="b">
        <f ca="1">IF(AND(NOT(AW92),AND(AW$4:AW91)),TRUE,AW92)</f>
        <v>0</v>
      </c>
      <c r="BB92" s="440" t="e">
        <f ca="1">IF(AND(NOT(ISBLANK(Jumpoverwrite11)),AND(NOT(BA92),AND(BA$4:BA91))),($J92*$G92-LN(1+Jumpoverwrite11*BC$2))/$G92,_xll.qlInterpolationInterpolate(BA$3,$F92,TRUE))</f>
        <v>#NAME?</v>
      </c>
      <c r="BC92" s="440" t="str">
        <f ca="1">IF(AND(NOT(BA92),AND(BA$4:BA91)),MIN(EXP((BB92-$J92)*$G92),1),"")</f>
        <v/>
      </c>
      <c r="BE92" s="441" t="b">
        <f ca="1">IF(AND(NOT(BA92),AND(BA$4:BA91)),TRUE,BA92)</f>
        <v>0</v>
      </c>
      <c r="BF92" s="440" t="e">
        <f ca="1">IF(AND(NOT(ISBLANK(Jumpoverwrite12)),AND(NOT(BE92),AND(BE$4:BE91))),($J92*$G92-LN(1+Jumpoverwrite12*BG$2))/$G92,_xll.qlInterpolationInterpolate(BE$3,$F92,TRUE))</f>
        <v>#NAME?</v>
      </c>
      <c r="BG92" s="440" t="str">
        <f ca="1">IF(AND(NOT(BE92),AND(BE$4:BE91)),MIN(EXP((BF92-$J92)*$G92),1),"")</f>
        <v/>
      </c>
      <c r="BI92" s="441" t="b">
        <f t="shared" ca="1" si="11"/>
        <v>0</v>
      </c>
      <c r="BJ92" s="440" t="e">
        <f ca="1">IF(AND(NOT(ISBLANK(jumpoverwrite13)),AND(NOT(BI92),AND(BI$4:BI91))),($J92*$G92-LN(1+jumpoverwrite13*BK$2))/$G92,_xll.qlInterpolationInterpolate(BI$3,$F92,TRUE))</f>
        <v>#NAME?</v>
      </c>
      <c r="BK92" s="440" t="str">
        <f ca="1">IF(AND(NOT(BI92),AND(BI$4:BI91)),MIN(EXP((BJ92-$J92)*$G92),1),"")</f>
        <v/>
      </c>
    </row>
    <row r="93" spans="1:63" x14ac:dyDescent="0.2">
      <c r="A93" s="439" t="e">
        <f ca="1"/>
        <v>#NAME?</v>
      </c>
      <c r="B93" s="438" t="e">
        <f ca="1">_xll.qlRateHelperRate($A93,InterestRatesTrigger)</f>
        <v>#NAME?</v>
      </c>
      <c r="C93" s="437" t="e">
        <f ca="1">_xll.qlRateHelperEarliestDate($A93)</f>
        <v>#NAME?</v>
      </c>
      <c r="D93" s="436" t="e">
        <f ca="1">_xll.qlRateHelperPillarDate($A93)</f>
        <v>#NAME?</v>
      </c>
      <c r="F93" s="446" t="e">
        <f t="shared" ca="1" si="9"/>
        <v>#N/A</v>
      </c>
      <c r="G93" s="445" t="e">
        <f ca="1">_xll.qlDayCounterYearFraction(DayCounter,D92,D93)</f>
        <v>#NAME?</v>
      </c>
      <c r="I93" s="444" t="b">
        <f t="shared" ca="1" si="10"/>
        <v>0</v>
      </c>
      <c r="J93" s="443" t="e">
        <f ca="1"/>
        <v>#NAME?</v>
      </c>
      <c r="K93" s="442" t="e">
        <f t="shared" ca="1" si="8"/>
        <v>#NAME?</v>
      </c>
      <c r="L93" s="430"/>
      <c r="M93" s="441" t="b">
        <f ca="1">IF(AND(NOT(I93),AND(I$4:I92)),TRUE,I93)</f>
        <v>0</v>
      </c>
      <c r="N93" s="440" t="e">
        <f ca="1">IF(AND(NOT(ISBLANK(Jumpoverwrite1)),AND(NOT(M93),AND(M$4:M92))),($J93*$G93-LN(1+Jumpoverwrite1*O$2))/$G93,_xll.qlInterpolationInterpolate(M$3,$F93,TRUE))</f>
        <v>#NAME?</v>
      </c>
      <c r="O93" s="440" t="str">
        <f ca="1">IF(AND(NOT(M93),AND(M$4:M92)),MIN(EXP((N93-$J93)*$G93),1),"")</f>
        <v/>
      </c>
      <c r="P93" s="429"/>
      <c r="Q93" s="441" t="b">
        <f ca="1">IF(AND(NOT(M93),AND(M$4:M92)),TRUE,M93)</f>
        <v>0</v>
      </c>
      <c r="R93" s="440" t="e">
        <f ca="1">IF(AND(NOT(ISBLANK(Jumpoverwrite2)),AND(NOT(Q93),AND(Q$4:Q92))),($J93*$G93-LN(1+Jumpoverwrite2*S$2))/$G93,_xll.qlInterpolationInterpolate(Q$3,$F93,TRUE))</f>
        <v>#NAME?</v>
      </c>
      <c r="S93" s="440" t="str">
        <f ca="1">IF(AND(NOT(Q93),AND(Q$4:Q92)),MIN(EXP((R93-$J93)*$G93),1),"")</f>
        <v/>
      </c>
      <c r="T93" s="429"/>
      <c r="U93" s="441" t="b">
        <f ca="1">IF(AND(NOT(Q93),AND(Q$4:Q92)),TRUE,Q93)</f>
        <v>0</v>
      </c>
      <c r="V93" s="440" t="e">
        <f ca="1">IF(AND(NOT(ISBLANK(Jumpoverwrite3)),AND(NOT(U93),AND(U$4:U92))),($J93*$G93-LN(1+Jumpoverwrite3*W$2))/$G93,_xll.qlInterpolationInterpolate(U$3,$F93,TRUE))</f>
        <v>#NAME?</v>
      </c>
      <c r="W93" s="440" t="str">
        <f ca="1">IF(AND(NOT(U93),AND(U$4:U92)),MIN(EXP((V93-$J93)*$G93),1),"")</f>
        <v/>
      </c>
      <c r="X93" s="429"/>
      <c r="Y93" s="441" t="b">
        <f ca="1">IF(AND(NOT(U93),AND(U$4:U92)),TRUE,U93)</f>
        <v>0</v>
      </c>
      <c r="Z93" s="440" t="e">
        <f ca="1">IF(AND(NOT(ISBLANK(Jumpoverwrite4)),AND(NOT(Y93),AND(Y$4:Y92))),($J93*$G93-LN(1+Jumpoverwrite4*AA$2))/$G93,_xll.qlInterpolationInterpolate(Y$3,$F93,TRUE))</f>
        <v>#NAME?</v>
      </c>
      <c r="AA93" s="440" t="str">
        <f ca="1">IF(AND(NOT(Y93),AND(Y$4:Y92)),MIN(EXP((Z93-$J93)*$G93),1),"")</f>
        <v/>
      </c>
      <c r="AB93" s="429"/>
      <c r="AC93" s="441" t="b">
        <f ca="1">IF(AND(NOT(Y93),AND(Y$4:Y92)),TRUE,Y93)</f>
        <v>0</v>
      </c>
      <c r="AD93" s="440" t="e">
        <f ca="1">IF(AND(NOT(ISBLANK(Jumpoverwrite5)),AND(NOT(AC93),AND(AC$4:AC92))),($J93*$G93-LN(1+Jumpoverwrite5*AE$2))/$G93,_xll.qlInterpolationInterpolate(AC$3,$F93,TRUE))</f>
        <v>#NAME?</v>
      </c>
      <c r="AE93" s="440" t="str">
        <f ca="1">IF(AND(NOT(AC93),AND(AC$4:AC92)),MIN(EXP((AD93-$J93)*$G93),1),"")</f>
        <v/>
      </c>
      <c r="AF93" s="429"/>
      <c r="AG93" s="441" t="b">
        <f ca="1">IF(AND(NOT(AC93),AND(AC$4:AC92)),TRUE,AC93)</f>
        <v>0</v>
      </c>
      <c r="AH93" s="440" t="e">
        <f ca="1">IF(AND(NOT(ISBLANK(Jumpoverwrite6)),AND(NOT(AG93),AND(AG$4:AG92))),($J93*$G93-LN(1+Jumpoverwrite6*AI$2))/$G93,_xll.qlInterpolationInterpolate(AG$3,$F93,TRUE))</f>
        <v>#NAME?</v>
      </c>
      <c r="AI93" s="440" t="str">
        <f ca="1">IF(AND(NOT(AG93),AND(AG$4:AG92)),MIN(EXP((AH93-$J93)*$G93),1),"")</f>
        <v/>
      </c>
      <c r="AJ93" s="429"/>
      <c r="AK93" s="441" t="b">
        <f ca="1">IF(AND(NOT(AG93),AND(AG$4:AG92)),TRUE,AG93)</f>
        <v>0</v>
      </c>
      <c r="AL93" s="440" t="e">
        <f ca="1">IF(AND(NOT(ISBLANK(Jumpoverwrite7)),AND(NOT(AK93),AND(AK$4:AK92))),($J93*$G93-LN(1+Jumpoverwrite7*AM$2))/$G93,_xll.qlInterpolationInterpolate(AK$3,$F93,TRUE))</f>
        <v>#NAME?</v>
      </c>
      <c r="AM93" s="440" t="str">
        <f ca="1">IF(AND(NOT(AK93),AND(AK$4:AK92)),MIN(EXP((AL93-$J93)*$G93),1),"")</f>
        <v/>
      </c>
      <c r="AO93" s="441" t="b">
        <f ca="1">IF(AND(NOT(AK93),AND(AK$4:AK92)),TRUE,AK93)</f>
        <v>0</v>
      </c>
      <c r="AP93" s="440" t="e">
        <f ca="1">IF(AND(NOT(ISBLANK(Jumpoverwrite8)),AND(NOT(AO93),AND(AO$4:AO92))),($J93*$G93-LN(1+Jumpoverwrite8*AQ$2))/$G93,_xll.qlInterpolationInterpolate(AO$3,$F93,TRUE))</f>
        <v>#NAME?</v>
      </c>
      <c r="AQ93" s="440" t="str">
        <f ca="1">IF(AND(NOT(AO93),AND(AO$4:AO92)),MIN(EXP((AP93-$J93)*$G93),1),"")</f>
        <v/>
      </c>
      <c r="AS93" s="441" t="b">
        <f ca="1">IF(AND(NOT(AO93),AND(AO$4:AO92)),TRUE,AO93)</f>
        <v>0</v>
      </c>
      <c r="AT93" s="440" t="e">
        <f ca="1">IF(AND(NOT(ISBLANK(Jumpoverwrite9)),AND(NOT(AS93),AND(AS$4:AS92))),($J93*$G93-LN(1+Jumpoverwrite9*AU$2))/$G93,_xll.qlInterpolationInterpolate(AS$3,$F93,TRUE))</f>
        <v>#NAME?</v>
      </c>
      <c r="AU93" s="440" t="str">
        <f ca="1">IF(AND(NOT(AS93),AND(AS$4:AS92)),MIN(EXP((AT93-$J93)*$G93),1),"")</f>
        <v/>
      </c>
      <c r="AW93" s="441" t="b">
        <f ca="1">IF(AND(NOT(AS93),AND(AS$4:AS92)),TRUE,AS93)</f>
        <v>0</v>
      </c>
      <c r="AX93" s="440" t="e">
        <f ca="1">IF(AND(NOT(ISBLANK(Jumpoverwrite10)),AND(NOT(AW93),AND(AW$4:AW92))),($J93*$G93-LN(1+Jumpoverwrite10*AY$2))/$G93,_xll.qlInterpolationInterpolate(AW$3,$F93,TRUE))</f>
        <v>#NAME?</v>
      </c>
      <c r="AY93" s="440" t="str">
        <f ca="1">IF(AND(NOT(AW93),AND(AW$4:AW92)),MIN(EXP((AX93-$J93)*$G93),1),"")</f>
        <v/>
      </c>
      <c r="BA93" s="441" t="b">
        <f ca="1">IF(AND(NOT(AW93),AND(AW$4:AW92)),TRUE,AW93)</f>
        <v>0</v>
      </c>
      <c r="BB93" s="440" t="e">
        <f ca="1">IF(AND(NOT(ISBLANK(Jumpoverwrite11)),AND(NOT(BA93),AND(BA$4:BA92))),($J93*$G93-LN(1+Jumpoverwrite11*BC$2))/$G93,_xll.qlInterpolationInterpolate(BA$3,$F93,TRUE))</f>
        <v>#NAME?</v>
      </c>
      <c r="BC93" s="440" t="str">
        <f ca="1">IF(AND(NOT(BA93),AND(BA$4:BA92)),MIN(EXP((BB93-$J93)*$G93),1),"")</f>
        <v/>
      </c>
      <c r="BE93" s="441" t="b">
        <f ca="1">IF(AND(NOT(BA93),AND(BA$4:BA92)),TRUE,BA93)</f>
        <v>0</v>
      </c>
      <c r="BF93" s="440" t="e">
        <f ca="1">IF(AND(NOT(ISBLANK(Jumpoverwrite12)),AND(NOT(BE93),AND(BE$4:BE92))),($J93*$G93-LN(1+Jumpoverwrite12*BG$2))/$G93,_xll.qlInterpolationInterpolate(BE$3,$F93,TRUE))</f>
        <v>#NAME?</v>
      </c>
      <c r="BG93" s="440" t="str">
        <f ca="1">IF(AND(NOT(BE93),AND(BE$4:BE92)),MIN(EXP((BF93-$J93)*$G93),1),"")</f>
        <v/>
      </c>
      <c r="BI93" s="441" t="b">
        <f t="shared" ca="1" si="11"/>
        <v>0</v>
      </c>
      <c r="BJ93" s="440" t="e">
        <f ca="1">IF(AND(NOT(ISBLANK(jumpoverwrite13)),AND(NOT(BI93),AND(BI$4:BI92))),($J93*$G93-LN(1+jumpoverwrite13*BK$2))/$G93,_xll.qlInterpolationInterpolate(BI$3,$F93,TRUE))</f>
        <v>#NAME?</v>
      </c>
      <c r="BK93" s="440" t="str">
        <f ca="1">IF(AND(NOT(BI93),AND(BI$4:BI92)),MIN(EXP((BJ93-$J93)*$G93),1),"")</f>
        <v/>
      </c>
    </row>
    <row r="94" spans="1:63" x14ac:dyDescent="0.2">
      <c r="A94" s="439" t="e">
        <f ca="1"/>
        <v>#NAME?</v>
      </c>
      <c r="B94" s="438" t="e">
        <f ca="1">_xll.qlRateHelperRate($A94,InterestRatesTrigger)</f>
        <v>#NAME?</v>
      </c>
      <c r="C94" s="437" t="e">
        <f ca="1">_xll.qlRateHelperEarliestDate($A94)</f>
        <v>#NAME?</v>
      </c>
      <c r="D94" s="436" t="e">
        <f ca="1">_xll.qlRateHelperPillarDate($A94)</f>
        <v>#NAME?</v>
      </c>
      <c r="F94" s="446" t="e">
        <f t="shared" ca="1" si="9"/>
        <v>#N/A</v>
      </c>
      <c r="G94" s="445" t="e">
        <f ca="1">_xll.qlDayCounterYearFraction(DayCounter,D93,D94)</f>
        <v>#NAME?</v>
      </c>
      <c r="I94" s="444" t="b">
        <f t="shared" ca="1" si="10"/>
        <v>0</v>
      </c>
      <c r="J94" s="443" t="e">
        <f ca="1"/>
        <v>#NAME?</v>
      </c>
      <c r="K94" s="442" t="e">
        <f t="shared" ca="1" si="8"/>
        <v>#NAME?</v>
      </c>
      <c r="L94" s="430"/>
      <c r="M94" s="441" t="b">
        <f ca="1">IF(AND(NOT(I94),AND(I$4:I93)),TRUE,I94)</f>
        <v>0</v>
      </c>
      <c r="N94" s="440" t="e">
        <f ca="1">IF(AND(NOT(ISBLANK(Jumpoverwrite1)),AND(NOT(M94),AND(M$4:M93))),($J94*$G94-LN(1+Jumpoverwrite1*O$2))/$G94,_xll.qlInterpolationInterpolate(M$3,$F94,TRUE))</f>
        <v>#NAME?</v>
      </c>
      <c r="O94" s="440" t="str">
        <f ca="1">IF(AND(NOT(M94),AND(M$4:M93)),MIN(EXP((N94-$J94)*$G94),1),"")</f>
        <v/>
      </c>
      <c r="P94" s="429"/>
      <c r="Q94" s="441" t="b">
        <f ca="1">IF(AND(NOT(M94),AND(M$4:M93)),TRUE,M94)</f>
        <v>0</v>
      </c>
      <c r="R94" s="440" t="e">
        <f ca="1">IF(AND(NOT(ISBLANK(Jumpoverwrite2)),AND(NOT(Q94),AND(Q$4:Q93))),($J94*$G94-LN(1+Jumpoverwrite2*S$2))/$G94,_xll.qlInterpolationInterpolate(Q$3,$F94,TRUE))</f>
        <v>#NAME?</v>
      </c>
      <c r="S94" s="440" t="str">
        <f ca="1">IF(AND(NOT(Q94),AND(Q$4:Q93)),MIN(EXP((R94-$J94)*$G94),1),"")</f>
        <v/>
      </c>
      <c r="T94" s="429"/>
      <c r="U94" s="441" t="b">
        <f ca="1">IF(AND(NOT(Q94),AND(Q$4:Q93)),TRUE,Q94)</f>
        <v>0</v>
      </c>
      <c r="V94" s="440" t="e">
        <f ca="1">IF(AND(NOT(ISBLANK(Jumpoverwrite3)),AND(NOT(U94),AND(U$4:U93))),($J94*$G94-LN(1+Jumpoverwrite3*W$2))/$G94,_xll.qlInterpolationInterpolate(U$3,$F94,TRUE))</f>
        <v>#NAME?</v>
      </c>
      <c r="W94" s="440" t="str">
        <f ca="1">IF(AND(NOT(U94),AND(U$4:U93)),MIN(EXP((V94-$J94)*$G94),1),"")</f>
        <v/>
      </c>
      <c r="X94" s="429"/>
      <c r="Y94" s="441" t="b">
        <f ca="1">IF(AND(NOT(U94),AND(U$4:U93)),TRUE,U94)</f>
        <v>0</v>
      </c>
      <c r="Z94" s="440" t="e">
        <f ca="1">IF(AND(NOT(ISBLANK(Jumpoverwrite4)),AND(NOT(Y94),AND(Y$4:Y93))),($J94*$G94-LN(1+Jumpoverwrite4*AA$2))/$G94,_xll.qlInterpolationInterpolate(Y$3,$F94,TRUE))</f>
        <v>#NAME?</v>
      </c>
      <c r="AA94" s="440" t="str">
        <f ca="1">IF(AND(NOT(Y94),AND(Y$4:Y93)),MIN(EXP((Z94-$J94)*$G94),1),"")</f>
        <v/>
      </c>
      <c r="AB94" s="429"/>
      <c r="AC94" s="441" t="b">
        <f ca="1">IF(AND(NOT(Y94),AND(Y$4:Y93)),TRUE,Y94)</f>
        <v>0</v>
      </c>
      <c r="AD94" s="440" t="e">
        <f ca="1">IF(AND(NOT(ISBLANK(Jumpoverwrite5)),AND(NOT(AC94),AND(AC$4:AC93))),($J94*$G94-LN(1+Jumpoverwrite5*AE$2))/$G94,_xll.qlInterpolationInterpolate(AC$3,$F94,TRUE))</f>
        <v>#NAME?</v>
      </c>
      <c r="AE94" s="440" t="str">
        <f ca="1">IF(AND(NOT(AC94),AND(AC$4:AC93)),MIN(EXP((AD94-$J94)*$G94),1),"")</f>
        <v/>
      </c>
      <c r="AF94" s="429"/>
      <c r="AG94" s="441" t="b">
        <f ca="1">IF(AND(NOT(AC94),AND(AC$4:AC93)),TRUE,AC94)</f>
        <v>0</v>
      </c>
      <c r="AH94" s="440" t="e">
        <f ca="1">IF(AND(NOT(ISBLANK(Jumpoverwrite6)),AND(NOT(AG94),AND(AG$4:AG93))),($J94*$G94-LN(1+Jumpoverwrite6*AI$2))/$G94,_xll.qlInterpolationInterpolate(AG$3,$F94,TRUE))</f>
        <v>#NAME?</v>
      </c>
      <c r="AI94" s="440" t="str">
        <f ca="1">IF(AND(NOT(AG94),AND(AG$4:AG93)),MIN(EXP((AH94-$J94)*$G94),1),"")</f>
        <v/>
      </c>
      <c r="AJ94" s="429"/>
      <c r="AK94" s="441" t="b">
        <f ca="1">IF(AND(NOT(AG94),AND(AG$4:AG93)),TRUE,AG94)</f>
        <v>0</v>
      </c>
      <c r="AL94" s="440" t="e">
        <f ca="1">IF(AND(NOT(ISBLANK(Jumpoverwrite7)),AND(NOT(AK94),AND(AK$4:AK93))),($J94*$G94-LN(1+Jumpoverwrite7*AM$2))/$G94,_xll.qlInterpolationInterpolate(AK$3,$F94,TRUE))</f>
        <v>#NAME?</v>
      </c>
      <c r="AM94" s="440" t="str">
        <f ca="1">IF(AND(NOT(AK94),AND(AK$4:AK93)),MIN(EXP((AL94-$J94)*$G94),1),"")</f>
        <v/>
      </c>
      <c r="AO94" s="441" t="b">
        <f ca="1">IF(AND(NOT(AK94),AND(AK$4:AK93)),TRUE,AK94)</f>
        <v>0</v>
      </c>
      <c r="AP94" s="440" t="e">
        <f ca="1">IF(AND(NOT(ISBLANK(Jumpoverwrite8)),AND(NOT(AO94),AND(AO$4:AO93))),($J94*$G94-LN(1+Jumpoverwrite8*AQ$2))/$G94,_xll.qlInterpolationInterpolate(AO$3,$F94,TRUE))</f>
        <v>#NAME?</v>
      </c>
      <c r="AQ94" s="440" t="str">
        <f ca="1">IF(AND(NOT(AO94),AND(AO$4:AO93)),MIN(EXP((AP94-$J94)*$G94),1),"")</f>
        <v/>
      </c>
      <c r="AS94" s="441" t="b">
        <f ca="1">IF(AND(NOT(AO94),AND(AO$4:AO93)),TRUE,AO94)</f>
        <v>0</v>
      </c>
      <c r="AT94" s="440" t="e">
        <f ca="1">IF(AND(NOT(ISBLANK(Jumpoverwrite9)),AND(NOT(AS94),AND(AS$4:AS93))),($J94*$G94-LN(1+Jumpoverwrite9*AU$2))/$G94,_xll.qlInterpolationInterpolate(AS$3,$F94,TRUE))</f>
        <v>#NAME?</v>
      </c>
      <c r="AU94" s="440" t="str">
        <f ca="1">IF(AND(NOT(AS94),AND(AS$4:AS93)),MIN(EXP((AT94-$J94)*$G94),1),"")</f>
        <v/>
      </c>
      <c r="AW94" s="441" t="b">
        <f ca="1">IF(AND(NOT(AS94),AND(AS$4:AS93)),TRUE,AS94)</f>
        <v>0</v>
      </c>
      <c r="AX94" s="440" t="e">
        <f ca="1">IF(AND(NOT(ISBLANK(Jumpoverwrite10)),AND(NOT(AW94),AND(AW$4:AW93))),($J94*$G94-LN(1+Jumpoverwrite10*AY$2))/$G94,_xll.qlInterpolationInterpolate(AW$3,$F94,TRUE))</f>
        <v>#NAME?</v>
      </c>
      <c r="AY94" s="440" t="str">
        <f ca="1">IF(AND(NOT(AW94),AND(AW$4:AW93)),MIN(EXP((AX94-$J94)*$G94),1),"")</f>
        <v/>
      </c>
      <c r="BA94" s="441" t="b">
        <f ca="1">IF(AND(NOT(AW94),AND(AW$4:AW93)),TRUE,AW94)</f>
        <v>0</v>
      </c>
      <c r="BB94" s="440" t="e">
        <f ca="1">IF(AND(NOT(ISBLANK(Jumpoverwrite11)),AND(NOT(BA94),AND(BA$4:BA93))),($J94*$G94-LN(1+Jumpoverwrite11*BC$2))/$G94,_xll.qlInterpolationInterpolate(BA$3,$F94,TRUE))</f>
        <v>#NAME?</v>
      </c>
      <c r="BC94" s="440" t="str">
        <f ca="1">IF(AND(NOT(BA94),AND(BA$4:BA93)),MIN(EXP((BB94-$J94)*$G94),1),"")</f>
        <v/>
      </c>
      <c r="BE94" s="441" t="b">
        <f ca="1">IF(AND(NOT(BA94),AND(BA$4:BA93)),TRUE,BA94)</f>
        <v>0</v>
      </c>
      <c r="BF94" s="440" t="e">
        <f ca="1">IF(AND(NOT(ISBLANK(Jumpoverwrite12)),AND(NOT(BE94),AND(BE$4:BE93))),($J94*$G94-LN(1+Jumpoverwrite12*BG$2))/$G94,_xll.qlInterpolationInterpolate(BE$3,$F94,TRUE))</f>
        <v>#NAME?</v>
      </c>
      <c r="BG94" s="440" t="str">
        <f ca="1">IF(AND(NOT(BE94),AND(BE$4:BE93)),MIN(EXP((BF94-$J94)*$G94),1),"")</f>
        <v/>
      </c>
      <c r="BI94" s="441" t="b">
        <f t="shared" ca="1" si="11"/>
        <v>0</v>
      </c>
      <c r="BJ94" s="440" t="e">
        <f ca="1">IF(AND(NOT(ISBLANK(jumpoverwrite13)),AND(NOT(BI94),AND(BI$4:BI93))),($J94*$G94-LN(1+jumpoverwrite13*BK$2))/$G94,_xll.qlInterpolationInterpolate(BI$3,$F94,TRUE))</f>
        <v>#NAME?</v>
      </c>
      <c r="BK94" s="440" t="str">
        <f ca="1">IF(AND(NOT(BI94),AND(BI$4:BI93)),MIN(EXP((BJ94-$J94)*$G94),1),"")</f>
        <v/>
      </c>
    </row>
    <row r="95" spans="1:63" x14ac:dyDescent="0.2">
      <c r="A95" s="439" t="e">
        <f ca="1"/>
        <v>#NAME?</v>
      </c>
      <c r="B95" s="438" t="e">
        <f ca="1">_xll.qlRateHelperRate($A95,InterestRatesTrigger)</f>
        <v>#NAME?</v>
      </c>
      <c r="C95" s="437" t="e">
        <f ca="1">_xll.qlRateHelperEarliestDate($A95)</f>
        <v>#NAME?</v>
      </c>
      <c r="D95" s="436" t="e">
        <f ca="1">_xll.qlRateHelperPillarDate($A95)</f>
        <v>#NAME?</v>
      </c>
      <c r="F95" s="446" t="e">
        <f t="shared" ca="1" si="9"/>
        <v>#N/A</v>
      </c>
      <c r="G95" s="445" t="e">
        <f ca="1">_xll.qlDayCounterYearFraction(DayCounter,D94,D95)</f>
        <v>#NAME?</v>
      </c>
      <c r="I95" s="444" t="b">
        <f t="shared" ca="1" si="10"/>
        <v>0</v>
      </c>
      <c r="J95" s="443" t="e">
        <f ca="1"/>
        <v>#NAME?</v>
      </c>
      <c r="K95" s="442" t="e">
        <f t="shared" ca="1" si="8"/>
        <v>#NAME?</v>
      </c>
      <c r="L95" s="430"/>
      <c r="M95" s="441" t="b">
        <f ca="1">IF(AND(NOT(I95),AND(I$4:I94)),TRUE,I95)</f>
        <v>0</v>
      </c>
      <c r="N95" s="440" t="e">
        <f ca="1">IF(AND(NOT(ISBLANK(Jumpoverwrite1)),AND(NOT(M95),AND(M$4:M94))),($J95*$G95-LN(1+Jumpoverwrite1*O$2))/$G95,_xll.qlInterpolationInterpolate(M$3,$F95,TRUE))</f>
        <v>#NAME?</v>
      </c>
      <c r="O95" s="440" t="str">
        <f ca="1">IF(AND(NOT(M95),AND(M$4:M94)),MIN(EXP((N95-$J95)*$G95),1),"")</f>
        <v/>
      </c>
      <c r="P95" s="429"/>
      <c r="Q95" s="441" t="b">
        <f ca="1">IF(AND(NOT(M95),AND(M$4:M94)),TRUE,M95)</f>
        <v>0</v>
      </c>
      <c r="R95" s="440" t="e">
        <f ca="1">IF(AND(NOT(ISBLANK(Jumpoverwrite2)),AND(NOT(Q95),AND(Q$4:Q94))),($J95*$G95-LN(1+Jumpoverwrite2*S$2))/$G95,_xll.qlInterpolationInterpolate(Q$3,$F95,TRUE))</f>
        <v>#NAME?</v>
      </c>
      <c r="S95" s="440" t="str">
        <f ca="1">IF(AND(NOT(Q95),AND(Q$4:Q94)),MIN(EXP((R95-$J95)*$G95),1),"")</f>
        <v/>
      </c>
      <c r="T95" s="429"/>
      <c r="U95" s="441" t="b">
        <f ca="1">IF(AND(NOT(Q95),AND(Q$4:Q94)),TRUE,Q95)</f>
        <v>0</v>
      </c>
      <c r="V95" s="440" t="e">
        <f ca="1">IF(AND(NOT(ISBLANK(Jumpoverwrite3)),AND(NOT(U95),AND(U$4:U94))),($J95*$G95-LN(1+Jumpoverwrite3*W$2))/$G95,_xll.qlInterpolationInterpolate(U$3,$F95,TRUE))</f>
        <v>#NAME?</v>
      </c>
      <c r="W95" s="440" t="str">
        <f ca="1">IF(AND(NOT(U95),AND(U$4:U94)),MIN(EXP((V95-$J95)*$G95),1),"")</f>
        <v/>
      </c>
      <c r="X95" s="429"/>
      <c r="Y95" s="441" t="b">
        <f ca="1">IF(AND(NOT(U95),AND(U$4:U94)),TRUE,U95)</f>
        <v>0</v>
      </c>
      <c r="Z95" s="440" t="e">
        <f ca="1">IF(AND(NOT(ISBLANK(Jumpoverwrite4)),AND(NOT(Y95),AND(Y$4:Y94))),($J95*$G95-LN(1+Jumpoverwrite4*AA$2))/$G95,_xll.qlInterpolationInterpolate(Y$3,$F95,TRUE))</f>
        <v>#NAME?</v>
      </c>
      <c r="AA95" s="440" t="str">
        <f ca="1">IF(AND(NOT(Y95),AND(Y$4:Y94)),MIN(EXP((Z95-$J95)*$G95),1),"")</f>
        <v/>
      </c>
      <c r="AB95" s="429"/>
      <c r="AC95" s="441" t="b">
        <f ca="1">IF(AND(NOT(Y95),AND(Y$4:Y94)),TRUE,Y95)</f>
        <v>0</v>
      </c>
      <c r="AD95" s="440" t="e">
        <f ca="1">IF(AND(NOT(ISBLANK(Jumpoverwrite5)),AND(NOT(AC95),AND(AC$4:AC94))),($J95*$G95-LN(1+Jumpoverwrite5*AE$2))/$G95,_xll.qlInterpolationInterpolate(AC$3,$F95,TRUE))</f>
        <v>#NAME?</v>
      </c>
      <c r="AE95" s="440" t="str">
        <f ca="1">IF(AND(NOT(AC95),AND(AC$4:AC94)),MIN(EXP((AD95-$J95)*$G95),1),"")</f>
        <v/>
      </c>
      <c r="AF95" s="429"/>
      <c r="AG95" s="441" t="b">
        <f ca="1">IF(AND(NOT(AC95),AND(AC$4:AC94)),TRUE,AC95)</f>
        <v>0</v>
      </c>
      <c r="AH95" s="440" t="e">
        <f ca="1">IF(AND(NOT(ISBLANK(Jumpoverwrite6)),AND(NOT(AG95),AND(AG$4:AG94))),($J95*$G95-LN(1+Jumpoverwrite6*AI$2))/$G95,_xll.qlInterpolationInterpolate(AG$3,$F95,TRUE))</f>
        <v>#NAME?</v>
      </c>
      <c r="AI95" s="440" t="str">
        <f ca="1">IF(AND(NOT(AG95),AND(AG$4:AG94)),MIN(EXP((AH95-$J95)*$G95),1),"")</f>
        <v/>
      </c>
      <c r="AJ95" s="429"/>
      <c r="AK95" s="441" t="b">
        <f ca="1">IF(AND(NOT(AG95),AND(AG$4:AG94)),TRUE,AG95)</f>
        <v>0</v>
      </c>
      <c r="AL95" s="440" t="e">
        <f ca="1">IF(AND(NOT(ISBLANK(Jumpoverwrite7)),AND(NOT(AK95),AND(AK$4:AK94))),($J95*$G95-LN(1+Jumpoverwrite7*AM$2))/$G95,_xll.qlInterpolationInterpolate(AK$3,$F95,TRUE))</f>
        <v>#NAME?</v>
      </c>
      <c r="AM95" s="440" t="str">
        <f ca="1">IF(AND(NOT(AK95),AND(AK$4:AK94)),MIN(EXP((AL95-$J95)*$G95),1),"")</f>
        <v/>
      </c>
      <c r="AO95" s="441" t="b">
        <f ca="1">IF(AND(NOT(AK95),AND(AK$4:AK94)),TRUE,AK95)</f>
        <v>0</v>
      </c>
      <c r="AP95" s="440" t="e">
        <f ca="1">IF(AND(NOT(ISBLANK(Jumpoverwrite8)),AND(NOT(AO95),AND(AO$4:AO94))),($J95*$G95-LN(1+Jumpoverwrite8*AQ$2))/$G95,_xll.qlInterpolationInterpolate(AO$3,$F95,TRUE))</f>
        <v>#NAME?</v>
      </c>
      <c r="AQ95" s="440" t="str">
        <f ca="1">IF(AND(NOT(AO95),AND(AO$4:AO94)),MIN(EXP((AP95-$J95)*$G95),1),"")</f>
        <v/>
      </c>
      <c r="AS95" s="441" t="b">
        <f ca="1">IF(AND(NOT(AO95),AND(AO$4:AO94)),TRUE,AO95)</f>
        <v>0</v>
      </c>
      <c r="AT95" s="440" t="e">
        <f ca="1">IF(AND(NOT(ISBLANK(Jumpoverwrite9)),AND(NOT(AS95),AND(AS$4:AS94))),($J95*$G95-LN(1+Jumpoverwrite9*AU$2))/$G95,_xll.qlInterpolationInterpolate(AS$3,$F95,TRUE))</f>
        <v>#NAME?</v>
      </c>
      <c r="AU95" s="440" t="str">
        <f ca="1">IF(AND(NOT(AS95),AND(AS$4:AS94)),MIN(EXP((AT95-$J95)*$G95),1),"")</f>
        <v/>
      </c>
      <c r="AW95" s="441" t="b">
        <f ca="1">IF(AND(NOT(AS95),AND(AS$4:AS94)),TRUE,AS95)</f>
        <v>0</v>
      </c>
      <c r="AX95" s="440" t="e">
        <f ca="1">IF(AND(NOT(ISBLANK(Jumpoverwrite10)),AND(NOT(AW95),AND(AW$4:AW94))),($J95*$G95-LN(1+Jumpoverwrite10*AY$2))/$G95,_xll.qlInterpolationInterpolate(AW$3,$F95,TRUE))</f>
        <v>#NAME?</v>
      </c>
      <c r="AY95" s="440" t="str">
        <f ca="1">IF(AND(NOT(AW95),AND(AW$4:AW94)),MIN(EXP((AX95-$J95)*$G95),1),"")</f>
        <v/>
      </c>
      <c r="BA95" s="441" t="b">
        <f ca="1">IF(AND(NOT(AW95),AND(AW$4:AW94)),TRUE,AW95)</f>
        <v>0</v>
      </c>
      <c r="BB95" s="440" t="e">
        <f ca="1">IF(AND(NOT(ISBLANK(Jumpoverwrite11)),AND(NOT(BA95),AND(BA$4:BA94))),($J95*$G95-LN(1+Jumpoverwrite11*BC$2))/$G95,_xll.qlInterpolationInterpolate(BA$3,$F95,TRUE))</f>
        <v>#NAME?</v>
      </c>
      <c r="BC95" s="440" t="str">
        <f ca="1">IF(AND(NOT(BA95),AND(BA$4:BA94)),MIN(EXP((BB95-$J95)*$G95),1),"")</f>
        <v/>
      </c>
      <c r="BE95" s="441" t="b">
        <f ca="1">IF(AND(NOT(BA95),AND(BA$4:BA94)),TRUE,BA95)</f>
        <v>0</v>
      </c>
      <c r="BF95" s="440" t="e">
        <f ca="1">IF(AND(NOT(ISBLANK(Jumpoverwrite12)),AND(NOT(BE95),AND(BE$4:BE94))),($J95*$G95-LN(1+Jumpoverwrite12*BG$2))/$G95,_xll.qlInterpolationInterpolate(BE$3,$F95,TRUE))</f>
        <v>#NAME?</v>
      </c>
      <c r="BG95" s="440" t="str">
        <f ca="1">IF(AND(NOT(BE95),AND(BE$4:BE94)),MIN(EXP((BF95-$J95)*$G95),1),"")</f>
        <v/>
      </c>
      <c r="BI95" s="441" t="b">
        <f t="shared" ca="1" si="11"/>
        <v>0</v>
      </c>
      <c r="BJ95" s="440" t="e">
        <f ca="1">IF(AND(NOT(ISBLANK(jumpoverwrite13)),AND(NOT(BI95),AND(BI$4:BI94))),($J95*$G95-LN(1+jumpoverwrite13*BK$2))/$G95,_xll.qlInterpolationInterpolate(BI$3,$F95,TRUE))</f>
        <v>#NAME?</v>
      </c>
      <c r="BK95" s="440" t="str">
        <f ca="1">IF(AND(NOT(BI95),AND(BI$4:BI94)),MIN(EXP((BJ95-$J95)*$G95),1),"")</f>
        <v/>
      </c>
    </row>
    <row r="96" spans="1:63" x14ac:dyDescent="0.2">
      <c r="A96" s="439" t="e">
        <f ca="1"/>
        <v>#NAME?</v>
      </c>
      <c r="B96" s="438" t="e">
        <f ca="1">_xll.qlRateHelperRate($A96,InterestRatesTrigger)</f>
        <v>#NAME?</v>
      </c>
      <c r="C96" s="437" t="e">
        <f ca="1">_xll.qlRateHelperEarliestDate($A96)</f>
        <v>#NAME?</v>
      </c>
      <c r="D96" s="436" t="e">
        <f ca="1">_xll.qlRateHelperPillarDate($A96)</f>
        <v>#NAME?</v>
      </c>
      <c r="F96" s="446" t="e">
        <f t="shared" ca="1" si="9"/>
        <v>#N/A</v>
      </c>
      <c r="G96" s="445" t="e">
        <f ca="1">_xll.qlDayCounterYearFraction(DayCounter,D95,D96)</f>
        <v>#NAME?</v>
      </c>
      <c r="I96" s="444" t="b">
        <f t="shared" ca="1" si="10"/>
        <v>0</v>
      </c>
      <c r="J96" s="443" t="e">
        <f ca="1"/>
        <v>#NAME?</v>
      </c>
      <c r="K96" s="442" t="e">
        <f t="shared" ca="1" si="8"/>
        <v>#NAME?</v>
      </c>
      <c r="L96" s="430"/>
      <c r="M96" s="441" t="b">
        <f ca="1">IF(AND(NOT(I96),AND(I$4:I95)),TRUE,I96)</f>
        <v>0</v>
      </c>
      <c r="N96" s="440" t="e">
        <f ca="1">IF(AND(NOT(ISBLANK(Jumpoverwrite1)),AND(NOT(M96),AND(M$4:M95))),($J96*$G96-LN(1+Jumpoverwrite1*O$2))/$G96,_xll.qlInterpolationInterpolate(M$3,$F96,TRUE))</f>
        <v>#NAME?</v>
      </c>
      <c r="O96" s="440" t="str">
        <f ca="1">IF(AND(NOT(M96),AND(M$4:M95)),MIN(EXP((N96-$J96)*$G96),1),"")</f>
        <v/>
      </c>
      <c r="P96" s="429"/>
      <c r="Q96" s="441" t="b">
        <f ca="1">IF(AND(NOT(M96),AND(M$4:M95)),TRUE,M96)</f>
        <v>0</v>
      </c>
      <c r="R96" s="440" t="e">
        <f ca="1">IF(AND(NOT(ISBLANK(Jumpoverwrite2)),AND(NOT(Q96),AND(Q$4:Q95))),($J96*$G96-LN(1+Jumpoverwrite2*S$2))/$G96,_xll.qlInterpolationInterpolate(Q$3,$F96,TRUE))</f>
        <v>#NAME?</v>
      </c>
      <c r="S96" s="440" t="str">
        <f ca="1">IF(AND(NOT(Q96),AND(Q$4:Q95)),MIN(EXP((R96-$J96)*$G96),1),"")</f>
        <v/>
      </c>
      <c r="T96" s="429"/>
      <c r="U96" s="441" t="b">
        <f ca="1">IF(AND(NOT(Q96),AND(Q$4:Q95)),TRUE,Q96)</f>
        <v>0</v>
      </c>
      <c r="V96" s="440" t="e">
        <f ca="1">IF(AND(NOT(ISBLANK(Jumpoverwrite3)),AND(NOT(U96),AND(U$4:U95))),($J96*$G96-LN(1+Jumpoverwrite3*W$2))/$G96,_xll.qlInterpolationInterpolate(U$3,$F96,TRUE))</f>
        <v>#NAME?</v>
      </c>
      <c r="W96" s="440" t="str">
        <f ca="1">IF(AND(NOT(U96),AND(U$4:U95)),MIN(EXP((V96-$J96)*$G96),1),"")</f>
        <v/>
      </c>
      <c r="X96" s="429"/>
      <c r="Y96" s="441" t="b">
        <f ca="1">IF(AND(NOT(U96),AND(U$4:U95)),TRUE,U96)</f>
        <v>0</v>
      </c>
      <c r="Z96" s="440" t="e">
        <f ca="1">IF(AND(NOT(ISBLANK(Jumpoverwrite4)),AND(NOT(Y96),AND(Y$4:Y95))),($J96*$G96-LN(1+Jumpoverwrite4*AA$2))/$G96,_xll.qlInterpolationInterpolate(Y$3,$F96,TRUE))</f>
        <v>#NAME?</v>
      </c>
      <c r="AA96" s="440" t="str">
        <f ca="1">IF(AND(NOT(Y96),AND(Y$4:Y95)),MIN(EXP((Z96-$J96)*$G96),1),"")</f>
        <v/>
      </c>
      <c r="AB96" s="429"/>
      <c r="AC96" s="441" t="b">
        <f ca="1">IF(AND(NOT(Y96),AND(Y$4:Y95)),TRUE,Y96)</f>
        <v>0</v>
      </c>
      <c r="AD96" s="440" t="e">
        <f ca="1">IF(AND(NOT(ISBLANK(Jumpoverwrite5)),AND(NOT(AC96),AND(AC$4:AC95))),($J96*$G96-LN(1+Jumpoverwrite5*AE$2))/$G96,_xll.qlInterpolationInterpolate(AC$3,$F96,TRUE))</f>
        <v>#NAME?</v>
      </c>
      <c r="AE96" s="440" t="str">
        <f ca="1">IF(AND(NOT(AC96),AND(AC$4:AC95)),MIN(EXP((AD96-$J96)*$G96),1),"")</f>
        <v/>
      </c>
      <c r="AF96" s="429"/>
      <c r="AG96" s="441" t="b">
        <f ca="1">IF(AND(NOT(AC96),AND(AC$4:AC95)),TRUE,AC96)</f>
        <v>0</v>
      </c>
      <c r="AH96" s="440" t="e">
        <f ca="1">IF(AND(NOT(ISBLANK(Jumpoverwrite6)),AND(NOT(AG96),AND(AG$4:AG95))),($J96*$G96-LN(1+Jumpoverwrite6*AI$2))/$G96,_xll.qlInterpolationInterpolate(AG$3,$F96,TRUE))</f>
        <v>#NAME?</v>
      </c>
      <c r="AI96" s="440" t="str">
        <f ca="1">IF(AND(NOT(AG96),AND(AG$4:AG95)),MIN(EXP((AH96-$J96)*$G96),1),"")</f>
        <v/>
      </c>
      <c r="AJ96" s="429"/>
      <c r="AK96" s="441" t="b">
        <f ca="1">IF(AND(NOT(AG96),AND(AG$4:AG95)),TRUE,AG96)</f>
        <v>0</v>
      </c>
      <c r="AL96" s="440" t="e">
        <f ca="1">IF(AND(NOT(ISBLANK(Jumpoverwrite7)),AND(NOT(AK96),AND(AK$4:AK95))),($J96*$G96-LN(1+Jumpoverwrite7*AM$2))/$G96,_xll.qlInterpolationInterpolate(AK$3,$F96,TRUE))</f>
        <v>#NAME?</v>
      </c>
      <c r="AM96" s="440" t="str">
        <f ca="1">IF(AND(NOT(AK96),AND(AK$4:AK95)),MIN(EXP((AL96-$J96)*$G96),1),"")</f>
        <v/>
      </c>
      <c r="AO96" s="441" t="b">
        <f ca="1">IF(AND(NOT(AK96),AND(AK$4:AK95)),TRUE,AK96)</f>
        <v>0</v>
      </c>
      <c r="AP96" s="440" t="e">
        <f ca="1">IF(AND(NOT(ISBLANK(Jumpoverwrite8)),AND(NOT(AO96),AND(AO$4:AO95))),($J96*$G96-LN(1+Jumpoverwrite8*AQ$2))/$G96,_xll.qlInterpolationInterpolate(AO$3,$F96,TRUE))</f>
        <v>#NAME?</v>
      </c>
      <c r="AQ96" s="440" t="str">
        <f ca="1">IF(AND(NOT(AO96),AND(AO$4:AO95)),MIN(EXP((AP96-$J96)*$G96),1),"")</f>
        <v/>
      </c>
      <c r="AS96" s="441" t="b">
        <f ca="1">IF(AND(NOT(AO96),AND(AO$4:AO95)),TRUE,AO96)</f>
        <v>0</v>
      </c>
      <c r="AT96" s="440" t="e">
        <f ca="1">IF(AND(NOT(ISBLANK(Jumpoverwrite9)),AND(NOT(AS96),AND(AS$4:AS95))),($J96*$G96-LN(1+Jumpoverwrite9*AU$2))/$G96,_xll.qlInterpolationInterpolate(AS$3,$F96,TRUE))</f>
        <v>#NAME?</v>
      </c>
      <c r="AU96" s="440" t="str">
        <f ca="1">IF(AND(NOT(AS96),AND(AS$4:AS95)),MIN(EXP((AT96-$J96)*$G96),1),"")</f>
        <v/>
      </c>
      <c r="AW96" s="441" t="b">
        <f ca="1">IF(AND(NOT(AS96),AND(AS$4:AS95)),TRUE,AS96)</f>
        <v>0</v>
      </c>
      <c r="AX96" s="440" t="e">
        <f ca="1">IF(AND(NOT(ISBLANK(Jumpoverwrite10)),AND(NOT(AW96),AND(AW$4:AW95))),($J96*$G96-LN(1+Jumpoverwrite10*AY$2))/$G96,_xll.qlInterpolationInterpolate(AW$3,$F96,TRUE))</f>
        <v>#NAME?</v>
      </c>
      <c r="AY96" s="440" t="str">
        <f ca="1">IF(AND(NOT(AW96),AND(AW$4:AW95)),MIN(EXP((AX96-$J96)*$G96),1),"")</f>
        <v/>
      </c>
      <c r="BA96" s="441" t="b">
        <f ca="1">IF(AND(NOT(AW96),AND(AW$4:AW95)),TRUE,AW96)</f>
        <v>0</v>
      </c>
      <c r="BB96" s="440" t="e">
        <f ca="1">IF(AND(NOT(ISBLANK(Jumpoverwrite11)),AND(NOT(BA96),AND(BA$4:BA95))),($J96*$G96-LN(1+Jumpoverwrite11*BC$2))/$G96,_xll.qlInterpolationInterpolate(BA$3,$F96,TRUE))</f>
        <v>#NAME?</v>
      </c>
      <c r="BC96" s="440" t="str">
        <f ca="1">IF(AND(NOT(BA96),AND(BA$4:BA95)),MIN(EXP((BB96-$J96)*$G96),1),"")</f>
        <v/>
      </c>
      <c r="BE96" s="441" t="b">
        <f ca="1">IF(AND(NOT(BA96),AND(BA$4:BA95)),TRUE,BA96)</f>
        <v>0</v>
      </c>
      <c r="BF96" s="440" t="e">
        <f ca="1">IF(AND(NOT(ISBLANK(Jumpoverwrite12)),AND(NOT(BE96),AND(BE$4:BE95))),($J96*$G96-LN(1+Jumpoverwrite12*BG$2))/$G96,_xll.qlInterpolationInterpolate(BE$3,$F96,TRUE))</f>
        <v>#NAME?</v>
      </c>
      <c r="BG96" s="440" t="str">
        <f ca="1">IF(AND(NOT(BE96),AND(BE$4:BE95)),MIN(EXP((BF96-$J96)*$G96),1),"")</f>
        <v/>
      </c>
      <c r="BI96" s="441" t="b">
        <f t="shared" ca="1" si="11"/>
        <v>0</v>
      </c>
      <c r="BJ96" s="440" t="e">
        <f ca="1">IF(AND(NOT(ISBLANK(jumpoverwrite13)),AND(NOT(BI96),AND(BI$4:BI95))),($J96*$G96-LN(1+jumpoverwrite13*BK$2))/$G96,_xll.qlInterpolationInterpolate(BI$3,$F96,TRUE))</f>
        <v>#NAME?</v>
      </c>
      <c r="BK96" s="440" t="str">
        <f ca="1">IF(AND(NOT(BI96),AND(BI$4:BI95)),MIN(EXP((BJ96-$J96)*$G96),1),"")</f>
        <v/>
      </c>
    </row>
    <row r="97" spans="1:63" x14ac:dyDescent="0.2">
      <c r="A97" s="439" t="e">
        <f ca="1"/>
        <v>#NAME?</v>
      </c>
      <c r="B97" s="438" t="e">
        <f ca="1">_xll.qlRateHelperRate($A97,InterestRatesTrigger)</f>
        <v>#NAME?</v>
      </c>
      <c r="C97" s="437" t="e">
        <f ca="1">_xll.qlRateHelperEarliestDate($A97)</f>
        <v>#NAME?</v>
      </c>
      <c r="D97" s="436" t="e">
        <f ca="1">_xll.qlRateHelperPillarDate($A97)</f>
        <v>#NAME?</v>
      </c>
      <c r="F97" s="446" t="e">
        <f t="shared" ca="1" si="9"/>
        <v>#N/A</v>
      </c>
      <c r="G97" s="445" t="e">
        <f ca="1">_xll.qlDayCounterYearFraction(DayCounter,D96,D97)</f>
        <v>#NAME?</v>
      </c>
      <c r="I97" s="444" t="b">
        <f t="shared" ca="1" si="10"/>
        <v>0</v>
      </c>
      <c r="J97" s="443" t="e">
        <f ca="1"/>
        <v>#NAME?</v>
      </c>
      <c r="K97" s="442" t="e">
        <f t="shared" ca="1" si="8"/>
        <v>#NAME?</v>
      </c>
      <c r="L97" s="430"/>
      <c r="M97" s="441" t="b">
        <f ca="1">IF(AND(NOT(I97),AND(I$4:I96)),TRUE,I97)</f>
        <v>0</v>
      </c>
      <c r="N97" s="440" t="e">
        <f ca="1">IF(AND(NOT(ISBLANK(Jumpoverwrite1)),AND(NOT(M97),AND(M$4:M96))),($J97*$G97-LN(1+Jumpoverwrite1*O$2))/$G97,_xll.qlInterpolationInterpolate(M$3,$F97,TRUE))</f>
        <v>#NAME?</v>
      </c>
      <c r="O97" s="440" t="str">
        <f ca="1">IF(AND(NOT(M97),AND(M$4:M96)),MIN(EXP((N97-$J97)*$G97),1),"")</f>
        <v/>
      </c>
      <c r="P97" s="429"/>
      <c r="Q97" s="441" t="b">
        <f ca="1">IF(AND(NOT(M97),AND(M$4:M96)),TRUE,M97)</f>
        <v>0</v>
      </c>
      <c r="R97" s="440" t="e">
        <f ca="1">IF(AND(NOT(ISBLANK(Jumpoverwrite2)),AND(NOT(Q97),AND(Q$4:Q96))),($J97*$G97-LN(1+Jumpoverwrite2*S$2))/$G97,_xll.qlInterpolationInterpolate(Q$3,$F97,TRUE))</f>
        <v>#NAME?</v>
      </c>
      <c r="S97" s="440" t="str">
        <f ca="1">IF(AND(NOT(Q97),AND(Q$4:Q96)),MIN(EXP((R97-$J97)*$G97),1),"")</f>
        <v/>
      </c>
      <c r="T97" s="429"/>
      <c r="U97" s="441" t="b">
        <f ca="1">IF(AND(NOT(Q97),AND(Q$4:Q96)),TRUE,Q97)</f>
        <v>0</v>
      </c>
      <c r="V97" s="440" t="e">
        <f ca="1">IF(AND(NOT(ISBLANK(Jumpoverwrite3)),AND(NOT(U97),AND(U$4:U96))),($J97*$G97-LN(1+Jumpoverwrite3*W$2))/$G97,_xll.qlInterpolationInterpolate(U$3,$F97,TRUE))</f>
        <v>#NAME?</v>
      </c>
      <c r="W97" s="440" t="str">
        <f ca="1">IF(AND(NOT(U97),AND(U$4:U96)),MIN(EXP((V97-$J97)*$G97),1),"")</f>
        <v/>
      </c>
      <c r="X97" s="429"/>
      <c r="Y97" s="441" t="b">
        <f ca="1">IF(AND(NOT(U97),AND(U$4:U96)),TRUE,U97)</f>
        <v>0</v>
      </c>
      <c r="Z97" s="440" t="e">
        <f ca="1">IF(AND(NOT(ISBLANK(Jumpoverwrite4)),AND(NOT(Y97),AND(Y$4:Y96))),($J97*$G97-LN(1+Jumpoverwrite4*AA$2))/$G97,_xll.qlInterpolationInterpolate(Y$3,$F97,TRUE))</f>
        <v>#NAME?</v>
      </c>
      <c r="AA97" s="440" t="str">
        <f ca="1">IF(AND(NOT(Y97),AND(Y$4:Y96)),MIN(EXP((Z97-$J97)*$G97),1),"")</f>
        <v/>
      </c>
      <c r="AB97" s="429"/>
      <c r="AC97" s="441" t="b">
        <f ca="1">IF(AND(NOT(Y97),AND(Y$4:Y96)),TRUE,Y97)</f>
        <v>0</v>
      </c>
      <c r="AD97" s="440" t="e">
        <f ca="1">IF(AND(NOT(ISBLANK(Jumpoverwrite5)),AND(NOT(AC97),AND(AC$4:AC96))),($J97*$G97-LN(1+Jumpoverwrite5*AE$2))/$G97,_xll.qlInterpolationInterpolate(AC$3,$F97,TRUE))</f>
        <v>#NAME?</v>
      </c>
      <c r="AE97" s="440" t="str">
        <f ca="1">IF(AND(NOT(AC97),AND(AC$4:AC96)),MIN(EXP((AD97-$J97)*$G97),1),"")</f>
        <v/>
      </c>
      <c r="AF97" s="429"/>
      <c r="AG97" s="441" t="b">
        <f ca="1">IF(AND(NOT(AC97),AND(AC$4:AC96)),TRUE,AC97)</f>
        <v>0</v>
      </c>
      <c r="AH97" s="440" t="e">
        <f ca="1">IF(AND(NOT(ISBLANK(Jumpoverwrite6)),AND(NOT(AG97),AND(AG$4:AG96))),($J97*$G97-LN(1+Jumpoverwrite6*AI$2))/$G97,_xll.qlInterpolationInterpolate(AG$3,$F97,TRUE))</f>
        <v>#NAME?</v>
      </c>
      <c r="AI97" s="440" t="str">
        <f ca="1">IF(AND(NOT(AG97),AND(AG$4:AG96)),MIN(EXP((AH97-$J97)*$G97),1),"")</f>
        <v/>
      </c>
      <c r="AJ97" s="429"/>
      <c r="AK97" s="441" t="b">
        <f ca="1">IF(AND(NOT(AG97),AND(AG$4:AG96)),TRUE,AG97)</f>
        <v>0</v>
      </c>
      <c r="AL97" s="440" t="e">
        <f ca="1">IF(AND(NOT(ISBLANK(Jumpoverwrite7)),AND(NOT(AK97),AND(AK$4:AK96))),($J97*$G97-LN(1+Jumpoverwrite7*AM$2))/$G97,_xll.qlInterpolationInterpolate(AK$3,$F97,TRUE))</f>
        <v>#NAME?</v>
      </c>
      <c r="AM97" s="440" t="str">
        <f ca="1">IF(AND(NOT(AK97),AND(AK$4:AK96)),MIN(EXP((AL97-$J97)*$G97),1),"")</f>
        <v/>
      </c>
      <c r="AO97" s="441" t="b">
        <f ca="1">IF(AND(NOT(AK97),AND(AK$4:AK96)),TRUE,AK97)</f>
        <v>0</v>
      </c>
      <c r="AP97" s="440" t="e">
        <f ca="1">IF(AND(NOT(ISBLANK(Jumpoverwrite8)),AND(NOT(AO97),AND(AO$4:AO96))),($J97*$G97-LN(1+Jumpoverwrite8*AQ$2))/$G97,_xll.qlInterpolationInterpolate(AO$3,$F97,TRUE))</f>
        <v>#NAME?</v>
      </c>
      <c r="AQ97" s="440" t="str">
        <f ca="1">IF(AND(NOT(AO97),AND(AO$4:AO96)),MIN(EXP((AP97-$J97)*$G97),1),"")</f>
        <v/>
      </c>
      <c r="AS97" s="441" t="b">
        <f ca="1">IF(AND(NOT(AO97),AND(AO$4:AO96)),TRUE,AO97)</f>
        <v>0</v>
      </c>
      <c r="AT97" s="440" t="e">
        <f ca="1">IF(AND(NOT(ISBLANK(Jumpoverwrite9)),AND(NOT(AS97),AND(AS$4:AS96))),($J97*$G97-LN(1+Jumpoverwrite9*AU$2))/$G97,_xll.qlInterpolationInterpolate(AS$3,$F97,TRUE))</f>
        <v>#NAME?</v>
      </c>
      <c r="AU97" s="440" t="str">
        <f ca="1">IF(AND(NOT(AS97),AND(AS$4:AS96)),MIN(EXP((AT97-$J97)*$G97),1),"")</f>
        <v/>
      </c>
      <c r="AW97" s="441" t="b">
        <f ca="1">IF(AND(NOT(AS97),AND(AS$4:AS96)),TRUE,AS97)</f>
        <v>0</v>
      </c>
      <c r="AX97" s="440" t="e">
        <f ca="1">IF(AND(NOT(ISBLANK(Jumpoverwrite10)),AND(NOT(AW97),AND(AW$4:AW96))),($J97*$G97-LN(1+Jumpoverwrite10*AY$2))/$G97,_xll.qlInterpolationInterpolate(AW$3,$F97,TRUE))</f>
        <v>#NAME?</v>
      </c>
      <c r="AY97" s="440" t="str">
        <f ca="1">IF(AND(NOT(AW97),AND(AW$4:AW96)),MIN(EXP((AX97-$J97)*$G97),1),"")</f>
        <v/>
      </c>
      <c r="BA97" s="441" t="b">
        <f ca="1">IF(AND(NOT(AW97),AND(AW$4:AW96)),TRUE,AW97)</f>
        <v>0</v>
      </c>
      <c r="BB97" s="440" t="e">
        <f ca="1">IF(AND(NOT(ISBLANK(Jumpoverwrite11)),AND(NOT(BA97),AND(BA$4:BA96))),($J97*$G97-LN(1+Jumpoverwrite11*BC$2))/$G97,_xll.qlInterpolationInterpolate(BA$3,$F97,TRUE))</f>
        <v>#NAME?</v>
      </c>
      <c r="BC97" s="440" t="str">
        <f ca="1">IF(AND(NOT(BA97),AND(BA$4:BA96)),MIN(EXP((BB97-$J97)*$G97),1),"")</f>
        <v/>
      </c>
      <c r="BE97" s="441" t="b">
        <f ca="1">IF(AND(NOT(BA97),AND(BA$4:BA96)),TRUE,BA97)</f>
        <v>0</v>
      </c>
      <c r="BF97" s="440" t="e">
        <f ca="1">IF(AND(NOT(ISBLANK(Jumpoverwrite12)),AND(NOT(BE97),AND(BE$4:BE96))),($J97*$G97-LN(1+Jumpoverwrite12*BG$2))/$G97,_xll.qlInterpolationInterpolate(BE$3,$F97,TRUE))</f>
        <v>#NAME?</v>
      </c>
      <c r="BG97" s="440" t="str">
        <f ca="1">IF(AND(NOT(BE97),AND(BE$4:BE96)),MIN(EXP((BF97-$J97)*$G97),1),"")</f>
        <v/>
      </c>
      <c r="BI97" s="441" t="b">
        <f t="shared" ca="1" si="11"/>
        <v>0</v>
      </c>
      <c r="BJ97" s="440" t="e">
        <f ca="1">IF(AND(NOT(ISBLANK(jumpoverwrite13)),AND(NOT(BI97),AND(BI$4:BI96))),($J97*$G97-LN(1+jumpoverwrite13*BK$2))/$G97,_xll.qlInterpolationInterpolate(BI$3,$F97,TRUE))</f>
        <v>#NAME?</v>
      </c>
      <c r="BK97" s="440" t="str">
        <f ca="1">IF(AND(NOT(BI97),AND(BI$4:BI96)),MIN(EXP((BJ97-$J97)*$G97),1),"")</f>
        <v/>
      </c>
    </row>
    <row r="98" spans="1:63" x14ac:dyDescent="0.2">
      <c r="A98" s="439" t="e">
        <f ca="1"/>
        <v>#NAME?</v>
      </c>
      <c r="B98" s="438" t="e">
        <f ca="1">_xll.qlRateHelperRate($A98,InterestRatesTrigger)</f>
        <v>#NAME?</v>
      </c>
      <c r="C98" s="437" t="e">
        <f ca="1">_xll.qlRateHelperEarliestDate($A98)</f>
        <v>#NAME?</v>
      </c>
      <c r="D98" s="436" t="e">
        <f ca="1">_xll.qlRateHelperPillarDate($A98)</f>
        <v>#NAME?</v>
      </c>
      <c r="F98" s="446" t="e">
        <f t="shared" ca="1" si="9"/>
        <v>#N/A</v>
      </c>
      <c r="G98" s="445" t="e">
        <f ca="1">_xll.qlDayCounterYearFraction(DayCounter,D97,D98)</f>
        <v>#NAME?</v>
      </c>
      <c r="I98" s="444" t="b">
        <f t="shared" ca="1" si="10"/>
        <v>0</v>
      </c>
      <c r="J98" s="443" t="e">
        <f ca="1"/>
        <v>#NAME?</v>
      </c>
      <c r="K98" s="442" t="e">
        <f t="shared" ca="1" si="8"/>
        <v>#NAME?</v>
      </c>
      <c r="L98" s="430"/>
      <c r="M98" s="441" t="b">
        <f ca="1">IF(AND(NOT(I98),AND(I$4:I97)),TRUE,I98)</f>
        <v>0</v>
      </c>
      <c r="N98" s="440" t="e">
        <f ca="1">IF(AND(NOT(ISBLANK(Jumpoverwrite1)),AND(NOT(M98),AND(M$4:M97))),($J98*$G98-LN(1+Jumpoverwrite1*O$2))/$G98,_xll.qlInterpolationInterpolate(M$3,$F98,TRUE))</f>
        <v>#NAME?</v>
      </c>
      <c r="O98" s="440" t="str">
        <f ca="1">IF(AND(NOT(M98),AND(M$4:M97)),MIN(EXP((N98-$J98)*$G98),1),"")</f>
        <v/>
      </c>
      <c r="P98" s="429"/>
      <c r="Q98" s="441" t="b">
        <f ca="1">IF(AND(NOT(M98),AND(M$4:M97)),TRUE,M98)</f>
        <v>0</v>
      </c>
      <c r="R98" s="440" t="e">
        <f ca="1">IF(AND(NOT(ISBLANK(Jumpoverwrite2)),AND(NOT(Q98),AND(Q$4:Q97))),($J98*$G98-LN(1+Jumpoverwrite2*S$2))/$G98,_xll.qlInterpolationInterpolate(Q$3,$F98,TRUE))</f>
        <v>#NAME?</v>
      </c>
      <c r="S98" s="440" t="str">
        <f ca="1">IF(AND(NOT(Q98),AND(Q$4:Q97)),MIN(EXP((R98-$J98)*$G98),1),"")</f>
        <v/>
      </c>
      <c r="T98" s="429"/>
      <c r="U98" s="441" t="b">
        <f ca="1">IF(AND(NOT(Q98),AND(Q$4:Q97)),TRUE,Q98)</f>
        <v>0</v>
      </c>
      <c r="V98" s="440" t="e">
        <f ca="1">IF(AND(NOT(ISBLANK(Jumpoverwrite3)),AND(NOT(U98),AND(U$4:U97))),($J98*$G98-LN(1+Jumpoverwrite3*W$2))/$G98,_xll.qlInterpolationInterpolate(U$3,$F98,TRUE))</f>
        <v>#NAME?</v>
      </c>
      <c r="W98" s="440" t="str">
        <f ca="1">IF(AND(NOT(U98),AND(U$4:U97)),MIN(EXP((V98-$J98)*$G98),1),"")</f>
        <v/>
      </c>
      <c r="X98" s="429"/>
      <c r="Y98" s="441" t="b">
        <f ca="1">IF(AND(NOT(U98),AND(U$4:U97)),TRUE,U98)</f>
        <v>0</v>
      </c>
      <c r="Z98" s="440" t="e">
        <f ca="1">IF(AND(NOT(ISBLANK(Jumpoverwrite4)),AND(NOT(Y98),AND(Y$4:Y97))),($J98*$G98-LN(1+Jumpoverwrite4*AA$2))/$G98,_xll.qlInterpolationInterpolate(Y$3,$F98,TRUE))</f>
        <v>#NAME?</v>
      </c>
      <c r="AA98" s="440" t="str">
        <f ca="1">IF(AND(NOT(Y98),AND(Y$4:Y97)),MIN(EXP((Z98-$J98)*$G98),1),"")</f>
        <v/>
      </c>
      <c r="AB98" s="429"/>
      <c r="AC98" s="441" t="b">
        <f ca="1">IF(AND(NOT(Y98),AND(Y$4:Y97)),TRUE,Y98)</f>
        <v>0</v>
      </c>
      <c r="AD98" s="440" t="e">
        <f ca="1">IF(AND(NOT(ISBLANK(Jumpoverwrite5)),AND(NOT(AC98),AND(AC$4:AC97))),($J98*$G98-LN(1+Jumpoverwrite5*AE$2))/$G98,_xll.qlInterpolationInterpolate(AC$3,$F98,TRUE))</f>
        <v>#NAME?</v>
      </c>
      <c r="AE98" s="440" t="str">
        <f ca="1">IF(AND(NOT(AC98),AND(AC$4:AC97)),MIN(EXP((AD98-$J98)*$G98),1),"")</f>
        <v/>
      </c>
      <c r="AF98" s="429"/>
      <c r="AG98" s="441" t="b">
        <f ca="1">IF(AND(NOT(AC98),AND(AC$4:AC97)),TRUE,AC98)</f>
        <v>0</v>
      </c>
      <c r="AH98" s="440" t="e">
        <f ca="1">IF(AND(NOT(ISBLANK(Jumpoverwrite6)),AND(NOT(AG98),AND(AG$4:AG97))),($J98*$G98-LN(1+Jumpoverwrite6*AI$2))/$G98,_xll.qlInterpolationInterpolate(AG$3,$F98,TRUE))</f>
        <v>#NAME?</v>
      </c>
      <c r="AI98" s="440" t="str">
        <f ca="1">IF(AND(NOT(AG98),AND(AG$4:AG97)),MIN(EXP((AH98-$J98)*$G98),1),"")</f>
        <v/>
      </c>
      <c r="AJ98" s="429"/>
      <c r="AK98" s="441" t="b">
        <f ca="1">IF(AND(NOT(AG98),AND(AG$4:AG97)),TRUE,AG98)</f>
        <v>0</v>
      </c>
      <c r="AL98" s="440" t="e">
        <f ca="1">IF(AND(NOT(ISBLANK(Jumpoverwrite7)),AND(NOT(AK98),AND(AK$4:AK97))),($J98*$G98-LN(1+Jumpoverwrite7*AM$2))/$G98,_xll.qlInterpolationInterpolate(AK$3,$F98,TRUE))</f>
        <v>#NAME?</v>
      </c>
      <c r="AM98" s="440" t="str">
        <f ca="1">IF(AND(NOT(AK98),AND(AK$4:AK97)),MIN(EXP((AL98-$J98)*$G98),1),"")</f>
        <v/>
      </c>
      <c r="AO98" s="441" t="b">
        <f ca="1">IF(AND(NOT(AK98),AND(AK$4:AK97)),TRUE,AK98)</f>
        <v>0</v>
      </c>
      <c r="AP98" s="440" t="e">
        <f ca="1">IF(AND(NOT(ISBLANK(Jumpoverwrite8)),AND(NOT(AO98),AND(AO$4:AO97))),($J98*$G98-LN(1+Jumpoverwrite8*AQ$2))/$G98,_xll.qlInterpolationInterpolate(AO$3,$F98,TRUE))</f>
        <v>#NAME?</v>
      </c>
      <c r="AQ98" s="440" t="str">
        <f ca="1">IF(AND(NOT(AO98),AND(AO$4:AO97)),MIN(EXP((AP98-$J98)*$G98),1),"")</f>
        <v/>
      </c>
      <c r="AS98" s="441" t="b">
        <f ca="1">IF(AND(NOT(AO98),AND(AO$4:AO97)),TRUE,AO98)</f>
        <v>0</v>
      </c>
      <c r="AT98" s="440" t="e">
        <f ca="1">IF(AND(NOT(ISBLANK(Jumpoverwrite9)),AND(NOT(AS98),AND(AS$4:AS97))),($J98*$G98-LN(1+Jumpoverwrite9*AU$2))/$G98,_xll.qlInterpolationInterpolate(AS$3,$F98,TRUE))</f>
        <v>#NAME?</v>
      </c>
      <c r="AU98" s="440" t="str">
        <f ca="1">IF(AND(NOT(AS98),AND(AS$4:AS97)),MIN(EXP((AT98-$J98)*$G98),1),"")</f>
        <v/>
      </c>
      <c r="AW98" s="441" t="b">
        <f ca="1">IF(AND(NOT(AS98),AND(AS$4:AS97)),TRUE,AS98)</f>
        <v>0</v>
      </c>
      <c r="AX98" s="440" t="e">
        <f ca="1">IF(AND(NOT(ISBLANK(Jumpoverwrite10)),AND(NOT(AW98),AND(AW$4:AW97))),($J98*$G98-LN(1+Jumpoverwrite10*AY$2))/$G98,_xll.qlInterpolationInterpolate(AW$3,$F98,TRUE))</f>
        <v>#NAME?</v>
      </c>
      <c r="AY98" s="440" t="str">
        <f ca="1">IF(AND(NOT(AW98),AND(AW$4:AW97)),MIN(EXP((AX98-$J98)*$G98),1),"")</f>
        <v/>
      </c>
      <c r="BA98" s="441" t="b">
        <f ca="1">IF(AND(NOT(AW98),AND(AW$4:AW97)),TRUE,AW98)</f>
        <v>0</v>
      </c>
      <c r="BB98" s="440" t="e">
        <f ca="1">IF(AND(NOT(ISBLANK(Jumpoverwrite11)),AND(NOT(BA98),AND(BA$4:BA97))),($J98*$G98-LN(1+Jumpoverwrite11*BC$2))/$G98,_xll.qlInterpolationInterpolate(BA$3,$F98,TRUE))</f>
        <v>#NAME?</v>
      </c>
      <c r="BC98" s="440" t="str">
        <f ca="1">IF(AND(NOT(BA98),AND(BA$4:BA97)),MIN(EXP((BB98-$J98)*$G98),1),"")</f>
        <v/>
      </c>
      <c r="BE98" s="441" t="b">
        <f ca="1">IF(AND(NOT(BA98),AND(BA$4:BA97)),TRUE,BA98)</f>
        <v>0</v>
      </c>
      <c r="BF98" s="440" t="e">
        <f ca="1">IF(AND(NOT(ISBLANK(Jumpoverwrite12)),AND(NOT(BE98),AND(BE$4:BE97))),($J98*$G98-LN(1+Jumpoverwrite12*BG$2))/$G98,_xll.qlInterpolationInterpolate(BE$3,$F98,TRUE))</f>
        <v>#NAME?</v>
      </c>
      <c r="BG98" s="440" t="str">
        <f ca="1">IF(AND(NOT(BE98),AND(BE$4:BE97)),MIN(EXP((BF98-$J98)*$G98),1),"")</f>
        <v/>
      </c>
      <c r="BI98" s="441" t="b">
        <f t="shared" ca="1" si="11"/>
        <v>0</v>
      </c>
      <c r="BJ98" s="440" t="e">
        <f ca="1">IF(AND(NOT(ISBLANK(jumpoverwrite13)),AND(NOT(BI98),AND(BI$4:BI97))),($J98*$G98-LN(1+jumpoverwrite13*BK$2))/$G98,_xll.qlInterpolationInterpolate(BI$3,$F98,TRUE))</f>
        <v>#NAME?</v>
      </c>
      <c r="BK98" s="440" t="str">
        <f ca="1">IF(AND(NOT(BI98),AND(BI$4:BI97)),MIN(EXP((BJ98-$J98)*$G98),1),"")</f>
        <v/>
      </c>
    </row>
    <row r="99" spans="1:63" x14ac:dyDescent="0.2">
      <c r="A99" s="439" t="e">
        <f ca="1"/>
        <v>#NAME?</v>
      </c>
      <c r="B99" s="438" t="e">
        <f ca="1">_xll.qlRateHelperRate($A99,InterestRatesTrigger)</f>
        <v>#NAME?</v>
      </c>
      <c r="C99" s="437" t="e">
        <f ca="1">_xll.qlRateHelperEarliestDate($A99)</f>
        <v>#NAME?</v>
      </c>
      <c r="D99" s="436" t="e">
        <f ca="1">_xll.qlRateHelperPillarDate($A99)</f>
        <v>#NAME?</v>
      </c>
      <c r="F99" s="446" t="e">
        <f t="shared" ca="1" si="9"/>
        <v>#N/A</v>
      </c>
      <c r="G99" s="445" t="e">
        <f ca="1">_xll.qlDayCounterYearFraction(DayCounter,D98,D99)</f>
        <v>#NAME?</v>
      </c>
      <c r="I99" s="444" t="b">
        <f t="shared" ca="1" si="10"/>
        <v>0</v>
      </c>
      <c r="J99" s="443" t="e">
        <f ca="1"/>
        <v>#NAME?</v>
      </c>
      <c r="K99" s="442" t="e">
        <f t="shared" ca="1" si="8"/>
        <v>#NAME?</v>
      </c>
      <c r="L99" s="430"/>
      <c r="M99" s="441" t="b">
        <f ca="1">IF(AND(NOT(I99),AND(I$4:I98)),TRUE,I99)</f>
        <v>0</v>
      </c>
      <c r="N99" s="440" t="e">
        <f ca="1">IF(AND(NOT(ISBLANK(Jumpoverwrite1)),AND(NOT(M99),AND(M$4:M98))),($J99*$G99-LN(1+Jumpoverwrite1*O$2))/$G99,_xll.qlInterpolationInterpolate(M$3,$F99,TRUE))</f>
        <v>#NAME?</v>
      </c>
      <c r="O99" s="440" t="str">
        <f ca="1">IF(AND(NOT(M99),AND(M$4:M98)),MIN(EXP((N99-$J99)*$G99),1),"")</f>
        <v/>
      </c>
      <c r="P99" s="429"/>
      <c r="Q99" s="441" t="b">
        <f ca="1">IF(AND(NOT(M99),AND(M$4:M98)),TRUE,M99)</f>
        <v>0</v>
      </c>
      <c r="R99" s="440" t="e">
        <f ca="1">IF(AND(NOT(ISBLANK(Jumpoverwrite2)),AND(NOT(Q99),AND(Q$4:Q98))),($J99*$G99-LN(1+Jumpoverwrite2*S$2))/$G99,_xll.qlInterpolationInterpolate(Q$3,$F99,TRUE))</f>
        <v>#NAME?</v>
      </c>
      <c r="S99" s="440" t="str">
        <f ca="1">IF(AND(NOT(Q99),AND(Q$4:Q98)),MIN(EXP((R99-$J99)*$G99),1),"")</f>
        <v/>
      </c>
      <c r="T99" s="429"/>
      <c r="U99" s="441" t="b">
        <f ca="1">IF(AND(NOT(Q99),AND(Q$4:Q98)),TRUE,Q99)</f>
        <v>0</v>
      </c>
      <c r="V99" s="440" t="e">
        <f ca="1">IF(AND(NOT(ISBLANK(Jumpoverwrite3)),AND(NOT(U99),AND(U$4:U98))),($J99*$G99-LN(1+Jumpoverwrite3*W$2))/$G99,_xll.qlInterpolationInterpolate(U$3,$F99,TRUE))</f>
        <v>#NAME?</v>
      </c>
      <c r="W99" s="440" t="str">
        <f ca="1">IF(AND(NOT(U99),AND(U$4:U98)),MIN(EXP((V99-$J99)*$G99),1),"")</f>
        <v/>
      </c>
      <c r="X99" s="429"/>
      <c r="Y99" s="441" t="b">
        <f ca="1">IF(AND(NOT(U99),AND(U$4:U98)),TRUE,U99)</f>
        <v>0</v>
      </c>
      <c r="Z99" s="440" t="e">
        <f ca="1">IF(AND(NOT(ISBLANK(Jumpoverwrite4)),AND(NOT(Y99),AND(Y$4:Y98))),($J99*$G99-LN(1+Jumpoverwrite4*AA$2))/$G99,_xll.qlInterpolationInterpolate(Y$3,$F99,TRUE))</f>
        <v>#NAME?</v>
      </c>
      <c r="AA99" s="440" t="str">
        <f ca="1">IF(AND(NOT(Y99),AND(Y$4:Y98)),MIN(EXP((Z99-$J99)*$G99),1),"")</f>
        <v/>
      </c>
      <c r="AB99" s="429"/>
      <c r="AC99" s="441" t="b">
        <f ca="1">IF(AND(NOT(Y99),AND(Y$4:Y98)),TRUE,Y99)</f>
        <v>0</v>
      </c>
      <c r="AD99" s="440" t="e">
        <f ca="1">IF(AND(NOT(ISBLANK(Jumpoverwrite5)),AND(NOT(AC99),AND(AC$4:AC98))),($J99*$G99-LN(1+Jumpoverwrite5*AE$2))/$G99,_xll.qlInterpolationInterpolate(AC$3,$F99,TRUE))</f>
        <v>#NAME?</v>
      </c>
      <c r="AE99" s="440" t="str">
        <f ca="1">IF(AND(NOT(AC99),AND(AC$4:AC98)),MIN(EXP((AD99-$J99)*$G99),1),"")</f>
        <v/>
      </c>
      <c r="AF99" s="429"/>
      <c r="AG99" s="441" t="b">
        <f ca="1">IF(AND(NOT(AC99),AND(AC$4:AC98)),TRUE,AC99)</f>
        <v>0</v>
      </c>
      <c r="AH99" s="440" t="e">
        <f ca="1">IF(AND(NOT(ISBLANK(Jumpoverwrite6)),AND(NOT(AG99),AND(AG$4:AG98))),($J99*$G99-LN(1+Jumpoverwrite6*AI$2))/$G99,_xll.qlInterpolationInterpolate(AG$3,$F99,TRUE))</f>
        <v>#NAME?</v>
      </c>
      <c r="AI99" s="440" t="str">
        <f ca="1">IF(AND(NOT(AG99),AND(AG$4:AG98)),MIN(EXP((AH99-$J99)*$G99),1),"")</f>
        <v/>
      </c>
      <c r="AJ99" s="429"/>
      <c r="AK99" s="441" t="b">
        <f ca="1">IF(AND(NOT(AG99),AND(AG$4:AG98)),TRUE,AG99)</f>
        <v>0</v>
      </c>
      <c r="AL99" s="440" t="e">
        <f ca="1">IF(AND(NOT(ISBLANK(Jumpoverwrite7)),AND(NOT(AK99),AND(AK$4:AK98))),($J99*$G99-LN(1+Jumpoverwrite7*AM$2))/$G99,_xll.qlInterpolationInterpolate(AK$3,$F99,TRUE))</f>
        <v>#NAME?</v>
      </c>
      <c r="AM99" s="440" t="str">
        <f ca="1">IF(AND(NOT(AK99),AND(AK$4:AK98)),MIN(EXP((AL99-$J99)*$G99),1),"")</f>
        <v/>
      </c>
      <c r="AO99" s="441" t="b">
        <f ca="1">IF(AND(NOT(AK99),AND(AK$4:AK98)),TRUE,AK99)</f>
        <v>0</v>
      </c>
      <c r="AP99" s="440" t="e">
        <f ca="1">IF(AND(NOT(ISBLANK(Jumpoverwrite8)),AND(NOT(AO99),AND(AO$4:AO98))),($J99*$G99-LN(1+Jumpoverwrite8*AQ$2))/$G99,_xll.qlInterpolationInterpolate(AO$3,$F99,TRUE))</f>
        <v>#NAME?</v>
      </c>
      <c r="AQ99" s="440" t="str">
        <f ca="1">IF(AND(NOT(AO99),AND(AO$4:AO98)),MIN(EXP((AP99-$J99)*$G99),1),"")</f>
        <v/>
      </c>
      <c r="AS99" s="441" t="b">
        <f ca="1">IF(AND(NOT(AO99),AND(AO$4:AO98)),TRUE,AO99)</f>
        <v>0</v>
      </c>
      <c r="AT99" s="440" t="e">
        <f ca="1">IF(AND(NOT(ISBLANK(Jumpoverwrite9)),AND(NOT(AS99),AND(AS$4:AS98))),($J99*$G99-LN(1+Jumpoverwrite9*AU$2))/$G99,_xll.qlInterpolationInterpolate(AS$3,$F99,TRUE))</f>
        <v>#NAME?</v>
      </c>
      <c r="AU99" s="440" t="str">
        <f ca="1">IF(AND(NOT(AS99),AND(AS$4:AS98)),MIN(EXP((AT99-$J99)*$G99),1),"")</f>
        <v/>
      </c>
      <c r="AW99" s="441" t="b">
        <f ca="1">IF(AND(NOT(AS99),AND(AS$4:AS98)),TRUE,AS99)</f>
        <v>0</v>
      </c>
      <c r="AX99" s="440" t="e">
        <f ca="1">IF(AND(NOT(ISBLANK(Jumpoverwrite10)),AND(NOT(AW99),AND(AW$4:AW98))),($J99*$G99-LN(1+Jumpoverwrite10*AY$2))/$G99,_xll.qlInterpolationInterpolate(AW$3,$F99,TRUE))</f>
        <v>#NAME?</v>
      </c>
      <c r="AY99" s="440" t="str">
        <f ca="1">IF(AND(NOT(AW99),AND(AW$4:AW98)),MIN(EXP((AX99-$J99)*$G99),1),"")</f>
        <v/>
      </c>
      <c r="BA99" s="441" t="b">
        <f ca="1">IF(AND(NOT(AW99),AND(AW$4:AW98)),TRUE,AW99)</f>
        <v>0</v>
      </c>
      <c r="BB99" s="440" t="e">
        <f ca="1">IF(AND(NOT(ISBLANK(Jumpoverwrite11)),AND(NOT(BA99),AND(BA$4:BA98))),($J99*$G99-LN(1+Jumpoverwrite11*BC$2))/$G99,_xll.qlInterpolationInterpolate(BA$3,$F99,TRUE))</f>
        <v>#NAME?</v>
      </c>
      <c r="BC99" s="440" t="str">
        <f ca="1">IF(AND(NOT(BA99),AND(BA$4:BA98)),MIN(EXP((BB99-$J99)*$G99),1),"")</f>
        <v/>
      </c>
      <c r="BE99" s="441" t="b">
        <f ca="1">IF(AND(NOT(BA99),AND(BA$4:BA98)),TRUE,BA99)</f>
        <v>0</v>
      </c>
      <c r="BF99" s="440" t="e">
        <f ca="1">IF(AND(NOT(ISBLANK(Jumpoverwrite12)),AND(NOT(BE99),AND(BE$4:BE98))),($J99*$G99-LN(1+Jumpoverwrite12*BG$2))/$G99,_xll.qlInterpolationInterpolate(BE$3,$F99,TRUE))</f>
        <v>#NAME?</v>
      </c>
      <c r="BG99" s="440" t="str">
        <f ca="1">IF(AND(NOT(BE99),AND(BE$4:BE98)),MIN(EXP((BF99-$J99)*$G99),1),"")</f>
        <v/>
      </c>
      <c r="BI99" s="441" t="b">
        <f t="shared" ca="1" si="11"/>
        <v>0</v>
      </c>
      <c r="BJ99" s="440" t="e">
        <f ca="1">IF(AND(NOT(ISBLANK(jumpoverwrite13)),AND(NOT(BI99),AND(BI$4:BI98))),($J99*$G99-LN(1+jumpoverwrite13*BK$2))/$G99,_xll.qlInterpolationInterpolate(BI$3,$F99,TRUE))</f>
        <v>#NAME?</v>
      </c>
      <c r="BK99" s="440" t="str">
        <f ca="1">IF(AND(NOT(BI99),AND(BI$4:BI98)),MIN(EXP((BJ99-$J99)*$G99),1),"")</f>
        <v/>
      </c>
    </row>
    <row r="100" spans="1:63" x14ac:dyDescent="0.2">
      <c r="A100" s="439" t="e">
        <f ca="1"/>
        <v>#NAME?</v>
      </c>
      <c r="B100" s="438" t="e">
        <f ca="1">_xll.qlRateHelperRate($A100,InterestRatesTrigger)</f>
        <v>#NAME?</v>
      </c>
      <c r="C100" s="437" t="e">
        <f ca="1">_xll.qlRateHelperEarliestDate($A100)</f>
        <v>#NAME?</v>
      </c>
      <c r="D100" s="436" t="e">
        <f ca="1">_xll.qlRateHelperPillarDate($A100)</f>
        <v>#NAME?</v>
      </c>
      <c r="F100" s="446" t="e">
        <f t="shared" ca="1" si="9"/>
        <v>#N/A</v>
      </c>
      <c r="G100" s="445" t="e">
        <f ca="1">_xll.qlDayCounterYearFraction(DayCounter,D99,D100)</f>
        <v>#NAME?</v>
      </c>
      <c r="I100" s="444" t="b">
        <f t="shared" ca="1" si="10"/>
        <v>0</v>
      </c>
      <c r="J100" s="443" t="e">
        <f ca="1"/>
        <v>#NAME?</v>
      </c>
      <c r="K100" s="442" t="e">
        <f t="shared" ref="K100:K129" ca="1" si="12">D100</f>
        <v>#NAME?</v>
      </c>
      <c r="L100" s="430"/>
      <c r="M100" s="441" t="b">
        <f ca="1">IF(AND(NOT(I100),AND(I$4:I99)),TRUE,I100)</f>
        <v>0</v>
      </c>
      <c r="N100" s="440" t="e">
        <f ca="1">IF(AND(NOT(ISBLANK(Jumpoverwrite1)),AND(NOT(M100),AND(M$4:M99))),($J100*$G100-LN(1+Jumpoverwrite1*O$2))/$G100,_xll.qlInterpolationInterpolate(M$3,$F100,TRUE))</f>
        <v>#NAME?</v>
      </c>
      <c r="O100" s="440" t="str">
        <f ca="1">IF(AND(NOT(M100),AND(M$4:M99)),MIN(EXP((N100-$J100)*$G100),1),"")</f>
        <v/>
      </c>
      <c r="P100" s="429"/>
      <c r="Q100" s="441" t="b">
        <f ca="1">IF(AND(NOT(M100),AND(M$4:M99)),TRUE,M100)</f>
        <v>0</v>
      </c>
      <c r="R100" s="440" t="e">
        <f ca="1">IF(AND(NOT(ISBLANK(Jumpoverwrite2)),AND(NOT(Q100),AND(Q$4:Q99))),($J100*$G100-LN(1+Jumpoverwrite2*S$2))/$G100,_xll.qlInterpolationInterpolate(Q$3,$F100,TRUE))</f>
        <v>#NAME?</v>
      </c>
      <c r="S100" s="440" t="str">
        <f ca="1">IF(AND(NOT(Q100),AND(Q$4:Q99)),MIN(EXP((R100-$J100)*$G100),1),"")</f>
        <v/>
      </c>
      <c r="T100" s="429"/>
      <c r="U100" s="441" t="b">
        <f ca="1">IF(AND(NOT(Q100),AND(Q$4:Q99)),TRUE,Q100)</f>
        <v>0</v>
      </c>
      <c r="V100" s="440" t="e">
        <f ca="1">IF(AND(NOT(ISBLANK(Jumpoverwrite3)),AND(NOT(U100),AND(U$4:U99))),($J100*$G100-LN(1+Jumpoverwrite3*W$2))/$G100,_xll.qlInterpolationInterpolate(U$3,$F100,TRUE))</f>
        <v>#NAME?</v>
      </c>
      <c r="W100" s="440" t="str">
        <f ca="1">IF(AND(NOT(U100),AND(U$4:U99)),MIN(EXP((V100-$J100)*$G100),1),"")</f>
        <v/>
      </c>
      <c r="X100" s="429"/>
      <c r="Y100" s="441" t="b">
        <f ca="1">IF(AND(NOT(U100),AND(U$4:U99)),TRUE,U100)</f>
        <v>0</v>
      </c>
      <c r="Z100" s="440" t="e">
        <f ca="1">IF(AND(NOT(ISBLANK(Jumpoverwrite4)),AND(NOT(Y100),AND(Y$4:Y99))),($J100*$G100-LN(1+Jumpoverwrite4*AA$2))/$G100,_xll.qlInterpolationInterpolate(Y$3,$F100,TRUE))</f>
        <v>#NAME?</v>
      </c>
      <c r="AA100" s="440" t="str">
        <f ca="1">IF(AND(NOT(Y100),AND(Y$4:Y99)),MIN(EXP((Z100-$J100)*$G100),1),"")</f>
        <v/>
      </c>
      <c r="AB100" s="429"/>
      <c r="AC100" s="441" t="b">
        <f ca="1">IF(AND(NOT(Y100),AND(Y$4:Y99)),TRUE,Y100)</f>
        <v>0</v>
      </c>
      <c r="AD100" s="440" t="e">
        <f ca="1">IF(AND(NOT(ISBLANK(Jumpoverwrite5)),AND(NOT(AC100),AND(AC$4:AC99))),($J100*$G100-LN(1+Jumpoverwrite5*AE$2))/$G100,_xll.qlInterpolationInterpolate(AC$3,$F100,TRUE))</f>
        <v>#NAME?</v>
      </c>
      <c r="AE100" s="440" t="str">
        <f ca="1">IF(AND(NOT(AC100),AND(AC$4:AC99)),MIN(EXP((AD100-$J100)*$G100),1),"")</f>
        <v/>
      </c>
      <c r="AF100" s="429"/>
      <c r="AG100" s="441" t="b">
        <f ca="1">IF(AND(NOT(AC100),AND(AC$4:AC99)),TRUE,AC100)</f>
        <v>0</v>
      </c>
      <c r="AH100" s="440" t="e">
        <f ca="1">IF(AND(NOT(ISBLANK(Jumpoverwrite6)),AND(NOT(AG100),AND(AG$4:AG99))),($J100*$G100-LN(1+Jumpoverwrite6*AI$2))/$G100,_xll.qlInterpolationInterpolate(AG$3,$F100,TRUE))</f>
        <v>#NAME?</v>
      </c>
      <c r="AI100" s="440" t="str">
        <f ca="1">IF(AND(NOT(AG100),AND(AG$4:AG99)),MIN(EXP((AH100-$J100)*$G100),1),"")</f>
        <v/>
      </c>
      <c r="AJ100" s="429"/>
      <c r="AK100" s="441" t="b">
        <f ca="1">IF(AND(NOT(AG100),AND(AG$4:AG99)),TRUE,AG100)</f>
        <v>0</v>
      </c>
      <c r="AL100" s="440" t="e">
        <f ca="1">IF(AND(NOT(ISBLANK(Jumpoverwrite7)),AND(NOT(AK100),AND(AK$4:AK99))),($J100*$G100-LN(1+Jumpoverwrite7*AM$2))/$G100,_xll.qlInterpolationInterpolate(AK$3,$F100,TRUE))</f>
        <v>#NAME?</v>
      </c>
      <c r="AM100" s="440" t="str">
        <f ca="1">IF(AND(NOT(AK100),AND(AK$4:AK99)),MIN(EXP((AL100-$J100)*$G100),1),"")</f>
        <v/>
      </c>
      <c r="AO100" s="441" t="b">
        <f ca="1">IF(AND(NOT(AK100),AND(AK$4:AK99)),TRUE,AK100)</f>
        <v>0</v>
      </c>
      <c r="AP100" s="440" t="e">
        <f ca="1">IF(AND(NOT(ISBLANK(Jumpoverwrite8)),AND(NOT(AO100),AND(AO$4:AO99))),($J100*$G100-LN(1+Jumpoverwrite8*AQ$2))/$G100,_xll.qlInterpolationInterpolate(AO$3,$F100,TRUE))</f>
        <v>#NAME?</v>
      </c>
      <c r="AQ100" s="440" t="str">
        <f ca="1">IF(AND(NOT(AO100),AND(AO$4:AO99)),MIN(EXP((AP100-$J100)*$G100),1),"")</f>
        <v/>
      </c>
      <c r="AS100" s="441" t="b">
        <f ca="1">IF(AND(NOT(AO100),AND(AO$4:AO99)),TRUE,AO100)</f>
        <v>0</v>
      </c>
      <c r="AT100" s="440" t="e">
        <f ca="1">IF(AND(NOT(ISBLANK(Jumpoverwrite9)),AND(NOT(AS100),AND(AS$4:AS99))),($J100*$G100-LN(1+Jumpoverwrite9*AU$2))/$G100,_xll.qlInterpolationInterpolate(AS$3,$F100,TRUE))</f>
        <v>#NAME?</v>
      </c>
      <c r="AU100" s="440" t="str">
        <f ca="1">IF(AND(NOT(AS100),AND(AS$4:AS99)),MIN(EXP((AT100-$J100)*$G100),1),"")</f>
        <v/>
      </c>
      <c r="AW100" s="441" t="b">
        <f ca="1">IF(AND(NOT(AS100),AND(AS$4:AS99)),TRUE,AS100)</f>
        <v>0</v>
      </c>
      <c r="AX100" s="440" t="e">
        <f ca="1">IF(AND(NOT(ISBLANK(Jumpoverwrite10)),AND(NOT(AW100),AND(AW$4:AW99))),($J100*$G100-LN(1+Jumpoverwrite10*AY$2))/$G100,_xll.qlInterpolationInterpolate(AW$3,$F100,TRUE))</f>
        <v>#NAME?</v>
      </c>
      <c r="AY100" s="440" t="str">
        <f ca="1">IF(AND(NOT(AW100),AND(AW$4:AW99)),MIN(EXP((AX100-$J100)*$G100),1),"")</f>
        <v/>
      </c>
      <c r="BA100" s="441" t="b">
        <f ca="1">IF(AND(NOT(AW100),AND(AW$4:AW99)),TRUE,AW100)</f>
        <v>0</v>
      </c>
      <c r="BB100" s="440" t="e">
        <f ca="1">IF(AND(NOT(ISBLANK(Jumpoverwrite11)),AND(NOT(BA100),AND(BA$4:BA99))),($J100*$G100-LN(1+Jumpoverwrite11*BC$2))/$G100,_xll.qlInterpolationInterpolate(BA$3,$F100,TRUE))</f>
        <v>#NAME?</v>
      </c>
      <c r="BC100" s="440" t="str">
        <f ca="1">IF(AND(NOT(BA100),AND(BA$4:BA99)),MIN(EXP((BB100-$J100)*$G100),1),"")</f>
        <v/>
      </c>
      <c r="BE100" s="441" t="b">
        <f ca="1">IF(AND(NOT(BA100),AND(BA$4:BA99)),TRUE,BA100)</f>
        <v>0</v>
      </c>
      <c r="BF100" s="440" t="e">
        <f ca="1">IF(AND(NOT(ISBLANK(Jumpoverwrite12)),AND(NOT(BE100),AND(BE$4:BE99))),($J100*$G100-LN(1+Jumpoverwrite12*BG$2))/$G100,_xll.qlInterpolationInterpolate(BE$3,$F100,TRUE))</f>
        <v>#NAME?</v>
      </c>
      <c r="BG100" s="440" t="str">
        <f ca="1">IF(AND(NOT(BE100),AND(BE$4:BE99)),MIN(EXP((BF100-$J100)*$G100),1),"")</f>
        <v/>
      </c>
      <c r="BI100" s="441" t="b">
        <f t="shared" ca="1" si="11"/>
        <v>0</v>
      </c>
      <c r="BJ100" s="440" t="e">
        <f ca="1">IF(AND(NOT(ISBLANK(jumpoverwrite13)),AND(NOT(BI100),AND(BI$4:BI99))),($J100*$G100-LN(1+jumpoverwrite13*BK$2))/$G100,_xll.qlInterpolationInterpolate(BI$3,$F100,TRUE))</f>
        <v>#NAME?</v>
      </c>
      <c r="BK100" s="440" t="str">
        <f ca="1">IF(AND(NOT(BI100),AND(BI$4:BI99)),MIN(EXP((BJ100-$J100)*$G100),1),"")</f>
        <v/>
      </c>
    </row>
    <row r="101" spans="1:63" x14ac:dyDescent="0.2">
      <c r="A101" s="439" t="e">
        <f ca="1"/>
        <v>#NAME?</v>
      </c>
      <c r="B101" s="438" t="e">
        <f ca="1">_xll.qlRateHelperRate($A101,InterestRatesTrigger)</f>
        <v>#NAME?</v>
      </c>
      <c r="C101" s="437" t="e">
        <f ca="1">_xll.qlRateHelperEarliestDate($A101)</f>
        <v>#NAME?</v>
      </c>
      <c r="D101" s="436" t="e">
        <f ca="1">_xll.qlRateHelperPillarDate($A101)</f>
        <v>#NAME?</v>
      </c>
      <c r="F101" s="446" t="e">
        <f t="shared" ref="F101:F129" ca="1" si="13">IF(ISERROR(D101),NA(),(D101-D100)/2+D100)</f>
        <v>#N/A</v>
      </c>
      <c r="G101" s="445" t="e">
        <f ca="1">_xll.qlDayCounterYearFraction(DayCounter,D100,D101)</f>
        <v>#NAME?</v>
      </c>
      <c r="I101" s="444" t="b">
        <f t="shared" ref="I101:I129" ca="1" si="14">IF(ISERROR(K101),FALSE,IF(OR(MONTH(K101)-MONTH(K100)=1,YEAR(K101)-YEAR(K100)=1),FALSE,TRUE))</f>
        <v>0</v>
      </c>
      <c r="J101" s="443" t="e">
        <f ca="1"/>
        <v>#NAME?</v>
      </c>
      <c r="K101" s="442" t="e">
        <f t="shared" ca="1" si="12"/>
        <v>#NAME?</v>
      </c>
      <c r="L101" s="430"/>
      <c r="M101" s="441" t="b">
        <f ca="1">IF(AND(NOT(I101),AND(I$4:I100)),TRUE,I101)</f>
        <v>0</v>
      </c>
      <c r="N101" s="440" t="e">
        <f ca="1">IF(AND(NOT(ISBLANK(Jumpoverwrite1)),AND(NOT(M101),AND(M$4:M100))),($J101*$G101-LN(1+Jumpoverwrite1*O$2))/$G101,_xll.qlInterpolationInterpolate(M$3,$F101,TRUE))</f>
        <v>#NAME?</v>
      </c>
      <c r="O101" s="440" t="str">
        <f ca="1">IF(AND(NOT(M101),AND(M$4:M100)),MIN(EXP((N101-$J101)*$G101),1),"")</f>
        <v/>
      </c>
      <c r="P101" s="429"/>
      <c r="Q101" s="441" t="b">
        <f ca="1">IF(AND(NOT(M101),AND(M$4:M100)),TRUE,M101)</f>
        <v>0</v>
      </c>
      <c r="R101" s="440" t="e">
        <f ca="1">IF(AND(NOT(ISBLANK(Jumpoverwrite2)),AND(NOT(Q101),AND(Q$4:Q100))),($J101*$G101-LN(1+Jumpoverwrite2*S$2))/$G101,_xll.qlInterpolationInterpolate(Q$3,$F101,TRUE))</f>
        <v>#NAME?</v>
      </c>
      <c r="S101" s="440" t="str">
        <f ca="1">IF(AND(NOT(Q101),AND(Q$4:Q100)),MIN(EXP((R101-$J101)*$G101),1),"")</f>
        <v/>
      </c>
      <c r="T101" s="429"/>
      <c r="U101" s="441" t="b">
        <f ca="1">IF(AND(NOT(Q101),AND(Q$4:Q100)),TRUE,Q101)</f>
        <v>0</v>
      </c>
      <c r="V101" s="440" t="e">
        <f ca="1">IF(AND(NOT(ISBLANK(Jumpoverwrite3)),AND(NOT(U101),AND(U$4:U100))),($J101*$G101-LN(1+Jumpoverwrite3*W$2))/$G101,_xll.qlInterpolationInterpolate(U$3,$F101,TRUE))</f>
        <v>#NAME?</v>
      </c>
      <c r="W101" s="440" t="str">
        <f ca="1">IF(AND(NOT(U101),AND(U$4:U100)),MIN(EXP((V101-$J101)*$G101),1),"")</f>
        <v/>
      </c>
      <c r="X101" s="429"/>
      <c r="Y101" s="441" t="b">
        <f ca="1">IF(AND(NOT(U101),AND(U$4:U100)),TRUE,U101)</f>
        <v>0</v>
      </c>
      <c r="Z101" s="440" t="e">
        <f ca="1">IF(AND(NOT(ISBLANK(Jumpoverwrite4)),AND(NOT(Y101),AND(Y$4:Y100))),($J101*$G101-LN(1+Jumpoverwrite4*AA$2))/$G101,_xll.qlInterpolationInterpolate(Y$3,$F101,TRUE))</f>
        <v>#NAME?</v>
      </c>
      <c r="AA101" s="440" t="str">
        <f ca="1">IF(AND(NOT(Y101),AND(Y$4:Y100)),MIN(EXP((Z101-$J101)*$G101),1),"")</f>
        <v/>
      </c>
      <c r="AB101" s="429"/>
      <c r="AC101" s="441" t="b">
        <f ca="1">IF(AND(NOT(Y101),AND(Y$4:Y100)),TRUE,Y101)</f>
        <v>0</v>
      </c>
      <c r="AD101" s="440" t="e">
        <f ca="1">IF(AND(NOT(ISBLANK(Jumpoverwrite5)),AND(NOT(AC101),AND(AC$4:AC100))),($J101*$G101-LN(1+Jumpoverwrite5*AE$2))/$G101,_xll.qlInterpolationInterpolate(AC$3,$F101,TRUE))</f>
        <v>#NAME?</v>
      </c>
      <c r="AE101" s="440" t="str">
        <f ca="1">IF(AND(NOT(AC101),AND(AC$4:AC100)),MIN(EXP((AD101-$J101)*$G101),1),"")</f>
        <v/>
      </c>
      <c r="AF101" s="429"/>
      <c r="AG101" s="441" t="b">
        <f ca="1">IF(AND(NOT(AC101),AND(AC$4:AC100)),TRUE,AC101)</f>
        <v>0</v>
      </c>
      <c r="AH101" s="440" t="e">
        <f ca="1">IF(AND(NOT(ISBLANK(Jumpoverwrite6)),AND(NOT(AG101),AND(AG$4:AG100))),($J101*$G101-LN(1+Jumpoverwrite6*AI$2))/$G101,_xll.qlInterpolationInterpolate(AG$3,$F101,TRUE))</f>
        <v>#NAME?</v>
      </c>
      <c r="AI101" s="440" t="str">
        <f ca="1">IF(AND(NOT(AG101),AND(AG$4:AG100)),MIN(EXP((AH101-$J101)*$G101),1),"")</f>
        <v/>
      </c>
      <c r="AJ101" s="429"/>
      <c r="AK101" s="441" t="b">
        <f ca="1">IF(AND(NOT(AG101),AND(AG$4:AG100)),TRUE,AG101)</f>
        <v>0</v>
      </c>
      <c r="AL101" s="440" t="e">
        <f ca="1">IF(AND(NOT(ISBLANK(Jumpoverwrite7)),AND(NOT(AK101),AND(AK$4:AK100))),($J101*$G101-LN(1+Jumpoverwrite7*AM$2))/$G101,_xll.qlInterpolationInterpolate(AK$3,$F101,TRUE))</f>
        <v>#NAME?</v>
      </c>
      <c r="AM101" s="440" t="str">
        <f ca="1">IF(AND(NOT(AK101),AND(AK$4:AK100)),MIN(EXP((AL101-$J101)*$G101),1),"")</f>
        <v/>
      </c>
      <c r="AO101" s="441" t="b">
        <f ca="1">IF(AND(NOT(AK101),AND(AK$4:AK100)),TRUE,AK101)</f>
        <v>0</v>
      </c>
      <c r="AP101" s="440" t="e">
        <f ca="1">IF(AND(NOT(ISBLANK(Jumpoverwrite8)),AND(NOT(AO101),AND(AO$4:AO100))),($J101*$G101-LN(1+Jumpoverwrite8*AQ$2))/$G101,_xll.qlInterpolationInterpolate(AO$3,$F101,TRUE))</f>
        <v>#NAME?</v>
      </c>
      <c r="AQ101" s="440" t="str">
        <f ca="1">IF(AND(NOT(AO101),AND(AO$4:AO100)),MIN(EXP((AP101-$J101)*$G101),1),"")</f>
        <v/>
      </c>
      <c r="AS101" s="441" t="b">
        <f ca="1">IF(AND(NOT(AO101),AND(AO$4:AO100)),TRUE,AO101)</f>
        <v>0</v>
      </c>
      <c r="AT101" s="440" t="e">
        <f ca="1">IF(AND(NOT(ISBLANK(Jumpoverwrite9)),AND(NOT(AS101),AND(AS$4:AS100))),($J101*$G101-LN(1+Jumpoverwrite9*AU$2))/$G101,_xll.qlInterpolationInterpolate(AS$3,$F101,TRUE))</f>
        <v>#NAME?</v>
      </c>
      <c r="AU101" s="440" t="str">
        <f ca="1">IF(AND(NOT(AS101),AND(AS$4:AS100)),MIN(EXP((AT101-$J101)*$G101),1),"")</f>
        <v/>
      </c>
      <c r="AW101" s="441" t="b">
        <f ca="1">IF(AND(NOT(AS101),AND(AS$4:AS100)),TRUE,AS101)</f>
        <v>0</v>
      </c>
      <c r="AX101" s="440" t="e">
        <f ca="1">IF(AND(NOT(ISBLANK(Jumpoverwrite10)),AND(NOT(AW101),AND(AW$4:AW100))),($J101*$G101-LN(1+Jumpoverwrite10*AY$2))/$G101,_xll.qlInterpolationInterpolate(AW$3,$F101,TRUE))</f>
        <v>#NAME?</v>
      </c>
      <c r="AY101" s="440" t="str">
        <f ca="1">IF(AND(NOT(AW101),AND(AW$4:AW100)),MIN(EXP((AX101-$J101)*$G101),1),"")</f>
        <v/>
      </c>
      <c r="BA101" s="441" t="b">
        <f ca="1">IF(AND(NOT(AW101),AND(AW$4:AW100)),TRUE,AW101)</f>
        <v>0</v>
      </c>
      <c r="BB101" s="440" t="e">
        <f ca="1">IF(AND(NOT(ISBLANK(Jumpoverwrite11)),AND(NOT(BA101),AND(BA$4:BA100))),($J101*$G101-LN(1+Jumpoverwrite11*BC$2))/$G101,_xll.qlInterpolationInterpolate(BA$3,$F101,TRUE))</f>
        <v>#NAME?</v>
      </c>
      <c r="BC101" s="440" t="str">
        <f ca="1">IF(AND(NOT(BA101),AND(BA$4:BA100)),MIN(EXP((BB101-$J101)*$G101),1),"")</f>
        <v/>
      </c>
      <c r="BE101" s="441" t="b">
        <f ca="1">IF(AND(NOT(BA101),AND(BA$4:BA100)),TRUE,BA101)</f>
        <v>0</v>
      </c>
      <c r="BF101" s="440" t="e">
        <f ca="1">IF(AND(NOT(ISBLANK(Jumpoverwrite12)),AND(NOT(BE101),AND(BE$4:BE100))),($J101*$G101-LN(1+Jumpoverwrite12*BG$2))/$G101,_xll.qlInterpolationInterpolate(BE$3,$F101,TRUE))</f>
        <v>#NAME?</v>
      </c>
      <c r="BG101" s="440" t="str">
        <f ca="1">IF(AND(NOT(BE101),AND(BE$4:BE100)),MIN(EXP((BF101-$J101)*$G101),1),"")</f>
        <v/>
      </c>
      <c r="BI101" s="441" t="b">
        <f t="shared" ref="BI101:BI129" ca="1" si="15">IF(ISERROR(K101),FALSE,IF(YEAR(K101)-YEAR(SettlementDate)=2,FALSE,TRUE))</f>
        <v>0</v>
      </c>
      <c r="BJ101" s="440" t="e">
        <f ca="1">IF(AND(NOT(ISBLANK(jumpoverwrite13)),AND(NOT(BI101),AND(BI$4:BI100))),($J101*$G101-LN(1+jumpoverwrite13*BK$2))/$G101,_xll.qlInterpolationInterpolate(BI$3,$F101,TRUE))</f>
        <v>#NAME?</v>
      </c>
      <c r="BK101" s="440" t="str">
        <f ca="1">IF(AND(NOT(BI101),AND(BI$4:BI100)),MIN(EXP((BJ101-$J101)*$G101),1),"")</f>
        <v/>
      </c>
    </row>
    <row r="102" spans="1:63" x14ac:dyDescent="0.2">
      <c r="A102" s="439" t="e">
        <f ca="1"/>
        <v>#NAME?</v>
      </c>
      <c r="B102" s="438" t="e">
        <f ca="1">_xll.qlRateHelperRate($A102,InterestRatesTrigger)</f>
        <v>#NAME?</v>
      </c>
      <c r="C102" s="437" t="e">
        <f ca="1">_xll.qlRateHelperEarliestDate($A102)</f>
        <v>#NAME?</v>
      </c>
      <c r="D102" s="436" t="e">
        <f ca="1">_xll.qlRateHelperPillarDate($A102)</f>
        <v>#NAME?</v>
      </c>
      <c r="F102" s="446" t="e">
        <f t="shared" ca="1" si="13"/>
        <v>#N/A</v>
      </c>
      <c r="G102" s="445" t="e">
        <f ca="1">_xll.qlDayCounterYearFraction(DayCounter,D101,D102)</f>
        <v>#NAME?</v>
      </c>
      <c r="I102" s="444" t="b">
        <f t="shared" ca="1" si="14"/>
        <v>0</v>
      </c>
      <c r="J102" s="443" t="e">
        <f ca="1"/>
        <v>#NAME?</v>
      </c>
      <c r="K102" s="442" t="e">
        <f t="shared" ca="1" si="12"/>
        <v>#NAME?</v>
      </c>
      <c r="L102" s="430"/>
      <c r="M102" s="441" t="b">
        <f ca="1">IF(AND(NOT(I102),AND(I$4:I101)),TRUE,I102)</f>
        <v>0</v>
      </c>
      <c r="N102" s="440" t="e">
        <f ca="1">IF(AND(NOT(ISBLANK(Jumpoverwrite1)),AND(NOT(M102),AND(M$4:M101))),($J102*$G102-LN(1+Jumpoverwrite1*O$2))/$G102,_xll.qlInterpolationInterpolate(M$3,$F102,TRUE))</f>
        <v>#NAME?</v>
      </c>
      <c r="O102" s="440" t="str">
        <f ca="1">IF(AND(NOT(M102),AND(M$4:M101)),MIN(EXP((N102-$J102)*$G102),1),"")</f>
        <v/>
      </c>
      <c r="P102" s="429"/>
      <c r="Q102" s="441" t="b">
        <f ca="1">IF(AND(NOT(M102),AND(M$4:M101)),TRUE,M102)</f>
        <v>0</v>
      </c>
      <c r="R102" s="440" t="e">
        <f ca="1">IF(AND(NOT(ISBLANK(Jumpoverwrite2)),AND(NOT(Q102),AND(Q$4:Q101))),($J102*$G102-LN(1+Jumpoverwrite2*S$2))/$G102,_xll.qlInterpolationInterpolate(Q$3,$F102,TRUE))</f>
        <v>#NAME?</v>
      </c>
      <c r="S102" s="440" t="str">
        <f ca="1">IF(AND(NOT(Q102),AND(Q$4:Q101)),MIN(EXP((R102-$J102)*$G102),1),"")</f>
        <v/>
      </c>
      <c r="T102" s="429"/>
      <c r="U102" s="441" t="b">
        <f ca="1">IF(AND(NOT(Q102),AND(Q$4:Q101)),TRUE,Q102)</f>
        <v>0</v>
      </c>
      <c r="V102" s="440" t="e">
        <f ca="1">IF(AND(NOT(ISBLANK(Jumpoverwrite3)),AND(NOT(U102),AND(U$4:U101))),($J102*$G102-LN(1+Jumpoverwrite3*W$2))/$G102,_xll.qlInterpolationInterpolate(U$3,$F102,TRUE))</f>
        <v>#NAME?</v>
      </c>
      <c r="W102" s="440" t="str">
        <f ca="1">IF(AND(NOT(U102),AND(U$4:U101)),MIN(EXP((V102-$J102)*$G102),1),"")</f>
        <v/>
      </c>
      <c r="X102" s="429"/>
      <c r="Y102" s="441" t="b">
        <f ca="1">IF(AND(NOT(U102),AND(U$4:U101)),TRUE,U102)</f>
        <v>0</v>
      </c>
      <c r="Z102" s="440" t="e">
        <f ca="1">IF(AND(NOT(ISBLANK(Jumpoverwrite4)),AND(NOT(Y102),AND(Y$4:Y101))),($J102*$G102-LN(1+Jumpoverwrite4*AA$2))/$G102,_xll.qlInterpolationInterpolate(Y$3,$F102,TRUE))</f>
        <v>#NAME?</v>
      </c>
      <c r="AA102" s="440" t="str">
        <f ca="1">IF(AND(NOT(Y102),AND(Y$4:Y101)),MIN(EXP((Z102-$J102)*$G102),1),"")</f>
        <v/>
      </c>
      <c r="AB102" s="429"/>
      <c r="AC102" s="441" t="b">
        <f ca="1">IF(AND(NOT(Y102),AND(Y$4:Y101)),TRUE,Y102)</f>
        <v>0</v>
      </c>
      <c r="AD102" s="440" t="e">
        <f ca="1">IF(AND(NOT(ISBLANK(Jumpoverwrite5)),AND(NOT(AC102),AND(AC$4:AC101))),($J102*$G102-LN(1+Jumpoverwrite5*AE$2))/$G102,_xll.qlInterpolationInterpolate(AC$3,$F102,TRUE))</f>
        <v>#NAME?</v>
      </c>
      <c r="AE102" s="440" t="str">
        <f ca="1">IF(AND(NOT(AC102),AND(AC$4:AC101)),MIN(EXP((AD102-$J102)*$G102),1),"")</f>
        <v/>
      </c>
      <c r="AF102" s="429"/>
      <c r="AG102" s="441" t="b">
        <f ca="1">IF(AND(NOT(AC102),AND(AC$4:AC101)),TRUE,AC102)</f>
        <v>0</v>
      </c>
      <c r="AH102" s="440" t="e">
        <f ca="1">IF(AND(NOT(ISBLANK(Jumpoverwrite6)),AND(NOT(AG102),AND(AG$4:AG101))),($J102*$G102-LN(1+Jumpoverwrite6*AI$2))/$G102,_xll.qlInterpolationInterpolate(AG$3,$F102,TRUE))</f>
        <v>#NAME?</v>
      </c>
      <c r="AI102" s="440" t="str">
        <f ca="1">IF(AND(NOT(AG102),AND(AG$4:AG101)),MIN(EXP((AH102-$J102)*$G102),1),"")</f>
        <v/>
      </c>
      <c r="AJ102" s="429"/>
      <c r="AK102" s="441" t="b">
        <f ca="1">IF(AND(NOT(AG102),AND(AG$4:AG101)),TRUE,AG102)</f>
        <v>0</v>
      </c>
      <c r="AL102" s="440" t="e">
        <f ca="1">IF(AND(NOT(ISBLANK(Jumpoverwrite7)),AND(NOT(AK102),AND(AK$4:AK101))),($J102*$G102-LN(1+Jumpoverwrite7*AM$2))/$G102,_xll.qlInterpolationInterpolate(AK$3,$F102,TRUE))</f>
        <v>#NAME?</v>
      </c>
      <c r="AM102" s="440" t="str">
        <f ca="1">IF(AND(NOT(AK102),AND(AK$4:AK101)),MIN(EXP((AL102-$J102)*$G102),1),"")</f>
        <v/>
      </c>
      <c r="AO102" s="441" t="b">
        <f ca="1">IF(AND(NOT(AK102),AND(AK$4:AK101)),TRUE,AK102)</f>
        <v>0</v>
      </c>
      <c r="AP102" s="440" t="e">
        <f ca="1">IF(AND(NOT(ISBLANK(Jumpoverwrite8)),AND(NOT(AO102),AND(AO$4:AO101))),($J102*$G102-LN(1+Jumpoverwrite8*AQ$2))/$G102,_xll.qlInterpolationInterpolate(AO$3,$F102,TRUE))</f>
        <v>#NAME?</v>
      </c>
      <c r="AQ102" s="440" t="str">
        <f ca="1">IF(AND(NOT(AO102),AND(AO$4:AO101)),MIN(EXP((AP102-$J102)*$G102),1),"")</f>
        <v/>
      </c>
      <c r="AS102" s="441" t="b">
        <f ca="1">IF(AND(NOT(AO102),AND(AO$4:AO101)),TRUE,AO102)</f>
        <v>0</v>
      </c>
      <c r="AT102" s="440" t="e">
        <f ca="1">IF(AND(NOT(ISBLANK(Jumpoverwrite9)),AND(NOT(AS102),AND(AS$4:AS101))),($J102*$G102-LN(1+Jumpoverwrite9*AU$2))/$G102,_xll.qlInterpolationInterpolate(AS$3,$F102,TRUE))</f>
        <v>#NAME?</v>
      </c>
      <c r="AU102" s="440" t="str">
        <f ca="1">IF(AND(NOT(AS102),AND(AS$4:AS101)),MIN(EXP((AT102-$J102)*$G102),1),"")</f>
        <v/>
      </c>
      <c r="AW102" s="441" t="b">
        <f ca="1">IF(AND(NOT(AS102),AND(AS$4:AS101)),TRUE,AS102)</f>
        <v>0</v>
      </c>
      <c r="AX102" s="440" t="e">
        <f ca="1">IF(AND(NOT(ISBLANK(Jumpoverwrite10)),AND(NOT(AW102),AND(AW$4:AW101))),($J102*$G102-LN(1+Jumpoverwrite10*AY$2))/$G102,_xll.qlInterpolationInterpolate(AW$3,$F102,TRUE))</f>
        <v>#NAME?</v>
      </c>
      <c r="AY102" s="440" t="str">
        <f ca="1">IF(AND(NOT(AW102),AND(AW$4:AW101)),MIN(EXP((AX102-$J102)*$G102),1),"")</f>
        <v/>
      </c>
      <c r="BA102" s="441" t="b">
        <f ca="1">IF(AND(NOT(AW102),AND(AW$4:AW101)),TRUE,AW102)</f>
        <v>0</v>
      </c>
      <c r="BB102" s="440" t="e">
        <f ca="1">IF(AND(NOT(ISBLANK(Jumpoverwrite11)),AND(NOT(BA102),AND(BA$4:BA101))),($J102*$G102-LN(1+Jumpoverwrite11*BC$2))/$G102,_xll.qlInterpolationInterpolate(BA$3,$F102,TRUE))</f>
        <v>#NAME?</v>
      </c>
      <c r="BC102" s="440" t="str">
        <f ca="1">IF(AND(NOT(BA102),AND(BA$4:BA101)),MIN(EXP((BB102-$J102)*$G102),1),"")</f>
        <v/>
      </c>
      <c r="BE102" s="441" t="b">
        <f ca="1">IF(AND(NOT(BA102),AND(BA$4:BA101)),TRUE,BA102)</f>
        <v>0</v>
      </c>
      <c r="BF102" s="440" t="e">
        <f ca="1">IF(AND(NOT(ISBLANK(Jumpoverwrite12)),AND(NOT(BE102),AND(BE$4:BE101))),($J102*$G102-LN(1+Jumpoverwrite12*BG$2))/$G102,_xll.qlInterpolationInterpolate(BE$3,$F102,TRUE))</f>
        <v>#NAME?</v>
      </c>
      <c r="BG102" s="440" t="str">
        <f ca="1">IF(AND(NOT(BE102),AND(BE$4:BE101)),MIN(EXP((BF102-$J102)*$G102),1),"")</f>
        <v/>
      </c>
      <c r="BI102" s="441" t="b">
        <f t="shared" ca="1" si="15"/>
        <v>0</v>
      </c>
      <c r="BJ102" s="440" t="e">
        <f ca="1">IF(AND(NOT(ISBLANK(jumpoverwrite13)),AND(NOT(BI102),AND(BI$4:BI101))),($J102*$G102-LN(1+jumpoverwrite13*BK$2))/$G102,_xll.qlInterpolationInterpolate(BI$3,$F102,TRUE))</f>
        <v>#NAME?</v>
      </c>
      <c r="BK102" s="440" t="str">
        <f ca="1">IF(AND(NOT(BI102),AND(BI$4:BI101)),MIN(EXP((BJ102-$J102)*$G102),1),"")</f>
        <v/>
      </c>
    </row>
    <row r="103" spans="1:63" x14ac:dyDescent="0.2">
      <c r="A103" s="439" t="e">
        <f ca="1"/>
        <v>#NAME?</v>
      </c>
      <c r="B103" s="438" t="e">
        <f ca="1">_xll.qlRateHelperRate($A103,InterestRatesTrigger)</f>
        <v>#NAME?</v>
      </c>
      <c r="C103" s="437" t="e">
        <f ca="1">_xll.qlRateHelperEarliestDate($A103)</f>
        <v>#NAME?</v>
      </c>
      <c r="D103" s="436" t="e">
        <f ca="1">_xll.qlRateHelperPillarDate($A103)</f>
        <v>#NAME?</v>
      </c>
      <c r="F103" s="446" t="e">
        <f t="shared" ca="1" si="13"/>
        <v>#N/A</v>
      </c>
      <c r="G103" s="445" t="e">
        <f ca="1">_xll.qlDayCounterYearFraction(DayCounter,D102,D103)</f>
        <v>#NAME?</v>
      </c>
      <c r="I103" s="444" t="b">
        <f t="shared" ca="1" si="14"/>
        <v>0</v>
      </c>
      <c r="J103" s="443" t="e">
        <f ca="1"/>
        <v>#NAME?</v>
      </c>
      <c r="K103" s="442" t="e">
        <f t="shared" ca="1" si="12"/>
        <v>#NAME?</v>
      </c>
      <c r="L103" s="430"/>
      <c r="M103" s="441" t="b">
        <f ca="1">IF(AND(NOT(I103),AND(I$4:I102)),TRUE,I103)</f>
        <v>0</v>
      </c>
      <c r="N103" s="440" t="e">
        <f ca="1">IF(AND(NOT(ISBLANK(Jumpoverwrite1)),AND(NOT(M103),AND(M$4:M102))),($J103*$G103-LN(1+Jumpoverwrite1*O$2))/$G103,_xll.qlInterpolationInterpolate(M$3,$F103,TRUE))</f>
        <v>#NAME?</v>
      </c>
      <c r="O103" s="440" t="str">
        <f ca="1">IF(AND(NOT(M103),AND(M$4:M102)),MIN(EXP((N103-$J103)*$G103),1),"")</f>
        <v/>
      </c>
      <c r="P103" s="429"/>
      <c r="Q103" s="441" t="b">
        <f ca="1">IF(AND(NOT(M103),AND(M$4:M102)),TRUE,M103)</f>
        <v>0</v>
      </c>
      <c r="R103" s="440" t="e">
        <f ca="1">IF(AND(NOT(ISBLANK(Jumpoverwrite2)),AND(NOT(Q103),AND(Q$4:Q102))),($J103*$G103-LN(1+Jumpoverwrite2*S$2))/$G103,_xll.qlInterpolationInterpolate(Q$3,$F103,TRUE))</f>
        <v>#NAME?</v>
      </c>
      <c r="S103" s="440" t="str">
        <f ca="1">IF(AND(NOT(Q103),AND(Q$4:Q102)),MIN(EXP((R103-$J103)*$G103),1),"")</f>
        <v/>
      </c>
      <c r="T103" s="429"/>
      <c r="U103" s="441" t="b">
        <f ca="1">IF(AND(NOT(Q103),AND(Q$4:Q102)),TRUE,Q103)</f>
        <v>0</v>
      </c>
      <c r="V103" s="440" t="e">
        <f ca="1">IF(AND(NOT(ISBLANK(Jumpoverwrite3)),AND(NOT(U103),AND(U$4:U102))),($J103*$G103-LN(1+Jumpoverwrite3*W$2))/$G103,_xll.qlInterpolationInterpolate(U$3,$F103,TRUE))</f>
        <v>#NAME?</v>
      </c>
      <c r="W103" s="440" t="str">
        <f ca="1">IF(AND(NOT(U103),AND(U$4:U102)),MIN(EXP((V103-$J103)*$G103),1),"")</f>
        <v/>
      </c>
      <c r="X103" s="429"/>
      <c r="Y103" s="441" t="b">
        <f ca="1">IF(AND(NOT(U103),AND(U$4:U102)),TRUE,U103)</f>
        <v>0</v>
      </c>
      <c r="Z103" s="440" t="e">
        <f ca="1">IF(AND(NOT(ISBLANK(Jumpoverwrite4)),AND(NOT(Y103),AND(Y$4:Y102))),($J103*$G103-LN(1+Jumpoverwrite4*AA$2))/$G103,_xll.qlInterpolationInterpolate(Y$3,$F103,TRUE))</f>
        <v>#NAME?</v>
      </c>
      <c r="AA103" s="440" t="str">
        <f ca="1">IF(AND(NOT(Y103),AND(Y$4:Y102)),MIN(EXP((Z103-$J103)*$G103),1),"")</f>
        <v/>
      </c>
      <c r="AB103" s="429"/>
      <c r="AC103" s="441" t="b">
        <f ca="1">IF(AND(NOT(Y103),AND(Y$4:Y102)),TRUE,Y103)</f>
        <v>0</v>
      </c>
      <c r="AD103" s="440" t="e">
        <f ca="1">IF(AND(NOT(ISBLANK(Jumpoverwrite5)),AND(NOT(AC103),AND(AC$4:AC102))),($J103*$G103-LN(1+Jumpoverwrite5*AE$2))/$G103,_xll.qlInterpolationInterpolate(AC$3,$F103,TRUE))</f>
        <v>#NAME?</v>
      </c>
      <c r="AE103" s="440" t="str">
        <f ca="1">IF(AND(NOT(AC103),AND(AC$4:AC102)),MIN(EXP((AD103-$J103)*$G103),1),"")</f>
        <v/>
      </c>
      <c r="AF103" s="429"/>
      <c r="AG103" s="441" t="b">
        <f ca="1">IF(AND(NOT(AC103),AND(AC$4:AC102)),TRUE,AC103)</f>
        <v>0</v>
      </c>
      <c r="AH103" s="440" t="e">
        <f ca="1">IF(AND(NOT(ISBLANK(Jumpoverwrite6)),AND(NOT(AG103),AND(AG$4:AG102))),($J103*$G103-LN(1+Jumpoverwrite6*AI$2))/$G103,_xll.qlInterpolationInterpolate(AG$3,$F103,TRUE))</f>
        <v>#NAME?</v>
      </c>
      <c r="AI103" s="440" t="str">
        <f ca="1">IF(AND(NOT(AG103),AND(AG$4:AG102)),MIN(EXP((AH103-$J103)*$G103),1),"")</f>
        <v/>
      </c>
      <c r="AJ103" s="429"/>
      <c r="AK103" s="441" t="b">
        <f ca="1">IF(AND(NOT(AG103),AND(AG$4:AG102)),TRUE,AG103)</f>
        <v>0</v>
      </c>
      <c r="AL103" s="440" t="e">
        <f ca="1">IF(AND(NOT(ISBLANK(Jumpoverwrite7)),AND(NOT(AK103),AND(AK$4:AK102))),($J103*$G103-LN(1+Jumpoverwrite7*AM$2))/$G103,_xll.qlInterpolationInterpolate(AK$3,$F103,TRUE))</f>
        <v>#NAME?</v>
      </c>
      <c r="AM103" s="440" t="str">
        <f ca="1">IF(AND(NOT(AK103),AND(AK$4:AK102)),MIN(EXP((AL103-$J103)*$G103),1),"")</f>
        <v/>
      </c>
      <c r="AO103" s="441" t="b">
        <f ca="1">IF(AND(NOT(AK103),AND(AK$4:AK102)),TRUE,AK103)</f>
        <v>0</v>
      </c>
      <c r="AP103" s="440" t="e">
        <f ca="1">IF(AND(NOT(ISBLANK(Jumpoverwrite8)),AND(NOT(AO103),AND(AO$4:AO102))),($J103*$G103-LN(1+Jumpoverwrite8*AQ$2))/$G103,_xll.qlInterpolationInterpolate(AO$3,$F103,TRUE))</f>
        <v>#NAME?</v>
      </c>
      <c r="AQ103" s="440" t="str">
        <f ca="1">IF(AND(NOT(AO103),AND(AO$4:AO102)),MIN(EXP((AP103-$J103)*$G103),1),"")</f>
        <v/>
      </c>
      <c r="AS103" s="441" t="b">
        <f ca="1">IF(AND(NOT(AO103),AND(AO$4:AO102)),TRUE,AO103)</f>
        <v>0</v>
      </c>
      <c r="AT103" s="440" t="e">
        <f ca="1">IF(AND(NOT(ISBLANK(Jumpoverwrite9)),AND(NOT(AS103),AND(AS$4:AS102))),($J103*$G103-LN(1+Jumpoverwrite9*AU$2))/$G103,_xll.qlInterpolationInterpolate(AS$3,$F103,TRUE))</f>
        <v>#NAME?</v>
      </c>
      <c r="AU103" s="440" t="str">
        <f ca="1">IF(AND(NOT(AS103),AND(AS$4:AS102)),MIN(EXP((AT103-$J103)*$G103),1),"")</f>
        <v/>
      </c>
      <c r="AW103" s="441" t="b">
        <f ca="1">IF(AND(NOT(AS103),AND(AS$4:AS102)),TRUE,AS103)</f>
        <v>0</v>
      </c>
      <c r="AX103" s="440" t="e">
        <f ca="1">IF(AND(NOT(ISBLANK(Jumpoverwrite10)),AND(NOT(AW103),AND(AW$4:AW102))),($J103*$G103-LN(1+Jumpoverwrite10*AY$2))/$G103,_xll.qlInterpolationInterpolate(AW$3,$F103,TRUE))</f>
        <v>#NAME?</v>
      </c>
      <c r="AY103" s="440" t="str">
        <f ca="1">IF(AND(NOT(AW103),AND(AW$4:AW102)),MIN(EXP((AX103-$J103)*$G103),1),"")</f>
        <v/>
      </c>
      <c r="BA103" s="441" t="b">
        <f ca="1">IF(AND(NOT(AW103),AND(AW$4:AW102)),TRUE,AW103)</f>
        <v>0</v>
      </c>
      <c r="BB103" s="440" t="e">
        <f ca="1">IF(AND(NOT(ISBLANK(Jumpoverwrite11)),AND(NOT(BA103),AND(BA$4:BA102))),($J103*$G103-LN(1+Jumpoverwrite11*BC$2))/$G103,_xll.qlInterpolationInterpolate(BA$3,$F103,TRUE))</f>
        <v>#NAME?</v>
      </c>
      <c r="BC103" s="440" t="str">
        <f ca="1">IF(AND(NOT(BA103),AND(BA$4:BA102)),MIN(EXP((BB103-$J103)*$G103),1),"")</f>
        <v/>
      </c>
      <c r="BE103" s="441" t="b">
        <f ca="1">IF(AND(NOT(BA103),AND(BA$4:BA102)),TRUE,BA103)</f>
        <v>0</v>
      </c>
      <c r="BF103" s="440" t="e">
        <f ca="1">IF(AND(NOT(ISBLANK(Jumpoverwrite12)),AND(NOT(BE103),AND(BE$4:BE102))),($J103*$G103-LN(1+Jumpoverwrite12*BG$2))/$G103,_xll.qlInterpolationInterpolate(BE$3,$F103,TRUE))</f>
        <v>#NAME?</v>
      </c>
      <c r="BG103" s="440" t="str">
        <f ca="1">IF(AND(NOT(BE103),AND(BE$4:BE102)),MIN(EXP((BF103-$J103)*$G103),1),"")</f>
        <v/>
      </c>
      <c r="BI103" s="441" t="b">
        <f t="shared" ca="1" si="15"/>
        <v>0</v>
      </c>
      <c r="BJ103" s="440" t="e">
        <f ca="1">IF(AND(NOT(ISBLANK(jumpoverwrite13)),AND(NOT(BI103),AND(BI$4:BI102))),($J103*$G103-LN(1+jumpoverwrite13*BK$2))/$G103,_xll.qlInterpolationInterpolate(BI$3,$F103,TRUE))</f>
        <v>#NAME?</v>
      </c>
      <c r="BK103" s="440" t="str">
        <f ca="1">IF(AND(NOT(BI103),AND(BI$4:BI102)),MIN(EXP((BJ103-$J103)*$G103),1),"")</f>
        <v/>
      </c>
    </row>
    <row r="104" spans="1:63" x14ac:dyDescent="0.2">
      <c r="A104" s="439" t="e">
        <f ca="1"/>
        <v>#NAME?</v>
      </c>
      <c r="B104" s="438" t="e">
        <f ca="1">_xll.qlRateHelperRate($A104,InterestRatesTrigger)</f>
        <v>#NAME?</v>
      </c>
      <c r="C104" s="437" t="e">
        <f ca="1">_xll.qlRateHelperEarliestDate($A104)</f>
        <v>#NAME?</v>
      </c>
      <c r="D104" s="436" t="e">
        <f ca="1">_xll.qlRateHelperPillarDate($A104)</f>
        <v>#NAME?</v>
      </c>
      <c r="F104" s="446" t="e">
        <f t="shared" ca="1" si="13"/>
        <v>#N/A</v>
      </c>
      <c r="G104" s="445" t="e">
        <f ca="1">_xll.qlDayCounterYearFraction(DayCounter,D103,D104)</f>
        <v>#NAME?</v>
      </c>
      <c r="I104" s="444" t="b">
        <f t="shared" ca="1" si="14"/>
        <v>0</v>
      </c>
      <c r="J104" s="443" t="e">
        <f ca="1"/>
        <v>#NAME?</v>
      </c>
      <c r="K104" s="442" t="e">
        <f t="shared" ca="1" si="12"/>
        <v>#NAME?</v>
      </c>
      <c r="L104" s="430"/>
      <c r="M104" s="441" t="b">
        <f ca="1">IF(AND(NOT(I104),AND(I$4:I103)),TRUE,I104)</f>
        <v>0</v>
      </c>
      <c r="N104" s="440" t="e">
        <f ca="1">IF(AND(NOT(ISBLANK(Jumpoverwrite1)),AND(NOT(M104),AND(M$4:M103))),($J104*$G104-LN(1+Jumpoverwrite1*O$2))/$G104,_xll.qlInterpolationInterpolate(M$3,$F104,TRUE))</f>
        <v>#NAME?</v>
      </c>
      <c r="O104" s="440" t="str">
        <f ca="1">IF(AND(NOT(M104),AND(M$4:M103)),MIN(EXP((N104-$J104)*$G104),1),"")</f>
        <v/>
      </c>
      <c r="P104" s="429"/>
      <c r="Q104" s="441" t="b">
        <f ca="1">IF(AND(NOT(M104),AND(M$4:M103)),TRUE,M104)</f>
        <v>0</v>
      </c>
      <c r="R104" s="440" t="e">
        <f ca="1">IF(AND(NOT(ISBLANK(Jumpoverwrite2)),AND(NOT(Q104),AND(Q$4:Q103))),($J104*$G104-LN(1+Jumpoverwrite2*S$2))/$G104,_xll.qlInterpolationInterpolate(Q$3,$F104,TRUE))</f>
        <v>#NAME?</v>
      </c>
      <c r="S104" s="440" t="str">
        <f ca="1">IF(AND(NOT(Q104),AND(Q$4:Q103)),MIN(EXP((R104-$J104)*$G104),1),"")</f>
        <v/>
      </c>
      <c r="T104" s="429"/>
      <c r="U104" s="441" t="b">
        <f ca="1">IF(AND(NOT(Q104),AND(Q$4:Q103)),TRUE,Q104)</f>
        <v>0</v>
      </c>
      <c r="V104" s="440" t="e">
        <f ca="1">IF(AND(NOT(ISBLANK(Jumpoverwrite3)),AND(NOT(U104),AND(U$4:U103))),($J104*$G104-LN(1+Jumpoverwrite3*W$2))/$G104,_xll.qlInterpolationInterpolate(U$3,$F104,TRUE))</f>
        <v>#NAME?</v>
      </c>
      <c r="W104" s="440" t="str">
        <f ca="1">IF(AND(NOT(U104),AND(U$4:U103)),MIN(EXP((V104-$J104)*$G104),1),"")</f>
        <v/>
      </c>
      <c r="X104" s="429"/>
      <c r="Y104" s="441" t="b">
        <f ca="1">IF(AND(NOT(U104),AND(U$4:U103)),TRUE,U104)</f>
        <v>0</v>
      </c>
      <c r="Z104" s="440" t="e">
        <f ca="1">IF(AND(NOT(ISBLANK(Jumpoverwrite4)),AND(NOT(Y104),AND(Y$4:Y103))),($J104*$G104-LN(1+Jumpoverwrite4*AA$2))/$G104,_xll.qlInterpolationInterpolate(Y$3,$F104,TRUE))</f>
        <v>#NAME?</v>
      </c>
      <c r="AA104" s="440" t="str">
        <f ca="1">IF(AND(NOT(Y104),AND(Y$4:Y103)),MIN(EXP((Z104-$J104)*$G104),1),"")</f>
        <v/>
      </c>
      <c r="AB104" s="429"/>
      <c r="AC104" s="441" t="b">
        <f ca="1">IF(AND(NOT(Y104),AND(Y$4:Y103)),TRUE,Y104)</f>
        <v>0</v>
      </c>
      <c r="AD104" s="440" t="e">
        <f ca="1">IF(AND(NOT(ISBLANK(Jumpoverwrite5)),AND(NOT(AC104),AND(AC$4:AC103))),($J104*$G104-LN(1+Jumpoverwrite5*AE$2))/$G104,_xll.qlInterpolationInterpolate(AC$3,$F104,TRUE))</f>
        <v>#NAME?</v>
      </c>
      <c r="AE104" s="440" t="str">
        <f ca="1">IF(AND(NOT(AC104),AND(AC$4:AC103)),MIN(EXP((AD104-$J104)*$G104),1),"")</f>
        <v/>
      </c>
      <c r="AF104" s="429"/>
      <c r="AG104" s="441" t="b">
        <f ca="1">IF(AND(NOT(AC104),AND(AC$4:AC103)),TRUE,AC104)</f>
        <v>0</v>
      </c>
      <c r="AH104" s="440" t="e">
        <f ca="1">IF(AND(NOT(ISBLANK(Jumpoverwrite6)),AND(NOT(AG104),AND(AG$4:AG103))),($J104*$G104-LN(1+Jumpoverwrite6*AI$2))/$G104,_xll.qlInterpolationInterpolate(AG$3,$F104,TRUE))</f>
        <v>#NAME?</v>
      </c>
      <c r="AI104" s="440" t="str">
        <f ca="1">IF(AND(NOT(AG104),AND(AG$4:AG103)),MIN(EXP((AH104-$J104)*$G104),1),"")</f>
        <v/>
      </c>
      <c r="AJ104" s="429"/>
      <c r="AK104" s="441" t="b">
        <f ca="1">IF(AND(NOT(AG104),AND(AG$4:AG103)),TRUE,AG104)</f>
        <v>0</v>
      </c>
      <c r="AL104" s="440" t="e">
        <f ca="1">IF(AND(NOT(ISBLANK(Jumpoverwrite7)),AND(NOT(AK104),AND(AK$4:AK103))),($J104*$G104-LN(1+Jumpoverwrite7*AM$2))/$G104,_xll.qlInterpolationInterpolate(AK$3,$F104,TRUE))</f>
        <v>#NAME?</v>
      </c>
      <c r="AM104" s="440" t="str">
        <f ca="1">IF(AND(NOT(AK104),AND(AK$4:AK103)),MIN(EXP((AL104-$J104)*$G104),1),"")</f>
        <v/>
      </c>
      <c r="AO104" s="441" t="b">
        <f ca="1">IF(AND(NOT(AK104),AND(AK$4:AK103)),TRUE,AK104)</f>
        <v>0</v>
      </c>
      <c r="AP104" s="440" t="e">
        <f ca="1">IF(AND(NOT(ISBLANK(Jumpoverwrite8)),AND(NOT(AO104),AND(AO$4:AO103))),($J104*$G104-LN(1+Jumpoverwrite8*AQ$2))/$G104,_xll.qlInterpolationInterpolate(AO$3,$F104,TRUE))</f>
        <v>#NAME?</v>
      </c>
      <c r="AQ104" s="440" t="str">
        <f ca="1">IF(AND(NOT(AO104),AND(AO$4:AO103)),MIN(EXP((AP104-$J104)*$G104),1),"")</f>
        <v/>
      </c>
      <c r="AS104" s="441" t="b">
        <f ca="1">IF(AND(NOT(AO104),AND(AO$4:AO103)),TRUE,AO104)</f>
        <v>0</v>
      </c>
      <c r="AT104" s="440" t="e">
        <f ca="1">IF(AND(NOT(ISBLANK(Jumpoverwrite9)),AND(NOT(AS104),AND(AS$4:AS103))),($J104*$G104-LN(1+Jumpoverwrite9*AU$2))/$G104,_xll.qlInterpolationInterpolate(AS$3,$F104,TRUE))</f>
        <v>#NAME?</v>
      </c>
      <c r="AU104" s="440" t="str">
        <f ca="1">IF(AND(NOT(AS104),AND(AS$4:AS103)),MIN(EXP((AT104-$J104)*$G104),1),"")</f>
        <v/>
      </c>
      <c r="AW104" s="441" t="b">
        <f ca="1">IF(AND(NOT(AS104),AND(AS$4:AS103)),TRUE,AS104)</f>
        <v>0</v>
      </c>
      <c r="AX104" s="440" t="e">
        <f ca="1">IF(AND(NOT(ISBLANK(Jumpoverwrite10)),AND(NOT(AW104),AND(AW$4:AW103))),($J104*$G104-LN(1+Jumpoverwrite10*AY$2))/$G104,_xll.qlInterpolationInterpolate(AW$3,$F104,TRUE))</f>
        <v>#NAME?</v>
      </c>
      <c r="AY104" s="440" t="str">
        <f ca="1">IF(AND(NOT(AW104),AND(AW$4:AW103)),MIN(EXP((AX104-$J104)*$G104),1),"")</f>
        <v/>
      </c>
      <c r="BA104" s="441" t="b">
        <f ca="1">IF(AND(NOT(AW104),AND(AW$4:AW103)),TRUE,AW104)</f>
        <v>0</v>
      </c>
      <c r="BB104" s="440" t="e">
        <f ca="1">IF(AND(NOT(ISBLANK(Jumpoverwrite11)),AND(NOT(BA104),AND(BA$4:BA103))),($J104*$G104-LN(1+Jumpoverwrite11*BC$2))/$G104,_xll.qlInterpolationInterpolate(BA$3,$F104,TRUE))</f>
        <v>#NAME?</v>
      </c>
      <c r="BC104" s="440" t="str">
        <f ca="1">IF(AND(NOT(BA104),AND(BA$4:BA103)),MIN(EXP((BB104-$J104)*$G104),1),"")</f>
        <v/>
      </c>
      <c r="BE104" s="441" t="b">
        <f ca="1">IF(AND(NOT(BA104),AND(BA$4:BA103)),TRUE,BA104)</f>
        <v>0</v>
      </c>
      <c r="BF104" s="440" t="e">
        <f ca="1">IF(AND(NOT(ISBLANK(Jumpoverwrite12)),AND(NOT(BE104),AND(BE$4:BE103))),($J104*$G104-LN(1+Jumpoverwrite12*BG$2))/$G104,_xll.qlInterpolationInterpolate(BE$3,$F104,TRUE))</f>
        <v>#NAME?</v>
      </c>
      <c r="BG104" s="440" t="str">
        <f ca="1">IF(AND(NOT(BE104),AND(BE$4:BE103)),MIN(EXP((BF104-$J104)*$G104),1),"")</f>
        <v/>
      </c>
      <c r="BI104" s="441" t="b">
        <f t="shared" ca="1" si="15"/>
        <v>0</v>
      </c>
      <c r="BJ104" s="440" t="e">
        <f ca="1">IF(AND(NOT(ISBLANK(jumpoverwrite13)),AND(NOT(BI104),AND(BI$4:BI103))),($J104*$G104-LN(1+jumpoverwrite13*BK$2))/$G104,_xll.qlInterpolationInterpolate(BI$3,$F104,TRUE))</f>
        <v>#NAME?</v>
      </c>
      <c r="BK104" s="440" t="str">
        <f ca="1">IF(AND(NOT(BI104),AND(BI$4:BI103)),MIN(EXP((BJ104-$J104)*$G104),1),"")</f>
        <v/>
      </c>
    </row>
    <row r="105" spans="1:63" x14ac:dyDescent="0.2">
      <c r="A105" s="439" t="e">
        <f ca="1"/>
        <v>#NAME?</v>
      </c>
      <c r="B105" s="438" t="e">
        <f ca="1">_xll.qlRateHelperRate($A105,InterestRatesTrigger)</f>
        <v>#NAME?</v>
      </c>
      <c r="C105" s="437" t="e">
        <f ca="1">_xll.qlRateHelperEarliestDate($A105)</f>
        <v>#NAME?</v>
      </c>
      <c r="D105" s="436" t="e">
        <f ca="1">_xll.qlRateHelperPillarDate($A105)</f>
        <v>#NAME?</v>
      </c>
      <c r="F105" s="446" t="e">
        <f t="shared" ca="1" si="13"/>
        <v>#N/A</v>
      </c>
      <c r="G105" s="445" t="e">
        <f ca="1">_xll.qlDayCounterYearFraction(DayCounter,D104,D105)</f>
        <v>#NAME?</v>
      </c>
      <c r="I105" s="444" t="b">
        <f t="shared" ca="1" si="14"/>
        <v>0</v>
      </c>
      <c r="J105" s="443" t="e">
        <f ca="1"/>
        <v>#NAME?</v>
      </c>
      <c r="K105" s="442" t="e">
        <f t="shared" ca="1" si="12"/>
        <v>#NAME?</v>
      </c>
      <c r="L105" s="430"/>
      <c r="M105" s="441" t="b">
        <f ca="1">IF(AND(NOT(I105),AND(I$4:I104)),TRUE,I105)</f>
        <v>0</v>
      </c>
      <c r="N105" s="440" t="e">
        <f ca="1">IF(AND(NOT(ISBLANK(Jumpoverwrite1)),AND(NOT(M105),AND(M$4:M104))),($J105*$G105-LN(1+Jumpoverwrite1*O$2))/$G105,_xll.qlInterpolationInterpolate(M$3,$F105,TRUE))</f>
        <v>#NAME?</v>
      </c>
      <c r="O105" s="440" t="str">
        <f ca="1">IF(AND(NOT(M105),AND(M$4:M104)),MIN(EXP((N105-$J105)*$G105),1),"")</f>
        <v/>
      </c>
      <c r="P105" s="429"/>
      <c r="Q105" s="441" t="b">
        <f ca="1">IF(AND(NOT(M105),AND(M$4:M104)),TRUE,M105)</f>
        <v>0</v>
      </c>
      <c r="R105" s="440" t="e">
        <f ca="1">IF(AND(NOT(ISBLANK(Jumpoverwrite2)),AND(NOT(Q105),AND(Q$4:Q104))),($J105*$G105-LN(1+Jumpoverwrite2*S$2))/$G105,_xll.qlInterpolationInterpolate(Q$3,$F105,TRUE))</f>
        <v>#NAME?</v>
      </c>
      <c r="S105" s="440" t="str">
        <f ca="1">IF(AND(NOT(Q105),AND(Q$4:Q104)),MIN(EXP((R105-$J105)*$G105),1),"")</f>
        <v/>
      </c>
      <c r="T105" s="429"/>
      <c r="U105" s="441" t="b">
        <f ca="1">IF(AND(NOT(Q105),AND(Q$4:Q104)),TRUE,Q105)</f>
        <v>0</v>
      </c>
      <c r="V105" s="440" t="e">
        <f ca="1">IF(AND(NOT(ISBLANK(Jumpoverwrite3)),AND(NOT(U105),AND(U$4:U104))),($J105*$G105-LN(1+Jumpoverwrite3*W$2))/$G105,_xll.qlInterpolationInterpolate(U$3,$F105,TRUE))</f>
        <v>#NAME?</v>
      </c>
      <c r="W105" s="440" t="str">
        <f ca="1">IF(AND(NOT(U105),AND(U$4:U104)),MIN(EXP((V105-$J105)*$G105),1),"")</f>
        <v/>
      </c>
      <c r="X105" s="429"/>
      <c r="Y105" s="441" t="b">
        <f ca="1">IF(AND(NOT(U105),AND(U$4:U104)),TRUE,U105)</f>
        <v>0</v>
      </c>
      <c r="Z105" s="440" t="e">
        <f ca="1">IF(AND(NOT(ISBLANK(Jumpoverwrite4)),AND(NOT(Y105),AND(Y$4:Y104))),($J105*$G105-LN(1+Jumpoverwrite4*AA$2))/$G105,_xll.qlInterpolationInterpolate(Y$3,$F105,TRUE))</f>
        <v>#NAME?</v>
      </c>
      <c r="AA105" s="440" t="str">
        <f ca="1">IF(AND(NOT(Y105),AND(Y$4:Y104)),MIN(EXP((Z105-$J105)*$G105),1),"")</f>
        <v/>
      </c>
      <c r="AB105" s="429"/>
      <c r="AC105" s="441" t="b">
        <f ca="1">IF(AND(NOT(Y105),AND(Y$4:Y104)),TRUE,Y105)</f>
        <v>0</v>
      </c>
      <c r="AD105" s="440" t="e">
        <f ca="1">IF(AND(NOT(ISBLANK(Jumpoverwrite5)),AND(NOT(AC105),AND(AC$4:AC104))),($J105*$G105-LN(1+Jumpoverwrite5*AE$2))/$G105,_xll.qlInterpolationInterpolate(AC$3,$F105,TRUE))</f>
        <v>#NAME?</v>
      </c>
      <c r="AE105" s="440" t="str">
        <f ca="1">IF(AND(NOT(AC105),AND(AC$4:AC104)),MIN(EXP((AD105-$J105)*$G105),1),"")</f>
        <v/>
      </c>
      <c r="AF105" s="429"/>
      <c r="AG105" s="441" t="b">
        <f ca="1">IF(AND(NOT(AC105),AND(AC$4:AC104)),TRUE,AC105)</f>
        <v>0</v>
      </c>
      <c r="AH105" s="440" t="e">
        <f ca="1">IF(AND(NOT(ISBLANK(Jumpoverwrite6)),AND(NOT(AG105),AND(AG$4:AG104))),($J105*$G105-LN(1+Jumpoverwrite6*AI$2))/$G105,_xll.qlInterpolationInterpolate(AG$3,$F105,TRUE))</f>
        <v>#NAME?</v>
      </c>
      <c r="AI105" s="440" t="str">
        <f ca="1">IF(AND(NOT(AG105),AND(AG$4:AG104)),MIN(EXP((AH105-$J105)*$G105),1),"")</f>
        <v/>
      </c>
      <c r="AJ105" s="429"/>
      <c r="AK105" s="441" t="b">
        <f ca="1">IF(AND(NOT(AG105),AND(AG$4:AG104)),TRUE,AG105)</f>
        <v>0</v>
      </c>
      <c r="AL105" s="440" t="e">
        <f ca="1">IF(AND(NOT(ISBLANK(Jumpoverwrite7)),AND(NOT(AK105),AND(AK$4:AK104))),($J105*$G105-LN(1+Jumpoverwrite7*AM$2))/$G105,_xll.qlInterpolationInterpolate(AK$3,$F105,TRUE))</f>
        <v>#NAME?</v>
      </c>
      <c r="AM105" s="440" t="str">
        <f ca="1">IF(AND(NOT(AK105),AND(AK$4:AK104)),MIN(EXP((AL105-$J105)*$G105),1),"")</f>
        <v/>
      </c>
      <c r="AO105" s="441" t="b">
        <f ca="1">IF(AND(NOT(AK105),AND(AK$4:AK104)),TRUE,AK105)</f>
        <v>0</v>
      </c>
      <c r="AP105" s="440" t="e">
        <f ca="1">IF(AND(NOT(ISBLANK(Jumpoverwrite8)),AND(NOT(AO105),AND(AO$4:AO104))),($J105*$G105-LN(1+Jumpoverwrite8*AQ$2))/$G105,_xll.qlInterpolationInterpolate(AO$3,$F105,TRUE))</f>
        <v>#NAME?</v>
      </c>
      <c r="AQ105" s="440" t="str">
        <f ca="1">IF(AND(NOT(AO105),AND(AO$4:AO104)),MIN(EXP((AP105-$J105)*$G105),1),"")</f>
        <v/>
      </c>
      <c r="AS105" s="441" t="b">
        <f ca="1">IF(AND(NOT(AO105),AND(AO$4:AO104)),TRUE,AO105)</f>
        <v>0</v>
      </c>
      <c r="AT105" s="440" t="e">
        <f ca="1">IF(AND(NOT(ISBLANK(Jumpoverwrite9)),AND(NOT(AS105),AND(AS$4:AS104))),($J105*$G105-LN(1+Jumpoverwrite9*AU$2))/$G105,_xll.qlInterpolationInterpolate(AS$3,$F105,TRUE))</f>
        <v>#NAME?</v>
      </c>
      <c r="AU105" s="440" t="str">
        <f ca="1">IF(AND(NOT(AS105),AND(AS$4:AS104)),MIN(EXP((AT105-$J105)*$G105),1),"")</f>
        <v/>
      </c>
      <c r="AW105" s="441" t="b">
        <f ca="1">IF(AND(NOT(AS105),AND(AS$4:AS104)),TRUE,AS105)</f>
        <v>0</v>
      </c>
      <c r="AX105" s="440" t="e">
        <f ca="1">IF(AND(NOT(ISBLANK(Jumpoverwrite10)),AND(NOT(AW105),AND(AW$4:AW104))),($J105*$G105-LN(1+Jumpoverwrite10*AY$2))/$G105,_xll.qlInterpolationInterpolate(AW$3,$F105,TRUE))</f>
        <v>#NAME?</v>
      </c>
      <c r="AY105" s="440" t="str">
        <f ca="1">IF(AND(NOT(AW105),AND(AW$4:AW104)),MIN(EXP((AX105-$J105)*$G105),1),"")</f>
        <v/>
      </c>
      <c r="BA105" s="441" t="b">
        <f ca="1">IF(AND(NOT(AW105),AND(AW$4:AW104)),TRUE,AW105)</f>
        <v>0</v>
      </c>
      <c r="BB105" s="440" t="e">
        <f ca="1">IF(AND(NOT(ISBLANK(Jumpoverwrite11)),AND(NOT(BA105),AND(BA$4:BA104))),($J105*$G105-LN(1+Jumpoverwrite11*BC$2))/$G105,_xll.qlInterpolationInterpolate(BA$3,$F105,TRUE))</f>
        <v>#NAME?</v>
      </c>
      <c r="BC105" s="440" t="str">
        <f ca="1">IF(AND(NOT(BA105),AND(BA$4:BA104)),MIN(EXP((BB105-$J105)*$G105),1),"")</f>
        <v/>
      </c>
      <c r="BE105" s="441" t="b">
        <f ca="1">IF(AND(NOT(BA105),AND(BA$4:BA104)),TRUE,BA105)</f>
        <v>0</v>
      </c>
      <c r="BF105" s="440" t="e">
        <f ca="1">IF(AND(NOT(ISBLANK(Jumpoverwrite12)),AND(NOT(BE105),AND(BE$4:BE104))),($J105*$G105-LN(1+Jumpoverwrite12*BG$2))/$G105,_xll.qlInterpolationInterpolate(BE$3,$F105,TRUE))</f>
        <v>#NAME?</v>
      </c>
      <c r="BG105" s="440" t="str">
        <f ca="1">IF(AND(NOT(BE105),AND(BE$4:BE104)),MIN(EXP((BF105-$J105)*$G105),1),"")</f>
        <v/>
      </c>
      <c r="BI105" s="441" t="b">
        <f t="shared" ca="1" si="15"/>
        <v>0</v>
      </c>
      <c r="BJ105" s="440" t="e">
        <f ca="1">IF(AND(NOT(ISBLANK(jumpoverwrite13)),AND(NOT(BI105),AND(BI$4:BI104))),($J105*$G105-LN(1+jumpoverwrite13*BK$2))/$G105,_xll.qlInterpolationInterpolate(BI$3,$F105,TRUE))</f>
        <v>#NAME?</v>
      </c>
      <c r="BK105" s="440" t="str">
        <f ca="1">IF(AND(NOT(BI105),AND(BI$4:BI104)),MIN(EXP((BJ105-$J105)*$G105),1),"")</f>
        <v/>
      </c>
    </row>
    <row r="106" spans="1:63" x14ac:dyDescent="0.2">
      <c r="A106" s="439" t="e">
        <f ca="1"/>
        <v>#NAME?</v>
      </c>
      <c r="B106" s="438" t="e">
        <f ca="1">_xll.qlRateHelperRate($A106,InterestRatesTrigger)</f>
        <v>#NAME?</v>
      </c>
      <c r="C106" s="437" t="e">
        <f ca="1">_xll.qlRateHelperEarliestDate($A106)</f>
        <v>#NAME?</v>
      </c>
      <c r="D106" s="436" t="e">
        <f ca="1">_xll.qlRateHelperPillarDate($A106)</f>
        <v>#NAME?</v>
      </c>
      <c r="F106" s="446" t="e">
        <f t="shared" ca="1" si="13"/>
        <v>#N/A</v>
      </c>
      <c r="G106" s="445" t="e">
        <f ca="1">_xll.qlDayCounterYearFraction(DayCounter,D105,D106)</f>
        <v>#NAME?</v>
      </c>
      <c r="I106" s="444" t="b">
        <f t="shared" ca="1" si="14"/>
        <v>0</v>
      </c>
      <c r="J106" s="443" t="e">
        <f ca="1"/>
        <v>#NAME?</v>
      </c>
      <c r="K106" s="442" t="e">
        <f t="shared" ca="1" si="12"/>
        <v>#NAME?</v>
      </c>
      <c r="L106" s="430"/>
      <c r="M106" s="441" t="b">
        <f ca="1">IF(AND(NOT(I106),AND(I$4:I105)),TRUE,I106)</f>
        <v>0</v>
      </c>
      <c r="N106" s="440" t="e">
        <f ca="1">IF(AND(NOT(ISBLANK(Jumpoverwrite1)),AND(NOT(M106),AND(M$4:M105))),($J106*$G106-LN(1+Jumpoverwrite1*O$2))/$G106,_xll.qlInterpolationInterpolate(M$3,$F106,TRUE))</f>
        <v>#NAME?</v>
      </c>
      <c r="O106" s="440" t="str">
        <f ca="1">IF(AND(NOT(M106),AND(M$4:M105)),MIN(EXP((N106-$J106)*$G106),1),"")</f>
        <v/>
      </c>
      <c r="P106" s="429"/>
      <c r="Q106" s="441" t="b">
        <f ca="1">IF(AND(NOT(M106),AND(M$4:M105)),TRUE,M106)</f>
        <v>0</v>
      </c>
      <c r="R106" s="440" t="e">
        <f ca="1">IF(AND(NOT(ISBLANK(Jumpoverwrite2)),AND(NOT(Q106),AND(Q$4:Q105))),($J106*$G106-LN(1+Jumpoverwrite2*S$2))/$G106,_xll.qlInterpolationInterpolate(Q$3,$F106,TRUE))</f>
        <v>#NAME?</v>
      </c>
      <c r="S106" s="440" t="str">
        <f ca="1">IF(AND(NOT(Q106),AND(Q$4:Q105)),MIN(EXP((R106-$J106)*$G106),1),"")</f>
        <v/>
      </c>
      <c r="T106" s="429"/>
      <c r="U106" s="441" t="b">
        <f ca="1">IF(AND(NOT(Q106),AND(Q$4:Q105)),TRUE,Q106)</f>
        <v>0</v>
      </c>
      <c r="V106" s="440" t="e">
        <f ca="1">IF(AND(NOT(ISBLANK(Jumpoverwrite3)),AND(NOT(U106),AND(U$4:U105))),($J106*$G106-LN(1+Jumpoverwrite3*W$2))/$G106,_xll.qlInterpolationInterpolate(U$3,$F106,TRUE))</f>
        <v>#NAME?</v>
      </c>
      <c r="W106" s="440" t="str">
        <f ca="1">IF(AND(NOT(U106),AND(U$4:U105)),MIN(EXP((V106-$J106)*$G106),1),"")</f>
        <v/>
      </c>
      <c r="X106" s="429"/>
      <c r="Y106" s="441" t="b">
        <f ca="1">IF(AND(NOT(U106),AND(U$4:U105)),TRUE,U106)</f>
        <v>0</v>
      </c>
      <c r="Z106" s="440" t="e">
        <f ca="1">IF(AND(NOT(ISBLANK(Jumpoverwrite4)),AND(NOT(Y106),AND(Y$4:Y105))),($J106*$G106-LN(1+Jumpoverwrite4*AA$2))/$G106,_xll.qlInterpolationInterpolate(Y$3,$F106,TRUE))</f>
        <v>#NAME?</v>
      </c>
      <c r="AA106" s="440" t="str">
        <f ca="1">IF(AND(NOT(Y106),AND(Y$4:Y105)),MIN(EXP((Z106-$J106)*$G106),1),"")</f>
        <v/>
      </c>
      <c r="AB106" s="429"/>
      <c r="AC106" s="441" t="b">
        <f ca="1">IF(AND(NOT(Y106),AND(Y$4:Y105)),TRUE,Y106)</f>
        <v>0</v>
      </c>
      <c r="AD106" s="440" t="e">
        <f ca="1">IF(AND(NOT(ISBLANK(Jumpoverwrite5)),AND(NOT(AC106),AND(AC$4:AC105))),($J106*$G106-LN(1+Jumpoverwrite5*AE$2))/$G106,_xll.qlInterpolationInterpolate(AC$3,$F106,TRUE))</f>
        <v>#NAME?</v>
      </c>
      <c r="AE106" s="440" t="str">
        <f ca="1">IF(AND(NOT(AC106),AND(AC$4:AC105)),MIN(EXP((AD106-$J106)*$G106),1),"")</f>
        <v/>
      </c>
      <c r="AF106" s="429"/>
      <c r="AG106" s="441" t="b">
        <f ca="1">IF(AND(NOT(AC106),AND(AC$4:AC105)),TRUE,AC106)</f>
        <v>0</v>
      </c>
      <c r="AH106" s="440" t="e">
        <f ca="1">IF(AND(NOT(ISBLANK(Jumpoverwrite6)),AND(NOT(AG106),AND(AG$4:AG105))),($J106*$G106-LN(1+Jumpoverwrite6*AI$2))/$G106,_xll.qlInterpolationInterpolate(AG$3,$F106,TRUE))</f>
        <v>#NAME?</v>
      </c>
      <c r="AI106" s="440" t="str">
        <f ca="1">IF(AND(NOT(AG106),AND(AG$4:AG105)),MIN(EXP((AH106-$J106)*$G106),1),"")</f>
        <v/>
      </c>
      <c r="AJ106" s="429"/>
      <c r="AK106" s="441" t="b">
        <f ca="1">IF(AND(NOT(AG106),AND(AG$4:AG105)),TRUE,AG106)</f>
        <v>0</v>
      </c>
      <c r="AL106" s="440" t="e">
        <f ca="1">IF(AND(NOT(ISBLANK(Jumpoverwrite7)),AND(NOT(AK106),AND(AK$4:AK105))),($J106*$G106-LN(1+Jumpoverwrite7*AM$2))/$G106,_xll.qlInterpolationInterpolate(AK$3,$F106,TRUE))</f>
        <v>#NAME?</v>
      </c>
      <c r="AM106" s="440" t="str">
        <f ca="1">IF(AND(NOT(AK106),AND(AK$4:AK105)),MIN(EXP((AL106-$J106)*$G106),1),"")</f>
        <v/>
      </c>
      <c r="AO106" s="441" t="b">
        <f ca="1">IF(AND(NOT(AK106),AND(AK$4:AK105)),TRUE,AK106)</f>
        <v>0</v>
      </c>
      <c r="AP106" s="440" t="e">
        <f ca="1">IF(AND(NOT(ISBLANK(Jumpoverwrite8)),AND(NOT(AO106),AND(AO$4:AO105))),($J106*$G106-LN(1+Jumpoverwrite8*AQ$2))/$G106,_xll.qlInterpolationInterpolate(AO$3,$F106,TRUE))</f>
        <v>#NAME?</v>
      </c>
      <c r="AQ106" s="440" t="str">
        <f ca="1">IF(AND(NOT(AO106),AND(AO$4:AO105)),MIN(EXP((AP106-$J106)*$G106),1),"")</f>
        <v/>
      </c>
      <c r="AS106" s="441" t="b">
        <f ca="1">IF(AND(NOT(AO106),AND(AO$4:AO105)),TRUE,AO106)</f>
        <v>0</v>
      </c>
      <c r="AT106" s="440" t="e">
        <f ca="1">IF(AND(NOT(ISBLANK(Jumpoverwrite9)),AND(NOT(AS106),AND(AS$4:AS105))),($J106*$G106-LN(1+Jumpoverwrite9*AU$2))/$G106,_xll.qlInterpolationInterpolate(AS$3,$F106,TRUE))</f>
        <v>#NAME?</v>
      </c>
      <c r="AU106" s="440" t="str">
        <f ca="1">IF(AND(NOT(AS106),AND(AS$4:AS105)),MIN(EXP((AT106-$J106)*$G106),1),"")</f>
        <v/>
      </c>
      <c r="AW106" s="441" t="b">
        <f ca="1">IF(AND(NOT(AS106),AND(AS$4:AS105)),TRUE,AS106)</f>
        <v>0</v>
      </c>
      <c r="AX106" s="440" t="e">
        <f ca="1">IF(AND(NOT(ISBLANK(Jumpoverwrite10)),AND(NOT(AW106),AND(AW$4:AW105))),($J106*$G106-LN(1+Jumpoverwrite10*AY$2))/$G106,_xll.qlInterpolationInterpolate(AW$3,$F106,TRUE))</f>
        <v>#NAME?</v>
      </c>
      <c r="AY106" s="440" t="str">
        <f ca="1">IF(AND(NOT(AW106),AND(AW$4:AW105)),MIN(EXP((AX106-$J106)*$G106),1),"")</f>
        <v/>
      </c>
      <c r="BA106" s="441" t="b">
        <f ca="1">IF(AND(NOT(AW106),AND(AW$4:AW105)),TRUE,AW106)</f>
        <v>0</v>
      </c>
      <c r="BB106" s="440" t="e">
        <f ca="1">IF(AND(NOT(ISBLANK(Jumpoverwrite11)),AND(NOT(BA106),AND(BA$4:BA105))),($J106*$G106-LN(1+Jumpoverwrite11*BC$2))/$G106,_xll.qlInterpolationInterpolate(BA$3,$F106,TRUE))</f>
        <v>#NAME?</v>
      </c>
      <c r="BC106" s="440" t="str">
        <f ca="1">IF(AND(NOT(BA106),AND(BA$4:BA105)),MIN(EXP((BB106-$J106)*$G106),1),"")</f>
        <v/>
      </c>
      <c r="BE106" s="441" t="b">
        <f ca="1">IF(AND(NOT(BA106),AND(BA$4:BA105)),TRUE,BA106)</f>
        <v>0</v>
      </c>
      <c r="BF106" s="440" t="e">
        <f ca="1">IF(AND(NOT(ISBLANK(Jumpoverwrite12)),AND(NOT(BE106),AND(BE$4:BE105))),($J106*$G106-LN(1+Jumpoverwrite12*BG$2))/$G106,_xll.qlInterpolationInterpolate(BE$3,$F106,TRUE))</f>
        <v>#NAME?</v>
      </c>
      <c r="BG106" s="440" t="str">
        <f ca="1">IF(AND(NOT(BE106),AND(BE$4:BE105)),MIN(EXP((BF106-$J106)*$G106),1),"")</f>
        <v/>
      </c>
      <c r="BI106" s="441" t="b">
        <f t="shared" ca="1" si="15"/>
        <v>0</v>
      </c>
      <c r="BJ106" s="440" t="e">
        <f ca="1">IF(AND(NOT(ISBLANK(jumpoverwrite13)),AND(NOT(BI106),AND(BI$4:BI105))),($J106*$G106-LN(1+jumpoverwrite13*BK$2))/$G106,_xll.qlInterpolationInterpolate(BI$3,$F106,TRUE))</f>
        <v>#NAME?</v>
      </c>
      <c r="BK106" s="440" t="str">
        <f ca="1">IF(AND(NOT(BI106),AND(BI$4:BI105)),MIN(EXP((BJ106-$J106)*$G106),1),"")</f>
        <v/>
      </c>
    </row>
    <row r="107" spans="1:63" x14ac:dyDescent="0.2">
      <c r="A107" s="439" t="e">
        <f ca="1"/>
        <v>#NAME?</v>
      </c>
      <c r="B107" s="438" t="e">
        <f ca="1">_xll.qlRateHelperRate($A107,InterestRatesTrigger)</f>
        <v>#NAME?</v>
      </c>
      <c r="C107" s="437" t="e">
        <f ca="1">_xll.qlRateHelperEarliestDate($A107)</f>
        <v>#NAME?</v>
      </c>
      <c r="D107" s="436" t="e">
        <f ca="1">_xll.qlRateHelperPillarDate($A107)</f>
        <v>#NAME?</v>
      </c>
      <c r="F107" s="446" t="e">
        <f t="shared" ca="1" si="13"/>
        <v>#N/A</v>
      </c>
      <c r="G107" s="445" t="e">
        <f ca="1">_xll.qlDayCounterYearFraction(DayCounter,D106,D107)</f>
        <v>#NAME?</v>
      </c>
      <c r="I107" s="444" t="b">
        <f t="shared" ca="1" si="14"/>
        <v>0</v>
      </c>
      <c r="J107" s="443" t="e">
        <f ca="1"/>
        <v>#NAME?</v>
      </c>
      <c r="K107" s="442" t="e">
        <f t="shared" ca="1" si="12"/>
        <v>#NAME?</v>
      </c>
      <c r="L107" s="430"/>
      <c r="M107" s="441" t="b">
        <f ca="1">IF(AND(NOT(I107),AND(I$4:I106)),TRUE,I107)</f>
        <v>0</v>
      </c>
      <c r="N107" s="440" t="e">
        <f ca="1">IF(AND(NOT(ISBLANK(Jumpoverwrite1)),AND(NOT(M107),AND(M$4:M106))),($J107*$G107-LN(1+Jumpoverwrite1*O$2))/$G107,_xll.qlInterpolationInterpolate(M$3,$F107,TRUE))</f>
        <v>#NAME?</v>
      </c>
      <c r="O107" s="440" t="str">
        <f ca="1">IF(AND(NOT(M107),AND(M$4:M106)),MIN(EXP((N107-$J107)*$G107),1),"")</f>
        <v/>
      </c>
      <c r="P107" s="429"/>
      <c r="Q107" s="441" t="b">
        <f ca="1">IF(AND(NOT(M107),AND(M$4:M106)),TRUE,M107)</f>
        <v>0</v>
      </c>
      <c r="R107" s="440" t="e">
        <f ca="1">IF(AND(NOT(ISBLANK(Jumpoverwrite2)),AND(NOT(Q107),AND(Q$4:Q106))),($J107*$G107-LN(1+Jumpoverwrite2*S$2))/$G107,_xll.qlInterpolationInterpolate(Q$3,$F107,TRUE))</f>
        <v>#NAME?</v>
      </c>
      <c r="S107" s="440" t="str">
        <f ca="1">IF(AND(NOT(Q107),AND(Q$4:Q106)),MIN(EXP((R107-$J107)*$G107),1),"")</f>
        <v/>
      </c>
      <c r="T107" s="429"/>
      <c r="U107" s="441" t="b">
        <f ca="1">IF(AND(NOT(Q107),AND(Q$4:Q106)),TRUE,Q107)</f>
        <v>0</v>
      </c>
      <c r="V107" s="440" t="e">
        <f ca="1">IF(AND(NOT(ISBLANK(Jumpoverwrite3)),AND(NOT(U107),AND(U$4:U106))),($J107*$G107-LN(1+Jumpoverwrite3*W$2))/$G107,_xll.qlInterpolationInterpolate(U$3,$F107,TRUE))</f>
        <v>#NAME?</v>
      </c>
      <c r="W107" s="440" t="str">
        <f ca="1">IF(AND(NOT(U107),AND(U$4:U106)),MIN(EXP((V107-$J107)*$G107),1),"")</f>
        <v/>
      </c>
      <c r="X107" s="429"/>
      <c r="Y107" s="441" t="b">
        <f ca="1">IF(AND(NOT(U107),AND(U$4:U106)),TRUE,U107)</f>
        <v>0</v>
      </c>
      <c r="Z107" s="440" t="e">
        <f ca="1">IF(AND(NOT(ISBLANK(Jumpoverwrite4)),AND(NOT(Y107),AND(Y$4:Y106))),($J107*$G107-LN(1+Jumpoverwrite4*AA$2))/$G107,_xll.qlInterpolationInterpolate(Y$3,$F107,TRUE))</f>
        <v>#NAME?</v>
      </c>
      <c r="AA107" s="440" t="str">
        <f ca="1">IF(AND(NOT(Y107),AND(Y$4:Y106)),MIN(EXP((Z107-$J107)*$G107),1),"")</f>
        <v/>
      </c>
      <c r="AB107" s="429"/>
      <c r="AC107" s="441" t="b">
        <f ca="1">IF(AND(NOT(Y107),AND(Y$4:Y106)),TRUE,Y107)</f>
        <v>0</v>
      </c>
      <c r="AD107" s="440" t="e">
        <f ca="1">IF(AND(NOT(ISBLANK(Jumpoverwrite5)),AND(NOT(AC107),AND(AC$4:AC106))),($J107*$G107-LN(1+Jumpoverwrite5*AE$2))/$G107,_xll.qlInterpolationInterpolate(AC$3,$F107,TRUE))</f>
        <v>#NAME?</v>
      </c>
      <c r="AE107" s="440" t="str">
        <f ca="1">IF(AND(NOT(AC107),AND(AC$4:AC106)),MIN(EXP((AD107-$J107)*$G107),1),"")</f>
        <v/>
      </c>
      <c r="AF107" s="429"/>
      <c r="AG107" s="441" t="b">
        <f ca="1">IF(AND(NOT(AC107),AND(AC$4:AC106)),TRUE,AC107)</f>
        <v>0</v>
      </c>
      <c r="AH107" s="440" t="e">
        <f ca="1">IF(AND(NOT(ISBLANK(Jumpoverwrite6)),AND(NOT(AG107),AND(AG$4:AG106))),($J107*$G107-LN(1+Jumpoverwrite6*AI$2))/$G107,_xll.qlInterpolationInterpolate(AG$3,$F107,TRUE))</f>
        <v>#NAME?</v>
      </c>
      <c r="AI107" s="440" t="str">
        <f ca="1">IF(AND(NOT(AG107),AND(AG$4:AG106)),MIN(EXP((AH107-$J107)*$G107),1),"")</f>
        <v/>
      </c>
      <c r="AJ107" s="429"/>
      <c r="AK107" s="441" t="b">
        <f ca="1">IF(AND(NOT(AG107),AND(AG$4:AG106)),TRUE,AG107)</f>
        <v>0</v>
      </c>
      <c r="AL107" s="440" t="e">
        <f ca="1">IF(AND(NOT(ISBLANK(Jumpoverwrite7)),AND(NOT(AK107),AND(AK$4:AK106))),($J107*$G107-LN(1+Jumpoverwrite7*AM$2))/$G107,_xll.qlInterpolationInterpolate(AK$3,$F107,TRUE))</f>
        <v>#NAME?</v>
      </c>
      <c r="AM107" s="440" t="str">
        <f ca="1">IF(AND(NOT(AK107),AND(AK$4:AK106)),MIN(EXP((AL107-$J107)*$G107),1),"")</f>
        <v/>
      </c>
      <c r="AO107" s="441" t="b">
        <f ca="1">IF(AND(NOT(AK107),AND(AK$4:AK106)),TRUE,AK107)</f>
        <v>0</v>
      </c>
      <c r="AP107" s="440" t="e">
        <f ca="1">IF(AND(NOT(ISBLANK(Jumpoverwrite8)),AND(NOT(AO107),AND(AO$4:AO106))),($J107*$G107-LN(1+Jumpoverwrite8*AQ$2))/$G107,_xll.qlInterpolationInterpolate(AO$3,$F107,TRUE))</f>
        <v>#NAME?</v>
      </c>
      <c r="AQ107" s="440" t="str">
        <f ca="1">IF(AND(NOT(AO107),AND(AO$4:AO106)),MIN(EXP((AP107-$J107)*$G107),1),"")</f>
        <v/>
      </c>
      <c r="AS107" s="441" t="b">
        <f ca="1">IF(AND(NOT(AO107),AND(AO$4:AO106)),TRUE,AO107)</f>
        <v>0</v>
      </c>
      <c r="AT107" s="440" t="e">
        <f ca="1">IF(AND(NOT(ISBLANK(Jumpoverwrite9)),AND(NOT(AS107),AND(AS$4:AS106))),($J107*$G107-LN(1+Jumpoverwrite9*AU$2))/$G107,_xll.qlInterpolationInterpolate(AS$3,$F107,TRUE))</f>
        <v>#NAME?</v>
      </c>
      <c r="AU107" s="440" t="str">
        <f ca="1">IF(AND(NOT(AS107),AND(AS$4:AS106)),MIN(EXP((AT107-$J107)*$G107),1),"")</f>
        <v/>
      </c>
      <c r="AW107" s="441" t="b">
        <f ca="1">IF(AND(NOT(AS107),AND(AS$4:AS106)),TRUE,AS107)</f>
        <v>0</v>
      </c>
      <c r="AX107" s="440" t="e">
        <f ca="1">IF(AND(NOT(ISBLANK(Jumpoverwrite10)),AND(NOT(AW107),AND(AW$4:AW106))),($J107*$G107-LN(1+Jumpoverwrite10*AY$2))/$G107,_xll.qlInterpolationInterpolate(AW$3,$F107,TRUE))</f>
        <v>#NAME?</v>
      </c>
      <c r="AY107" s="440" t="str">
        <f ca="1">IF(AND(NOT(AW107),AND(AW$4:AW106)),MIN(EXP((AX107-$J107)*$G107),1),"")</f>
        <v/>
      </c>
      <c r="BA107" s="441" t="b">
        <f ca="1">IF(AND(NOT(AW107),AND(AW$4:AW106)),TRUE,AW107)</f>
        <v>0</v>
      </c>
      <c r="BB107" s="440" t="e">
        <f ca="1">IF(AND(NOT(ISBLANK(Jumpoverwrite11)),AND(NOT(BA107),AND(BA$4:BA106))),($J107*$G107-LN(1+Jumpoverwrite11*BC$2))/$G107,_xll.qlInterpolationInterpolate(BA$3,$F107,TRUE))</f>
        <v>#NAME?</v>
      </c>
      <c r="BC107" s="440" t="str">
        <f ca="1">IF(AND(NOT(BA107),AND(BA$4:BA106)),MIN(EXP((BB107-$J107)*$G107),1),"")</f>
        <v/>
      </c>
      <c r="BE107" s="441" t="b">
        <f ca="1">IF(AND(NOT(BA107),AND(BA$4:BA106)),TRUE,BA107)</f>
        <v>0</v>
      </c>
      <c r="BF107" s="440" t="e">
        <f ca="1">IF(AND(NOT(ISBLANK(Jumpoverwrite12)),AND(NOT(BE107),AND(BE$4:BE106))),($J107*$G107-LN(1+Jumpoverwrite12*BG$2))/$G107,_xll.qlInterpolationInterpolate(BE$3,$F107,TRUE))</f>
        <v>#NAME?</v>
      </c>
      <c r="BG107" s="440" t="str">
        <f ca="1">IF(AND(NOT(BE107),AND(BE$4:BE106)),MIN(EXP((BF107-$J107)*$G107),1),"")</f>
        <v/>
      </c>
      <c r="BI107" s="441" t="b">
        <f t="shared" ca="1" si="15"/>
        <v>0</v>
      </c>
      <c r="BJ107" s="440" t="e">
        <f ca="1">IF(AND(NOT(ISBLANK(jumpoverwrite13)),AND(NOT(BI107),AND(BI$4:BI106))),($J107*$G107-LN(1+jumpoverwrite13*BK$2))/$G107,_xll.qlInterpolationInterpolate(BI$3,$F107,TRUE))</f>
        <v>#NAME?</v>
      </c>
      <c r="BK107" s="440" t="str">
        <f ca="1">IF(AND(NOT(BI107),AND(BI$4:BI106)),MIN(EXP((BJ107-$J107)*$G107),1),"")</f>
        <v/>
      </c>
    </row>
    <row r="108" spans="1:63" x14ac:dyDescent="0.2">
      <c r="A108" s="439" t="e">
        <f ca="1"/>
        <v>#NAME?</v>
      </c>
      <c r="B108" s="438" t="e">
        <f ca="1">_xll.qlRateHelperRate($A108,InterestRatesTrigger)</f>
        <v>#NAME?</v>
      </c>
      <c r="C108" s="437" t="e">
        <f ca="1">_xll.qlRateHelperEarliestDate($A108)</f>
        <v>#NAME?</v>
      </c>
      <c r="D108" s="436" t="e">
        <f ca="1">_xll.qlRateHelperPillarDate($A108)</f>
        <v>#NAME?</v>
      </c>
      <c r="F108" s="446" t="e">
        <f t="shared" ca="1" si="13"/>
        <v>#N/A</v>
      </c>
      <c r="G108" s="445" t="e">
        <f ca="1">_xll.qlDayCounterYearFraction(DayCounter,D107,D108)</f>
        <v>#NAME?</v>
      </c>
      <c r="I108" s="444" t="b">
        <f t="shared" ca="1" si="14"/>
        <v>0</v>
      </c>
      <c r="J108" s="443" t="e">
        <f ca="1"/>
        <v>#NAME?</v>
      </c>
      <c r="K108" s="442" t="e">
        <f t="shared" ca="1" si="12"/>
        <v>#NAME?</v>
      </c>
      <c r="L108" s="430"/>
      <c r="M108" s="441" t="b">
        <f ca="1">IF(AND(NOT(I108),AND(I$4:I107)),TRUE,I108)</f>
        <v>0</v>
      </c>
      <c r="N108" s="440" t="e">
        <f ca="1">IF(AND(NOT(ISBLANK(Jumpoverwrite1)),AND(NOT(M108),AND(M$4:M107))),($J108*$G108-LN(1+Jumpoverwrite1*O$2))/$G108,_xll.qlInterpolationInterpolate(M$3,$F108,TRUE))</f>
        <v>#NAME?</v>
      </c>
      <c r="O108" s="440" t="str">
        <f ca="1">IF(AND(NOT(M108),AND(M$4:M107)),MIN(EXP((N108-$J108)*$G108),1),"")</f>
        <v/>
      </c>
      <c r="P108" s="429"/>
      <c r="Q108" s="441" t="b">
        <f ca="1">IF(AND(NOT(M108),AND(M$4:M107)),TRUE,M108)</f>
        <v>0</v>
      </c>
      <c r="R108" s="440" t="e">
        <f ca="1">IF(AND(NOT(ISBLANK(Jumpoverwrite2)),AND(NOT(Q108),AND(Q$4:Q107))),($J108*$G108-LN(1+Jumpoverwrite2*S$2))/$G108,_xll.qlInterpolationInterpolate(Q$3,$F108,TRUE))</f>
        <v>#NAME?</v>
      </c>
      <c r="S108" s="440" t="str">
        <f ca="1">IF(AND(NOT(Q108),AND(Q$4:Q107)),MIN(EXP((R108-$J108)*$G108),1),"")</f>
        <v/>
      </c>
      <c r="T108" s="429"/>
      <c r="U108" s="441" t="b">
        <f ca="1">IF(AND(NOT(Q108),AND(Q$4:Q107)),TRUE,Q108)</f>
        <v>0</v>
      </c>
      <c r="V108" s="440" t="e">
        <f ca="1">IF(AND(NOT(ISBLANK(Jumpoverwrite3)),AND(NOT(U108),AND(U$4:U107))),($J108*$G108-LN(1+Jumpoverwrite3*W$2))/$G108,_xll.qlInterpolationInterpolate(U$3,$F108,TRUE))</f>
        <v>#NAME?</v>
      </c>
      <c r="W108" s="440" t="str">
        <f ca="1">IF(AND(NOT(U108),AND(U$4:U107)),MIN(EXP((V108-$J108)*$G108),1),"")</f>
        <v/>
      </c>
      <c r="X108" s="429"/>
      <c r="Y108" s="441" t="b">
        <f ca="1">IF(AND(NOT(U108),AND(U$4:U107)),TRUE,U108)</f>
        <v>0</v>
      </c>
      <c r="Z108" s="440" t="e">
        <f ca="1">IF(AND(NOT(ISBLANK(Jumpoverwrite4)),AND(NOT(Y108),AND(Y$4:Y107))),($J108*$G108-LN(1+Jumpoverwrite4*AA$2))/$G108,_xll.qlInterpolationInterpolate(Y$3,$F108,TRUE))</f>
        <v>#NAME?</v>
      </c>
      <c r="AA108" s="440" t="str">
        <f ca="1">IF(AND(NOT(Y108),AND(Y$4:Y107)),MIN(EXP((Z108-$J108)*$G108),1),"")</f>
        <v/>
      </c>
      <c r="AB108" s="429"/>
      <c r="AC108" s="441" t="b">
        <f ca="1">IF(AND(NOT(Y108),AND(Y$4:Y107)),TRUE,Y108)</f>
        <v>0</v>
      </c>
      <c r="AD108" s="440" t="e">
        <f ca="1">IF(AND(NOT(ISBLANK(Jumpoverwrite5)),AND(NOT(AC108),AND(AC$4:AC107))),($J108*$G108-LN(1+Jumpoverwrite5*AE$2))/$G108,_xll.qlInterpolationInterpolate(AC$3,$F108,TRUE))</f>
        <v>#NAME?</v>
      </c>
      <c r="AE108" s="440" t="str">
        <f ca="1">IF(AND(NOT(AC108),AND(AC$4:AC107)),MIN(EXP((AD108-$J108)*$G108),1),"")</f>
        <v/>
      </c>
      <c r="AF108" s="429"/>
      <c r="AG108" s="441" t="b">
        <f ca="1">IF(AND(NOT(AC108),AND(AC$4:AC107)),TRUE,AC108)</f>
        <v>0</v>
      </c>
      <c r="AH108" s="440" t="e">
        <f ca="1">IF(AND(NOT(ISBLANK(Jumpoverwrite6)),AND(NOT(AG108),AND(AG$4:AG107))),($J108*$G108-LN(1+Jumpoverwrite6*AI$2))/$G108,_xll.qlInterpolationInterpolate(AG$3,$F108,TRUE))</f>
        <v>#NAME?</v>
      </c>
      <c r="AI108" s="440" t="str">
        <f ca="1">IF(AND(NOT(AG108),AND(AG$4:AG107)),MIN(EXP((AH108-$J108)*$G108),1),"")</f>
        <v/>
      </c>
      <c r="AJ108" s="429"/>
      <c r="AK108" s="441" t="b">
        <f ca="1">IF(AND(NOT(AG108),AND(AG$4:AG107)),TRUE,AG108)</f>
        <v>0</v>
      </c>
      <c r="AL108" s="440" t="e">
        <f ca="1">IF(AND(NOT(ISBLANK(Jumpoverwrite7)),AND(NOT(AK108),AND(AK$4:AK107))),($J108*$G108-LN(1+Jumpoverwrite7*AM$2))/$G108,_xll.qlInterpolationInterpolate(AK$3,$F108,TRUE))</f>
        <v>#NAME?</v>
      </c>
      <c r="AM108" s="440" t="str">
        <f ca="1">IF(AND(NOT(AK108),AND(AK$4:AK107)),MIN(EXP((AL108-$J108)*$G108),1),"")</f>
        <v/>
      </c>
      <c r="AO108" s="441" t="b">
        <f ca="1">IF(AND(NOT(AK108),AND(AK$4:AK107)),TRUE,AK108)</f>
        <v>0</v>
      </c>
      <c r="AP108" s="440" t="e">
        <f ca="1">IF(AND(NOT(ISBLANK(Jumpoverwrite8)),AND(NOT(AO108),AND(AO$4:AO107))),($J108*$G108-LN(1+Jumpoverwrite8*AQ$2))/$G108,_xll.qlInterpolationInterpolate(AO$3,$F108,TRUE))</f>
        <v>#NAME?</v>
      </c>
      <c r="AQ108" s="440" t="str">
        <f ca="1">IF(AND(NOT(AO108),AND(AO$4:AO107)),MIN(EXP((AP108-$J108)*$G108),1),"")</f>
        <v/>
      </c>
      <c r="AS108" s="441" t="b">
        <f ca="1">IF(AND(NOT(AO108),AND(AO$4:AO107)),TRUE,AO108)</f>
        <v>0</v>
      </c>
      <c r="AT108" s="440" t="e">
        <f ca="1">IF(AND(NOT(ISBLANK(Jumpoverwrite9)),AND(NOT(AS108),AND(AS$4:AS107))),($J108*$G108-LN(1+Jumpoverwrite9*AU$2))/$G108,_xll.qlInterpolationInterpolate(AS$3,$F108,TRUE))</f>
        <v>#NAME?</v>
      </c>
      <c r="AU108" s="440" t="str">
        <f ca="1">IF(AND(NOT(AS108),AND(AS$4:AS107)),MIN(EXP((AT108-$J108)*$G108),1),"")</f>
        <v/>
      </c>
      <c r="AW108" s="441" t="b">
        <f ca="1">IF(AND(NOT(AS108),AND(AS$4:AS107)),TRUE,AS108)</f>
        <v>0</v>
      </c>
      <c r="AX108" s="440" t="e">
        <f ca="1">IF(AND(NOT(ISBLANK(Jumpoverwrite10)),AND(NOT(AW108),AND(AW$4:AW107))),($J108*$G108-LN(1+Jumpoverwrite10*AY$2))/$G108,_xll.qlInterpolationInterpolate(AW$3,$F108,TRUE))</f>
        <v>#NAME?</v>
      </c>
      <c r="AY108" s="440" t="str">
        <f ca="1">IF(AND(NOT(AW108),AND(AW$4:AW107)),MIN(EXP((AX108-$J108)*$G108),1),"")</f>
        <v/>
      </c>
      <c r="BA108" s="441" t="b">
        <f ca="1">IF(AND(NOT(AW108),AND(AW$4:AW107)),TRUE,AW108)</f>
        <v>0</v>
      </c>
      <c r="BB108" s="440" t="e">
        <f ca="1">IF(AND(NOT(ISBLANK(Jumpoverwrite11)),AND(NOT(BA108),AND(BA$4:BA107))),($J108*$G108-LN(1+Jumpoverwrite11*BC$2))/$G108,_xll.qlInterpolationInterpolate(BA$3,$F108,TRUE))</f>
        <v>#NAME?</v>
      </c>
      <c r="BC108" s="440" t="str">
        <f ca="1">IF(AND(NOT(BA108),AND(BA$4:BA107)),MIN(EXP((BB108-$J108)*$G108),1),"")</f>
        <v/>
      </c>
      <c r="BE108" s="441" t="b">
        <f ca="1">IF(AND(NOT(BA108),AND(BA$4:BA107)),TRUE,BA108)</f>
        <v>0</v>
      </c>
      <c r="BF108" s="440" t="e">
        <f ca="1">IF(AND(NOT(ISBLANK(Jumpoverwrite12)),AND(NOT(BE108),AND(BE$4:BE107))),($J108*$G108-LN(1+Jumpoverwrite12*BG$2))/$G108,_xll.qlInterpolationInterpolate(BE$3,$F108,TRUE))</f>
        <v>#NAME?</v>
      </c>
      <c r="BG108" s="440" t="str">
        <f ca="1">IF(AND(NOT(BE108),AND(BE$4:BE107)),MIN(EXP((BF108-$J108)*$G108),1),"")</f>
        <v/>
      </c>
      <c r="BI108" s="441" t="b">
        <f t="shared" ca="1" si="15"/>
        <v>0</v>
      </c>
      <c r="BJ108" s="440" t="e">
        <f ca="1">IF(AND(NOT(ISBLANK(jumpoverwrite13)),AND(NOT(BI108),AND(BI$4:BI107))),($J108*$G108-LN(1+jumpoverwrite13*BK$2))/$G108,_xll.qlInterpolationInterpolate(BI$3,$F108,TRUE))</f>
        <v>#NAME?</v>
      </c>
      <c r="BK108" s="440" t="str">
        <f ca="1">IF(AND(NOT(BI108),AND(BI$4:BI107)),MIN(EXP((BJ108-$J108)*$G108),1),"")</f>
        <v/>
      </c>
    </row>
    <row r="109" spans="1:63" x14ac:dyDescent="0.2">
      <c r="A109" s="439" t="e">
        <f ca="1"/>
        <v>#NAME?</v>
      </c>
      <c r="B109" s="438" t="e">
        <f ca="1">_xll.qlRateHelperRate($A109,InterestRatesTrigger)</f>
        <v>#NAME?</v>
      </c>
      <c r="C109" s="437" t="e">
        <f ca="1">_xll.qlRateHelperEarliestDate($A109)</f>
        <v>#NAME?</v>
      </c>
      <c r="D109" s="436" t="e">
        <f ca="1">_xll.qlRateHelperPillarDate($A109)</f>
        <v>#NAME?</v>
      </c>
      <c r="F109" s="446" t="e">
        <f t="shared" ca="1" si="13"/>
        <v>#N/A</v>
      </c>
      <c r="G109" s="445" t="e">
        <f ca="1">_xll.qlDayCounterYearFraction(DayCounter,D108,D109)</f>
        <v>#NAME?</v>
      </c>
      <c r="I109" s="444" t="b">
        <f t="shared" ca="1" si="14"/>
        <v>0</v>
      </c>
      <c r="J109" s="443" t="e">
        <f ca="1"/>
        <v>#NAME?</v>
      </c>
      <c r="K109" s="442" t="e">
        <f t="shared" ca="1" si="12"/>
        <v>#NAME?</v>
      </c>
      <c r="L109" s="430"/>
      <c r="M109" s="441" t="b">
        <f ca="1">IF(AND(NOT(I109),AND(I$4:I108)),TRUE,I109)</f>
        <v>0</v>
      </c>
      <c r="N109" s="440" t="e">
        <f ca="1">IF(AND(NOT(ISBLANK(Jumpoverwrite1)),AND(NOT(M109),AND(M$4:M108))),($J109*$G109-LN(1+Jumpoverwrite1*O$2))/$G109,_xll.qlInterpolationInterpolate(M$3,$F109,TRUE))</f>
        <v>#NAME?</v>
      </c>
      <c r="O109" s="440" t="str">
        <f ca="1">IF(AND(NOT(M109),AND(M$4:M108)),MIN(EXP((N109-$J109)*$G109),1),"")</f>
        <v/>
      </c>
      <c r="P109" s="429"/>
      <c r="Q109" s="441" t="b">
        <f ca="1">IF(AND(NOT(M109),AND(M$4:M108)),TRUE,M109)</f>
        <v>0</v>
      </c>
      <c r="R109" s="440" t="e">
        <f ca="1">IF(AND(NOT(ISBLANK(Jumpoverwrite2)),AND(NOT(Q109),AND(Q$4:Q108))),($J109*$G109-LN(1+Jumpoverwrite2*S$2))/$G109,_xll.qlInterpolationInterpolate(Q$3,$F109,TRUE))</f>
        <v>#NAME?</v>
      </c>
      <c r="S109" s="440" t="str">
        <f ca="1">IF(AND(NOT(Q109),AND(Q$4:Q108)),MIN(EXP((R109-$J109)*$G109),1),"")</f>
        <v/>
      </c>
      <c r="T109" s="429"/>
      <c r="U109" s="441" t="b">
        <f ca="1">IF(AND(NOT(Q109),AND(Q$4:Q108)),TRUE,Q109)</f>
        <v>0</v>
      </c>
      <c r="V109" s="440" t="e">
        <f ca="1">IF(AND(NOT(ISBLANK(Jumpoverwrite3)),AND(NOT(U109),AND(U$4:U108))),($J109*$G109-LN(1+Jumpoverwrite3*W$2))/$G109,_xll.qlInterpolationInterpolate(U$3,$F109,TRUE))</f>
        <v>#NAME?</v>
      </c>
      <c r="W109" s="440" t="str">
        <f ca="1">IF(AND(NOT(U109),AND(U$4:U108)),MIN(EXP((V109-$J109)*$G109),1),"")</f>
        <v/>
      </c>
      <c r="X109" s="429"/>
      <c r="Y109" s="441" t="b">
        <f ca="1">IF(AND(NOT(U109),AND(U$4:U108)),TRUE,U109)</f>
        <v>0</v>
      </c>
      <c r="Z109" s="440" t="e">
        <f ca="1">IF(AND(NOT(ISBLANK(Jumpoverwrite4)),AND(NOT(Y109),AND(Y$4:Y108))),($J109*$G109-LN(1+Jumpoverwrite4*AA$2))/$G109,_xll.qlInterpolationInterpolate(Y$3,$F109,TRUE))</f>
        <v>#NAME?</v>
      </c>
      <c r="AA109" s="440" t="str">
        <f ca="1">IF(AND(NOT(Y109),AND(Y$4:Y108)),MIN(EXP((Z109-$J109)*$G109),1),"")</f>
        <v/>
      </c>
      <c r="AB109" s="429"/>
      <c r="AC109" s="441" t="b">
        <f ca="1">IF(AND(NOT(Y109),AND(Y$4:Y108)),TRUE,Y109)</f>
        <v>0</v>
      </c>
      <c r="AD109" s="440" t="e">
        <f ca="1">IF(AND(NOT(ISBLANK(Jumpoverwrite5)),AND(NOT(AC109),AND(AC$4:AC108))),($J109*$G109-LN(1+Jumpoverwrite5*AE$2))/$G109,_xll.qlInterpolationInterpolate(AC$3,$F109,TRUE))</f>
        <v>#NAME?</v>
      </c>
      <c r="AE109" s="440" t="str">
        <f ca="1">IF(AND(NOT(AC109),AND(AC$4:AC108)),MIN(EXP((AD109-$J109)*$G109),1),"")</f>
        <v/>
      </c>
      <c r="AF109" s="429"/>
      <c r="AG109" s="441" t="b">
        <f ca="1">IF(AND(NOT(AC109),AND(AC$4:AC108)),TRUE,AC109)</f>
        <v>0</v>
      </c>
      <c r="AH109" s="440" t="e">
        <f ca="1">IF(AND(NOT(ISBLANK(Jumpoverwrite6)),AND(NOT(AG109),AND(AG$4:AG108))),($J109*$G109-LN(1+Jumpoverwrite6*AI$2))/$G109,_xll.qlInterpolationInterpolate(AG$3,$F109,TRUE))</f>
        <v>#NAME?</v>
      </c>
      <c r="AI109" s="440" t="str">
        <f ca="1">IF(AND(NOT(AG109),AND(AG$4:AG108)),MIN(EXP((AH109-$J109)*$G109),1),"")</f>
        <v/>
      </c>
      <c r="AJ109" s="429"/>
      <c r="AK109" s="441" t="b">
        <f ca="1">IF(AND(NOT(AG109),AND(AG$4:AG108)),TRUE,AG109)</f>
        <v>0</v>
      </c>
      <c r="AL109" s="440" t="e">
        <f ca="1">IF(AND(NOT(ISBLANK(Jumpoverwrite7)),AND(NOT(AK109),AND(AK$4:AK108))),($J109*$G109-LN(1+Jumpoverwrite7*AM$2))/$G109,_xll.qlInterpolationInterpolate(AK$3,$F109,TRUE))</f>
        <v>#NAME?</v>
      </c>
      <c r="AM109" s="440" t="str">
        <f ca="1">IF(AND(NOT(AK109),AND(AK$4:AK108)),MIN(EXP((AL109-$J109)*$G109),1),"")</f>
        <v/>
      </c>
      <c r="AO109" s="441" t="b">
        <f ca="1">IF(AND(NOT(AK109),AND(AK$4:AK108)),TRUE,AK109)</f>
        <v>0</v>
      </c>
      <c r="AP109" s="440" t="e">
        <f ca="1">IF(AND(NOT(ISBLANK(Jumpoverwrite8)),AND(NOT(AO109),AND(AO$4:AO108))),($J109*$G109-LN(1+Jumpoverwrite8*AQ$2))/$G109,_xll.qlInterpolationInterpolate(AO$3,$F109,TRUE))</f>
        <v>#NAME?</v>
      </c>
      <c r="AQ109" s="440" t="str">
        <f ca="1">IF(AND(NOT(AO109),AND(AO$4:AO108)),MIN(EXP((AP109-$J109)*$G109),1),"")</f>
        <v/>
      </c>
      <c r="AS109" s="441" t="b">
        <f ca="1">IF(AND(NOT(AO109),AND(AO$4:AO108)),TRUE,AO109)</f>
        <v>0</v>
      </c>
      <c r="AT109" s="440" t="e">
        <f ca="1">IF(AND(NOT(ISBLANK(Jumpoverwrite9)),AND(NOT(AS109),AND(AS$4:AS108))),($J109*$G109-LN(1+Jumpoverwrite9*AU$2))/$G109,_xll.qlInterpolationInterpolate(AS$3,$F109,TRUE))</f>
        <v>#NAME?</v>
      </c>
      <c r="AU109" s="440" t="str">
        <f ca="1">IF(AND(NOT(AS109),AND(AS$4:AS108)),MIN(EXP((AT109-$J109)*$G109),1),"")</f>
        <v/>
      </c>
      <c r="AW109" s="441" t="b">
        <f ca="1">IF(AND(NOT(AS109),AND(AS$4:AS108)),TRUE,AS109)</f>
        <v>0</v>
      </c>
      <c r="AX109" s="440" t="e">
        <f ca="1">IF(AND(NOT(ISBLANK(Jumpoverwrite10)),AND(NOT(AW109),AND(AW$4:AW108))),($J109*$G109-LN(1+Jumpoverwrite10*AY$2))/$G109,_xll.qlInterpolationInterpolate(AW$3,$F109,TRUE))</f>
        <v>#NAME?</v>
      </c>
      <c r="AY109" s="440" t="str">
        <f ca="1">IF(AND(NOT(AW109),AND(AW$4:AW108)),MIN(EXP((AX109-$J109)*$G109),1),"")</f>
        <v/>
      </c>
      <c r="BA109" s="441" t="b">
        <f ca="1">IF(AND(NOT(AW109),AND(AW$4:AW108)),TRUE,AW109)</f>
        <v>0</v>
      </c>
      <c r="BB109" s="440" t="e">
        <f ca="1">IF(AND(NOT(ISBLANK(Jumpoverwrite11)),AND(NOT(BA109),AND(BA$4:BA108))),($J109*$G109-LN(1+Jumpoverwrite11*BC$2))/$G109,_xll.qlInterpolationInterpolate(BA$3,$F109,TRUE))</f>
        <v>#NAME?</v>
      </c>
      <c r="BC109" s="440" t="str">
        <f ca="1">IF(AND(NOT(BA109),AND(BA$4:BA108)),MIN(EXP((BB109-$J109)*$G109),1),"")</f>
        <v/>
      </c>
      <c r="BE109" s="441" t="b">
        <f ca="1">IF(AND(NOT(BA109),AND(BA$4:BA108)),TRUE,BA109)</f>
        <v>0</v>
      </c>
      <c r="BF109" s="440" t="e">
        <f ca="1">IF(AND(NOT(ISBLANK(Jumpoverwrite12)),AND(NOT(BE109),AND(BE$4:BE108))),($J109*$G109-LN(1+Jumpoverwrite12*BG$2))/$G109,_xll.qlInterpolationInterpolate(BE$3,$F109,TRUE))</f>
        <v>#NAME?</v>
      </c>
      <c r="BG109" s="440" t="str">
        <f ca="1">IF(AND(NOT(BE109),AND(BE$4:BE108)),MIN(EXP((BF109-$J109)*$G109),1),"")</f>
        <v/>
      </c>
      <c r="BI109" s="441" t="b">
        <f t="shared" ca="1" si="15"/>
        <v>0</v>
      </c>
      <c r="BJ109" s="440" t="e">
        <f ca="1">IF(AND(NOT(ISBLANK(jumpoverwrite13)),AND(NOT(BI109),AND(BI$4:BI108))),($J109*$G109-LN(1+jumpoverwrite13*BK$2))/$G109,_xll.qlInterpolationInterpolate(BI$3,$F109,TRUE))</f>
        <v>#NAME?</v>
      </c>
      <c r="BK109" s="440" t="str">
        <f ca="1">IF(AND(NOT(BI109),AND(BI$4:BI108)),MIN(EXP((BJ109-$J109)*$G109),1),"")</f>
        <v/>
      </c>
    </row>
    <row r="110" spans="1:63" x14ac:dyDescent="0.2">
      <c r="A110" s="439" t="e">
        <f ca="1"/>
        <v>#NAME?</v>
      </c>
      <c r="B110" s="438" t="e">
        <f ca="1">_xll.qlRateHelperRate($A110,InterestRatesTrigger)</f>
        <v>#NAME?</v>
      </c>
      <c r="C110" s="437" t="e">
        <f ca="1">_xll.qlRateHelperEarliestDate($A110)</f>
        <v>#NAME?</v>
      </c>
      <c r="D110" s="436" t="e">
        <f ca="1">_xll.qlRateHelperPillarDate($A110)</f>
        <v>#NAME?</v>
      </c>
      <c r="F110" s="446" t="e">
        <f t="shared" ca="1" si="13"/>
        <v>#N/A</v>
      </c>
      <c r="G110" s="445" t="e">
        <f ca="1">_xll.qlDayCounterYearFraction(DayCounter,D109,D110)</f>
        <v>#NAME?</v>
      </c>
      <c r="I110" s="444" t="b">
        <f t="shared" ca="1" si="14"/>
        <v>0</v>
      </c>
      <c r="J110" s="443" t="e">
        <f ca="1"/>
        <v>#NAME?</v>
      </c>
      <c r="K110" s="442" t="e">
        <f t="shared" ca="1" si="12"/>
        <v>#NAME?</v>
      </c>
      <c r="L110" s="430"/>
      <c r="M110" s="441" t="b">
        <f ca="1">IF(AND(NOT(I110),AND(I$4:I109)),TRUE,I110)</f>
        <v>0</v>
      </c>
      <c r="N110" s="440" t="e">
        <f ca="1">IF(AND(NOT(ISBLANK(Jumpoverwrite1)),AND(NOT(M110),AND(M$4:M109))),($J110*$G110-LN(1+Jumpoverwrite1*O$2))/$G110,_xll.qlInterpolationInterpolate(M$3,$F110,TRUE))</f>
        <v>#NAME?</v>
      </c>
      <c r="O110" s="440" t="str">
        <f ca="1">IF(AND(NOT(M110),AND(M$4:M109)),MIN(EXP((N110-$J110)*$G110),1),"")</f>
        <v/>
      </c>
      <c r="P110" s="429"/>
      <c r="Q110" s="441" t="b">
        <f ca="1">IF(AND(NOT(M110),AND(M$4:M109)),TRUE,M110)</f>
        <v>0</v>
      </c>
      <c r="R110" s="440" t="e">
        <f ca="1">IF(AND(NOT(ISBLANK(Jumpoverwrite2)),AND(NOT(Q110),AND(Q$4:Q109))),($J110*$G110-LN(1+Jumpoverwrite2*S$2))/$G110,_xll.qlInterpolationInterpolate(Q$3,$F110,TRUE))</f>
        <v>#NAME?</v>
      </c>
      <c r="S110" s="440" t="str">
        <f ca="1">IF(AND(NOT(Q110),AND(Q$4:Q109)),MIN(EXP((R110-$J110)*$G110),1),"")</f>
        <v/>
      </c>
      <c r="T110" s="429"/>
      <c r="U110" s="441" t="b">
        <f ca="1">IF(AND(NOT(Q110),AND(Q$4:Q109)),TRUE,Q110)</f>
        <v>0</v>
      </c>
      <c r="V110" s="440" t="e">
        <f ca="1">IF(AND(NOT(ISBLANK(Jumpoverwrite3)),AND(NOT(U110),AND(U$4:U109))),($J110*$G110-LN(1+Jumpoverwrite3*W$2))/$G110,_xll.qlInterpolationInterpolate(U$3,$F110,TRUE))</f>
        <v>#NAME?</v>
      </c>
      <c r="W110" s="440" t="str">
        <f ca="1">IF(AND(NOT(U110),AND(U$4:U109)),MIN(EXP((V110-$J110)*$G110),1),"")</f>
        <v/>
      </c>
      <c r="X110" s="429"/>
      <c r="Y110" s="441" t="b">
        <f ca="1">IF(AND(NOT(U110),AND(U$4:U109)),TRUE,U110)</f>
        <v>0</v>
      </c>
      <c r="Z110" s="440" t="e">
        <f ca="1">IF(AND(NOT(ISBLANK(Jumpoverwrite4)),AND(NOT(Y110),AND(Y$4:Y109))),($J110*$G110-LN(1+Jumpoverwrite4*AA$2))/$G110,_xll.qlInterpolationInterpolate(Y$3,$F110,TRUE))</f>
        <v>#NAME?</v>
      </c>
      <c r="AA110" s="440" t="str">
        <f ca="1">IF(AND(NOT(Y110),AND(Y$4:Y109)),MIN(EXP((Z110-$J110)*$G110),1),"")</f>
        <v/>
      </c>
      <c r="AB110" s="429"/>
      <c r="AC110" s="441" t="b">
        <f ca="1">IF(AND(NOT(Y110),AND(Y$4:Y109)),TRUE,Y110)</f>
        <v>0</v>
      </c>
      <c r="AD110" s="440" t="e">
        <f ca="1">IF(AND(NOT(ISBLANK(Jumpoverwrite5)),AND(NOT(AC110),AND(AC$4:AC109))),($J110*$G110-LN(1+Jumpoverwrite5*AE$2))/$G110,_xll.qlInterpolationInterpolate(AC$3,$F110,TRUE))</f>
        <v>#NAME?</v>
      </c>
      <c r="AE110" s="440" t="str">
        <f ca="1">IF(AND(NOT(AC110),AND(AC$4:AC109)),MIN(EXP((AD110-$J110)*$G110),1),"")</f>
        <v/>
      </c>
      <c r="AF110" s="429"/>
      <c r="AG110" s="441" t="b">
        <f ca="1">IF(AND(NOT(AC110),AND(AC$4:AC109)),TRUE,AC110)</f>
        <v>0</v>
      </c>
      <c r="AH110" s="440" t="e">
        <f ca="1">IF(AND(NOT(ISBLANK(Jumpoverwrite6)),AND(NOT(AG110),AND(AG$4:AG109))),($J110*$G110-LN(1+Jumpoverwrite6*AI$2))/$G110,_xll.qlInterpolationInterpolate(AG$3,$F110,TRUE))</f>
        <v>#NAME?</v>
      </c>
      <c r="AI110" s="440" t="str">
        <f ca="1">IF(AND(NOT(AG110),AND(AG$4:AG109)),MIN(EXP((AH110-$J110)*$G110),1),"")</f>
        <v/>
      </c>
      <c r="AJ110" s="429"/>
      <c r="AK110" s="441" t="b">
        <f ca="1">IF(AND(NOT(AG110),AND(AG$4:AG109)),TRUE,AG110)</f>
        <v>0</v>
      </c>
      <c r="AL110" s="440" t="e">
        <f ca="1">IF(AND(NOT(ISBLANK(Jumpoverwrite7)),AND(NOT(AK110),AND(AK$4:AK109))),($J110*$G110-LN(1+Jumpoverwrite7*AM$2))/$G110,_xll.qlInterpolationInterpolate(AK$3,$F110,TRUE))</f>
        <v>#NAME?</v>
      </c>
      <c r="AM110" s="440" t="str">
        <f ca="1">IF(AND(NOT(AK110),AND(AK$4:AK109)),MIN(EXP((AL110-$J110)*$G110),1),"")</f>
        <v/>
      </c>
      <c r="AO110" s="441" t="b">
        <f ca="1">IF(AND(NOT(AK110),AND(AK$4:AK109)),TRUE,AK110)</f>
        <v>0</v>
      </c>
      <c r="AP110" s="440" t="e">
        <f ca="1">IF(AND(NOT(ISBLANK(Jumpoverwrite8)),AND(NOT(AO110),AND(AO$4:AO109))),($J110*$G110-LN(1+Jumpoverwrite8*AQ$2))/$G110,_xll.qlInterpolationInterpolate(AO$3,$F110,TRUE))</f>
        <v>#NAME?</v>
      </c>
      <c r="AQ110" s="440" t="str">
        <f ca="1">IF(AND(NOT(AO110),AND(AO$4:AO109)),MIN(EXP((AP110-$J110)*$G110),1),"")</f>
        <v/>
      </c>
      <c r="AS110" s="441" t="b">
        <f ca="1">IF(AND(NOT(AO110),AND(AO$4:AO109)),TRUE,AO110)</f>
        <v>0</v>
      </c>
      <c r="AT110" s="440" t="e">
        <f ca="1">IF(AND(NOT(ISBLANK(Jumpoverwrite9)),AND(NOT(AS110),AND(AS$4:AS109))),($J110*$G110-LN(1+Jumpoverwrite9*AU$2))/$G110,_xll.qlInterpolationInterpolate(AS$3,$F110,TRUE))</f>
        <v>#NAME?</v>
      </c>
      <c r="AU110" s="440" t="str">
        <f ca="1">IF(AND(NOT(AS110),AND(AS$4:AS109)),MIN(EXP((AT110-$J110)*$G110),1),"")</f>
        <v/>
      </c>
      <c r="AW110" s="441" t="b">
        <f ca="1">IF(AND(NOT(AS110),AND(AS$4:AS109)),TRUE,AS110)</f>
        <v>0</v>
      </c>
      <c r="AX110" s="440" t="e">
        <f ca="1">IF(AND(NOT(ISBLANK(Jumpoverwrite10)),AND(NOT(AW110),AND(AW$4:AW109))),($J110*$G110-LN(1+Jumpoverwrite10*AY$2))/$G110,_xll.qlInterpolationInterpolate(AW$3,$F110,TRUE))</f>
        <v>#NAME?</v>
      </c>
      <c r="AY110" s="440" t="str">
        <f ca="1">IF(AND(NOT(AW110),AND(AW$4:AW109)),MIN(EXP((AX110-$J110)*$G110),1),"")</f>
        <v/>
      </c>
      <c r="BA110" s="441" t="b">
        <f ca="1">IF(AND(NOT(AW110),AND(AW$4:AW109)),TRUE,AW110)</f>
        <v>0</v>
      </c>
      <c r="BB110" s="440" t="e">
        <f ca="1">IF(AND(NOT(ISBLANK(Jumpoverwrite11)),AND(NOT(BA110),AND(BA$4:BA109))),($J110*$G110-LN(1+Jumpoverwrite11*BC$2))/$G110,_xll.qlInterpolationInterpolate(BA$3,$F110,TRUE))</f>
        <v>#NAME?</v>
      </c>
      <c r="BC110" s="440" t="str">
        <f ca="1">IF(AND(NOT(BA110),AND(BA$4:BA109)),MIN(EXP((BB110-$J110)*$G110),1),"")</f>
        <v/>
      </c>
      <c r="BE110" s="441" t="b">
        <f ca="1">IF(AND(NOT(BA110),AND(BA$4:BA109)),TRUE,BA110)</f>
        <v>0</v>
      </c>
      <c r="BF110" s="440" t="e">
        <f ca="1">IF(AND(NOT(ISBLANK(Jumpoverwrite12)),AND(NOT(BE110),AND(BE$4:BE109))),($J110*$G110-LN(1+Jumpoverwrite12*BG$2))/$G110,_xll.qlInterpolationInterpolate(BE$3,$F110,TRUE))</f>
        <v>#NAME?</v>
      </c>
      <c r="BG110" s="440" t="str">
        <f ca="1">IF(AND(NOT(BE110),AND(BE$4:BE109)),MIN(EXP((BF110-$J110)*$G110),1),"")</f>
        <v/>
      </c>
      <c r="BI110" s="441" t="b">
        <f t="shared" ca="1" si="15"/>
        <v>0</v>
      </c>
      <c r="BJ110" s="440" t="e">
        <f ca="1">IF(AND(NOT(ISBLANK(jumpoverwrite13)),AND(NOT(BI110),AND(BI$4:BI109))),($J110*$G110-LN(1+jumpoverwrite13*BK$2))/$G110,_xll.qlInterpolationInterpolate(BI$3,$F110,TRUE))</f>
        <v>#NAME?</v>
      </c>
      <c r="BK110" s="440" t="str">
        <f ca="1">IF(AND(NOT(BI110),AND(BI$4:BI109)),MIN(EXP((BJ110-$J110)*$G110),1),"")</f>
        <v/>
      </c>
    </row>
    <row r="111" spans="1:63" x14ac:dyDescent="0.2">
      <c r="A111" s="439" t="e">
        <f ca="1"/>
        <v>#NAME?</v>
      </c>
      <c r="B111" s="438" t="e">
        <f ca="1">_xll.qlRateHelperRate($A111,InterestRatesTrigger)</f>
        <v>#NAME?</v>
      </c>
      <c r="C111" s="437" t="e">
        <f ca="1">_xll.qlRateHelperEarliestDate($A111)</f>
        <v>#NAME?</v>
      </c>
      <c r="D111" s="436" t="e">
        <f ca="1">_xll.qlRateHelperPillarDate($A111)</f>
        <v>#NAME?</v>
      </c>
      <c r="F111" s="446" t="e">
        <f t="shared" ca="1" si="13"/>
        <v>#N/A</v>
      </c>
      <c r="G111" s="445" t="e">
        <f ca="1">_xll.qlDayCounterYearFraction(DayCounter,D110,D111)</f>
        <v>#NAME?</v>
      </c>
      <c r="I111" s="444" t="b">
        <f t="shared" ca="1" si="14"/>
        <v>0</v>
      </c>
      <c r="J111" s="443" t="e">
        <f ca="1"/>
        <v>#NAME?</v>
      </c>
      <c r="K111" s="442" t="e">
        <f t="shared" ca="1" si="12"/>
        <v>#NAME?</v>
      </c>
      <c r="L111" s="430"/>
      <c r="M111" s="441" t="b">
        <f ca="1">IF(AND(NOT(I111),AND(I$4:I110)),TRUE,I111)</f>
        <v>0</v>
      </c>
      <c r="N111" s="440" t="e">
        <f ca="1">IF(AND(NOT(ISBLANK(Jumpoverwrite1)),AND(NOT(M111),AND(M$4:M110))),($J111*$G111-LN(1+Jumpoverwrite1*O$2))/$G111,_xll.qlInterpolationInterpolate(M$3,$F111,TRUE))</f>
        <v>#NAME?</v>
      </c>
      <c r="O111" s="440" t="str">
        <f ca="1">IF(AND(NOT(M111),AND(M$4:M110)),MIN(EXP((N111-$J111)*$G111),1),"")</f>
        <v/>
      </c>
      <c r="P111" s="429"/>
      <c r="Q111" s="441" t="b">
        <f ca="1">IF(AND(NOT(M111),AND(M$4:M110)),TRUE,M111)</f>
        <v>0</v>
      </c>
      <c r="R111" s="440" t="e">
        <f ca="1">IF(AND(NOT(ISBLANK(Jumpoverwrite2)),AND(NOT(Q111),AND(Q$4:Q110))),($J111*$G111-LN(1+Jumpoverwrite2*S$2))/$G111,_xll.qlInterpolationInterpolate(Q$3,$F111,TRUE))</f>
        <v>#NAME?</v>
      </c>
      <c r="S111" s="440" t="str">
        <f ca="1">IF(AND(NOT(Q111),AND(Q$4:Q110)),MIN(EXP((R111-$J111)*$G111),1),"")</f>
        <v/>
      </c>
      <c r="T111" s="429"/>
      <c r="U111" s="441" t="b">
        <f ca="1">IF(AND(NOT(Q111),AND(Q$4:Q110)),TRUE,Q111)</f>
        <v>0</v>
      </c>
      <c r="V111" s="440" t="e">
        <f ca="1">IF(AND(NOT(ISBLANK(Jumpoverwrite3)),AND(NOT(U111),AND(U$4:U110))),($J111*$G111-LN(1+Jumpoverwrite3*W$2))/$G111,_xll.qlInterpolationInterpolate(U$3,$F111,TRUE))</f>
        <v>#NAME?</v>
      </c>
      <c r="W111" s="440" t="str">
        <f ca="1">IF(AND(NOT(U111),AND(U$4:U110)),MIN(EXP((V111-$J111)*$G111),1),"")</f>
        <v/>
      </c>
      <c r="X111" s="429"/>
      <c r="Y111" s="441" t="b">
        <f ca="1">IF(AND(NOT(U111),AND(U$4:U110)),TRUE,U111)</f>
        <v>0</v>
      </c>
      <c r="Z111" s="440" t="e">
        <f ca="1">IF(AND(NOT(ISBLANK(Jumpoverwrite4)),AND(NOT(Y111),AND(Y$4:Y110))),($J111*$G111-LN(1+Jumpoverwrite4*AA$2))/$G111,_xll.qlInterpolationInterpolate(Y$3,$F111,TRUE))</f>
        <v>#NAME?</v>
      </c>
      <c r="AA111" s="440" t="str">
        <f ca="1">IF(AND(NOT(Y111),AND(Y$4:Y110)),MIN(EXP((Z111-$J111)*$G111),1),"")</f>
        <v/>
      </c>
      <c r="AB111" s="429"/>
      <c r="AC111" s="441" t="b">
        <f ca="1">IF(AND(NOT(Y111),AND(Y$4:Y110)),TRUE,Y111)</f>
        <v>0</v>
      </c>
      <c r="AD111" s="440" t="e">
        <f ca="1">IF(AND(NOT(ISBLANK(Jumpoverwrite5)),AND(NOT(AC111),AND(AC$4:AC110))),($J111*$G111-LN(1+Jumpoverwrite5*AE$2))/$G111,_xll.qlInterpolationInterpolate(AC$3,$F111,TRUE))</f>
        <v>#NAME?</v>
      </c>
      <c r="AE111" s="440" t="str">
        <f ca="1">IF(AND(NOT(AC111),AND(AC$4:AC110)),MIN(EXP((AD111-$J111)*$G111),1),"")</f>
        <v/>
      </c>
      <c r="AF111" s="429"/>
      <c r="AG111" s="441" t="b">
        <f ca="1">IF(AND(NOT(AC111),AND(AC$4:AC110)),TRUE,AC111)</f>
        <v>0</v>
      </c>
      <c r="AH111" s="440" t="e">
        <f ca="1">IF(AND(NOT(ISBLANK(Jumpoverwrite6)),AND(NOT(AG111),AND(AG$4:AG110))),($J111*$G111-LN(1+Jumpoverwrite6*AI$2))/$G111,_xll.qlInterpolationInterpolate(AG$3,$F111,TRUE))</f>
        <v>#NAME?</v>
      </c>
      <c r="AI111" s="440" t="str">
        <f ca="1">IF(AND(NOT(AG111),AND(AG$4:AG110)),MIN(EXP((AH111-$J111)*$G111),1),"")</f>
        <v/>
      </c>
      <c r="AJ111" s="429"/>
      <c r="AK111" s="441" t="b">
        <f ca="1">IF(AND(NOT(AG111),AND(AG$4:AG110)),TRUE,AG111)</f>
        <v>0</v>
      </c>
      <c r="AL111" s="440" t="e">
        <f ca="1">IF(AND(NOT(ISBLANK(Jumpoverwrite7)),AND(NOT(AK111),AND(AK$4:AK110))),($J111*$G111-LN(1+Jumpoverwrite7*AM$2))/$G111,_xll.qlInterpolationInterpolate(AK$3,$F111,TRUE))</f>
        <v>#NAME?</v>
      </c>
      <c r="AM111" s="440" t="str">
        <f ca="1">IF(AND(NOT(AK111),AND(AK$4:AK110)),MIN(EXP((AL111-$J111)*$G111),1),"")</f>
        <v/>
      </c>
      <c r="AO111" s="441" t="b">
        <f ca="1">IF(AND(NOT(AK111),AND(AK$4:AK110)),TRUE,AK111)</f>
        <v>0</v>
      </c>
      <c r="AP111" s="440" t="e">
        <f ca="1">IF(AND(NOT(ISBLANK(Jumpoverwrite8)),AND(NOT(AO111),AND(AO$4:AO110))),($J111*$G111-LN(1+Jumpoverwrite8*AQ$2))/$G111,_xll.qlInterpolationInterpolate(AO$3,$F111,TRUE))</f>
        <v>#NAME?</v>
      </c>
      <c r="AQ111" s="440" t="str">
        <f ca="1">IF(AND(NOT(AO111),AND(AO$4:AO110)),MIN(EXP((AP111-$J111)*$G111),1),"")</f>
        <v/>
      </c>
      <c r="AS111" s="441" t="b">
        <f ca="1">IF(AND(NOT(AO111),AND(AO$4:AO110)),TRUE,AO111)</f>
        <v>0</v>
      </c>
      <c r="AT111" s="440" t="e">
        <f ca="1">IF(AND(NOT(ISBLANK(Jumpoverwrite9)),AND(NOT(AS111),AND(AS$4:AS110))),($J111*$G111-LN(1+Jumpoverwrite9*AU$2))/$G111,_xll.qlInterpolationInterpolate(AS$3,$F111,TRUE))</f>
        <v>#NAME?</v>
      </c>
      <c r="AU111" s="440" t="str">
        <f ca="1">IF(AND(NOT(AS111),AND(AS$4:AS110)),MIN(EXP((AT111-$J111)*$G111),1),"")</f>
        <v/>
      </c>
      <c r="AW111" s="441" t="b">
        <f ca="1">IF(AND(NOT(AS111),AND(AS$4:AS110)),TRUE,AS111)</f>
        <v>0</v>
      </c>
      <c r="AX111" s="440" t="e">
        <f ca="1">IF(AND(NOT(ISBLANK(Jumpoverwrite10)),AND(NOT(AW111),AND(AW$4:AW110))),($J111*$G111-LN(1+Jumpoverwrite10*AY$2))/$G111,_xll.qlInterpolationInterpolate(AW$3,$F111,TRUE))</f>
        <v>#NAME?</v>
      </c>
      <c r="AY111" s="440" t="str">
        <f ca="1">IF(AND(NOT(AW111),AND(AW$4:AW110)),MIN(EXP((AX111-$J111)*$G111),1),"")</f>
        <v/>
      </c>
      <c r="BA111" s="441" t="b">
        <f ca="1">IF(AND(NOT(AW111),AND(AW$4:AW110)),TRUE,AW111)</f>
        <v>0</v>
      </c>
      <c r="BB111" s="440" t="e">
        <f ca="1">IF(AND(NOT(ISBLANK(Jumpoverwrite11)),AND(NOT(BA111),AND(BA$4:BA110))),($J111*$G111-LN(1+Jumpoverwrite11*BC$2))/$G111,_xll.qlInterpolationInterpolate(BA$3,$F111,TRUE))</f>
        <v>#NAME?</v>
      </c>
      <c r="BC111" s="440" t="str">
        <f ca="1">IF(AND(NOT(BA111),AND(BA$4:BA110)),MIN(EXP((BB111-$J111)*$G111),1),"")</f>
        <v/>
      </c>
      <c r="BE111" s="441" t="b">
        <f ca="1">IF(AND(NOT(BA111),AND(BA$4:BA110)),TRUE,BA111)</f>
        <v>0</v>
      </c>
      <c r="BF111" s="440" t="e">
        <f ca="1">IF(AND(NOT(ISBLANK(Jumpoverwrite12)),AND(NOT(BE111),AND(BE$4:BE110))),($J111*$G111-LN(1+Jumpoverwrite12*BG$2))/$G111,_xll.qlInterpolationInterpolate(BE$3,$F111,TRUE))</f>
        <v>#NAME?</v>
      </c>
      <c r="BG111" s="440" t="str">
        <f ca="1">IF(AND(NOT(BE111),AND(BE$4:BE110)),MIN(EXP((BF111-$J111)*$G111),1),"")</f>
        <v/>
      </c>
      <c r="BI111" s="441" t="b">
        <f t="shared" ca="1" si="15"/>
        <v>0</v>
      </c>
      <c r="BJ111" s="440" t="e">
        <f ca="1">IF(AND(NOT(ISBLANK(jumpoverwrite13)),AND(NOT(BI111),AND(BI$4:BI110))),($J111*$G111-LN(1+jumpoverwrite13*BK$2))/$G111,_xll.qlInterpolationInterpolate(BI$3,$F111,TRUE))</f>
        <v>#NAME?</v>
      </c>
      <c r="BK111" s="440" t="str">
        <f ca="1">IF(AND(NOT(BI111),AND(BI$4:BI110)),MIN(EXP((BJ111-$J111)*$G111),1),"")</f>
        <v/>
      </c>
    </row>
    <row r="112" spans="1:63" x14ac:dyDescent="0.2">
      <c r="A112" s="439" t="e">
        <f ca="1"/>
        <v>#NAME?</v>
      </c>
      <c r="B112" s="438" t="e">
        <f ca="1">_xll.qlRateHelperRate($A112,InterestRatesTrigger)</f>
        <v>#NAME?</v>
      </c>
      <c r="C112" s="437" t="e">
        <f ca="1">_xll.qlRateHelperEarliestDate($A112)</f>
        <v>#NAME?</v>
      </c>
      <c r="D112" s="436" t="e">
        <f ca="1">_xll.qlRateHelperPillarDate($A112)</f>
        <v>#NAME?</v>
      </c>
      <c r="F112" s="446" t="e">
        <f t="shared" ca="1" si="13"/>
        <v>#N/A</v>
      </c>
      <c r="G112" s="445" t="e">
        <f ca="1">_xll.qlDayCounterYearFraction(DayCounter,D111,D112)</f>
        <v>#NAME?</v>
      </c>
      <c r="I112" s="444" t="b">
        <f t="shared" ca="1" si="14"/>
        <v>0</v>
      </c>
      <c r="J112" s="443" t="e">
        <f ca="1"/>
        <v>#NAME?</v>
      </c>
      <c r="K112" s="442" t="e">
        <f t="shared" ca="1" si="12"/>
        <v>#NAME?</v>
      </c>
      <c r="L112" s="430"/>
      <c r="M112" s="441" t="b">
        <f ca="1">IF(AND(NOT(I112),AND(I$4:I111)),TRUE,I112)</f>
        <v>0</v>
      </c>
      <c r="N112" s="440" t="e">
        <f ca="1">IF(AND(NOT(ISBLANK(Jumpoverwrite1)),AND(NOT(M112),AND(M$4:M111))),($J112*$G112-LN(1+Jumpoverwrite1*O$2))/$G112,_xll.qlInterpolationInterpolate(M$3,$F112,TRUE))</f>
        <v>#NAME?</v>
      </c>
      <c r="O112" s="440" t="str">
        <f ca="1">IF(AND(NOT(M112),AND(M$4:M111)),MIN(EXP((N112-$J112)*$G112),1),"")</f>
        <v/>
      </c>
      <c r="P112" s="429"/>
      <c r="Q112" s="441" t="b">
        <f ca="1">IF(AND(NOT(M112),AND(M$4:M111)),TRUE,M112)</f>
        <v>0</v>
      </c>
      <c r="R112" s="440" t="e">
        <f ca="1">IF(AND(NOT(ISBLANK(Jumpoverwrite2)),AND(NOT(Q112),AND(Q$4:Q111))),($J112*$G112-LN(1+Jumpoverwrite2*S$2))/$G112,_xll.qlInterpolationInterpolate(Q$3,$F112,TRUE))</f>
        <v>#NAME?</v>
      </c>
      <c r="S112" s="440" t="str">
        <f ca="1">IF(AND(NOT(Q112),AND(Q$4:Q111)),MIN(EXP((R112-$J112)*$G112),1),"")</f>
        <v/>
      </c>
      <c r="T112" s="429"/>
      <c r="U112" s="441" t="b">
        <f ca="1">IF(AND(NOT(Q112),AND(Q$4:Q111)),TRUE,Q112)</f>
        <v>0</v>
      </c>
      <c r="V112" s="440" t="e">
        <f ca="1">IF(AND(NOT(ISBLANK(Jumpoverwrite3)),AND(NOT(U112),AND(U$4:U111))),($J112*$G112-LN(1+Jumpoverwrite3*W$2))/$G112,_xll.qlInterpolationInterpolate(U$3,$F112,TRUE))</f>
        <v>#NAME?</v>
      </c>
      <c r="W112" s="440" t="str">
        <f ca="1">IF(AND(NOT(U112),AND(U$4:U111)),MIN(EXP((V112-$J112)*$G112),1),"")</f>
        <v/>
      </c>
      <c r="X112" s="429"/>
      <c r="Y112" s="441" t="b">
        <f ca="1">IF(AND(NOT(U112),AND(U$4:U111)),TRUE,U112)</f>
        <v>0</v>
      </c>
      <c r="Z112" s="440" t="e">
        <f ca="1">IF(AND(NOT(ISBLANK(Jumpoverwrite4)),AND(NOT(Y112),AND(Y$4:Y111))),($J112*$G112-LN(1+Jumpoverwrite4*AA$2))/$G112,_xll.qlInterpolationInterpolate(Y$3,$F112,TRUE))</f>
        <v>#NAME?</v>
      </c>
      <c r="AA112" s="440" t="str">
        <f ca="1">IF(AND(NOT(Y112),AND(Y$4:Y111)),MIN(EXP((Z112-$J112)*$G112),1),"")</f>
        <v/>
      </c>
      <c r="AB112" s="429"/>
      <c r="AC112" s="441" t="b">
        <f ca="1">IF(AND(NOT(Y112),AND(Y$4:Y111)),TRUE,Y112)</f>
        <v>0</v>
      </c>
      <c r="AD112" s="440" t="e">
        <f ca="1">IF(AND(NOT(ISBLANK(Jumpoverwrite5)),AND(NOT(AC112),AND(AC$4:AC111))),($J112*$G112-LN(1+Jumpoverwrite5*AE$2))/$G112,_xll.qlInterpolationInterpolate(AC$3,$F112,TRUE))</f>
        <v>#NAME?</v>
      </c>
      <c r="AE112" s="440" t="str">
        <f ca="1">IF(AND(NOT(AC112),AND(AC$4:AC111)),MIN(EXP((AD112-$J112)*$G112),1),"")</f>
        <v/>
      </c>
      <c r="AF112" s="429"/>
      <c r="AG112" s="441" t="b">
        <f ca="1">IF(AND(NOT(AC112),AND(AC$4:AC111)),TRUE,AC112)</f>
        <v>0</v>
      </c>
      <c r="AH112" s="440" t="e">
        <f ca="1">IF(AND(NOT(ISBLANK(Jumpoverwrite6)),AND(NOT(AG112),AND(AG$4:AG111))),($J112*$G112-LN(1+Jumpoverwrite6*AI$2))/$G112,_xll.qlInterpolationInterpolate(AG$3,$F112,TRUE))</f>
        <v>#NAME?</v>
      </c>
      <c r="AI112" s="440" t="str">
        <f ca="1">IF(AND(NOT(AG112),AND(AG$4:AG111)),MIN(EXP((AH112-$J112)*$G112),1),"")</f>
        <v/>
      </c>
      <c r="AJ112" s="429"/>
      <c r="AK112" s="441" t="b">
        <f ca="1">IF(AND(NOT(AG112),AND(AG$4:AG111)),TRUE,AG112)</f>
        <v>0</v>
      </c>
      <c r="AL112" s="440" t="e">
        <f ca="1">IF(AND(NOT(ISBLANK(Jumpoverwrite7)),AND(NOT(AK112),AND(AK$4:AK111))),($J112*$G112-LN(1+Jumpoverwrite7*AM$2))/$G112,_xll.qlInterpolationInterpolate(AK$3,$F112,TRUE))</f>
        <v>#NAME?</v>
      </c>
      <c r="AM112" s="440" t="str">
        <f ca="1">IF(AND(NOT(AK112),AND(AK$4:AK111)),MIN(EXP((AL112-$J112)*$G112),1),"")</f>
        <v/>
      </c>
      <c r="AO112" s="441" t="b">
        <f ca="1">IF(AND(NOT(AK112),AND(AK$4:AK111)),TRUE,AK112)</f>
        <v>0</v>
      </c>
      <c r="AP112" s="440" t="e">
        <f ca="1">IF(AND(NOT(ISBLANK(Jumpoverwrite8)),AND(NOT(AO112),AND(AO$4:AO111))),($J112*$G112-LN(1+Jumpoverwrite8*AQ$2))/$G112,_xll.qlInterpolationInterpolate(AO$3,$F112,TRUE))</f>
        <v>#NAME?</v>
      </c>
      <c r="AQ112" s="440" t="str">
        <f ca="1">IF(AND(NOT(AO112),AND(AO$4:AO111)),MIN(EXP((AP112-$J112)*$G112),1),"")</f>
        <v/>
      </c>
      <c r="AS112" s="441" t="b">
        <f ca="1">IF(AND(NOT(AO112),AND(AO$4:AO111)),TRUE,AO112)</f>
        <v>0</v>
      </c>
      <c r="AT112" s="440" t="e">
        <f ca="1">IF(AND(NOT(ISBLANK(Jumpoverwrite9)),AND(NOT(AS112),AND(AS$4:AS111))),($J112*$G112-LN(1+Jumpoverwrite9*AU$2))/$G112,_xll.qlInterpolationInterpolate(AS$3,$F112,TRUE))</f>
        <v>#NAME?</v>
      </c>
      <c r="AU112" s="440" t="str">
        <f ca="1">IF(AND(NOT(AS112),AND(AS$4:AS111)),MIN(EXP((AT112-$J112)*$G112),1),"")</f>
        <v/>
      </c>
      <c r="AW112" s="441" t="b">
        <f ca="1">IF(AND(NOT(AS112),AND(AS$4:AS111)),TRUE,AS112)</f>
        <v>0</v>
      </c>
      <c r="AX112" s="440" t="e">
        <f ca="1">IF(AND(NOT(ISBLANK(Jumpoverwrite10)),AND(NOT(AW112),AND(AW$4:AW111))),($J112*$G112-LN(1+Jumpoverwrite10*AY$2))/$G112,_xll.qlInterpolationInterpolate(AW$3,$F112,TRUE))</f>
        <v>#NAME?</v>
      </c>
      <c r="AY112" s="440" t="str">
        <f ca="1">IF(AND(NOT(AW112),AND(AW$4:AW111)),MIN(EXP((AX112-$J112)*$G112),1),"")</f>
        <v/>
      </c>
      <c r="BA112" s="441" t="b">
        <f ca="1">IF(AND(NOT(AW112),AND(AW$4:AW111)),TRUE,AW112)</f>
        <v>0</v>
      </c>
      <c r="BB112" s="440" t="e">
        <f ca="1">IF(AND(NOT(ISBLANK(Jumpoverwrite11)),AND(NOT(BA112),AND(BA$4:BA111))),($J112*$G112-LN(1+Jumpoverwrite11*BC$2))/$G112,_xll.qlInterpolationInterpolate(BA$3,$F112,TRUE))</f>
        <v>#NAME?</v>
      </c>
      <c r="BC112" s="440" t="str">
        <f ca="1">IF(AND(NOT(BA112),AND(BA$4:BA111)),MIN(EXP((BB112-$J112)*$G112),1),"")</f>
        <v/>
      </c>
      <c r="BE112" s="441" t="b">
        <f ca="1">IF(AND(NOT(BA112),AND(BA$4:BA111)),TRUE,BA112)</f>
        <v>0</v>
      </c>
      <c r="BF112" s="440" t="e">
        <f ca="1">IF(AND(NOT(ISBLANK(Jumpoverwrite12)),AND(NOT(BE112),AND(BE$4:BE111))),($J112*$G112-LN(1+Jumpoverwrite12*BG$2))/$G112,_xll.qlInterpolationInterpolate(BE$3,$F112,TRUE))</f>
        <v>#NAME?</v>
      </c>
      <c r="BG112" s="440" t="str">
        <f ca="1">IF(AND(NOT(BE112),AND(BE$4:BE111)),MIN(EXP((BF112-$J112)*$G112),1),"")</f>
        <v/>
      </c>
      <c r="BI112" s="441" t="b">
        <f t="shared" ca="1" si="15"/>
        <v>0</v>
      </c>
      <c r="BJ112" s="440" t="e">
        <f ca="1">IF(AND(NOT(ISBLANK(jumpoverwrite13)),AND(NOT(BI112),AND(BI$4:BI111))),($J112*$G112-LN(1+jumpoverwrite13*BK$2))/$G112,_xll.qlInterpolationInterpolate(BI$3,$F112,TRUE))</f>
        <v>#NAME?</v>
      </c>
      <c r="BK112" s="440" t="str">
        <f ca="1">IF(AND(NOT(BI112),AND(BI$4:BI111)),MIN(EXP((BJ112-$J112)*$G112),1),"")</f>
        <v/>
      </c>
    </row>
    <row r="113" spans="1:63" x14ac:dyDescent="0.2">
      <c r="A113" s="439" t="e">
        <f ca="1"/>
        <v>#NAME?</v>
      </c>
      <c r="B113" s="438" t="e">
        <f ca="1">_xll.qlRateHelperRate($A113,InterestRatesTrigger)</f>
        <v>#NAME?</v>
      </c>
      <c r="C113" s="437" t="e">
        <f ca="1">_xll.qlRateHelperEarliestDate($A113)</f>
        <v>#NAME?</v>
      </c>
      <c r="D113" s="436" t="e">
        <f ca="1">_xll.qlRateHelperPillarDate($A113)</f>
        <v>#NAME?</v>
      </c>
      <c r="F113" s="446" t="e">
        <f t="shared" ca="1" si="13"/>
        <v>#N/A</v>
      </c>
      <c r="G113" s="445" t="e">
        <f ca="1">_xll.qlDayCounterYearFraction(DayCounter,D112,D113)</f>
        <v>#NAME?</v>
      </c>
      <c r="I113" s="444" t="b">
        <f t="shared" ca="1" si="14"/>
        <v>0</v>
      </c>
      <c r="J113" s="443" t="e">
        <f ca="1"/>
        <v>#NAME?</v>
      </c>
      <c r="K113" s="442" t="e">
        <f t="shared" ca="1" si="12"/>
        <v>#NAME?</v>
      </c>
      <c r="L113" s="430"/>
      <c r="M113" s="441" t="b">
        <f ca="1">IF(AND(NOT(I113),AND(I$4:I112)),TRUE,I113)</f>
        <v>0</v>
      </c>
      <c r="N113" s="440" t="e">
        <f ca="1">IF(AND(NOT(ISBLANK(Jumpoverwrite1)),AND(NOT(M113),AND(M$4:M112))),($J113*$G113-LN(1+Jumpoverwrite1*O$2))/$G113,_xll.qlInterpolationInterpolate(M$3,$F113,TRUE))</f>
        <v>#NAME?</v>
      </c>
      <c r="O113" s="440" t="str">
        <f ca="1">IF(AND(NOT(M113),AND(M$4:M112)),MIN(EXP((N113-$J113)*$G113),1),"")</f>
        <v/>
      </c>
      <c r="P113" s="429"/>
      <c r="Q113" s="441" t="b">
        <f ca="1">IF(AND(NOT(M113),AND(M$4:M112)),TRUE,M113)</f>
        <v>0</v>
      </c>
      <c r="R113" s="440" t="e">
        <f ca="1">IF(AND(NOT(ISBLANK(Jumpoverwrite2)),AND(NOT(Q113),AND(Q$4:Q112))),($J113*$G113-LN(1+Jumpoverwrite2*S$2))/$G113,_xll.qlInterpolationInterpolate(Q$3,$F113,TRUE))</f>
        <v>#NAME?</v>
      </c>
      <c r="S113" s="440" t="str">
        <f ca="1">IF(AND(NOT(Q113),AND(Q$4:Q112)),MIN(EXP((R113-$J113)*$G113),1),"")</f>
        <v/>
      </c>
      <c r="T113" s="429"/>
      <c r="U113" s="441" t="b">
        <f ca="1">IF(AND(NOT(Q113),AND(Q$4:Q112)),TRUE,Q113)</f>
        <v>0</v>
      </c>
      <c r="V113" s="440" t="e">
        <f ca="1">IF(AND(NOT(ISBLANK(Jumpoverwrite3)),AND(NOT(U113),AND(U$4:U112))),($J113*$G113-LN(1+Jumpoverwrite3*W$2))/$G113,_xll.qlInterpolationInterpolate(U$3,$F113,TRUE))</f>
        <v>#NAME?</v>
      </c>
      <c r="W113" s="440" t="str">
        <f ca="1">IF(AND(NOT(U113),AND(U$4:U112)),MIN(EXP((V113-$J113)*$G113),1),"")</f>
        <v/>
      </c>
      <c r="X113" s="429"/>
      <c r="Y113" s="441" t="b">
        <f ca="1">IF(AND(NOT(U113),AND(U$4:U112)),TRUE,U113)</f>
        <v>0</v>
      </c>
      <c r="Z113" s="440" t="e">
        <f ca="1">IF(AND(NOT(ISBLANK(Jumpoverwrite4)),AND(NOT(Y113),AND(Y$4:Y112))),($J113*$G113-LN(1+Jumpoverwrite4*AA$2))/$G113,_xll.qlInterpolationInterpolate(Y$3,$F113,TRUE))</f>
        <v>#NAME?</v>
      </c>
      <c r="AA113" s="440" t="str">
        <f ca="1">IF(AND(NOT(Y113),AND(Y$4:Y112)),MIN(EXP((Z113-$J113)*$G113),1),"")</f>
        <v/>
      </c>
      <c r="AB113" s="429"/>
      <c r="AC113" s="441" t="b">
        <f ca="1">IF(AND(NOT(Y113),AND(Y$4:Y112)),TRUE,Y113)</f>
        <v>0</v>
      </c>
      <c r="AD113" s="440" t="e">
        <f ca="1">IF(AND(NOT(ISBLANK(Jumpoverwrite5)),AND(NOT(AC113),AND(AC$4:AC112))),($J113*$G113-LN(1+Jumpoverwrite5*AE$2))/$G113,_xll.qlInterpolationInterpolate(AC$3,$F113,TRUE))</f>
        <v>#NAME?</v>
      </c>
      <c r="AE113" s="440" t="str">
        <f ca="1">IF(AND(NOT(AC113),AND(AC$4:AC112)),MIN(EXP((AD113-$J113)*$G113),1),"")</f>
        <v/>
      </c>
      <c r="AF113" s="429"/>
      <c r="AG113" s="441" t="b">
        <f ca="1">IF(AND(NOT(AC113),AND(AC$4:AC112)),TRUE,AC113)</f>
        <v>0</v>
      </c>
      <c r="AH113" s="440" t="e">
        <f ca="1">IF(AND(NOT(ISBLANK(Jumpoverwrite6)),AND(NOT(AG113),AND(AG$4:AG112))),($J113*$G113-LN(1+Jumpoverwrite6*AI$2))/$G113,_xll.qlInterpolationInterpolate(AG$3,$F113,TRUE))</f>
        <v>#NAME?</v>
      </c>
      <c r="AI113" s="440" t="str">
        <f ca="1">IF(AND(NOT(AG113),AND(AG$4:AG112)),MIN(EXP((AH113-$J113)*$G113),1),"")</f>
        <v/>
      </c>
      <c r="AJ113" s="429"/>
      <c r="AK113" s="441" t="b">
        <f ca="1">IF(AND(NOT(AG113),AND(AG$4:AG112)),TRUE,AG113)</f>
        <v>0</v>
      </c>
      <c r="AL113" s="440" t="e">
        <f ca="1">IF(AND(NOT(ISBLANK(Jumpoverwrite7)),AND(NOT(AK113),AND(AK$4:AK112))),($J113*$G113-LN(1+Jumpoverwrite7*AM$2))/$G113,_xll.qlInterpolationInterpolate(AK$3,$F113,TRUE))</f>
        <v>#NAME?</v>
      </c>
      <c r="AM113" s="440" t="str">
        <f ca="1">IF(AND(NOT(AK113),AND(AK$4:AK112)),MIN(EXP((AL113-$J113)*$G113),1),"")</f>
        <v/>
      </c>
      <c r="AO113" s="441" t="b">
        <f ca="1">IF(AND(NOT(AK113),AND(AK$4:AK112)),TRUE,AK113)</f>
        <v>0</v>
      </c>
      <c r="AP113" s="440" t="e">
        <f ca="1">IF(AND(NOT(ISBLANK(Jumpoverwrite8)),AND(NOT(AO113),AND(AO$4:AO112))),($J113*$G113-LN(1+Jumpoverwrite8*AQ$2))/$G113,_xll.qlInterpolationInterpolate(AO$3,$F113,TRUE))</f>
        <v>#NAME?</v>
      </c>
      <c r="AQ113" s="440" t="str">
        <f ca="1">IF(AND(NOT(AO113),AND(AO$4:AO112)),MIN(EXP((AP113-$J113)*$G113),1),"")</f>
        <v/>
      </c>
      <c r="AS113" s="441" t="b">
        <f ca="1">IF(AND(NOT(AO113),AND(AO$4:AO112)),TRUE,AO113)</f>
        <v>0</v>
      </c>
      <c r="AT113" s="440" t="e">
        <f ca="1">IF(AND(NOT(ISBLANK(Jumpoverwrite9)),AND(NOT(AS113),AND(AS$4:AS112))),($J113*$G113-LN(1+Jumpoverwrite9*AU$2))/$G113,_xll.qlInterpolationInterpolate(AS$3,$F113,TRUE))</f>
        <v>#NAME?</v>
      </c>
      <c r="AU113" s="440" t="str">
        <f ca="1">IF(AND(NOT(AS113),AND(AS$4:AS112)),MIN(EXP((AT113-$J113)*$G113),1),"")</f>
        <v/>
      </c>
      <c r="AW113" s="441" t="b">
        <f ca="1">IF(AND(NOT(AS113),AND(AS$4:AS112)),TRUE,AS113)</f>
        <v>0</v>
      </c>
      <c r="AX113" s="440" t="e">
        <f ca="1">IF(AND(NOT(ISBLANK(Jumpoverwrite10)),AND(NOT(AW113),AND(AW$4:AW112))),($J113*$G113-LN(1+Jumpoverwrite10*AY$2))/$G113,_xll.qlInterpolationInterpolate(AW$3,$F113,TRUE))</f>
        <v>#NAME?</v>
      </c>
      <c r="AY113" s="440" t="str">
        <f ca="1">IF(AND(NOT(AW113),AND(AW$4:AW112)),MIN(EXP((AX113-$J113)*$G113),1),"")</f>
        <v/>
      </c>
      <c r="BA113" s="441" t="b">
        <f ca="1">IF(AND(NOT(AW113),AND(AW$4:AW112)),TRUE,AW113)</f>
        <v>0</v>
      </c>
      <c r="BB113" s="440" t="e">
        <f ca="1">IF(AND(NOT(ISBLANK(Jumpoverwrite11)),AND(NOT(BA113),AND(BA$4:BA112))),($J113*$G113-LN(1+Jumpoverwrite11*BC$2))/$G113,_xll.qlInterpolationInterpolate(BA$3,$F113,TRUE))</f>
        <v>#NAME?</v>
      </c>
      <c r="BC113" s="440" t="str">
        <f ca="1">IF(AND(NOT(BA113),AND(BA$4:BA112)),MIN(EXP((BB113-$J113)*$G113),1),"")</f>
        <v/>
      </c>
      <c r="BE113" s="441" t="b">
        <f ca="1">IF(AND(NOT(BA113),AND(BA$4:BA112)),TRUE,BA113)</f>
        <v>0</v>
      </c>
      <c r="BF113" s="440" t="e">
        <f ca="1">IF(AND(NOT(ISBLANK(Jumpoverwrite12)),AND(NOT(BE113),AND(BE$4:BE112))),($J113*$G113-LN(1+Jumpoverwrite12*BG$2))/$G113,_xll.qlInterpolationInterpolate(BE$3,$F113,TRUE))</f>
        <v>#NAME?</v>
      </c>
      <c r="BG113" s="440" t="str">
        <f ca="1">IF(AND(NOT(BE113),AND(BE$4:BE112)),MIN(EXP((BF113-$J113)*$G113),1),"")</f>
        <v/>
      </c>
      <c r="BI113" s="441" t="b">
        <f t="shared" ca="1" si="15"/>
        <v>0</v>
      </c>
      <c r="BJ113" s="440" t="e">
        <f ca="1">IF(AND(NOT(ISBLANK(jumpoverwrite13)),AND(NOT(BI113),AND(BI$4:BI112))),($J113*$G113-LN(1+jumpoverwrite13*BK$2))/$G113,_xll.qlInterpolationInterpolate(BI$3,$F113,TRUE))</f>
        <v>#NAME?</v>
      </c>
      <c r="BK113" s="440" t="str">
        <f ca="1">IF(AND(NOT(BI113),AND(BI$4:BI112)),MIN(EXP((BJ113-$J113)*$G113),1),"")</f>
        <v/>
      </c>
    </row>
    <row r="114" spans="1:63" x14ac:dyDescent="0.2">
      <c r="A114" s="439" t="e">
        <f ca="1"/>
        <v>#NAME?</v>
      </c>
      <c r="B114" s="438" t="e">
        <f ca="1">_xll.qlRateHelperRate($A114,InterestRatesTrigger)</f>
        <v>#NAME?</v>
      </c>
      <c r="C114" s="437" t="e">
        <f ca="1">_xll.qlRateHelperEarliestDate($A114)</f>
        <v>#NAME?</v>
      </c>
      <c r="D114" s="436" t="e">
        <f ca="1">_xll.qlRateHelperPillarDate($A114)</f>
        <v>#NAME?</v>
      </c>
      <c r="F114" s="446" t="e">
        <f t="shared" ca="1" si="13"/>
        <v>#N/A</v>
      </c>
      <c r="G114" s="445" t="e">
        <f ca="1">_xll.qlDayCounterYearFraction(DayCounter,D113,D114)</f>
        <v>#NAME?</v>
      </c>
      <c r="I114" s="444" t="b">
        <f t="shared" ca="1" si="14"/>
        <v>0</v>
      </c>
      <c r="J114" s="443" t="e">
        <f ca="1"/>
        <v>#NAME?</v>
      </c>
      <c r="K114" s="442" t="e">
        <f t="shared" ca="1" si="12"/>
        <v>#NAME?</v>
      </c>
      <c r="L114" s="430"/>
      <c r="M114" s="441" t="b">
        <f ca="1">IF(AND(NOT(I114),AND(I$4:I113)),TRUE,I114)</f>
        <v>0</v>
      </c>
      <c r="N114" s="440" t="e">
        <f ca="1">IF(AND(NOT(ISBLANK(Jumpoverwrite1)),AND(NOT(M114),AND(M$4:M113))),($J114*$G114-LN(1+Jumpoverwrite1*O$2))/$G114,_xll.qlInterpolationInterpolate(M$3,$F114,TRUE))</f>
        <v>#NAME?</v>
      </c>
      <c r="O114" s="440" t="str">
        <f ca="1">IF(AND(NOT(M114),AND(M$4:M113)),MIN(EXP((N114-$J114)*$G114),1),"")</f>
        <v/>
      </c>
      <c r="P114" s="429"/>
      <c r="Q114" s="441" t="b">
        <f ca="1">IF(AND(NOT(M114),AND(M$4:M113)),TRUE,M114)</f>
        <v>0</v>
      </c>
      <c r="R114" s="440" t="e">
        <f ca="1">IF(AND(NOT(ISBLANK(Jumpoverwrite2)),AND(NOT(Q114),AND(Q$4:Q113))),($J114*$G114-LN(1+Jumpoverwrite2*S$2))/$G114,_xll.qlInterpolationInterpolate(Q$3,$F114,TRUE))</f>
        <v>#NAME?</v>
      </c>
      <c r="S114" s="440" t="str">
        <f ca="1">IF(AND(NOT(Q114),AND(Q$4:Q113)),MIN(EXP((R114-$J114)*$G114),1),"")</f>
        <v/>
      </c>
      <c r="T114" s="429"/>
      <c r="U114" s="441" t="b">
        <f ca="1">IF(AND(NOT(Q114),AND(Q$4:Q113)),TRUE,Q114)</f>
        <v>0</v>
      </c>
      <c r="V114" s="440" t="e">
        <f ca="1">IF(AND(NOT(ISBLANK(Jumpoverwrite3)),AND(NOT(U114),AND(U$4:U113))),($J114*$G114-LN(1+Jumpoverwrite3*W$2))/$G114,_xll.qlInterpolationInterpolate(U$3,$F114,TRUE))</f>
        <v>#NAME?</v>
      </c>
      <c r="W114" s="440" t="str">
        <f ca="1">IF(AND(NOT(U114),AND(U$4:U113)),MIN(EXP((V114-$J114)*$G114),1),"")</f>
        <v/>
      </c>
      <c r="X114" s="429"/>
      <c r="Y114" s="441" t="b">
        <f ca="1">IF(AND(NOT(U114),AND(U$4:U113)),TRUE,U114)</f>
        <v>0</v>
      </c>
      <c r="Z114" s="440" t="e">
        <f ca="1">IF(AND(NOT(ISBLANK(Jumpoverwrite4)),AND(NOT(Y114),AND(Y$4:Y113))),($J114*$G114-LN(1+Jumpoverwrite4*AA$2))/$G114,_xll.qlInterpolationInterpolate(Y$3,$F114,TRUE))</f>
        <v>#NAME?</v>
      </c>
      <c r="AA114" s="440" t="str">
        <f ca="1">IF(AND(NOT(Y114),AND(Y$4:Y113)),MIN(EXP((Z114-$J114)*$G114),1),"")</f>
        <v/>
      </c>
      <c r="AB114" s="429"/>
      <c r="AC114" s="441" t="b">
        <f ca="1">IF(AND(NOT(Y114),AND(Y$4:Y113)),TRUE,Y114)</f>
        <v>0</v>
      </c>
      <c r="AD114" s="440" t="e">
        <f ca="1">IF(AND(NOT(ISBLANK(Jumpoverwrite5)),AND(NOT(AC114),AND(AC$4:AC113))),($J114*$G114-LN(1+Jumpoverwrite5*AE$2))/$G114,_xll.qlInterpolationInterpolate(AC$3,$F114,TRUE))</f>
        <v>#NAME?</v>
      </c>
      <c r="AE114" s="440" t="str">
        <f ca="1">IF(AND(NOT(AC114),AND(AC$4:AC113)),MIN(EXP((AD114-$J114)*$G114),1),"")</f>
        <v/>
      </c>
      <c r="AF114" s="429"/>
      <c r="AG114" s="441" t="b">
        <f ca="1">IF(AND(NOT(AC114),AND(AC$4:AC113)),TRUE,AC114)</f>
        <v>0</v>
      </c>
      <c r="AH114" s="440" t="e">
        <f ca="1">IF(AND(NOT(ISBLANK(Jumpoverwrite6)),AND(NOT(AG114),AND(AG$4:AG113))),($J114*$G114-LN(1+Jumpoverwrite6*AI$2))/$G114,_xll.qlInterpolationInterpolate(AG$3,$F114,TRUE))</f>
        <v>#NAME?</v>
      </c>
      <c r="AI114" s="440" t="str">
        <f ca="1">IF(AND(NOT(AG114),AND(AG$4:AG113)),MIN(EXP((AH114-$J114)*$G114),1),"")</f>
        <v/>
      </c>
      <c r="AJ114" s="429"/>
      <c r="AK114" s="441" t="b">
        <f ca="1">IF(AND(NOT(AG114),AND(AG$4:AG113)),TRUE,AG114)</f>
        <v>0</v>
      </c>
      <c r="AL114" s="440" t="e">
        <f ca="1">IF(AND(NOT(ISBLANK(Jumpoverwrite7)),AND(NOT(AK114),AND(AK$4:AK113))),($J114*$G114-LN(1+Jumpoverwrite7*AM$2))/$G114,_xll.qlInterpolationInterpolate(AK$3,$F114,TRUE))</f>
        <v>#NAME?</v>
      </c>
      <c r="AM114" s="440" t="str">
        <f ca="1">IF(AND(NOT(AK114),AND(AK$4:AK113)),MIN(EXP((AL114-$J114)*$G114),1),"")</f>
        <v/>
      </c>
      <c r="AO114" s="441" t="b">
        <f ca="1">IF(AND(NOT(AK114),AND(AK$4:AK113)),TRUE,AK114)</f>
        <v>0</v>
      </c>
      <c r="AP114" s="440" t="e">
        <f ca="1">IF(AND(NOT(ISBLANK(Jumpoverwrite8)),AND(NOT(AO114),AND(AO$4:AO113))),($J114*$G114-LN(1+Jumpoverwrite8*AQ$2))/$G114,_xll.qlInterpolationInterpolate(AO$3,$F114,TRUE))</f>
        <v>#NAME?</v>
      </c>
      <c r="AQ114" s="440" t="str">
        <f ca="1">IF(AND(NOT(AO114),AND(AO$4:AO113)),MIN(EXP((AP114-$J114)*$G114),1),"")</f>
        <v/>
      </c>
      <c r="AS114" s="441" t="b">
        <f ca="1">IF(AND(NOT(AO114),AND(AO$4:AO113)),TRUE,AO114)</f>
        <v>0</v>
      </c>
      <c r="AT114" s="440" t="e">
        <f ca="1">IF(AND(NOT(ISBLANK(Jumpoverwrite9)),AND(NOT(AS114),AND(AS$4:AS113))),($J114*$G114-LN(1+Jumpoverwrite9*AU$2))/$G114,_xll.qlInterpolationInterpolate(AS$3,$F114,TRUE))</f>
        <v>#NAME?</v>
      </c>
      <c r="AU114" s="440" t="str">
        <f ca="1">IF(AND(NOT(AS114),AND(AS$4:AS113)),MIN(EXP((AT114-$J114)*$G114),1),"")</f>
        <v/>
      </c>
      <c r="AW114" s="441" t="b">
        <f ca="1">IF(AND(NOT(AS114),AND(AS$4:AS113)),TRUE,AS114)</f>
        <v>0</v>
      </c>
      <c r="AX114" s="440" t="e">
        <f ca="1">IF(AND(NOT(ISBLANK(Jumpoverwrite10)),AND(NOT(AW114),AND(AW$4:AW113))),($J114*$G114-LN(1+Jumpoverwrite10*AY$2))/$G114,_xll.qlInterpolationInterpolate(AW$3,$F114,TRUE))</f>
        <v>#NAME?</v>
      </c>
      <c r="AY114" s="440" t="str">
        <f ca="1">IF(AND(NOT(AW114),AND(AW$4:AW113)),MIN(EXP((AX114-$J114)*$G114),1),"")</f>
        <v/>
      </c>
      <c r="BA114" s="441" t="b">
        <f ca="1">IF(AND(NOT(AW114),AND(AW$4:AW113)),TRUE,AW114)</f>
        <v>0</v>
      </c>
      <c r="BB114" s="440" t="e">
        <f ca="1">IF(AND(NOT(ISBLANK(Jumpoverwrite11)),AND(NOT(BA114),AND(BA$4:BA113))),($J114*$G114-LN(1+Jumpoverwrite11*BC$2))/$G114,_xll.qlInterpolationInterpolate(BA$3,$F114,TRUE))</f>
        <v>#NAME?</v>
      </c>
      <c r="BC114" s="440" t="str">
        <f ca="1">IF(AND(NOT(BA114),AND(BA$4:BA113)),MIN(EXP((BB114-$J114)*$G114),1),"")</f>
        <v/>
      </c>
      <c r="BE114" s="441" t="b">
        <f ca="1">IF(AND(NOT(BA114),AND(BA$4:BA113)),TRUE,BA114)</f>
        <v>0</v>
      </c>
      <c r="BF114" s="440" t="e">
        <f ca="1">IF(AND(NOT(ISBLANK(Jumpoverwrite12)),AND(NOT(BE114),AND(BE$4:BE113))),($J114*$G114-LN(1+Jumpoverwrite12*BG$2))/$G114,_xll.qlInterpolationInterpolate(BE$3,$F114,TRUE))</f>
        <v>#NAME?</v>
      </c>
      <c r="BG114" s="440" t="str">
        <f ca="1">IF(AND(NOT(BE114),AND(BE$4:BE113)),MIN(EXP((BF114-$J114)*$G114),1),"")</f>
        <v/>
      </c>
      <c r="BI114" s="441" t="b">
        <f t="shared" ca="1" si="15"/>
        <v>0</v>
      </c>
      <c r="BJ114" s="440" t="e">
        <f ca="1">IF(AND(NOT(ISBLANK(jumpoverwrite13)),AND(NOT(BI114),AND(BI$4:BI113))),($J114*$G114-LN(1+jumpoverwrite13*BK$2))/$G114,_xll.qlInterpolationInterpolate(BI$3,$F114,TRUE))</f>
        <v>#NAME?</v>
      </c>
      <c r="BK114" s="440" t="str">
        <f ca="1">IF(AND(NOT(BI114),AND(BI$4:BI113)),MIN(EXP((BJ114-$J114)*$G114),1),"")</f>
        <v/>
      </c>
    </row>
    <row r="115" spans="1:63" x14ac:dyDescent="0.2">
      <c r="A115" s="439" t="e">
        <f ca="1"/>
        <v>#NAME?</v>
      </c>
      <c r="B115" s="438" t="e">
        <f ca="1">_xll.qlRateHelperRate($A115,InterestRatesTrigger)</f>
        <v>#NAME?</v>
      </c>
      <c r="C115" s="437" t="e">
        <f ca="1">_xll.qlRateHelperEarliestDate($A115)</f>
        <v>#NAME?</v>
      </c>
      <c r="D115" s="436" t="e">
        <f ca="1">_xll.qlRateHelperPillarDate($A115)</f>
        <v>#NAME?</v>
      </c>
      <c r="F115" s="446" t="e">
        <f t="shared" ca="1" si="13"/>
        <v>#N/A</v>
      </c>
      <c r="G115" s="445" t="e">
        <f ca="1">_xll.qlDayCounterYearFraction(DayCounter,D114,D115)</f>
        <v>#NAME?</v>
      </c>
      <c r="I115" s="444" t="b">
        <f t="shared" ca="1" si="14"/>
        <v>0</v>
      </c>
      <c r="J115" s="443" t="e">
        <f ca="1"/>
        <v>#NAME?</v>
      </c>
      <c r="K115" s="442" t="e">
        <f t="shared" ca="1" si="12"/>
        <v>#NAME?</v>
      </c>
      <c r="L115" s="430"/>
      <c r="M115" s="441" t="b">
        <f ca="1">IF(AND(NOT(I115),AND(I$4:I114)),TRUE,I115)</f>
        <v>0</v>
      </c>
      <c r="N115" s="440" t="e">
        <f ca="1">IF(AND(NOT(ISBLANK(Jumpoverwrite1)),AND(NOT(M115),AND(M$4:M114))),($J115*$G115-LN(1+Jumpoverwrite1*O$2))/$G115,_xll.qlInterpolationInterpolate(M$3,$F115,TRUE))</f>
        <v>#NAME?</v>
      </c>
      <c r="O115" s="440" t="str">
        <f ca="1">IF(AND(NOT(M115),AND(M$4:M114)),MIN(EXP((N115-$J115)*$G115),1),"")</f>
        <v/>
      </c>
      <c r="P115" s="429"/>
      <c r="Q115" s="441" t="b">
        <f ca="1">IF(AND(NOT(M115),AND(M$4:M114)),TRUE,M115)</f>
        <v>0</v>
      </c>
      <c r="R115" s="440" t="e">
        <f ca="1">IF(AND(NOT(ISBLANK(Jumpoverwrite2)),AND(NOT(Q115),AND(Q$4:Q114))),($J115*$G115-LN(1+Jumpoverwrite2*S$2))/$G115,_xll.qlInterpolationInterpolate(Q$3,$F115,TRUE))</f>
        <v>#NAME?</v>
      </c>
      <c r="S115" s="440" t="str">
        <f ca="1">IF(AND(NOT(Q115),AND(Q$4:Q114)),MIN(EXP((R115-$J115)*$G115),1),"")</f>
        <v/>
      </c>
      <c r="T115" s="429"/>
      <c r="U115" s="441" t="b">
        <f ca="1">IF(AND(NOT(Q115),AND(Q$4:Q114)),TRUE,Q115)</f>
        <v>0</v>
      </c>
      <c r="V115" s="440" t="e">
        <f ca="1">IF(AND(NOT(ISBLANK(Jumpoverwrite3)),AND(NOT(U115),AND(U$4:U114))),($J115*$G115-LN(1+Jumpoverwrite3*W$2))/$G115,_xll.qlInterpolationInterpolate(U$3,$F115,TRUE))</f>
        <v>#NAME?</v>
      </c>
      <c r="W115" s="440" t="str">
        <f ca="1">IF(AND(NOT(U115),AND(U$4:U114)),MIN(EXP((V115-$J115)*$G115),1),"")</f>
        <v/>
      </c>
      <c r="X115" s="429"/>
      <c r="Y115" s="441" t="b">
        <f ca="1">IF(AND(NOT(U115),AND(U$4:U114)),TRUE,U115)</f>
        <v>0</v>
      </c>
      <c r="Z115" s="440" t="e">
        <f ca="1">IF(AND(NOT(ISBLANK(Jumpoverwrite4)),AND(NOT(Y115),AND(Y$4:Y114))),($J115*$G115-LN(1+Jumpoverwrite4*AA$2))/$G115,_xll.qlInterpolationInterpolate(Y$3,$F115,TRUE))</f>
        <v>#NAME?</v>
      </c>
      <c r="AA115" s="440" t="str">
        <f ca="1">IF(AND(NOT(Y115),AND(Y$4:Y114)),MIN(EXP((Z115-$J115)*$G115),1),"")</f>
        <v/>
      </c>
      <c r="AB115" s="429"/>
      <c r="AC115" s="441" t="b">
        <f ca="1">IF(AND(NOT(Y115),AND(Y$4:Y114)),TRUE,Y115)</f>
        <v>0</v>
      </c>
      <c r="AD115" s="440" t="e">
        <f ca="1">IF(AND(NOT(ISBLANK(Jumpoverwrite5)),AND(NOT(AC115),AND(AC$4:AC114))),($J115*$G115-LN(1+Jumpoverwrite5*AE$2))/$G115,_xll.qlInterpolationInterpolate(AC$3,$F115,TRUE))</f>
        <v>#NAME?</v>
      </c>
      <c r="AE115" s="440" t="str">
        <f ca="1">IF(AND(NOT(AC115),AND(AC$4:AC114)),MIN(EXP((AD115-$J115)*$G115),1),"")</f>
        <v/>
      </c>
      <c r="AF115" s="429"/>
      <c r="AG115" s="441" t="b">
        <f ca="1">IF(AND(NOT(AC115),AND(AC$4:AC114)),TRUE,AC115)</f>
        <v>0</v>
      </c>
      <c r="AH115" s="440" t="e">
        <f ca="1">IF(AND(NOT(ISBLANK(Jumpoverwrite6)),AND(NOT(AG115),AND(AG$4:AG114))),($J115*$G115-LN(1+Jumpoverwrite6*AI$2))/$G115,_xll.qlInterpolationInterpolate(AG$3,$F115,TRUE))</f>
        <v>#NAME?</v>
      </c>
      <c r="AI115" s="440" t="str">
        <f ca="1">IF(AND(NOT(AG115),AND(AG$4:AG114)),MIN(EXP((AH115-$J115)*$G115),1),"")</f>
        <v/>
      </c>
      <c r="AJ115" s="429"/>
      <c r="AK115" s="441" t="b">
        <f ca="1">IF(AND(NOT(AG115),AND(AG$4:AG114)),TRUE,AG115)</f>
        <v>0</v>
      </c>
      <c r="AL115" s="440" t="e">
        <f ca="1">IF(AND(NOT(ISBLANK(Jumpoverwrite7)),AND(NOT(AK115),AND(AK$4:AK114))),($J115*$G115-LN(1+Jumpoverwrite7*AM$2))/$G115,_xll.qlInterpolationInterpolate(AK$3,$F115,TRUE))</f>
        <v>#NAME?</v>
      </c>
      <c r="AM115" s="440" t="str">
        <f ca="1">IF(AND(NOT(AK115),AND(AK$4:AK114)),MIN(EXP((AL115-$J115)*$G115),1),"")</f>
        <v/>
      </c>
      <c r="AO115" s="441" t="b">
        <f ca="1">IF(AND(NOT(AK115),AND(AK$4:AK114)),TRUE,AK115)</f>
        <v>0</v>
      </c>
      <c r="AP115" s="440" t="e">
        <f ca="1">IF(AND(NOT(ISBLANK(Jumpoverwrite8)),AND(NOT(AO115),AND(AO$4:AO114))),($J115*$G115-LN(1+Jumpoverwrite8*AQ$2))/$G115,_xll.qlInterpolationInterpolate(AO$3,$F115,TRUE))</f>
        <v>#NAME?</v>
      </c>
      <c r="AQ115" s="440" t="str">
        <f ca="1">IF(AND(NOT(AO115),AND(AO$4:AO114)),MIN(EXP((AP115-$J115)*$G115),1),"")</f>
        <v/>
      </c>
      <c r="AS115" s="441" t="b">
        <f ca="1">IF(AND(NOT(AO115),AND(AO$4:AO114)),TRUE,AO115)</f>
        <v>0</v>
      </c>
      <c r="AT115" s="440" t="e">
        <f ca="1">IF(AND(NOT(ISBLANK(Jumpoverwrite9)),AND(NOT(AS115),AND(AS$4:AS114))),($J115*$G115-LN(1+Jumpoverwrite9*AU$2))/$G115,_xll.qlInterpolationInterpolate(AS$3,$F115,TRUE))</f>
        <v>#NAME?</v>
      </c>
      <c r="AU115" s="440" t="str">
        <f ca="1">IF(AND(NOT(AS115),AND(AS$4:AS114)),MIN(EXP((AT115-$J115)*$G115),1),"")</f>
        <v/>
      </c>
      <c r="AW115" s="441" t="b">
        <f ca="1">IF(AND(NOT(AS115),AND(AS$4:AS114)),TRUE,AS115)</f>
        <v>0</v>
      </c>
      <c r="AX115" s="440" t="e">
        <f ca="1">IF(AND(NOT(ISBLANK(Jumpoverwrite10)),AND(NOT(AW115),AND(AW$4:AW114))),($J115*$G115-LN(1+Jumpoverwrite10*AY$2))/$G115,_xll.qlInterpolationInterpolate(AW$3,$F115,TRUE))</f>
        <v>#NAME?</v>
      </c>
      <c r="AY115" s="440" t="str">
        <f ca="1">IF(AND(NOT(AW115),AND(AW$4:AW114)),MIN(EXP((AX115-$J115)*$G115),1),"")</f>
        <v/>
      </c>
      <c r="BA115" s="441" t="b">
        <f ca="1">IF(AND(NOT(AW115),AND(AW$4:AW114)),TRUE,AW115)</f>
        <v>0</v>
      </c>
      <c r="BB115" s="440" t="e">
        <f ca="1">IF(AND(NOT(ISBLANK(Jumpoverwrite11)),AND(NOT(BA115),AND(BA$4:BA114))),($J115*$G115-LN(1+Jumpoverwrite11*BC$2))/$G115,_xll.qlInterpolationInterpolate(BA$3,$F115,TRUE))</f>
        <v>#NAME?</v>
      </c>
      <c r="BC115" s="440" t="str">
        <f ca="1">IF(AND(NOT(BA115),AND(BA$4:BA114)),MIN(EXP((BB115-$J115)*$G115),1),"")</f>
        <v/>
      </c>
      <c r="BE115" s="441" t="b">
        <f ca="1">IF(AND(NOT(BA115),AND(BA$4:BA114)),TRUE,BA115)</f>
        <v>0</v>
      </c>
      <c r="BF115" s="440" t="e">
        <f ca="1">IF(AND(NOT(ISBLANK(Jumpoverwrite12)),AND(NOT(BE115),AND(BE$4:BE114))),($J115*$G115-LN(1+Jumpoverwrite12*BG$2))/$G115,_xll.qlInterpolationInterpolate(BE$3,$F115,TRUE))</f>
        <v>#NAME?</v>
      </c>
      <c r="BG115" s="440" t="str">
        <f ca="1">IF(AND(NOT(BE115),AND(BE$4:BE114)),MIN(EXP((BF115-$J115)*$G115),1),"")</f>
        <v/>
      </c>
      <c r="BI115" s="441" t="b">
        <f t="shared" ca="1" si="15"/>
        <v>0</v>
      </c>
      <c r="BJ115" s="440" t="e">
        <f ca="1">IF(AND(NOT(ISBLANK(jumpoverwrite13)),AND(NOT(BI115),AND(BI$4:BI114))),($J115*$G115-LN(1+jumpoverwrite13*BK$2))/$G115,_xll.qlInterpolationInterpolate(BI$3,$F115,TRUE))</f>
        <v>#NAME?</v>
      </c>
      <c r="BK115" s="440" t="str">
        <f ca="1">IF(AND(NOT(BI115),AND(BI$4:BI114)),MIN(EXP((BJ115-$J115)*$G115),1),"")</f>
        <v/>
      </c>
    </row>
    <row r="116" spans="1:63" x14ac:dyDescent="0.2">
      <c r="A116" s="439" t="e">
        <f ca="1"/>
        <v>#NAME?</v>
      </c>
      <c r="B116" s="438" t="e">
        <f ca="1">_xll.qlRateHelperRate($A116,InterestRatesTrigger)</f>
        <v>#NAME?</v>
      </c>
      <c r="C116" s="437" t="e">
        <f ca="1">_xll.qlRateHelperEarliestDate($A116)</f>
        <v>#NAME?</v>
      </c>
      <c r="D116" s="436" t="e">
        <f ca="1">_xll.qlRateHelperPillarDate($A116)</f>
        <v>#NAME?</v>
      </c>
      <c r="F116" s="446" t="e">
        <f t="shared" ca="1" si="13"/>
        <v>#N/A</v>
      </c>
      <c r="G116" s="445" t="e">
        <f ca="1">_xll.qlDayCounterYearFraction(DayCounter,D115,D116)</f>
        <v>#NAME?</v>
      </c>
      <c r="I116" s="444" t="b">
        <f t="shared" ca="1" si="14"/>
        <v>0</v>
      </c>
      <c r="J116" s="443" t="e">
        <f ca="1"/>
        <v>#NAME?</v>
      </c>
      <c r="K116" s="442" t="e">
        <f t="shared" ca="1" si="12"/>
        <v>#NAME?</v>
      </c>
      <c r="L116" s="430"/>
      <c r="M116" s="441" t="b">
        <f ca="1">IF(AND(NOT(I116),AND(I$4:I115)),TRUE,I116)</f>
        <v>0</v>
      </c>
      <c r="N116" s="440" t="e">
        <f ca="1">IF(AND(NOT(ISBLANK(Jumpoverwrite1)),AND(NOT(M116),AND(M$4:M115))),($J116*$G116-LN(1+Jumpoverwrite1*O$2))/$G116,_xll.qlInterpolationInterpolate(M$3,$F116,TRUE))</f>
        <v>#NAME?</v>
      </c>
      <c r="O116" s="440" t="str">
        <f ca="1">IF(AND(NOT(M116),AND(M$4:M115)),MIN(EXP((N116-$J116)*$G116),1),"")</f>
        <v/>
      </c>
      <c r="P116" s="429"/>
      <c r="Q116" s="441" t="b">
        <f ca="1">IF(AND(NOT(M116),AND(M$4:M115)),TRUE,M116)</f>
        <v>0</v>
      </c>
      <c r="R116" s="440" t="e">
        <f ca="1">IF(AND(NOT(ISBLANK(Jumpoverwrite2)),AND(NOT(Q116),AND(Q$4:Q115))),($J116*$G116-LN(1+Jumpoverwrite2*S$2))/$G116,_xll.qlInterpolationInterpolate(Q$3,$F116,TRUE))</f>
        <v>#NAME?</v>
      </c>
      <c r="S116" s="440" t="str">
        <f ca="1">IF(AND(NOT(Q116),AND(Q$4:Q115)),MIN(EXP((R116-$J116)*$G116),1),"")</f>
        <v/>
      </c>
      <c r="T116" s="429"/>
      <c r="U116" s="441" t="b">
        <f ca="1">IF(AND(NOT(Q116),AND(Q$4:Q115)),TRUE,Q116)</f>
        <v>0</v>
      </c>
      <c r="V116" s="440" t="e">
        <f ca="1">IF(AND(NOT(ISBLANK(Jumpoverwrite3)),AND(NOT(U116),AND(U$4:U115))),($J116*$G116-LN(1+Jumpoverwrite3*W$2))/$G116,_xll.qlInterpolationInterpolate(U$3,$F116,TRUE))</f>
        <v>#NAME?</v>
      </c>
      <c r="W116" s="440" t="str">
        <f ca="1">IF(AND(NOT(U116),AND(U$4:U115)),MIN(EXP((V116-$J116)*$G116),1),"")</f>
        <v/>
      </c>
      <c r="X116" s="429"/>
      <c r="Y116" s="441" t="b">
        <f ca="1">IF(AND(NOT(U116),AND(U$4:U115)),TRUE,U116)</f>
        <v>0</v>
      </c>
      <c r="Z116" s="440" t="e">
        <f ca="1">IF(AND(NOT(ISBLANK(Jumpoverwrite4)),AND(NOT(Y116),AND(Y$4:Y115))),($J116*$G116-LN(1+Jumpoverwrite4*AA$2))/$G116,_xll.qlInterpolationInterpolate(Y$3,$F116,TRUE))</f>
        <v>#NAME?</v>
      </c>
      <c r="AA116" s="440" t="str">
        <f ca="1">IF(AND(NOT(Y116),AND(Y$4:Y115)),MIN(EXP((Z116-$J116)*$G116),1),"")</f>
        <v/>
      </c>
      <c r="AB116" s="429"/>
      <c r="AC116" s="441" t="b">
        <f ca="1">IF(AND(NOT(Y116),AND(Y$4:Y115)),TRUE,Y116)</f>
        <v>0</v>
      </c>
      <c r="AD116" s="440" t="e">
        <f ca="1">IF(AND(NOT(ISBLANK(Jumpoverwrite5)),AND(NOT(AC116),AND(AC$4:AC115))),($J116*$G116-LN(1+Jumpoverwrite5*AE$2))/$G116,_xll.qlInterpolationInterpolate(AC$3,$F116,TRUE))</f>
        <v>#NAME?</v>
      </c>
      <c r="AE116" s="440" t="str">
        <f ca="1">IF(AND(NOT(AC116),AND(AC$4:AC115)),MIN(EXP((AD116-$J116)*$G116),1),"")</f>
        <v/>
      </c>
      <c r="AF116" s="429"/>
      <c r="AG116" s="441" t="b">
        <f ca="1">IF(AND(NOT(AC116),AND(AC$4:AC115)),TRUE,AC116)</f>
        <v>0</v>
      </c>
      <c r="AH116" s="440" t="e">
        <f ca="1">IF(AND(NOT(ISBLANK(Jumpoverwrite6)),AND(NOT(AG116),AND(AG$4:AG115))),($J116*$G116-LN(1+Jumpoverwrite6*AI$2))/$G116,_xll.qlInterpolationInterpolate(AG$3,$F116,TRUE))</f>
        <v>#NAME?</v>
      </c>
      <c r="AI116" s="440" t="str">
        <f ca="1">IF(AND(NOT(AG116),AND(AG$4:AG115)),MIN(EXP((AH116-$J116)*$G116),1),"")</f>
        <v/>
      </c>
      <c r="AJ116" s="429"/>
      <c r="AK116" s="441" t="b">
        <f ca="1">IF(AND(NOT(AG116),AND(AG$4:AG115)),TRUE,AG116)</f>
        <v>0</v>
      </c>
      <c r="AL116" s="440" t="e">
        <f ca="1">IF(AND(NOT(ISBLANK(Jumpoverwrite7)),AND(NOT(AK116),AND(AK$4:AK115))),($J116*$G116-LN(1+Jumpoverwrite7*AM$2))/$G116,_xll.qlInterpolationInterpolate(AK$3,$F116,TRUE))</f>
        <v>#NAME?</v>
      </c>
      <c r="AM116" s="440" t="str">
        <f ca="1">IF(AND(NOT(AK116),AND(AK$4:AK115)),MIN(EXP((AL116-$J116)*$G116),1),"")</f>
        <v/>
      </c>
      <c r="AO116" s="441" t="b">
        <f ca="1">IF(AND(NOT(AK116),AND(AK$4:AK115)),TRUE,AK116)</f>
        <v>0</v>
      </c>
      <c r="AP116" s="440" t="e">
        <f ca="1">IF(AND(NOT(ISBLANK(Jumpoverwrite8)),AND(NOT(AO116),AND(AO$4:AO115))),($J116*$G116-LN(1+Jumpoverwrite8*AQ$2))/$G116,_xll.qlInterpolationInterpolate(AO$3,$F116,TRUE))</f>
        <v>#NAME?</v>
      </c>
      <c r="AQ116" s="440" t="str">
        <f ca="1">IF(AND(NOT(AO116),AND(AO$4:AO115)),MIN(EXP((AP116-$J116)*$G116),1),"")</f>
        <v/>
      </c>
      <c r="AS116" s="441" t="b">
        <f ca="1">IF(AND(NOT(AO116),AND(AO$4:AO115)),TRUE,AO116)</f>
        <v>0</v>
      </c>
      <c r="AT116" s="440" t="e">
        <f ca="1">IF(AND(NOT(ISBLANK(Jumpoverwrite9)),AND(NOT(AS116),AND(AS$4:AS115))),($J116*$G116-LN(1+Jumpoverwrite9*AU$2))/$G116,_xll.qlInterpolationInterpolate(AS$3,$F116,TRUE))</f>
        <v>#NAME?</v>
      </c>
      <c r="AU116" s="440" t="str">
        <f ca="1">IF(AND(NOT(AS116),AND(AS$4:AS115)),MIN(EXP((AT116-$J116)*$G116),1),"")</f>
        <v/>
      </c>
      <c r="AW116" s="441" t="b">
        <f ca="1">IF(AND(NOT(AS116),AND(AS$4:AS115)),TRUE,AS116)</f>
        <v>0</v>
      </c>
      <c r="AX116" s="440" t="e">
        <f ca="1">IF(AND(NOT(ISBLANK(Jumpoverwrite10)),AND(NOT(AW116),AND(AW$4:AW115))),($J116*$G116-LN(1+Jumpoverwrite10*AY$2))/$G116,_xll.qlInterpolationInterpolate(AW$3,$F116,TRUE))</f>
        <v>#NAME?</v>
      </c>
      <c r="AY116" s="440" t="str">
        <f ca="1">IF(AND(NOT(AW116),AND(AW$4:AW115)),MIN(EXP((AX116-$J116)*$G116),1),"")</f>
        <v/>
      </c>
      <c r="BA116" s="441" t="b">
        <f ca="1">IF(AND(NOT(AW116),AND(AW$4:AW115)),TRUE,AW116)</f>
        <v>0</v>
      </c>
      <c r="BB116" s="440" t="e">
        <f ca="1">IF(AND(NOT(ISBLANK(Jumpoverwrite11)),AND(NOT(BA116),AND(BA$4:BA115))),($J116*$G116-LN(1+Jumpoverwrite11*BC$2))/$G116,_xll.qlInterpolationInterpolate(BA$3,$F116,TRUE))</f>
        <v>#NAME?</v>
      </c>
      <c r="BC116" s="440" t="str">
        <f ca="1">IF(AND(NOT(BA116),AND(BA$4:BA115)),MIN(EXP((BB116-$J116)*$G116),1),"")</f>
        <v/>
      </c>
      <c r="BE116" s="441" t="b">
        <f ca="1">IF(AND(NOT(BA116),AND(BA$4:BA115)),TRUE,BA116)</f>
        <v>0</v>
      </c>
      <c r="BF116" s="440" t="e">
        <f ca="1">IF(AND(NOT(ISBLANK(Jumpoverwrite12)),AND(NOT(BE116),AND(BE$4:BE115))),($J116*$G116-LN(1+Jumpoverwrite12*BG$2))/$G116,_xll.qlInterpolationInterpolate(BE$3,$F116,TRUE))</f>
        <v>#NAME?</v>
      </c>
      <c r="BG116" s="440" t="str">
        <f ca="1">IF(AND(NOT(BE116),AND(BE$4:BE115)),MIN(EXP((BF116-$J116)*$G116),1),"")</f>
        <v/>
      </c>
      <c r="BI116" s="441" t="b">
        <f t="shared" ca="1" si="15"/>
        <v>0</v>
      </c>
      <c r="BJ116" s="440" t="e">
        <f ca="1">IF(AND(NOT(ISBLANK(jumpoverwrite13)),AND(NOT(BI116),AND(BI$4:BI115))),($J116*$G116-LN(1+jumpoverwrite13*BK$2))/$G116,_xll.qlInterpolationInterpolate(BI$3,$F116,TRUE))</f>
        <v>#NAME?</v>
      </c>
      <c r="BK116" s="440" t="str">
        <f ca="1">IF(AND(NOT(BI116),AND(BI$4:BI115)),MIN(EXP((BJ116-$J116)*$G116),1),"")</f>
        <v/>
      </c>
    </row>
    <row r="117" spans="1:63" x14ac:dyDescent="0.2">
      <c r="A117" s="439" t="e">
        <f ca="1"/>
        <v>#NAME?</v>
      </c>
      <c r="B117" s="438" t="e">
        <f ca="1">_xll.qlRateHelperRate($A117,InterestRatesTrigger)</f>
        <v>#NAME?</v>
      </c>
      <c r="C117" s="437" t="e">
        <f ca="1">_xll.qlRateHelperEarliestDate($A117)</f>
        <v>#NAME?</v>
      </c>
      <c r="D117" s="436" t="e">
        <f ca="1">_xll.qlRateHelperPillarDate($A117)</f>
        <v>#NAME?</v>
      </c>
      <c r="F117" s="446" t="e">
        <f t="shared" ca="1" si="13"/>
        <v>#N/A</v>
      </c>
      <c r="G117" s="445" t="e">
        <f ca="1">_xll.qlDayCounterYearFraction(DayCounter,D116,D117)</f>
        <v>#NAME?</v>
      </c>
      <c r="I117" s="444" t="b">
        <f t="shared" ca="1" si="14"/>
        <v>0</v>
      </c>
      <c r="J117" s="443" t="e">
        <f ca="1"/>
        <v>#NAME?</v>
      </c>
      <c r="K117" s="442" t="e">
        <f t="shared" ca="1" si="12"/>
        <v>#NAME?</v>
      </c>
      <c r="L117" s="430"/>
      <c r="M117" s="441" t="b">
        <f ca="1">IF(AND(NOT(I117),AND(I$4:I116)),TRUE,I117)</f>
        <v>0</v>
      </c>
      <c r="N117" s="440" t="e">
        <f ca="1">IF(AND(NOT(ISBLANK(Jumpoverwrite1)),AND(NOT(M117),AND(M$4:M116))),($J117*$G117-LN(1+Jumpoverwrite1*O$2))/$G117,_xll.qlInterpolationInterpolate(M$3,$F117,TRUE))</f>
        <v>#NAME?</v>
      </c>
      <c r="O117" s="440" t="str">
        <f ca="1">IF(AND(NOT(M117),AND(M$4:M116)),MIN(EXP((N117-$J117)*$G117),1),"")</f>
        <v/>
      </c>
      <c r="P117" s="429"/>
      <c r="Q117" s="441" t="b">
        <f ca="1">IF(AND(NOT(M117),AND(M$4:M116)),TRUE,M117)</f>
        <v>0</v>
      </c>
      <c r="R117" s="440" t="e">
        <f ca="1">IF(AND(NOT(ISBLANK(Jumpoverwrite2)),AND(NOT(Q117),AND(Q$4:Q116))),($J117*$G117-LN(1+Jumpoverwrite2*S$2))/$G117,_xll.qlInterpolationInterpolate(Q$3,$F117,TRUE))</f>
        <v>#NAME?</v>
      </c>
      <c r="S117" s="440" t="str">
        <f ca="1">IF(AND(NOT(Q117),AND(Q$4:Q116)),MIN(EXP((R117-$J117)*$G117),1),"")</f>
        <v/>
      </c>
      <c r="T117" s="429"/>
      <c r="U117" s="441" t="b">
        <f ca="1">IF(AND(NOT(Q117),AND(Q$4:Q116)),TRUE,Q117)</f>
        <v>0</v>
      </c>
      <c r="V117" s="440" t="e">
        <f ca="1">IF(AND(NOT(ISBLANK(Jumpoverwrite3)),AND(NOT(U117),AND(U$4:U116))),($J117*$G117-LN(1+Jumpoverwrite3*W$2))/$G117,_xll.qlInterpolationInterpolate(U$3,$F117,TRUE))</f>
        <v>#NAME?</v>
      </c>
      <c r="W117" s="440" t="str">
        <f ca="1">IF(AND(NOT(U117),AND(U$4:U116)),MIN(EXP((V117-$J117)*$G117),1),"")</f>
        <v/>
      </c>
      <c r="X117" s="429"/>
      <c r="Y117" s="441" t="b">
        <f ca="1">IF(AND(NOT(U117),AND(U$4:U116)),TRUE,U117)</f>
        <v>0</v>
      </c>
      <c r="Z117" s="440" t="e">
        <f ca="1">IF(AND(NOT(ISBLANK(Jumpoverwrite4)),AND(NOT(Y117),AND(Y$4:Y116))),($J117*$G117-LN(1+Jumpoverwrite4*AA$2))/$G117,_xll.qlInterpolationInterpolate(Y$3,$F117,TRUE))</f>
        <v>#NAME?</v>
      </c>
      <c r="AA117" s="440" t="str">
        <f ca="1">IF(AND(NOT(Y117),AND(Y$4:Y116)),MIN(EXP((Z117-$J117)*$G117),1),"")</f>
        <v/>
      </c>
      <c r="AB117" s="429"/>
      <c r="AC117" s="441" t="b">
        <f ca="1">IF(AND(NOT(Y117),AND(Y$4:Y116)),TRUE,Y117)</f>
        <v>0</v>
      </c>
      <c r="AD117" s="440" t="e">
        <f ca="1">IF(AND(NOT(ISBLANK(Jumpoverwrite5)),AND(NOT(AC117),AND(AC$4:AC116))),($J117*$G117-LN(1+Jumpoverwrite5*AE$2))/$G117,_xll.qlInterpolationInterpolate(AC$3,$F117,TRUE))</f>
        <v>#NAME?</v>
      </c>
      <c r="AE117" s="440" t="str">
        <f ca="1">IF(AND(NOT(AC117),AND(AC$4:AC116)),MIN(EXP((AD117-$J117)*$G117),1),"")</f>
        <v/>
      </c>
      <c r="AF117" s="429"/>
      <c r="AG117" s="441" t="b">
        <f ca="1">IF(AND(NOT(AC117),AND(AC$4:AC116)),TRUE,AC117)</f>
        <v>0</v>
      </c>
      <c r="AH117" s="440" t="e">
        <f ca="1">IF(AND(NOT(ISBLANK(Jumpoverwrite6)),AND(NOT(AG117),AND(AG$4:AG116))),($J117*$G117-LN(1+Jumpoverwrite6*AI$2))/$G117,_xll.qlInterpolationInterpolate(AG$3,$F117,TRUE))</f>
        <v>#NAME?</v>
      </c>
      <c r="AI117" s="440" t="str">
        <f ca="1">IF(AND(NOT(AG117),AND(AG$4:AG116)),MIN(EXP((AH117-$J117)*$G117),1),"")</f>
        <v/>
      </c>
      <c r="AJ117" s="429"/>
      <c r="AK117" s="441" t="b">
        <f ca="1">IF(AND(NOT(AG117),AND(AG$4:AG116)),TRUE,AG117)</f>
        <v>0</v>
      </c>
      <c r="AL117" s="440" t="e">
        <f ca="1">IF(AND(NOT(ISBLANK(Jumpoverwrite7)),AND(NOT(AK117),AND(AK$4:AK116))),($J117*$G117-LN(1+Jumpoverwrite7*AM$2))/$G117,_xll.qlInterpolationInterpolate(AK$3,$F117,TRUE))</f>
        <v>#NAME?</v>
      </c>
      <c r="AM117" s="440" t="str">
        <f ca="1">IF(AND(NOT(AK117),AND(AK$4:AK116)),MIN(EXP((AL117-$J117)*$G117),1),"")</f>
        <v/>
      </c>
      <c r="AO117" s="441" t="b">
        <f ca="1">IF(AND(NOT(AK117),AND(AK$4:AK116)),TRUE,AK117)</f>
        <v>0</v>
      </c>
      <c r="AP117" s="440" t="e">
        <f ca="1">IF(AND(NOT(ISBLANK(Jumpoverwrite8)),AND(NOT(AO117),AND(AO$4:AO116))),($J117*$G117-LN(1+Jumpoverwrite8*AQ$2))/$G117,_xll.qlInterpolationInterpolate(AO$3,$F117,TRUE))</f>
        <v>#NAME?</v>
      </c>
      <c r="AQ117" s="440" t="str">
        <f ca="1">IF(AND(NOT(AO117),AND(AO$4:AO116)),MIN(EXP((AP117-$J117)*$G117),1),"")</f>
        <v/>
      </c>
      <c r="AS117" s="441" t="b">
        <f ca="1">IF(AND(NOT(AO117),AND(AO$4:AO116)),TRUE,AO117)</f>
        <v>0</v>
      </c>
      <c r="AT117" s="440" t="e">
        <f ca="1">IF(AND(NOT(ISBLANK(Jumpoverwrite9)),AND(NOT(AS117),AND(AS$4:AS116))),($J117*$G117-LN(1+Jumpoverwrite9*AU$2))/$G117,_xll.qlInterpolationInterpolate(AS$3,$F117,TRUE))</f>
        <v>#NAME?</v>
      </c>
      <c r="AU117" s="440" t="str">
        <f ca="1">IF(AND(NOT(AS117),AND(AS$4:AS116)),MIN(EXP((AT117-$J117)*$G117),1),"")</f>
        <v/>
      </c>
      <c r="AW117" s="441" t="b">
        <f ca="1">IF(AND(NOT(AS117),AND(AS$4:AS116)),TRUE,AS117)</f>
        <v>0</v>
      </c>
      <c r="AX117" s="440" t="e">
        <f ca="1">IF(AND(NOT(ISBLANK(Jumpoverwrite10)),AND(NOT(AW117),AND(AW$4:AW116))),($J117*$G117-LN(1+Jumpoverwrite10*AY$2))/$G117,_xll.qlInterpolationInterpolate(AW$3,$F117,TRUE))</f>
        <v>#NAME?</v>
      </c>
      <c r="AY117" s="440" t="str">
        <f ca="1">IF(AND(NOT(AW117),AND(AW$4:AW116)),MIN(EXP((AX117-$J117)*$G117),1),"")</f>
        <v/>
      </c>
      <c r="BA117" s="441" t="b">
        <f ca="1">IF(AND(NOT(AW117),AND(AW$4:AW116)),TRUE,AW117)</f>
        <v>0</v>
      </c>
      <c r="BB117" s="440" t="e">
        <f ca="1">IF(AND(NOT(ISBLANK(Jumpoverwrite11)),AND(NOT(BA117),AND(BA$4:BA116))),($J117*$G117-LN(1+Jumpoverwrite11*BC$2))/$G117,_xll.qlInterpolationInterpolate(BA$3,$F117,TRUE))</f>
        <v>#NAME?</v>
      </c>
      <c r="BC117" s="440" t="str">
        <f ca="1">IF(AND(NOT(BA117),AND(BA$4:BA116)),MIN(EXP((BB117-$J117)*$G117),1),"")</f>
        <v/>
      </c>
      <c r="BE117" s="441" t="b">
        <f ca="1">IF(AND(NOT(BA117),AND(BA$4:BA116)),TRUE,BA117)</f>
        <v>0</v>
      </c>
      <c r="BF117" s="440" t="e">
        <f ca="1">IF(AND(NOT(ISBLANK(Jumpoverwrite12)),AND(NOT(BE117),AND(BE$4:BE116))),($J117*$G117-LN(1+Jumpoverwrite12*BG$2))/$G117,_xll.qlInterpolationInterpolate(BE$3,$F117,TRUE))</f>
        <v>#NAME?</v>
      </c>
      <c r="BG117" s="440" t="str">
        <f ca="1">IF(AND(NOT(BE117),AND(BE$4:BE116)),MIN(EXP((BF117-$J117)*$G117),1),"")</f>
        <v/>
      </c>
      <c r="BI117" s="441" t="b">
        <f t="shared" ca="1" si="15"/>
        <v>0</v>
      </c>
      <c r="BJ117" s="440" t="e">
        <f ca="1">IF(AND(NOT(ISBLANK(jumpoverwrite13)),AND(NOT(BI117),AND(BI$4:BI116))),($J117*$G117-LN(1+jumpoverwrite13*BK$2))/$G117,_xll.qlInterpolationInterpolate(BI$3,$F117,TRUE))</f>
        <v>#NAME?</v>
      </c>
      <c r="BK117" s="440" t="str">
        <f ca="1">IF(AND(NOT(BI117),AND(BI$4:BI116)),MIN(EXP((BJ117-$J117)*$G117),1),"")</f>
        <v/>
      </c>
    </row>
    <row r="118" spans="1:63" x14ac:dyDescent="0.2">
      <c r="A118" s="439" t="e">
        <f ca="1"/>
        <v>#NAME?</v>
      </c>
      <c r="B118" s="438" t="e">
        <f ca="1">_xll.qlRateHelperRate($A118,InterestRatesTrigger)</f>
        <v>#NAME?</v>
      </c>
      <c r="C118" s="437" t="e">
        <f ca="1">_xll.qlRateHelperEarliestDate($A118)</f>
        <v>#NAME?</v>
      </c>
      <c r="D118" s="436" t="e">
        <f ca="1">_xll.qlRateHelperPillarDate($A118)</f>
        <v>#NAME?</v>
      </c>
      <c r="F118" s="446" t="e">
        <f t="shared" ca="1" si="13"/>
        <v>#N/A</v>
      </c>
      <c r="G118" s="445" t="e">
        <f ca="1">_xll.qlDayCounterYearFraction(DayCounter,D117,D118)</f>
        <v>#NAME?</v>
      </c>
      <c r="I118" s="444" t="b">
        <f t="shared" ca="1" si="14"/>
        <v>0</v>
      </c>
      <c r="J118" s="443" t="e">
        <f ca="1"/>
        <v>#NAME?</v>
      </c>
      <c r="K118" s="442" t="e">
        <f t="shared" ca="1" si="12"/>
        <v>#NAME?</v>
      </c>
      <c r="L118" s="430"/>
      <c r="M118" s="441" t="b">
        <f ca="1">IF(AND(NOT(I118),AND(I$4:I117)),TRUE,I118)</f>
        <v>0</v>
      </c>
      <c r="N118" s="440" t="e">
        <f ca="1">IF(AND(NOT(ISBLANK(Jumpoverwrite1)),AND(NOT(M118),AND(M$4:M117))),($J118*$G118-LN(1+Jumpoverwrite1*O$2))/$G118,_xll.qlInterpolationInterpolate(M$3,$F118,TRUE))</f>
        <v>#NAME?</v>
      </c>
      <c r="O118" s="440" t="str">
        <f ca="1">IF(AND(NOT(M118),AND(M$4:M117)),MIN(EXP((N118-$J118)*$G118),1),"")</f>
        <v/>
      </c>
      <c r="P118" s="429"/>
      <c r="Q118" s="441" t="b">
        <f ca="1">IF(AND(NOT(M118),AND(M$4:M117)),TRUE,M118)</f>
        <v>0</v>
      </c>
      <c r="R118" s="440" t="e">
        <f ca="1">IF(AND(NOT(ISBLANK(Jumpoverwrite2)),AND(NOT(Q118),AND(Q$4:Q117))),($J118*$G118-LN(1+Jumpoverwrite2*S$2))/$G118,_xll.qlInterpolationInterpolate(Q$3,$F118,TRUE))</f>
        <v>#NAME?</v>
      </c>
      <c r="S118" s="440" t="str">
        <f ca="1">IF(AND(NOT(Q118),AND(Q$4:Q117)),MIN(EXP((R118-$J118)*$G118),1),"")</f>
        <v/>
      </c>
      <c r="T118" s="429"/>
      <c r="U118" s="441" t="b">
        <f ca="1">IF(AND(NOT(Q118),AND(Q$4:Q117)),TRUE,Q118)</f>
        <v>0</v>
      </c>
      <c r="V118" s="440" t="e">
        <f ca="1">IF(AND(NOT(ISBLANK(Jumpoverwrite3)),AND(NOT(U118),AND(U$4:U117))),($J118*$G118-LN(1+Jumpoverwrite3*W$2))/$G118,_xll.qlInterpolationInterpolate(U$3,$F118,TRUE))</f>
        <v>#NAME?</v>
      </c>
      <c r="W118" s="440" t="str">
        <f ca="1">IF(AND(NOT(U118),AND(U$4:U117)),MIN(EXP((V118-$J118)*$G118),1),"")</f>
        <v/>
      </c>
      <c r="X118" s="429"/>
      <c r="Y118" s="441" t="b">
        <f ca="1">IF(AND(NOT(U118),AND(U$4:U117)),TRUE,U118)</f>
        <v>0</v>
      </c>
      <c r="Z118" s="440" t="e">
        <f ca="1">IF(AND(NOT(ISBLANK(Jumpoverwrite4)),AND(NOT(Y118),AND(Y$4:Y117))),($J118*$G118-LN(1+Jumpoverwrite4*AA$2))/$G118,_xll.qlInterpolationInterpolate(Y$3,$F118,TRUE))</f>
        <v>#NAME?</v>
      </c>
      <c r="AA118" s="440" t="str">
        <f ca="1">IF(AND(NOT(Y118),AND(Y$4:Y117)),MIN(EXP((Z118-$J118)*$G118),1),"")</f>
        <v/>
      </c>
      <c r="AB118" s="429"/>
      <c r="AC118" s="441" t="b">
        <f ca="1">IF(AND(NOT(Y118),AND(Y$4:Y117)),TRUE,Y118)</f>
        <v>0</v>
      </c>
      <c r="AD118" s="440" t="e">
        <f ca="1">IF(AND(NOT(ISBLANK(Jumpoverwrite5)),AND(NOT(AC118),AND(AC$4:AC117))),($J118*$G118-LN(1+Jumpoverwrite5*AE$2))/$G118,_xll.qlInterpolationInterpolate(AC$3,$F118,TRUE))</f>
        <v>#NAME?</v>
      </c>
      <c r="AE118" s="440" t="str">
        <f ca="1">IF(AND(NOT(AC118),AND(AC$4:AC117)),MIN(EXP((AD118-$J118)*$G118),1),"")</f>
        <v/>
      </c>
      <c r="AF118" s="429"/>
      <c r="AG118" s="441" t="b">
        <f ca="1">IF(AND(NOT(AC118),AND(AC$4:AC117)),TRUE,AC118)</f>
        <v>0</v>
      </c>
      <c r="AH118" s="440" t="e">
        <f ca="1">IF(AND(NOT(ISBLANK(Jumpoverwrite6)),AND(NOT(AG118),AND(AG$4:AG117))),($J118*$G118-LN(1+Jumpoverwrite6*AI$2))/$G118,_xll.qlInterpolationInterpolate(AG$3,$F118,TRUE))</f>
        <v>#NAME?</v>
      </c>
      <c r="AI118" s="440" t="str">
        <f ca="1">IF(AND(NOT(AG118),AND(AG$4:AG117)),MIN(EXP((AH118-$J118)*$G118),1),"")</f>
        <v/>
      </c>
      <c r="AJ118" s="429"/>
      <c r="AK118" s="441" t="b">
        <f ca="1">IF(AND(NOT(AG118),AND(AG$4:AG117)),TRUE,AG118)</f>
        <v>0</v>
      </c>
      <c r="AL118" s="440" t="e">
        <f ca="1">IF(AND(NOT(ISBLANK(Jumpoverwrite7)),AND(NOT(AK118),AND(AK$4:AK117))),($J118*$G118-LN(1+Jumpoverwrite7*AM$2))/$G118,_xll.qlInterpolationInterpolate(AK$3,$F118,TRUE))</f>
        <v>#NAME?</v>
      </c>
      <c r="AM118" s="440" t="str">
        <f ca="1">IF(AND(NOT(AK118),AND(AK$4:AK117)),MIN(EXP((AL118-$J118)*$G118),1),"")</f>
        <v/>
      </c>
      <c r="AO118" s="441" t="b">
        <f ca="1">IF(AND(NOT(AK118),AND(AK$4:AK117)),TRUE,AK118)</f>
        <v>0</v>
      </c>
      <c r="AP118" s="440" t="e">
        <f ca="1">IF(AND(NOT(ISBLANK(Jumpoverwrite8)),AND(NOT(AO118),AND(AO$4:AO117))),($J118*$G118-LN(1+Jumpoverwrite8*AQ$2))/$G118,_xll.qlInterpolationInterpolate(AO$3,$F118,TRUE))</f>
        <v>#NAME?</v>
      </c>
      <c r="AQ118" s="440" t="str">
        <f ca="1">IF(AND(NOT(AO118),AND(AO$4:AO117)),MIN(EXP((AP118-$J118)*$G118),1),"")</f>
        <v/>
      </c>
      <c r="AS118" s="441" t="b">
        <f ca="1">IF(AND(NOT(AO118),AND(AO$4:AO117)),TRUE,AO118)</f>
        <v>0</v>
      </c>
      <c r="AT118" s="440" t="e">
        <f ca="1">IF(AND(NOT(ISBLANK(Jumpoverwrite9)),AND(NOT(AS118),AND(AS$4:AS117))),($J118*$G118-LN(1+Jumpoverwrite9*AU$2))/$G118,_xll.qlInterpolationInterpolate(AS$3,$F118,TRUE))</f>
        <v>#NAME?</v>
      </c>
      <c r="AU118" s="440" t="str">
        <f ca="1">IF(AND(NOT(AS118),AND(AS$4:AS117)),MIN(EXP((AT118-$J118)*$G118),1),"")</f>
        <v/>
      </c>
      <c r="AW118" s="441" t="b">
        <f ca="1">IF(AND(NOT(AS118),AND(AS$4:AS117)),TRUE,AS118)</f>
        <v>0</v>
      </c>
      <c r="AX118" s="440" t="e">
        <f ca="1">IF(AND(NOT(ISBLANK(Jumpoverwrite10)),AND(NOT(AW118),AND(AW$4:AW117))),($J118*$G118-LN(1+Jumpoverwrite10*AY$2))/$G118,_xll.qlInterpolationInterpolate(AW$3,$F118,TRUE))</f>
        <v>#NAME?</v>
      </c>
      <c r="AY118" s="440" t="str">
        <f ca="1">IF(AND(NOT(AW118),AND(AW$4:AW117)),MIN(EXP((AX118-$J118)*$G118),1),"")</f>
        <v/>
      </c>
      <c r="BA118" s="441" t="b">
        <f ca="1">IF(AND(NOT(AW118),AND(AW$4:AW117)),TRUE,AW118)</f>
        <v>0</v>
      </c>
      <c r="BB118" s="440" t="e">
        <f ca="1">IF(AND(NOT(ISBLANK(Jumpoverwrite11)),AND(NOT(BA118),AND(BA$4:BA117))),($J118*$G118-LN(1+Jumpoverwrite11*BC$2))/$G118,_xll.qlInterpolationInterpolate(BA$3,$F118,TRUE))</f>
        <v>#NAME?</v>
      </c>
      <c r="BC118" s="440" t="str">
        <f ca="1">IF(AND(NOT(BA118),AND(BA$4:BA117)),MIN(EXP((BB118-$J118)*$G118),1),"")</f>
        <v/>
      </c>
      <c r="BE118" s="441" t="b">
        <f ca="1">IF(AND(NOT(BA118),AND(BA$4:BA117)),TRUE,BA118)</f>
        <v>0</v>
      </c>
      <c r="BF118" s="440" t="e">
        <f ca="1">IF(AND(NOT(ISBLANK(Jumpoverwrite12)),AND(NOT(BE118),AND(BE$4:BE117))),($J118*$G118-LN(1+Jumpoverwrite12*BG$2))/$G118,_xll.qlInterpolationInterpolate(BE$3,$F118,TRUE))</f>
        <v>#NAME?</v>
      </c>
      <c r="BG118" s="440" t="str">
        <f ca="1">IF(AND(NOT(BE118),AND(BE$4:BE117)),MIN(EXP((BF118-$J118)*$G118),1),"")</f>
        <v/>
      </c>
      <c r="BI118" s="441" t="b">
        <f t="shared" ca="1" si="15"/>
        <v>0</v>
      </c>
      <c r="BJ118" s="440" t="e">
        <f ca="1">IF(AND(NOT(ISBLANK(jumpoverwrite13)),AND(NOT(BI118),AND(BI$4:BI117))),($J118*$G118-LN(1+jumpoverwrite13*BK$2))/$G118,_xll.qlInterpolationInterpolate(BI$3,$F118,TRUE))</f>
        <v>#NAME?</v>
      </c>
      <c r="BK118" s="440" t="str">
        <f ca="1">IF(AND(NOT(BI118),AND(BI$4:BI117)),MIN(EXP((BJ118-$J118)*$G118),1),"")</f>
        <v/>
      </c>
    </row>
    <row r="119" spans="1:63" x14ac:dyDescent="0.2">
      <c r="A119" s="439" t="e">
        <f ca="1"/>
        <v>#NAME?</v>
      </c>
      <c r="B119" s="438" t="e">
        <f ca="1">_xll.qlRateHelperRate($A119,InterestRatesTrigger)</f>
        <v>#NAME?</v>
      </c>
      <c r="C119" s="437" t="e">
        <f ca="1">_xll.qlRateHelperEarliestDate($A119)</f>
        <v>#NAME?</v>
      </c>
      <c r="D119" s="436" t="e">
        <f ca="1">_xll.qlRateHelperPillarDate($A119)</f>
        <v>#NAME?</v>
      </c>
      <c r="F119" s="446" t="e">
        <f t="shared" ca="1" si="13"/>
        <v>#N/A</v>
      </c>
      <c r="G119" s="445" t="e">
        <f ca="1">_xll.qlDayCounterYearFraction(DayCounter,D118,D119)</f>
        <v>#NAME?</v>
      </c>
      <c r="I119" s="444" t="b">
        <f t="shared" ca="1" si="14"/>
        <v>0</v>
      </c>
      <c r="J119" s="443" t="e">
        <f ca="1"/>
        <v>#NAME?</v>
      </c>
      <c r="K119" s="442" t="e">
        <f t="shared" ca="1" si="12"/>
        <v>#NAME?</v>
      </c>
      <c r="L119" s="430"/>
      <c r="M119" s="441" t="b">
        <f ca="1">IF(AND(NOT(I119),AND(I$4:I118)),TRUE,I119)</f>
        <v>0</v>
      </c>
      <c r="N119" s="440" t="e">
        <f ca="1">IF(AND(NOT(ISBLANK(Jumpoverwrite1)),AND(NOT(M119),AND(M$4:M118))),($J119*$G119-LN(1+Jumpoverwrite1*O$2))/$G119,_xll.qlInterpolationInterpolate(M$3,$F119,TRUE))</f>
        <v>#NAME?</v>
      </c>
      <c r="O119" s="440" t="str">
        <f ca="1">IF(AND(NOT(M119),AND(M$4:M118)),MIN(EXP((N119-$J119)*$G119),1),"")</f>
        <v/>
      </c>
      <c r="P119" s="429"/>
      <c r="Q119" s="441" t="b">
        <f ca="1">IF(AND(NOT(M119),AND(M$4:M118)),TRUE,M119)</f>
        <v>0</v>
      </c>
      <c r="R119" s="440" t="e">
        <f ca="1">IF(AND(NOT(ISBLANK(Jumpoverwrite2)),AND(NOT(Q119),AND(Q$4:Q118))),($J119*$G119-LN(1+Jumpoverwrite2*S$2))/$G119,_xll.qlInterpolationInterpolate(Q$3,$F119,TRUE))</f>
        <v>#NAME?</v>
      </c>
      <c r="S119" s="440" t="str">
        <f ca="1">IF(AND(NOT(Q119),AND(Q$4:Q118)),MIN(EXP((R119-$J119)*$G119),1),"")</f>
        <v/>
      </c>
      <c r="T119" s="429"/>
      <c r="U119" s="441" t="b">
        <f ca="1">IF(AND(NOT(Q119),AND(Q$4:Q118)),TRUE,Q119)</f>
        <v>0</v>
      </c>
      <c r="V119" s="440" t="e">
        <f ca="1">IF(AND(NOT(ISBLANK(Jumpoverwrite3)),AND(NOT(U119),AND(U$4:U118))),($J119*$G119-LN(1+Jumpoverwrite3*W$2))/$G119,_xll.qlInterpolationInterpolate(U$3,$F119,TRUE))</f>
        <v>#NAME?</v>
      </c>
      <c r="W119" s="440" t="str">
        <f ca="1">IF(AND(NOT(U119),AND(U$4:U118)),MIN(EXP((V119-$J119)*$G119),1),"")</f>
        <v/>
      </c>
      <c r="X119" s="429"/>
      <c r="Y119" s="441" t="b">
        <f ca="1">IF(AND(NOT(U119),AND(U$4:U118)),TRUE,U119)</f>
        <v>0</v>
      </c>
      <c r="Z119" s="440" t="e">
        <f ca="1">IF(AND(NOT(ISBLANK(Jumpoverwrite4)),AND(NOT(Y119),AND(Y$4:Y118))),($J119*$G119-LN(1+Jumpoverwrite4*AA$2))/$G119,_xll.qlInterpolationInterpolate(Y$3,$F119,TRUE))</f>
        <v>#NAME?</v>
      </c>
      <c r="AA119" s="440" t="str">
        <f ca="1">IF(AND(NOT(Y119),AND(Y$4:Y118)),MIN(EXP((Z119-$J119)*$G119),1),"")</f>
        <v/>
      </c>
      <c r="AB119" s="429"/>
      <c r="AC119" s="441" t="b">
        <f ca="1">IF(AND(NOT(Y119),AND(Y$4:Y118)),TRUE,Y119)</f>
        <v>0</v>
      </c>
      <c r="AD119" s="440" t="e">
        <f ca="1">IF(AND(NOT(ISBLANK(Jumpoverwrite5)),AND(NOT(AC119),AND(AC$4:AC118))),($J119*$G119-LN(1+Jumpoverwrite5*AE$2))/$G119,_xll.qlInterpolationInterpolate(AC$3,$F119,TRUE))</f>
        <v>#NAME?</v>
      </c>
      <c r="AE119" s="440" t="str">
        <f ca="1">IF(AND(NOT(AC119),AND(AC$4:AC118)),MIN(EXP((AD119-$J119)*$G119),1),"")</f>
        <v/>
      </c>
      <c r="AF119" s="429"/>
      <c r="AG119" s="441" t="b">
        <f ca="1">IF(AND(NOT(AC119),AND(AC$4:AC118)),TRUE,AC119)</f>
        <v>0</v>
      </c>
      <c r="AH119" s="440" t="e">
        <f ca="1">IF(AND(NOT(ISBLANK(Jumpoverwrite6)),AND(NOT(AG119),AND(AG$4:AG118))),($J119*$G119-LN(1+Jumpoverwrite6*AI$2))/$G119,_xll.qlInterpolationInterpolate(AG$3,$F119,TRUE))</f>
        <v>#NAME?</v>
      </c>
      <c r="AI119" s="440" t="str">
        <f ca="1">IF(AND(NOT(AG119),AND(AG$4:AG118)),MIN(EXP((AH119-$J119)*$G119),1),"")</f>
        <v/>
      </c>
      <c r="AJ119" s="429"/>
      <c r="AK119" s="441" t="b">
        <f ca="1">IF(AND(NOT(AG119),AND(AG$4:AG118)),TRUE,AG119)</f>
        <v>0</v>
      </c>
      <c r="AL119" s="440" t="e">
        <f ca="1">IF(AND(NOT(ISBLANK(Jumpoverwrite7)),AND(NOT(AK119),AND(AK$4:AK118))),($J119*$G119-LN(1+Jumpoverwrite7*AM$2))/$G119,_xll.qlInterpolationInterpolate(AK$3,$F119,TRUE))</f>
        <v>#NAME?</v>
      </c>
      <c r="AM119" s="440" t="str">
        <f ca="1">IF(AND(NOT(AK119),AND(AK$4:AK118)),MIN(EXP((AL119-$J119)*$G119),1),"")</f>
        <v/>
      </c>
      <c r="AO119" s="441" t="b">
        <f ca="1">IF(AND(NOT(AK119),AND(AK$4:AK118)),TRUE,AK119)</f>
        <v>0</v>
      </c>
      <c r="AP119" s="440" t="e">
        <f ca="1">IF(AND(NOT(ISBLANK(Jumpoverwrite8)),AND(NOT(AO119),AND(AO$4:AO118))),($J119*$G119-LN(1+Jumpoverwrite8*AQ$2))/$G119,_xll.qlInterpolationInterpolate(AO$3,$F119,TRUE))</f>
        <v>#NAME?</v>
      </c>
      <c r="AQ119" s="440" t="str">
        <f ca="1">IF(AND(NOT(AO119),AND(AO$4:AO118)),MIN(EXP((AP119-$J119)*$G119),1),"")</f>
        <v/>
      </c>
      <c r="AS119" s="441" t="b">
        <f ca="1">IF(AND(NOT(AO119),AND(AO$4:AO118)),TRUE,AO119)</f>
        <v>0</v>
      </c>
      <c r="AT119" s="440" t="e">
        <f ca="1">IF(AND(NOT(ISBLANK(Jumpoverwrite9)),AND(NOT(AS119),AND(AS$4:AS118))),($J119*$G119-LN(1+Jumpoverwrite9*AU$2))/$G119,_xll.qlInterpolationInterpolate(AS$3,$F119,TRUE))</f>
        <v>#NAME?</v>
      </c>
      <c r="AU119" s="440" t="str">
        <f ca="1">IF(AND(NOT(AS119),AND(AS$4:AS118)),MIN(EXP((AT119-$J119)*$G119),1),"")</f>
        <v/>
      </c>
      <c r="AW119" s="441" t="b">
        <f ca="1">IF(AND(NOT(AS119),AND(AS$4:AS118)),TRUE,AS119)</f>
        <v>0</v>
      </c>
      <c r="AX119" s="440" t="e">
        <f ca="1">IF(AND(NOT(ISBLANK(Jumpoverwrite10)),AND(NOT(AW119),AND(AW$4:AW118))),($J119*$G119-LN(1+Jumpoverwrite10*AY$2))/$G119,_xll.qlInterpolationInterpolate(AW$3,$F119,TRUE))</f>
        <v>#NAME?</v>
      </c>
      <c r="AY119" s="440" t="str">
        <f ca="1">IF(AND(NOT(AW119),AND(AW$4:AW118)),MIN(EXP((AX119-$J119)*$G119),1),"")</f>
        <v/>
      </c>
      <c r="BA119" s="441" t="b">
        <f ca="1">IF(AND(NOT(AW119),AND(AW$4:AW118)),TRUE,AW119)</f>
        <v>0</v>
      </c>
      <c r="BB119" s="440" t="e">
        <f ca="1">IF(AND(NOT(ISBLANK(Jumpoverwrite11)),AND(NOT(BA119),AND(BA$4:BA118))),($J119*$G119-LN(1+Jumpoverwrite11*BC$2))/$G119,_xll.qlInterpolationInterpolate(BA$3,$F119,TRUE))</f>
        <v>#NAME?</v>
      </c>
      <c r="BC119" s="440" t="str">
        <f ca="1">IF(AND(NOT(BA119),AND(BA$4:BA118)),MIN(EXP((BB119-$J119)*$G119),1),"")</f>
        <v/>
      </c>
      <c r="BE119" s="441" t="b">
        <f ca="1">IF(AND(NOT(BA119),AND(BA$4:BA118)),TRUE,BA119)</f>
        <v>0</v>
      </c>
      <c r="BF119" s="440" t="e">
        <f ca="1">IF(AND(NOT(ISBLANK(Jumpoverwrite12)),AND(NOT(BE119),AND(BE$4:BE118))),($J119*$G119-LN(1+Jumpoverwrite12*BG$2))/$G119,_xll.qlInterpolationInterpolate(BE$3,$F119,TRUE))</f>
        <v>#NAME?</v>
      </c>
      <c r="BG119" s="440" t="str">
        <f ca="1">IF(AND(NOT(BE119),AND(BE$4:BE118)),MIN(EXP((BF119-$J119)*$G119),1),"")</f>
        <v/>
      </c>
      <c r="BI119" s="441" t="b">
        <f t="shared" ca="1" si="15"/>
        <v>0</v>
      </c>
      <c r="BJ119" s="440" t="e">
        <f ca="1">IF(AND(NOT(ISBLANK(jumpoverwrite13)),AND(NOT(BI119),AND(BI$4:BI118))),($J119*$G119-LN(1+jumpoverwrite13*BK$2))/$G119,_xll.qlInterpolationInterpolate(BI$3,$F119,TRUE))</f>
        <v>#NAME?</v>
      </c>
      <c r="BK119" s="440" t="str">
        <f ca="1">IF(AND(NOT(BI119),AND(BI$4:BI118)),MIN(EXP((BJ119-$J119)*$G119),1),"")</f>
        <v/>
      </c>
    </row>
    <row r="120" spans="1:63" x14ac:dyDescent="0.2">
      <c r="A120" s="439" t="e">
        <f ca="1"/>
        <v>#NAME?</v>
      </c>
      <c r="B120" s="438" t="e">
        <f ca="1">_xll.qlRateHelperRate($A120,InterestRatesTrigger)</f>
        <v>#NAME?</v>
      </c>
      <c r="C120" s="437" t="e">
        <f ca="1">_xll.qlRateHelperEarliestDate($A120)</f>
        <v>#NAME?</v>
      </c>
      <c r="D120" s="436" t="e">
        <f ca="1">_xll.qlRateHelperPillarDate($A120)</f>
        <v>#NAME?</v>
      </c>
      <c r="F120" s="446" t="e">
        <f t="shared" ca="1" si="13"/>
        <v>#N/A</v>
      </c>
      <c r="G120" s="445" t="e">
        <f ca="1">_xll.qlDayCounterYearFraction(DayCounter,D119,D120)</f>
        <v>#NAME?</v>
      </c>
      <c r="I120" s="444" t="b">
        <f t="shared" ca="1" si="14"/>
        <v>0</v>
      </c>
      <c r="J120" s="443" t="e">
        <f ca="1"/>
        <v>#NAME?</v>
      </c>
      <c r="K120" s="442" t="e">
        <f t="shared" ca="1" si="12"/>
        <v>#NAME?</v>
      </c>
      <c r="L120" s="430"/>
      <c r="M120" s="441" t="b">
        <f ca="1">IF(AND(NOT(I120),AND(I$4:I119)),TRUE,I120)</f>
        <v>0</v>
      </c>
      <c r="N120" s="440" t="e">
        <f ca="1">IF(AND(NOT(ISBLANK(Jumpoverwrite1)),AND(NOT(M120),AND(M$4:M119))),($J120*$G120-LN(1+Jumpoverwrite1*O$2))/$G120,_xll.qlInterpolationInterpolate(M$3,$F120,TRUE))</f>
        <v>#NAME?</v>
      </c>
      <c r="O120" s="440" t="str">
        <f ca="1">IF(AND(NOT(M120),AND(M$4:M119)),MIN(EXP((N120-$J120)*$G120),1),"")</f>
        <v/>
      </c>
      <c r="P120" s="429"/>
      <c r="Q120" s="441" t="b">
        <f ca="1">IF(AND(NOT(M120),AND(M$4:M119)),TRUE,M120)</f>
        <v>0</v>
      </c>
      <c r="R120" s="440" t="e">
        <f ca="1">IF(AND(NOT(ISBLANK(Jumpoverwrite2)),AND(NOT(Q120),AND(Q$4:Q119))),($J120*$G120-LN(1+Jumpoverwrite2*S$2))/$G120,_xll.qlInterpolationInterpolate(Q$3,$F120,TRUE))</f>
        <v>#NAME?</v>
      </c>
      <c r="S120" s="440" t="str">
        <f ca="1">IF(AND(NOT(Q120),AND(Q$4:Q119)),MIN(EXP((R120-$J120)*$G120),1),"")</f>
        <v/>
      </c>
      <c r="T120" s="429"/>
      <c r="U120" s="441" t="b">
        <f ca="1">IF(AND(NOT(Q120),AND(Q$4:Q119)),TRUE,Q120)</f>
        <v>0</v>
      </c>
      <c r="V120" s="440" t="e">
        <f ca="1">IF(AND(NOT(ISBLANK(Jumpoverwrite3)),AND(NOT(U120),AND(U$4:U119))),($J120*$G120-LN(1+Jumpoverwrite3*W$2))/$G120,_xll.qlInterpolationInterpolate(U$3,$F120,TRUE))</f>
        <v>#NAME?</v>
      </c>
      <c r="W120" s="440" t="str">
        <f ca="1">IF(AND(NOT(U120),AND(U$4:U119)),MIN(EXP((V120-$J120)*$G120),1),"")</f>
        <v/>
      </c>
      <c r="X120" s="429"/>
      <c r="Y120" s="441" t="b">
        <f ca="1">IF(AND(NOT(U120),AND(U$4:U119)),TRUE,U120)</f>
        <v>0</v>
      </c>
      <c r="Z120" s="440" t="e">
        <f ca="1">IF(AND(NOT(ISBLANK(Jumpoverwrite4)),AND(NOT(Y120),AND(Y$4:Y119))),($J120*$G120-LN(1+Jumpoverwrite4*AA$2))/$G120,_xll.qlInterpolationInterpolate(Y$3,$F120,TRUE))</f>
        <v>#NAME?</v>
      </c>
      <c r="AA120" s="440" t="str">
        <f ca="1">IF(AND(NOT(Y120),AND(Y$4:Y119)),MIN(EXP((Z120-$J120)*$G120),1),"")</f>
        <v/>
      </c>
      <c r="AB120" s="429"/>
      <c r="AC120" s="441" t="b">
        <f ca="1">IF(AND(NOT(Y120),AND(Y$4:Y119)),TRUE,Y120)</f>
        <v>0</v>
      </c>
      <c r="AD120" s="440" t="e">
        <f ca="1">IF(AND(NOT(ISBLANK(Jumpoverwrite5)),AND(NOT(AC120),AND(AC$4:AC119))),($J120*$G120-LN(1+Jumpoverwrite5*AE$2))/$G120,_xll.qlInterpolationInterpolate(AC$3,$F120,TRUE))</f>
        <v>#NAME?</v>
      </c>
      <c r="AE120" s="440" t="str">
        <f ca="1">IF(AND(NOT(AC120),AND(AC$4:AC119)),MIN(EXP((AD120-$J120)*$G120),1),"")</f>
        <v/>
      </c>
      <c r="AF120" s="429"/>
      <c r="AG120" s="441" t="b">
        <f ca="1">IF(AND(NOT(AC120),AND(AC$4:AC119)),TRUE,AC120)</f>
        <v>0</v>
      </c>
      <c r="AH120" s="440" t="e">
        <f ca="1">IF(AND(NOT(ISBLANK(Jumpoverwrite6)),AND(NOT(AG120),AND(AG$4:AG119))),($J120*$G120-LN(1+Jumpoverwrite6*AI$2))/$G120,_xll.qlInterpolationInterpolate(AG$3,$F120,TRUE))</f>
        <v>#NAME?</v>
      </c>
      <c r="AI120" s="440" t="str">
        <f ca="1">IF(AND(NOT(AG120),AND(AG$4:AG119)),MIN(EXP((AH120-$J120)*$G120),1),"")</f>
        <v/>
      </c>
      <c r="AJ120" s="429"/>
      <c r="AK120" s="441" t="b">
        <f ca="1">IF(AND(NOT(AG120),AND(AG$4:AG119)),TRUE,AG120)</f>
        <v>0</v>
      </c>
      <c r="AL120" s="440" t="e">
        <f ca="1">IF(AND(NOT(ISBLANK(Jumpoverwrite7)),AND(NOT(AK120),AND(AK$4:AK119))),($J120*$G120-LN(1+Jumpoverwrite7*AM$2))/$G120,_xll.qlInterpolationInterpolate(AK$3,$F120,TRUE))</f>
        <v>#NAME?</v>
      </c>
      <c r="AM120" s="440" t="str">
        <f ca="1">IF(AND(NOT(AK120),AND(AK$4:AK119)),MIN(EXP((AL120-$J120)*$G120),1),"")</f>
        <v/>
      </c>
      <c r="AO120" s="441" t="b">
        <f ca="1">IF(AND(NOT(AK120),AND(AK$4:AK119)),TRUE,AK120)</f>
        <v>0</v>
      </c>
      <c r="AP120" s="440" t="e">
        <f ca="1">IF(AND(NOT(ISBLANK(Jumpoverwrite8)),AND(NOT(AO120),AND(AO$4:AO119))),($J120*$G120-LN(1+Jumpoverwrite8*AQ$2))/$G120,_xll.qlInterpolationInterpolate(AO$3,$F120,TRUE))</f>
        <v>#NAME?</v>
      </c>
      <c r="AQ120" s="440" t="str">
        <f ca="1">IF(AND(NOT(AO120),AND(AO$4:AO119)),MIN(EXP((AP120-$J120)*$G120),1),"")</f>
        <v/>
      </c>
      <c r="AS120" s="441" t="b">
        <f ca="1">IF(AND(NOT(AO120),AND(AO$4:AO119)),TRUE,AO120)</f>
        <v>0</v>
      </c>
      <c r="AT120" s="440" t="e">
        <f ca="1">IF(AND(NOT(ISBLANK(Jumpoverwrite9)),AND(NOT(AS120),AND(AS$4:AS119))),($J120*$G120-LN(1+Jumpoverwrite9*AU$2))/$G120,_xll.qlInterpolationInterpolate(AS$3,$F120,TRUE))</f>
        <v>#NAME?</v>
      </c>
      <c r="AU120" s="440" t="str">
        <f ca="1">IF(AND(NOT(AS120),AND(AS$4:AS119)),MIN(EXP((AT120-$J120)*$G120),1),"")</f>
        <v/>
      </c>
      <c r="AW120" s="441" t="b">
        <f ca="1">IF(AND(NOT(AS120),AND(AS$4:AS119)),TRUE,AS120)</f>
        <v>0</v>
      </c>
      <c r="AX120" s="440" t="e">
        <f ca="1">IF(AND(NOT(ISBLANK(Jumpoverwrite10)),AND(NOT(AW120),AND(AW$4:AW119))),($J120*$G120-LN(1+Jumpoverwrite10*AY$2))/$G120,_xll.qlInterpolationInterpolate(AW$3,$F120,TRUE))</f>
        <v>#NAME?</v>
      </c>
      <c r="AY120" s="440" t="str">
        <f ca="1">IF(AND(NOT(AW120),AND(AW$4:AW119)),MIN(EXP((AX120-$J120)*$G120),1),"")</f>
        <v/>
      </c>
      <c r="BA120" s="441" t="b">
        <f ca="1">IF(AND(NOT(AW120),AND(AW$4:AW119)),TRUE,AW120)</f>
        <v>0</v>
      </c>
      <c r="BB120" s="440" t="e">
        <f ca="1">IF(AND(NOT(ISBLANK(Jumpoverwrite11)),AND(NOT(BA120),AND(BA$4:BA119))),($J120*$G120-LN(1+Jumpoverwrite11*BC$2))/$G120,_xll.qlInterpolationInterpolate(BA$3,$F120,TRUE))</f>
        <v>#NAME?</v>
      </c>
      <c r="BC120" s="440" t="str">
        <f ca="1">IF(AND(NOT(BA120),AND(BA$4:BA119)),MIN(EXP((BB120-$J120)*$G120),1),"")</f>
        <v/>
      </c>
      <c r="BE120" s="441" t="b">
        <f ca="1">IF(AND(NOT(BA120),AND(BA$4:BA119)),TRUE,BA120)</f>
        <v>0</v>
      </c>
      <c r="BF120" s="440" t="e">
        <f ca="1">IF(AND(NOT(ISBLANK(Jumpoverwrite12)),AND(NOT(BE120),AND(BE$4:BE119))),($J120*$G120-LN(1+Jumpoverwrite12*BG$2))/$G120,_xll.qlInterpolationInterpolate(BE$3,$F120,TRUE))</f>
        <v>#NAME?</v>
      </c>
      <c r="BG120" s="440" t="str">
        <f ca="1">IF(AND(NOT(BE120),AND(BE$4:BE119)),MIN(EXP((BF120-$J120)*$G120),1),"")</f>
        <v/>
      </c>
      <c r="BI120" s="441" t="b">
        <f t="shared" ca="1" si="15"/>
        <v>0</v>
      </c>
      <c r="BJ120" s="440" t="e">
        <f ca="1">IF(AND(NOT(ISBLANK(jumpoverwrite13)),AND(NOT(BI120),AND(BI$4:BI119))),($J120*$G120-LN(1+jumpoverwrite13*BK$2))/$G120,_xll.qlInterpolationInterpolate(BI$3,$F120,TRUE))</f>
        <v>#NAME?</v>
      </c>
      <c r="BK120" s="440" t="str">
        <f ca="1">IF(AND(NOT(BI120),AND(BI$4:BI119)),MIN(EXP((BJ120-$J120)*$G120),1),"")</f>
        <v/>
      </c>
    </row>
    <row r="121" spans="1:63" x14ac:dyDescent="0.2">
      <c r="A121" s="439" t="e">
        <f ca="1"/>
        <v>#NAME?</v>
      </c>
      <c r="B121" s="438" t="e">
        <f ca="1">_xll.qlRateHelperRate($A121,InterestRatesTrigger)</f>
        <v>#NAME?</v>
      </c>
      <c r="C121" s="437" t="e">
        <f ca="1">_xll.qlRateHelperEarliestDate($A121)</f>
        <v>#NAME?</v>
      </c>
      <c r="D121" s="436" t="e">
        <f ca="1">_xll.qlRateHelperPillarDate($A121)</f>
        <v>#NAME?</v>
      </c>
      <c r="F121" s="446" t="e">
        <f t="shared" ca="1" si="13"/>
        <v>#N/A</v>
      </c>
      <c r="G121" s="445" t="e">
        <f ca="1">_xll.qlDayCounterYearFraction(DayCounter,D120,D121)</f>
        <v>#NAME?</v>
      </c>
      <c r="I121" s="444" t="b">
        <f t="shared" ca="1" si="14"/>
        <v>0</v>
      </c>
      <c r="J121" s="443" t="e">
        <f ca="1"/>
        <v>#NAME?</v>
      </c>
      <c r="K121" s="442" t="e">
        <f t="shared" ca="1" si="12"/>
        <v>#NAME?</v>
      </c>
      <c r="L121" s="430"/>
      <c r="M121" s="441" t="b">
        <f ca="1">IF(AND(NOT(I121),AND(I$4:I120)),TRUE,I121)</f>
        <v>0</v>
      </c>
      <c r="N121" s="440" t="e">
        <f ca="1">IF(AND(NOT(ISBLANK(Jumpoverwrite1)),AND(NOT(M121),AND(M$4:M120))),($J121*$G121-LN(1+Jumpoverwrite1*O$2))/$G121,_xll.qlInterpolationInterpolate(M$3,$F121,TRUE))</f>
        <v>#NAME?</v>
      </c>
      <c r="O121" s="440" t="str">
        <f ca="1">IF(AND(NOT(M121),AND(M$4:M120)),MIN(EXP((N121-$J121)*$G121),1),"")</f>
        <v/>
      </c>
      <c r="P121" s="429"/>
      <c r="Q121" s="441" t="b">
        <f ca="1">IF(AND(NOT(M121),AND(M$4:M120)),TRUE,M121)</f>
        <v>0</v>
      </c>
      <c r="R121" s="440" t="e">
        <f ca="1">IF(AND(NOT(ISBLANK(Jumpoverwrite2)),AND(NOT(Q121),AND(Q$4:Q120))),($J121*$G121-LN(1+Jumpoverwrite2*S$2))/$G121,_xll.qlInterpolationInterpolate(Q$3,$F121,TRUE))</f>
        <v>#NAME?</v>
      </c>
      <c r="S121" s="440" t="str">
        <f ca="1">IF(AND(NOT(Q121),AND(Q$4:Q120)),MIN(EXP((R121-$J121)*$G121),1),"")</f>
        <v/>
      </c>
      <c r="T121" s="429"/>
      <c r="U121" s="441" t="b">
        <f ca="1">IF(AND(NOT(Q121),AND(Q$4:Q120)),TRUE,Q121)</f>
        <v>0</v>
      </c>
      <c r="V121" s="440" t="e">
        <f ca="1">IF(AND(NOT(ISBLANK(Jumpoverwrite3)),AND(NOT(U121),AND(U$4:U120))),($J121*$G121-LN(1+Jumpoverwrite3*W$2))/$G121,_xll.qlInterpolationInterpolate(U$3,$F121,TRUE))</f>
        <v>#NAME?</v>
      </c>
      <c r="W121" s="440" t="str">
        <f ca="1">IF(AND(NOT(U121),AND(U$4:U120)),MIN(EXP((V121-$J121)*$G121),1),"")</f>
        <v/>
      </c>
      <c r="X121" s="429"/>
      <c r="Y121" s="441" t="b">
        <f ca="1">IF(AND(NOT(U121),AND(U$4:U120)),TRUE,U121)</f>
        <v>0</v>
      </c>
      <c r="Z121" s="440" t="e">
        <f ca="1">IF(AND(NOT(ISBLANK(Jumpoverwrite4)),AND(NOT(Y121),AND(Y$4:Y120))),($J121*$G121-LN(1+Jumpoverwrite4*AA$2))/$G121,_xll.qlInterpolationInterpolate(Y$3,$F121,TRUE))</f>
        <v>#NAME?</v>
      </c>
      <c r="AA121" s="440" t="str">
        <f ca="1">IF(AND(NOT(Y121),AND(Y$4:Y120)),MIN(EXP((Z121-$J121)*$G121),1),"")</f>
        <v/>
      </c>
      <c r="AB121" s="429"/>
      <c r="AC121" s="441" t="b">
        <f ca="1">IF(AND(NOT(Y121),AND(Y$4:Y120)),TRUE,Y121)</f>
        <v>0</v>
      </c>
      <c r="AD121" s="440" t="e">
        <f ca="1">IF(AND(NOT(ISBLANK(Jumpoverwrite5)),AND(NOT(AC121),AND(AC$4:AC120))),($J121*$G121-LN(1+Jumpoverwrite5*AE$2))/$G121,_xll.qlInterpolationInterpolate(AC$3,$F121,TRUE))</f>
        <v>#NAME?</v>
      </c>
      <c r="AE121" s="440" t="str">
        <f ca="1">IF(AND(NOT(AC121),AND(AC$4:AC120)),MIN(EXP((AD121-$J121)*$G121),1),"")</f>
        <v/>
      </c>
      <c r="AF121" s="429"/>
      <c r="AG121" s="441" t="b">
        <f ca="1">IF(AND(NOT(AC121),AND(AC$4:AC120)),TRUE,AC121)</f>
        <v>0</v>
      </c>
      <c r="AH121" s="440" t="e">
        <f ca="1">IF(AND(NOT(ISBLANK(Jumpoverwrite6)),AND(NOT(AG121),AND(AG$4:AG120))),($J121*$G121-LN(1+Jumpoverwrite6*AI$2))/$G121,_xll.qlInterpolationInterpolate(AG$3,$F121,TRUE))</f>
        <v>#NAME?</v>
      </c>
      <c r="AI121" s="440" t="str">
        <f ca="1">IF(AND(NOT(AG121),AND(AG$4:AG120)),MIN(EXP((AH121-$J121)*$G121),1),"")</f>
        <v/>
      </c>
      <c r="AJ121" s="429"/>
      <c r="AK121" s="441" t="b">
        <f ca="1">IF(AND(NOT(AG121),AND(AG$4:AG120)),TRUE,AG121)</f>
        <v>0</v>
      </c>
      <c r="AL121" s="440" t="e">
        <f ca="1">IF(AND(NOT(ISBLANK(Jumpoverwrite7)),AND(NOT(AK121),AND(AK$4:AK120))),($J121*$G121-LN(1+Jumpoverwrite7*AM$2))/$G121,_xll.qlInterpolationInterpolate(AK$3,$F121,TRUE))</f>
        <v>#NAME?</v>
      </c>
      <c r="AM121" s="440" t="str">
        <f ca="1">IF(AND(NOT(AK121),AND(AK$4:AK120)),MIN(EXP((AL121-$J121)*$G121),1),"")</f>
        <v/>
      </c>
      <c r="AO121" s="441" t="b">
        <f ca="1">IF(AND(NOT(AK121),AND(AK$4:AK120)),TRUE,AK121)</f>
        <v>0</v>
      </c>
      <c r="AP121" s="440" t="e">
        <f ca="1">IF(AND(NOT(ISBLANK(Jumpoverwrite8)),AND(NOT(AO121),AND(AO$4:AO120))),($J121*$G121-LN(1+Jumpoverwrite8*AQ$2))/$G121,_xll.qlInterpolationInterpolate(AO$3,$F121,TRUE))</f>
        <v>#NAME?</v>
      </c>
      <c r="AQ121" s="440" t="str">
        <f ca="1">IF(AND(NOT(AO121),AND(AO$4:AO120)),MIN(EXP((AP121-$J121)*$G121),1),"")</f>
        <v/>
      </c>
      <c r="AS121" s="441" t="b">
        <f ca="1">IF(AND(NOT(AO121),AND(AO$4:AO120)),TRUE,AO121)</f>
        <v>0</v>
      </c>
      <c r="AT121" s="440" t="e">
        <f ca="1">IF(AND(NOT(ISBLANK(Jumpoverwrite9)),AND(NOT(AS121),AND(AS$4:AS120))),($J121*$G121-LN(1+Jumpoverwrite9*AU$2))/$G121,_xll.qlInterpolationInterpolate(AS$3,$F121,TRUE))</f>
        <v>#NAME?</v>
      </c>
      <c r="AU121" s="440" t="str">
        <f ca="1">IF(AND(NOT(AS121),AND(AS$4:AS120)),MIN(EXP((AT121-$J121)*$G121),1),"")</f>
        <v/>
      </c>
      <c r="AW121" s="441" t="b">
        <f ca="1">IF(AND(NOT(AS121),AND(AS$4:AS120)),TRUE,AS121)</f>
        <v>0</v>
      </c>
      <c r="AX121" s="440" t="e">
        <f ca="1">IF(AND(NOT(ISBLANK(Jumpoverwrite10)),AND(NOT(AW121),AND(AW$4:AW120))),($J121*$G121-LN(1+Jumpoverwrite10*AY$2))/$G121,_xll.qlInterpolationInterpolate(AW$3,$F121,TRUE))</f>
        <v>#NAME?</v>
      </c>
      <c r="AY121" s="440" t="str">
        <f ca="1">IF(AND(NOT(AW121),AND(AW$4:AW120)),MIN(EXP((AX121-$J121)*$G121),1),"")</f>
        <v/>
      </c>
      <c r="BA121" s="441" t="b">
        <f ca="1">IF(AND(NOT(AW121),AND(AW$4:AW120)),TRUE,AW121)</f>
        <v>0</v>
      </c>
      <c r="BB121" s="440" t="e">
        <f ca="1">IF(AND(NOT(ISBLANK(Jumpoverwrite11)),AND(NOT(BA121),AND(BA$4:BA120))),($J121*$G121-LN(1+Jumpoverwrite11*BC$2))/$G121,_xll.qlInterpolationInterpolate(BA$3,$F121,TRUE))</f>
        <v>#NAME?</v>
      </c>
      <c r="BC121" s="440" t="str">
        <f ca="1">IF(AND(NOT(BA121),AND(BA$4:BA120)),MIN(EXP((BB121-$J121)*$G121),1),"")</f>
        <v/>
      </c>
      <c r="BE121" s="441" t="b">
        <f ca="1">IF(AND(NOT(BA121),AND(BA$4:BA120)),TRUE,BA121)</f>
        <v>0</v>
      </c>
      <c r="BF121" s="440" t="e">
        <f ca="1">IF(AND(NOT(ISBLANK(Jumpoverwrite12)),AND(NOT(BE121),AND(BE$4:BE120))),($J121*$G121-LN(1+Jumpoverwrite12*BG$2))/$G121,_xll.qlInterpolationInterpolate(BE$3,$F121,TRUE))</f>
        <v>#NAME?</v>
      </c>
      <c r="BG121" s="440" t="str">
        <f ca="1">IF(AND(NOT(BE121),AND(BE$4:BE120)),MIN(EXP((BF121-$J121)*$G121),1),"")</f>
        <v/>
      </c>
      <c r="BI121" s="441" t="b">
        <f t="shared" ca="1" si="15"/>
        <v>0</v>
      </c>
      <c r="BJ121" s="440" t="e">
        <f ca="1">IF(AND(NOT(ISBLANK(jumpoverwrite13)),AND(NOT(BI121),AND(BI$4:BI120))),($J121*$G121-LN(1+jumpoverwrite13*BK$2))/$G121,_xll.qlInterpolationInterpolate(BI$3,$F121,TRUE))</f>
        <v>#NAME?</v>
      </c>
      <c r="BK121" s="440" t="str">
        <f ca="1">IF(AND(NOT(BI121),AND(BI$4:BI120)),MIN(EXP((BJ121-$J121)*$G121),1),"")</f>
        <v/>
      </c>
    </row>
    <row r="122" spans="1:63" x14ac:dyDescent="0.2">
      <c r="A122" s="439" t="e">
        <f ca="1"/>
        <v>#NAME?</v>
      </c>
      <c r="B122" s="438" t="e">
        <f ca="1">_xll.qlRateHelperRate($A122,InterestRatesTrigger)</f>
        <v>#NAME?</v>
      </c>
      <c r="C122" s="437" t="e">
        <f ca="1">_xll.qlRateHelperEarliestDate($A122)</f>
        <v>#NAME?</v>
      </c>
      <c r="D122" s="436" t="e">
        <f ca="1">_xll.qlRateHelperPillarDate($A122)</f>
        <v>#NAME?</v>
      </c>
      <c r="F122" s="446" t="e">
        <f t="shared" ca="1" si="13"/>
        <v>#N/A</v>
      </c>
      <c r="G122" s="445" t="e">
        <f ca="1">_xll.qlDayCounterYearFraction(DayCounter,D121,D122)</f>
        <v>#NAME?</v>
      </c>
      <c r="I122" s="444" t="b">
        <f t="shared" ca="1" si="14"/>
        <v>0</v>
      </c>
      <c r="J122" s="443" t="e">
        <f ca="1"/>
        <v>#NAME?</v>
      </c>
      <c r="K122" s="442" t="e">
        <f t="shared" ca="1" si="12"/>
        <v>#NAME?</v>
      </c>
      <c r="L122" s="430"/>
      <c r="M122" s="441" t="b">
        <f ca="1">IF(AND(NOT(I122),AND(I$4:I121)),TRUE,I122)</f>
        <v>0</v>
      </c>
      <c r="N122" s="440" t="e">
        <f ca="1">IF(AND(NOT(ISBLANK(Jumpoverwrite1)),AND(NOT(M122),AND(M$4:M121))),($J122*$G122-LN(1+Jumpoverwrite1*O$2))/$G122,_xll.qlInterpolationInterpolate(M$3,$F122,TRUE))</f>
        <v>#NAME?</v>
      </c>
      <c r="O122" s="440" t="str">
        <f ca="1">IF(AND(NOT(M122),AND(M$4:M121)),MIN(EXP((N122-$J122)*$G122),1),"")</f>
        <v/>
      </c>
      <c r="P122" s="429"/>
      <c r="Q122" s="441" t="b">
        <f ca="1">IF(AND(NOT(M122),AND(M$4:M121)),TRUE,M122)</f>
        <v>0</v>
      </c>
      <c r="R122" s="440" t="e">
        <f ca="1">IF(AND(NOT(ISBLANK(Jumpoverwrite2)),AND(NOT(Q122),AND(Q$4:Q121))),($J122*$G122-LN(1+Jumpoverwrite2*S$2))/$G122,_xll.qlInterpolationInterpolate(Q$3,$F122,TRUE))</f>
        <v>#NAME?</v>
      </c>
      <c r="S122" s="440" t="str">
        <f ca="1">IF(AND(NOT(Q122),AND(Q$4:Q121)),MIN(EXP((R122-$J122)*$G122),1),"")</f>
        <v/>
      </c>
      <c r="T122" s="429"/>
      <c r="U122" s="441" t="b">
        <f ca="1">IF(AND(NOT(Q122),AND(Q$4:Q121)),TRUE,Q122)</f>
        <v>0</v>
      </c>
      <c r="V122" s="440" t="e">
        <f ca="1">IF(AND(NOT(ISBLANK(Jumpoverwrite3)),AND(NOT(U122),AND(U$4:U121))),($J122*$G122-LN(1+Jumpoverwrite3*W$2))/$G122,_xll.qlInterpolationInterpolate(U$3,$F122,TRUE))</f>
        <v>#NAME?</v>
      </c>
      <c r="W122" s="440" t="str">
        <f ca="1">IF(AND(NOT(U122),AND(U$4:U121)),MIN(EXP((V122-$J122)*$G122),1),"")</f>
        <v/>
      </c>
      <c r="X122" s="429"/>
      <c r="Y122" s="441" t="b">
        <f ca="1">IF(AND(NOT(U122),AND(U$4:U121)),TRUE,U122)</f>
        <v>0</v>
      </c>
      <c r="Z122" s="440" t="e">
        <f ca="1">IF(AND(NOT(ISBLANK(Jumpoverwrite4)),AND(NOT(Y122),AND(Y$4:Y121))),($J122*$G122-LN(1+Jumpoverwrite4*AA$2))/$G122,_xll.qlInterpolationInterpolate(Y$3,$F122,TRUE))</f>
        <v>#NAME?</v>
      </c>
      <c r="AA122" s="440" t="str">
        <f ca="1">IF(AND(NOT(Y122),AND(Y$4:Y121)),MIN(EXP((Z122-$J122)*$G122),1),"")</f>
        <v/>
      </c>
      <c r="AB122" s="429"/>
      <c r="AC122" s="441" t="b">
        <f ca="1">IF(AND(NOT(Y122),AND(Y$4:Y121)),TRUE,Y122)</f>
        <v>0</v>
      </c>
      <c r="AD122" s="440" t="e">
        <f ca="1">IF(AND(NOT(ISBLANK(Jumpoverwrite5)),AND(NOT(AC122),AND(AC$4:AC121))),($J122*$G122-LN(1+Jumpoverwrite5*AE$2))/$G122,_xll.qlInterpolationInterpolate(AC$3,$F122,TRUE))</f>
        <v>#NAME?</v>
      </c>
      <c r="AE122" s="440" t="str">
        <f ca="1">IF(AND(NOT(AC122),AND(AC$4:AC121)),MIN(EXP((AD122-$J122)*$G122),1),"")</f>
        <v/>
      </c>
      <c r="AF122" s="429"/>
      <c r="AG122" s="441" t="b">
        <f ca="1">IF(AND(NOT(AC122),AND(AC$4:AC121)),TRUE,AC122)</f>
        <v>0</v>
      </c>
      <c r="AH122" s="440" t="e">
        <f ca="1">IF(AND(NOT(ISBLANK(Jumpoverwrite6)),AND(NOT(AG122),AND(AG$4:AG121))),($J122*$G122-LN(1+Jumpoverwrite6*AI$2))/$G122,_xll.qlInterpolationInterpolate(AG$3,$F122,TRUE))</f>
        <v>#NAME?</v>
      </c>
      <c r="AI122" s="440" t="str">
        <f ca="1">IF(AND(NOT(AG122),AND(AG$4:AG121)),MIN(EXP((AH122-$J122)*$G122),1),"")</f>
        <v/>
      </c>
      <c r="AJ122" s="429"/>
      <c r="AK122" s="441" t="b">
        <f ca="1">IF(AND(NOT(AG122),AND(AG$4:AG121)),TRUE,AG122)</f>
        <v>0</v>
      </c>
      <c r="AL122" s="440" t="e">
        <f ca="1">IF(AND(NOT(ISBLANK(Jumpoverwrite7)),AND(NOT(AK122),AND(AK$4:AK121))),($J122*$G122-LN(1+Jumpoverwrite7*AM$2))/$G122,_xll.qlInterpolationInterpolate(AK$3,$F122,TRUE))</f>
        <v>#NAME?</v>
      </c>
      <c r="AM122" s="440" t="str">
        <f ca="1">IF(AND(NOT(AK122),AND(AK$4:AK121)),MIN(EXP((AL122-$J122)*$G122),1),"")</f>
        <v/>
      </c>
      <c r="AO122" s="441" t="b">
        <f ca="1">IF(AND(NOT(AK122),AND(AK$4:AK121)),TRUE,AK122)</f>
        <v>0</v>
      </c>
      <c r="AP122" s="440" t="e">
        <f ca="1">IF(AND(NOT(ISBLANK(Jumpoverwrite8)),AND(NOT(AO122),AND(AO$4:AO121))),($J122*$G122-LN(1+Jumpoverwrite8*AQ$2))/$G122,_xll.qlInterpolationInterpolate(AO$3,$F122,TRUE))</f>
        <v>#NAME?</v>
      </c>
      <c r="AQ122" s="440" t="str">
        <f ca="1">IF(AND(NOT(AO122),AND(AO$4:AO121)),MIN(EXP((AP122-$J122)*$G122),1),"")</f>
        <v/>
      </c>
      <c r="AS122" s="441" t="b">
        <f ca="1">IF(AND(NOT(AO122),AND(AO$4:AO121)),TRUE,AO122)</f>
        <v>0</v>
      </c>
      <c r="AT122" s="440" t="e">
        <f ca="1">IF(AND(NOT(ISBLANK(Jumpoverwrite9)),AND(NOT(AS122),AND(AS$4:AS121))),($J122*$G122-LN(1+Jumpoverwrite9*AU$2))/$G122,_xll.qlInterpolationInterpolate(AS$3,$F122,TRUE))</f>
        <v>#NAME?</v>
      </c>
      <c r="AU122" s="440" t="str">
        <f ca="1">IF(AND(NOT(AS122),AND(AS$4:AS121)),MIN(EXP((AT122-$J122)*$G122),1),"")</f>
        <v/>
      </c>
      <c r="AW122" s="441" t="b">
        <f ca="1">IF(AND(NOT(AS122),AND(AS$4:AS121)),TRUE,AS122)</f>
        <v>0</v>
      </c>
      <c r="AX122" s="440" t="e">
        <f ca="1">IF(AND(NOT(ISBLANK(Jumpoverwrite10)),AND(NOT(AW122),AND(AW$4:AW121))),($J122*$G122-LN(1+Jumpoverwrite10*AY$2))/$G122,_xll.qlInterpolationInterpolate(AW$3,$F122,TRUE))</f>
        <v>#NAME?</v>
      </c>
      <c r="AY122" s="440" t="str">
        <f ca="1">IF(AND(NOT(AW122),AND(AW$4:AW121)),MIN(EXP((AX122-$J122)*$G122),1),"")</f>
        <v/>
      </c>
      <c r="BA122" s="441" t="b">
        <f ca="1">IF(AND(NOT(AW122),AND(AW$4:AW121)),TRUE,AW122)</f>
        <v>0</v>
      </c>
      <c r="BB122" s="440" t="e">
        <f ca="1">IF(AND(NOT(ISBLANK(Jumpoverwrite11)),AND(NOT(BA122),AND(BA$4:BA121))),($J122*$G122-LN(1+Jumpoverwrite11*BC$2))/$G122,_xll.qlInterpolationInterpolate(BA$3,$F122,TRUE))</f>
        <v>#NAME?</v>
      </c>
      <c r="BC122" s="440" t="str">
        <f ca="1">IF(AND(NOT(BA122),AND(BA$4:BA121)),MIN(EXP((BB122-$J122)*$G122),1),"")</f>
        <v/>
      </c>
      <c r="BE122" s="441" t="b">
        <f ca="1">IF(AND(NOT(BA122),AND(BA$4:BA121)),TRUE,BA122)</f>
        <v>0</v>
      </c>
      <c r="BF122" s="440" t="e">
        <f ca="1">IF(AND(NOT(ISBLANK(Jumpoverwrite12)),AND(NOT(BE122),AND(BE$4:BE121))),($J122*$G122-LN(1+Jumpoverwrite12*BG$2))/$G122,_xll.qlInterpolationInterpolate(BE$3,$F122,TRUE))</f>
        <v>#NAME?</v>
      </c>
      <c r="BG122" s="440" t="str">
        <f ca="1">IF(AND(NOT(BE122),AND(BE$4:BE121)),MIN(EXP((BF122-$J122)*$G122),1),"")</f>
        <v/>
      </c>
      <c r="BI122" s="441" t="b">
        <f t="shared" ca="1" si="15"/>
        <v>0</v>
      </c>
      <c r="BJ122" s="440" t="e">
        <f ca="1">IF(AND(NOT(ISBLANK(jumpoverwrite13)),AND(NOT(BI122),AND(BI$4:BI121))),($J122*$G122-LN(1+jumpoverwrite13*BK$2))/$G122,_xll.qlInterpolationInterpolate(BI$3,$F122,TRUE))</f>
        <v>#NAME?</v>
      </c>
      <c r="BK122" s="440" t="str">
        <f ca="1">IF(AND(NOT(BI122),AND(BI$4:BI121)),MIN(EXP((BJ122-$J122)*$G122),1),"")</f>
        <v/>
      </c>
    </row>
    <row r="123" spans="1:63" x14ac:dyDescent="0.2">
      <c r="A123" s="439" t="e">
        <f ca="1"/>
        <v>#NAME?</v>
      </c>
      <c r="B123" s="438" t="e">
        <f ca="1">_xll.qlRateHelperRate($A123,InterestRatesTrigger)</f>
        <v>#NAME?</v>
      </c>
      <c r="C123" s="437" t="e">
        <f ca="1">_xll.qlRateHelperEarliestDate($A123)</f>
        <v>#NAME?</v>
      </c>
      <c r="D123" s="436" t="e">
        <f ca="1">_xll.qlRateHelperPillarDate($A123)</f>
        <v>#NAME?</v>
      </c>
      <c r="F123" s="446" t="e">
        <f t="shared" ca="1" si="13"/>
        <v>#N/A</v>
      </c>
      <c r="G123" s="445" t="e">
        <f ca="1">_xll.qlDayCounterYearFraction(DayCounter,D122,D123)</f>
        <v>#NAME?</v>
      </c>
      <c r="I123" s="444" t="b">
        <f t="shared" ca="1" si="14"/>
        <v>0</v>
      </c>
      <c r="J123" s="443" t="e">
        <f ca="1"/>
        <v>#NAME?</v>
      </c>
      <c r="K123" s="442" t="e">
        <f t="shared" ca="1" si="12"/>
        <v>#NAME?</v>
      </c>
      <c r="L123" s="430"/>
      <c r="M123" s="441" t="b">
        <f ca="1">IF(AND(NOT(I123),AND(I$4:I122)),TRUE,I123)</f>
        <v>0</v>
      </c>
      <c r="N123" s="440" t="e">
        <f ca="1">IF(AND(NOT(ISBLANK(Jumpoverwrite1)),AND(NOT(M123),AND(M$4:M122))),($J123*$G123-LN(1+Jumpoverwrite1*O$2))/$G123,_xll.qlInterpolationInterpolate(M$3,$F123,TRUE))</f>
        <v>#NAME?</v>
      </c>
      <c r="O123" s="440" t="str">
        <f ca="1">IF(AND(NOT(M123),AND(M$4:M122)),MIN(EXP((N123-$J123)*$G123),1),"")</f>
        <v/>
      </c>
      <c r="P123" s="429"/>
      <c r="Q123" s="441" t="b">
        <f ca="1">IF(AND(NOT(M123),AND(M$4:M122)),TRUE,M123)</f>
        <v>0</v>
      </c>
      <c r="R123" s="440" t="e">
        <f ca="1">IF(AND(NOT(ISBLANK(Jumpoverwrite2)),AND(NOT(Q123),AND(Q$4:Q122))),($J123*$G123-LN(1+Jumpoverwrite2*S$2))/$G123,_xll.qlInterpolationInterpolate(Q$3,$F123,TRUE))</f>
        <v>#NAME?</v>
      </c>
      <c r="S123" s="440" t="str">
        <f ca="1">IF(AND(NOT(Q123),AND(Q$4:Q122)),MIN(EXP((R123-$J123)*$G123),1),"")</f>
        <v/>
      </c>
      <c r="T123" s="429"/>
      <c r="U123" s="441" t="b">
        <f ca="1">IF(AND(NOT(Q123),AND(Q$4:Q122)),TRUE,Q123)</f>
        <v>0</v>
      </c>
      <c r="V123" s="440" t="e">
        <f ca="1">IF(AND(NOT(ISBLANK(Jumpoverwrite3)),AND(NOT(U123),AND(U$4:U122))),($J123*$G123-LN(1+Jumpoverwrite3*W$2))/$G123,_xll.qlInterpolationInterpolate(U$3,$F123,TRUE))</f>
        <v>#NAME?</v>
      </c>
      <c r="W123" s="440" t="str">
        <f ca="1">IF(AND(NOT(U123),AND(U$4:U122)),MIN(EXP((V123-$J123)*$G123),1),"")</f>
        <v/>
      </c>
      <c r="X123" s="429"/>
      <c r="Y123" s="441" t="b">
        <f ca="1">IF(AND(NOT(U123),AND(U$4:U122)),TRUE,U123)</f>
        <v>0</v>
      </c>
      <c r="Z123" s="440" t="e">
        <f ca="1">IF(AND(NOT(ISBLANK(Jumpoverwrite4)),AND(NOT(Y123),AND(Y$4:Y122))),($J123*$G123-LN(1+Jumpoverwrite4*AA$2))/$G123,_xll.qlInterpolationInterpolate(Y$3,$F123,TRUE))</f>
        <v>#NAME?</v>
      </c>
      <c r="AA123" s="440" t="str">
        <f ca="1">IF(AND(NOT(Y123),AND(Y$4:Y122)),MIN(EXP((Z123-$J123)*$G123),1),"")</f>
        <v/>
      </c>
      <c r="AB123" s="429"/>
      <c r="AC123" s="441" t="b">
        <f ca="1">IF(AND(NOT(Y123),AND(Y$4:Y122)),TRUE,Y123)</f>
        <v>0</v>
      </c>
      <c r="AD123" s="440" t="e">
        <f ca="1">IF(AND(NOT(ISBLANK(Jumpoverwrite5)),AND(NOT(AC123),AND(AC$4:AC122))),($J123*$G123-LN(1+Jumpoverwrite5*AE$2))/$G123,_xll.qlInterpolationInterpolate(AC$3,$F123,TRUE))</f>
        <v>#NAME?</v>
      </c>
      <c r="AE123" s="440" t="str">
        <f ca="1">IF(AND(NOT(AC123),AND(AC$4:AC122)),MIN(EXP((AD123-$J123)*$G123),1),"")</f>
        <v/>
      </c>
      <c r="AF123" s="429"/>
      <c r="AG123" s="441" t="b">
        <f ca="1">IF(AND(NOT(AC123),AND(AC$4:AC122)),TRUE,AC123)</f>
        <v>0</v>
      </c>
      <c r="AH123" s="440" t="e">
        <f ca="1">IF(AND(NOT(ISBLANK(Jumpoverwrite6)),AND(NOT(AG123),AND(AG$4:AG122))),($J123*$G123-LN(1+Jumpoverwrite6*AI$2))/$G123,_xll.qlInterpolationInterpolate(AG$3,$F123,TRUE))</f>
        <v>#NAME?</v>
      </c>
      <c r="AI123" s="440" t="str">
        <f ca="1">IF(AND(NOT(AG123),AND(AG$4:AG122)),MIN(EXP((AH123-$J123)*$G123),1),"")</f>
        <v/>
      </c>
      <c r="AJ123" s="429"/>
      <c r="AK123" s="441" t="b">
        <f ca="1">IF(AND(NOT(AG123),AND(AG$4:AG122)),TRUE,AG123)</f>
        <v>0</v>
      </c>
      <c r="AL123" s="440" t="e">
        <f ca="1">IF(AND(NOT(ISBLANK(Jumpoverwrite7)),AND(NOT(AK123),AND(AK$4:AK122))),($J123*$G123-LN(1+Jumpoverwrite7*AM$2))/$G123,_xll.qlInterpolationInterpolate(AK$3,$F123,TRUE))</f>
        <v>#NAME?</v>
      </c>
      <c r="AM123" s="440" t="str">
        <f ca="1">IF(AND(NOT(AK123),AND(AK$4:AK122)),MIN(EXP((AL123-$J123)*$G123),1),"")</f>
        <v/>
      </c>
      <c r="AO123" s="441" t="b">
        <f ca="1">IF(AND(NOT(AK123),AND(AK$4:AK122)),TRUE,AK123)</f>
        <v>0</v>
      </c>
      <c r="AP123" s="440" t="e">
        <f ca="1">IF(AND(NOT(ISBLANK(Jumpoverwrite8)),AND(NOT(AO123),AND(AO$4:AO122))),($J123*$G123-LN(1+Jumpoverwrite8*AQ$2))/$G123,_xll.qlInterpolationInterpolate(AO$3,$F123,TRUE))</f>
        <v>#NAME?</v>
      </c>
      <c r="AQ123" s="440" t="str">
        <f ca="1">IF(AND(NOT(AO123),AND(AO$4:AO122)),MIN(EXP((AP123-$J123)*$G123),1),"")</f>
        <v/>
      </c>
      <c r="AS123" s="441" t="b">
        <f ca="1">IF(AND(NOT(AO123),AND(AO$4:AO122)),TRUE,AO123)</f>
        <v>0</v>
      </c>
      <c r="AT123" s="440" t="e">
        <f ca="1">IF(AND(NOT(ISBLANK(Jumpoverwrite9)),AND(NOT(AS123),AND(AS$4:AS122))),($J123*$G123-LN(1+Jumpoverwrite9*AU$2))/$G123,_xll.qlInterpolationInterpolate(AS$3,$F123,TRUE))</f>
        <v>#NAME?</v>
      </c>
      <c r="AU123" s="440" t="str">
        <f ca="1">IF(AND(NOT(AS123),AND(AS$4:AS122)),MIN(EXP((AT123-$J123)*$G123),1),"")</f>
        <v/>
      </c>
      <c r="AW123" s="441" t="b">
        <f ca="1">IF(AND(NOT(AS123),AND(AS$4:AS122)),TRUE,AS123)</f>
        <v>0</v>
      </c>
      <c r="AX123" s="440" t="e">
        <f ca="1">IF(AND(NOT(ISBLANK(Jumpoverwrite10)),AND(NOT(AW123),AND(AW$4:AW122))),($J123*$G123-LN(1+Jumpoverwrite10*AY$2))/$G123,_xll.qlInterpolationInterpolate(AW$3,$F123,TRUE))</f>
        <v>#NAME?</v>
      </c>
      <c r="AY123" s="440" t="str">
        <f ca="1">IF(AND(NOT(AW123),AND(AW$4:AW122)),MIN(EXP((AX123-$J123)*$G123),1),"")</f>
        <v/>
      </c>
      <c r="BA123" s="441" t="b">
        <f ca="1">IF(AND(NOT(AW123),AND(AW$4:AW122)),TRUE,AW123)</f>
        <v>0</v>
      </c>
      <c r="BB123" s="440" t="e">
        <f ca="1">IF(AND(NOT(ISBLANK(Jumpoverwrite11)),AND(NOT(BA123),AND(BA$4:BA122))),($J123*$G123-LN(1+Jumpoverwrite11*BC$2))/$G123,_xll.qlInterpolationInterpolate(BA$3,$F123,TRUE))</f>
        <v>#NAME?</v>
      </c>
      <c r="BC123" s="440" t="str">
        <f ca="1">IF(AND(NOT(BA123),AND(BA$4:BA122)),MIN(EXP((BB123-$J123)*$G123),1),"")</f>
        <v/>
      </c>
      <c r="BE123" s="441" t="b">
        <f ca="1">IF(AND(NOT(BA123),AND(BA$4:BA122)),TRUE,BA123)</f>
        <v>0</v>
      </c>
      <c r="BF123" s="440" t="e">
        <f ca="1">IF(AND(NOT(ISBLANK(Jumpoverwrite12)),AND(NOT(BE123),AND(BE$4:BE122))),($J123*$G123-LN(1+Jumpoverwrite12*BG$2))/$G123,_xll.qlInterpolationInterpolate(BE$3,$F123,TRUE))</f>
        <v>#NAME?</v>
      </c>
      <c r="BG123" s="440" t="str">
        <f ca="1">IF(AND(NOT(BE123),AND(BE$4:BE122)),MIN(EXP((BF123-$J123)*$G123),1),"")</f>
        <v/>
      </c>
      <c r="BI123" s="441" t="b">
        <f t="shared" ca="1" si="15"/>
        <v>0</v>
      </c>
      <c r="BJ123" s="440" t="e">
        <f ca="1">IF(AND(NOT(ISBLANK(jumpoverwrite13)),AND(NOT(BI123),AND(BI$4:BI122))),($J123*$G123-LN(1+jumpoverwrite13*BK$2))/$G123,_xll.qlInterpolationInterpolate(BI$3,$F123,TRUE))</f>
        <v>#NAME?</v>
      </c>
      <c r="BK123" s="440" t="str">
        <f ca="1">IF(AND(NOT(BI123),AND(BI$4:BI122)),MIN(EXP((BJ123-$J123)*$G123),1),"")</f>
        <v/>
      </c>
    </row>
    <row r="124" spans="1:63" x14ac:dyDescent="0.2">
      <c r="A124" s="439" t="e">
        <f ca="1"/>
        <v>#NAME?</v>
      </c>
      <c r="B124" s="438" t="e">
        <f ca="1">_xll.qlRateHelperRate($A124,InterestRatesTrigger)</f>
        <v>#NAME?</v>
      </c>
      <c r="C124" s="437" t="e">
        <f ca="1">_xll.qlRateHelperEarliestDate($A124)</f>
        <v>#NAME?</v>
      </c>
      <c r="D124" s="436" t="e">
        <f ca="1">_xll.qlRateHelperPillarDate($A124)</f>
        <v>#NAME?</v>
      </c>
      <c r="F124" s="446" t="e">
        <f t="shared" ca="1" si="13"/>
        <v>#N/A</v>
      </c>
      <c r="G124" s="445" t="e">
        <f ca="1">_xll.qlDayCounterYearFraction(DayCounter,D123,D124)</f>
        <v>#NAME?</v>
      </c>
      <c r="I124" s="444" t="b">
        <f t="shared" ca="1" si="14"/>
        <v>0</v>
      </c>
      <c r="J124" s="443" t="e">
        <f ca="1"/>
        <v>#NAME?</v>
      </c>
      <c r="K124" s="442" t="e">
        <f t="shared" ca="1" si="12"/>
        <v>#NAME?</v>
      </c>
      <c r="L124" s="430"/>
      <c r="M124" s="441" t="b">
        <f ca="1">IF(AND(NOT(I124),AND(I$4:I123)),TRUE,I124)</f>
        <v>0</v>
      </c>
      <c r="N124" s="440" t="e">
        <f ca="1">IF(AND(NOT(ISBLANK(Jumpoverwrite1)),AND(NOT(M124),AND(M$4:M123))),($J124*$G124-LN(1+Jumpoverwrite1*O$2))/$G124,_xll.qlInterpolationInterpolate(M$3,$F124,TRUE))</f>
        <v>#NAME?</v>
      </c>
      <c r="O124" s="440" t="str">
        <f ca="1">IF(AND(NOT(M124),AND(M$4:M123)),MIN(EXP((N124-$J124)*$G124),1),"")</f>
        <v/>
      </c>
      <c r="P124" s="429"/>
      <c r="Q124" s="441" t="b">
        <f ca="1">IF(AND(NOT(M124),AND(M$4:M123)),TRUE,M124)</f>
        <v>0</v>
      </c>
      <c r="R124" s="440" t="e">
        <f ca="1">IF(AND(NOT(ISBLANK(Jumpoverwrite2)),AND(NOT(Q124),AND(Q$4:Q123))),($J124*$G124-LN(1+Jumpoverwrite2*S$2))/$G124,_xll.qlInterpolationInterpolate(Q$3,$F124,TRUE))</f>
        <v>#NAME?</v>
      </c>
      <c r="S124" s="440" t="str">
        <f ca="1">IF(AND(NOT(Q124),AND(Q$4:Q123)),MIN(EXP((R124-$J124)*$G124),1),"")</f>
        <v/>
      </c>
      <c r="T124" s="429"/>
      <c r="U124" s="441" t="b">
        <f ca="1">IF(AND(NOT(Q124),AND(Q$4:Q123)),TRUE,Q124)</f>
        <v>0</v>
      </c>
      <c r="V124" s="440" t="e">
        <f ca="1">IF(AND(NOT(ISBLANK(Jumpoverwrite3)),AND(NOT(U124),AND(U$4:U123))),($J124*$G124-LN(1+Jumpoverwrite3*W$2))/$G124,_xll.qlInterpolationInterpolate(U$3,$F124,TRUE))</f>
        <v>#NAME?</v>
      </c>
      <c r="W124" s="440" t="str">
        <f ca="1">IF(AND(NOT(U124),AND(U$4:U123)),MIN(EXP((V124-$J124)*$G124),1),"")</f>
        <v/>
      </c>
      <c r="X124" s="429"/>
      <c r="Y124" s="441" t="b">
        <f ca="1">IF(AND(NOT(U124),AND(U$4:U123)),TRUE,U124)</f>
        <v>0</v>
      </c>
      <c r="Z124" s="440" t="e">
        <f ca="1">IF(AND(NOT(ISBLANK(Jumpoverwrite4)),AND(NOT(Y124),AND(Y$4:Y123))),($J124*$G124-LN(1+Jumpoverwrite4*AA$2))/$G124,_xll.qlInterpolationInterpolate(Y$3,$F124,TRUE))</f>
        <v>#NAME?</v>
      </c>
      <c r="AA124" s="440" t="str">
        <f ca="1">IF(AND(NOT(Y124),AND(Y$4:Y123)),MIN(EXP((Z124-$J124)*$G124),1),"")</f>
        <v/>
      </c>
      <c r="AB124" s="429"/>
      <c r="AC124" s="441" t="b">
        <f ca="1">IF(AND(NOT(Y124),AND(Y$4:Y123)),TRUE,Y124)</f>
        <v>0</v>
      </c>
      <c r="AD124" s="440" t="e">
        <f ca="1">IF(AND(NOT(ISBLANK(Jumpoverwrite5)),AND(NOT(AC124),AND(AC$4:AC123))),($J124*$G124-LN(1+Jumpoverwrite5*AE$2))/$G124,_xll.qlInterpolationInterpolate(AC$3,$F124,TRUE))</f>
        <v>#NAME?</v>
      </c>
      <c r="AE124" s="440" t="str">
        <f ca="1">IF(AND(NOT(AC124),AND(AC$4:AC123)),MIN(EXP((AD124-$J124)*$G124),1),"")</f>
        <v/>
      </c>
      <c r="AF124" s="429"/>
      <c r="AG124" s="441" t="b">
        <f ca="1">IF(AND(NOT(AC124),AND(AC$4:AC123)),TRUE,AC124)</f>
        <v>0</v>
      </c>
      <c r="AH124" s="440" t="e">
        <f ca="1">IF(AND(NOT(ISBLANK(Jumpoverwrite6)),AND(NOT(AG124),AND(AG$4:AG123))),($J124*$G124-LN(1+Jumpoverwrite6*AI$2))/$G124,_xll.qlInterpolationInterpolate(AG$3,$F124,TRUE))</f>
        <v>#NAME?</v>
      </c>
      <c r="AI124" s="440" t="str">
        <f ca="1">IF(AND(NOT(AG124),AND(AG$4:AG123)),MIN(EXP((AH124-$J124)*$G124),1),"")</f>
        <v/>
      </c>
      <c r="AJ124" s="429"/>
      <c r="AK124" s="441" t="b">
        <f ca="1">IF(AND(NOT(AG124),AND(AG$4:AG123)),TRUE,AG124)</f>
        <v>0</v>
      </c>
      <c r="AL124" s="440" t="e">
        <f ca="1">IF(AND(NOT(ISBLANK(Jumpoverwrite7)),AND(NOT(AK124),AND(AK$4:AK123))),($J124*$G124-LN(1+Jumpoverwrite7*AM$2))/$G124,_xll.qlInterpolationInterpolate(AK$3,$F124,TRUE))</f>
        <v>#NAME?</v>
      </c>
      <c r="AM124" s="440" t="str">
        <f ca="1">IF(AND(NOT(AK124),AND(AK$4:AK123)),MIN(EXP((AL124-$J124)*$G124),1),"")</f>
        <v/>
      </c>
      <c r="AO124" s="441" t="b">
        <f ca="1">IF(AND(NOT(AK124),AND(AK$4:AK123)),TRUE,AK124)</f>
        <v>0</v>
      </c>
      <c r="AP124" s="440" t="e">
        <f ca="1">IF(AND(NOT(ISBLANK(Jumpoverwrite8)),AND(NOT(AO124),AND(AO$4:AO123))),($J124*$G124-LN(1+Jumpoverwrite8*AQ$2))/$G124,_xll.qlInterpolationInterpolate(AO$3,$F124,TRUE))</f>
        <v>#NAME?</v>
      </c>
      <c r="AQ124" s="440" t="str">
        <f ca="1">IF(AND(NOT(AO124),AND(AO$4:AO123)),MIN(EXP((AP124-$J124)*$G124),1),"")</f>
        <v/>
      </c>
      <c r="AS124" s="441" t="b">
        <f ca="1">IF(AND(NOT(AO124),AND(AO$4:AO123)),TRUE,AO124)</f>
        <v>0</v>
      </c>
      <c r="AT124" s="440" t="e">
        <f ca="1">IF(AND(NOT(ISBLANK(Jumpoverwrite9)),AND(NOT(AS124),AND(AS$4:AS123))),($J124*$G124-LN(1+Jumpoverwrite9*AU$2))/$G124,_xll.qlInterpolationInterpolate(AS$3,$F124,TRUE))</f>
        <v>#NAME?</v>
      </c>
      <c r="AU124" s="440" t="str">
        <f ca="1">IF(AND(NOT(AS124),AND(AS$4:AS123)),MIN(EXP((AT124-$J124)*$G124),1),"")</f>
        <v/>
      </c>
      <c r="AW124" s="441" t="b">
        <f ca="1">IF(AND(NOT(AS124),AND(AS$4:AS123)),TRUE,AS124)</f>
        <v>0</v>
      </c>
      <c r="AX124" s="440" t="e">
        <f ca="1">IF(AND(NOT(ISBLANK(Jumpoverwrite10)),AND(NOT(AW124),AND(AW$4:AW123))),($J124*$G124-LN(1+Jumpoverwrite10*AY$2))/$G124,_xll.qlInterpolationInterpolate(AW$3,$F124,TRUE))</f>
        <v>#NAME?</v>
      </c>
      <c r="AY124" s="440" t="str">
        <f ca="1">IF(AND(NOT(AW124),AND(AW$4:AW123)),MIN(EXP((AX124-$J124)*$G124),1),"")</f>
        <v/>
      </c>
      <c r="BA124" s="441" t="b">
        <f ca="1">IF(AND(NOT(AW124),AND(AW$4:AW123)),TRUE,AW124)</f>
        <v>0</v>
      </c>
      <c r="BB124" s="440" t="e">
        <f ca="1">IF(AND(NOT(ISBLANK(Jumpoverwrite11)),AND(NOT(BA124),AND(BA$4:BA123))),($J124*$G124-LN(1+Jumpoverwrite11*BC$2))/$G124,_xll.qlInterpolationInterpolate(BA$3,$F124,TRUE))</f>
        <v>#NAME?</v>
      </c>
      <c r="BC124" s="440" t="str">
        <f ca="1">IF(AND(NOT(BA124),AND(BA$4:BA123)),MIN(EXP((BB124-$J124)*$G124),1),"")</f>
        <v/>
      </c>
      <c r="BE124" s="441" t="b">
        <f ca="1">IF(AND(NOT(BA124),AND(BA$4:BA123)),TRUE,BA124)</f>
        <v>0</v>
      </c>
      <c r="BF124" s="440" t="e">
        <f ca="1">IF(AND(NOT(ISBLANK(Jumpoverwrite12)),AND(NOT(BE124),AND(BE$4:BE123))),($J124*$G124-LN(1+Jumpoverwrite12*BG$2))/$G124,_xll.qlInterpolationInterpolate(BE$3,$F124,TRUE))</f>
        <v>#NAME?</v>
      </c>
      <c r="BG124" s="440" t="str">
        <f ca="1">IF(AND(NOT(BE124),AND(BE$4:BE123)),MIN(EXP((BF124-$J124)*$G124),1),"")</f>
        <v/>
      </c>
      <c r="BI124" s="441" t="b">
        <f t="shared" ca="1" si="15"/>
        <v>0</v>
      </c>
      <c r="BJ124" s="440" t="e">
        <f ca="1">IF(AND(NOT(ISBLANK(jumpoverwrite13)),AND(NOT(BI124),AND(BI$4:BI123))),($J124*$G124-LN(1+jumpoverwrite13*BK$2))/$G124,_xll.qlInterpolationInterpolate(BI$3,$F124,TRUE))</f>
        <v>#NAME?</v>
      </c>
      <c r="BK124" s="440" t="str">
        <f ca="1">IF(AND(NOT(BI124),AND(BI$4:BI123)),MIN(EXP((BJ124-$J124)*$G124),1),"")</f>
        <v/>
      </c>
    </row>
    <row r="125" spans="1:63" x14ac:dyDescent="0.2">
      <c r="A125" s="439" t="e">
        <f ca="1"/>
        <v>#NAME?</v>
      </c>
      <c r="B125" s="438" t="e">
        <f ca="1">_xll.qlRateHelperRate($A125,InterestRatesTrigger)</f>
        <v>#NAME?</v>
      </c>
      <c r="C125" s="437" t="e">
        <f ca="1">_xll.qlRateHelperEarliestDate($A125)</f>
        <v>#NAME?</v>
      </c>
      <c r="D125" s="436" t="e">
        <f ca="1">_xll.qlRateHelperPillarDate($A125)</f>
        <v>#NAME?</v>
      </c>
      <c r="F125" s="446" t="e">
        <f t="shared" ca="1" si="13"/>
        <v>#N/A</v>
      </c>
      <c r="G125" s="445" t="e">
        <f ca="1">_xll.qlDayCounterYearFraction(DayCounter,D124,D125)</f>
        <v>#NAME?</v>
      </c>
      <c r="I125" s="444" t="b">
        <f t="shared" ca="1" si="14"/>
        <v>0</v>
      </c>
      <c r="J125" s="443" t="e">
        <f ca="1"/>
        <v>#NAME?</v>
      </c>
      <c r="K125" s="442" t="e">
        <f t="shared" ca="1" si="12"/>
        <v>#NAME?</v>
      </c>
      <c r="L125" s="430"/>
      <c r="M125" s="441" t="b">
        <f ca="1">IF(AND(NOT(I125),AND(I$4:I124)),TRUE,I125)</f>
        <v>0</v>
      </c>
      <c r="N125" s="440" t="e">
        <f ca="1">IF(AND(NOT(ISBLANK(Jumpoverwrite1)),AND(NOT(M125),AND(M$4:M124))),($J125*$G125-LN(1+Jumpoverwrite1*O$2))/$G125,_xll.qlInterpolationInterpolate(M$3,$F125,TRUE))</f>
        <v>#NAME?</v>
      </c>
      <c r="O125" s="440" t="str">
        <f ca="1">IF(AND(NOT(M125),AND(M$4:M124)),MIN(EXP((N125-$J125)*$G125),1),"")</f>
        <v/>
      </c>
      <c r="P125" s="429"/>
      <c r="Q125" s="441" t="b">
        <f ca="1">IF(AND(NOT(M125),AND(M$4:M124)),TRUE,M125)</f>
        <v>0</v>
      </c>
      <c r="R125" s="440" t="e">
        <f ca="1">IF(AND(NOT(ISBLANK(Jumpoverwrite2)),AND(NOT(Q125),AND(Q$4:Q124))),($J125*$G125-LN(1+Jumpoverwrite2*S$2))/$G125,_xll.qlInterpolationInterpolate(Q$3,$F125,TRUE))</f>
        <v>#NAME?</v>
      </c>
      <c r="S125" s="440" t="str">
        <f ca="1">IF(AND(NOT(Q125),AND(Q$4:Q124)),MIN(EXP((R125-$J125)*$G125),1),"")</f>
        <v/>
      </c>
      <c r="T125" s="429"/>
      <c r="U125" s="441" t="b">
        <f ca="1">IF(AND(NOT(Q125),AND(Q$4:Q124)),TRUE,Q125)</f>
        <v>0</v>
      </c>
      <c r="V125" s="440" t="e">
        <f ca="1">IF(AND(NOT(ISBLANK(Jumpoverwrite3)),AND(NOT(U125),AND(U$4:U124))),($J125*$G125-LN(1+Jumpoverwrite3*W$2))/$G125,_xll.qlInterpolationInterpolate(U$3,$F125,TRUE))</f>
        <v>#NAME?</v>
      </c>
      <c r="W125" s="440" t="str">
        <f ca="1">IF(AND(NOT(U125),AND(U$4:U124)),MIN(EXP((V125-$J125)*$G125),1),"")</f>
        <v/>
      </c>
      <c r="X125" s="429"/>
      <c r="Y125" s="441" t="b">
        <f ca="1">IF(AND(NOT(U125),AND(U$4:U124)),TRUE,U125)</f>
        <v>0</v>
      </c>
      <c r="Z125" s="440" t="e">
        <f ca="1">IF(AND(NOT(ISBLANK(Jumpoverwrite4)),AND(NOT(Y125),AND(Y$4:Y124))),($J125*$G125-LN(1+Jumpoverwrite4*AA$2))/$G125,_xll.qlInterpolationInterpolate(Y$3,$F125,TRUE))</f>
        <v>#NAME?</v>
      </c>
      <c r="AA125" s="440" t="str">
        <f ca="1">IF(AND(NOT(Y125),AND(Y$4:Y124)),MIN(EXP((Z125-$J125)*$G125),1),"")</f>
        <v/>
      </c>
      <c r="AB125" s="429"/>
      <c r="AC125" s="441" t="b">
        <f ca="1">IF(AND(NOT(Y125),AND(Y$4:Y124)),TRUE,Y125)</f>
        <v>0</v>
      </c>
      <c r="AD125" s="440" t="e">
        <f ca="1">IF(AND(NOT(ISBLANK(Jumpoverwrite5)),AND(NOT(AC125),AND(AC$4:AC124))),($J125*$G125-LN(1+Jumpoverwrite5*AE$2))/$G125,_xll.qlInterpolationInterpolate(AC$3,$F125,TRUE))</f>
        <v>#NAME?</v>
      </c>
      <c r="AE125" s="440" t="str">
        <f ca="1">IF(AND(NOT(AC125),AND(AC$4:AC124)),MIN(EXP((AD125-$J125)*$G125),1),"")</f>
        <v/>
      </c>
      <c r="AF125" s="429"/>
      <c r="AG125" s="441" t="b">
        <f ca="1">IF(AND(NOT(AC125),AND(AC$4:AC124)),TRUE,AC125)</f>
        <v>0</v>
      </c>
      <c r="AH125" s="440" t="e">
        <f ca="1">IF(AND(NOT(ISBLANK(Jumpoverwrite6)),AND(NOT(AG125),AND(AG$4:AG124))),($J125*$G125-LN(1+Jumpoverwrite6*AI$2))/$G125,_xll.qlInterpolationInterpolate(AG$3,$F125,TRUE))</f>
        <v>#NAME?</v>
      </c>
      <c r="AI125" s="440" t="str">
        <f ca="1">IF(AND(NOT(AG125),AND(AG$4:AG124)),MIN(EXP((AH125-$J125)*$G125),1),"")</f>
        <v/>
      </c>
      <c r="AJ125" s="429"/>
      <c r="AK125" s="441" t="b">
        <f ca="1">IF(AND(NOT(AG125),AND(AG$4:AG124)),TRUE,AG125)</f>
        <v>0</v>
      </c>
      <c r="AL125" s="440" t="e">
        <f ca="1">IF(AND(NOT(ISBLANK(Jumpoverwrite7)),AND(NOT(AK125),AND(AK$4:AK124))),($J125*$G125-LN(1+Jumpoverwrite7*AM$2))/$G125,_xll.qlInterpolationInterpolate(AK$3,$F125,TRUE))</f>
        <v>#NAME?</v>
      </c>
      <c r="AM125" s="440" t="str">
        <f ca="1">IF(AND(NOT(AK125),AND(AK$4:AK124)),MIN(EXP((AL125-$J125)*$G125),1),"")</f>
        <v/>
      </c>
      <c r="AO125" s="441" t="b">
        <f ca="1">IF(AND(NOT(AK125),AND(AK$4:AK124)),TRUE,AK125)</f>
        <v>0</v>
      </c>
      <c r="AP125" s="440" t="e">
        <f ca="1">IF(AND(NOT(ISBLANK(Jumpoverwrite8)),AND(NOT(AO125),AND(AO$4:AO124))),($J125*$G125-LN(1+Jumpoverwrite8*AQ$2))/$G125,_xll.qlInterpolationInterpolate(AO$3,$F125,TRUE))</f>
        <v>#NAME?</v>
      </c>
      <c r="AQ125" s="440" t="str">
        <f ca="1">IF(AND(NOT(AO125),AND(AO$4:AO124)),MIN(EXP((AP125-$J125)*$G125),1),"")</f>
        <v/>
      </c>
      <c r="AS125" s="441" t="b">
        <f ca="1">IF(AND(NOT(AO125),AND(AO$4:AO124)),TRUE,AO125)</f>
        <v>0</v>
      </c>
      <c r="AT125" s="440" t="e">
        <f ca="1">IF(AND(NOT(ISBLANK(Jumpoverwrite9)),AND(NOT(AS125),AND(AS$4:AS124))),($J125*$G125-LN(1+Jumpoverwrite9*AU$2))/$G125,_xll.qlInterpolationInterpolate(AS$3,$F125,TRUE))</f>
        <v>#NAME?</v>
      </c>
      <c r="AU125" s="440" t="str">
        <f ca="1">IF(AND(NOT(AS125),AND(AS$4:AS124)),MIN(EXP((AT125-$J125)*$G125),1),"")</f>
        <v/>
      </c>
      <c r="AW125" s="441" t="b">
        <f ca="1">IF(AND(NOT(AS125),AND(AS$4:AS124)),TRUE,AS125)</f>
        <v>0</v>
      </c>
      <c r="AX125" s="440" t="e">
        <f ca="1">IF(AND(NOT(ISBLANK(Jumpoverwrite10)),AND(NOT(AW125),AND(AW$4:AW124))),($J125*$G125-LN(1+Jumpoverwrite10*AY$2))/$G125,_xll.qlInterpolationInterpolate(AW$3,$F125,TRUE))</f>
        <v>#NAME?</v>
      </c>
      <c r="AY125" s="440" t="str">
        <f ca="1">IF(AND(NOT(AW125),AND(AW$4:AW124)),MIN(EXP((AX125-$J125)*$G125),1),"")</f>
        <v/>
      </c>
      <c r="BA125" s="441" t="b">
        <f ca="1">IF(AND(NOT(AW125),AND(AW$4:AW124)),TRUE,AW125)</f>
        <v>0</v>
      </c>
      <c r="BB125" s="440" t="e">
        <f ca="1">IF(AND(NOT(ISBLANK(Jumpoverwrite11)),AND(NOT(BA125),AND(BA$4:BA124))),($J125*$G125-LN(1+Jumpoverwrite11*BC$2))/$G125,_xll.qlInterpolationInterpolate(BA$3,$F125,TRUE))</f>
        <v>#NAME?</v>
      </c>
      <c r="BC125" s="440" t="str">
        <f ca="1">IF(AND(NOT(BA125),AND(BA$4:BA124)),MIN(EXP((BB125-$J125)*$G125),1),"")</f>
        <v/>
      </c>
      <c r="BE125" s="441" t="b">
        <f ca="1">IF(AND(NOT(BA125),AND(BA$4:BA124)),TRUE,BA125)</f>
        <v>0</v>
      </c>
      <c r="BF125" s="440" t="e">
        <f ca="1">IF(AND(NOT(ISBLANK(Jumpoverwrite12)),AND(NOT(BE125),AND(BE$4:BE124))),($J125*$G125-LN(1+Jumpoverwrite12*BG$2))/$G125,_xll.qlInterpolationInterpolate(BE$3,$F125,TRUE))</f>
        <v>#NAME?</v>
      </c>
      <c r="BG125" s="440" t="str">
        <f ca="1">IF(AND(NOT(BE125),AND(BE$4:BE124)),MIN(EXP((BF125-$J125)*$G125),1),"")</f>
        <v/>
      </c>
      <c r="BI125" s="441" t="b">
        <f t="shared" ca="1" si="15"/>
        <v>0</v>
      </c>
      <c r="BJ125" s="440" t="e">
        <f ca="1">IF(AND(NOT(ISBLANK(jumpoverwrite13)),AND(NOT(BI125),AND(BI$4:BI124))),($J125*$G125-LN(1+jumpoverwrite13*BK$2))/$G125,_xll.qlInterpolationInterpolate(BI$3,$F125,TRUE))</f>
        <v>#NAME?</v>
      </c>
      <c r="BK125" s="440" t="str">
        <f ca="1">IF(AND(NOT(BI125),AND(BI$4:BI124)),MIN(EXP((BJ125-$J125)*$G125),1),"")</f>
        <v/>
      </c>
    </row>
    <row r="126" spans="1:63" x14ac:dyDescent="0.2">
      <c r="A126" s="439" t="e">
        <f ca="1"/>
        <v>#NAME?</v>
      </c>
      <c r="B126" s="438" t="e">
        <f ca="1">_xll.qlRateHelperRate($A126,InterestRatesTrigger)</f>
        <v>#NAME?</v>
      </c>
      <c r="C126" s="437" t="e">
        <f ca="1">_xll.qlRateHelperEarliestDate($A126)</f>
        <v>#NAME?</v>
      </c>
      <c r="D126" s="436" t="e">
        <f ca="1">_xll.qlRateHelperPillarDate($A126)</f>
        <v>#NAME?</v>
      </c>
      <c r="F126" s="446" t="e">
        <f t="shared" ca="1" si="13"/>
        <v>#N/A</v>
      </c>
      <c r="G126" s="445" t="e">
        <f ca="1">_xll.qlDayCounterYearFraction(DayCounter,D125,D126)</f>
        <v>#NAME?</v>
      </c>
      <c r="I126" s="444" t="b">
        <f t="shared" ca="1" si="14"/>
        <v>0</v>
      </c>
      <c r="J126" s="443" t="e">
        <f ca="1"/>
        <v>#NAME?</v>
      </c>
      <c r="K126" s="442" t="e">
        <f t="shared" ca="1" si="12"/>
        <v>#NAME?</v>
      </c>
      <c r="L126" s="430"/>
      <c r="M126" s="441" t="b">
        <f ca="1">IF(AND(NOT(I126),AND(I$4:I125)),TRUE,I126)</f>
        <v>0</v>
      </c>
      <c r="N126" s="440" t="e">
        <f ca="1">IF(AND(NOT(ISBLANK(Jumpoverwrite1)),AND(NOT(M126),AND(M$4:M125))),($J126*$G126-LN(1+Jumpoverwrite1*O$2))/$G126,_xll.qlInterpolationInterpolate(M$3,$F126,TRUE))</f>
        <v>#NAME?</v>
      </c>
      <c r="O126" s="440" t="str">
        <f ca="1">IF(AND(NOT(M126),AND(M$4:M125)),MIN(EXP((N126-$J126)*$G126),1),"")</f>
        <v/>
      </c>
      <c r="P126" s="429"/>
      <c r="Q126" s="441" t="b">
        <f ca="1">IF(AND(NOT(M126),AND(M$4:M125)),TRUE,M126)</f>
        <v>0</v>
      </c>
      <c r="R126" s="440" t="e">
        <f ca="1">IF(AND(NOT(ISBLANK(Jumpoverwrite2)),AND(NOT(Q126),AND(Q$4:Q125))),($J126*$G126-LN(1+Jumpoverwrite2*S$2))/$G126,_xll.qlInterpolationInterpolate(Q$3,$F126,TRUE))</f>
        <v>#NAME?</v>
      </c>
      <c r="S126" s="440" t="str">
        <f ca="1">IF(AND(NOT(Q126),AND(Q$4:Q125)),MIN(EXP((R126-$J126)*$G126),1),"")</f>
        <v/>
      </c>
      <c r="T126" s="429"/>
      <c r="U126" s="441" t="b">
        <f ca="1">IF(AND(NOT(Q126),AND(Q$4:Q125)),TRUE,Q126)</f>
        <v>0</v>
      </c>
      <c r="V126" s="440" t="e">
        <f ca="1">IF(AND(NOT(ISBLANK(Jumpoverwrite3)),AND(NOT(U126),AND(U$4:U125))),($J126*$G126-LN(1+Jumpoverwrite3*W$2))/$G126,_xll.qlInterpolationInterpolate(U$3,$F126,TRUE))</f>
        <v>#NAME?</v>
      </c>
      <c r="W126" s="440" t="str">
        <f ca="1">IF(AND(NOT(U126),AND(U$4:U125)),MIN(EXP((V126-$J126)*$G126),1),"")</f>
        <v/>
      </c>
      <c r="X126" s="429"/>
      <c r="Y126" s="441" t="b">
        <f ca="1">IF(AND(NOT(U126),AND(U$4:U125)),TRUE,U126)</f>
        <v>0</v>
      </c>
      <c r="Z126" s="440" t="e">
        <f ca="1">IF(AND(NOT(ISBLANK(Jumpoverwrite4)),AND(NOT(Y126),AND(Y$4:Y125))),($J126*$G126-LN(1+Jumpoverwrite4*AA$2))/$G126,_xll.qlInterpolationInterpolate(Y$3,$F126,TRUE))</f>
        <v>#NAME?</v>
      </c>
      <c r="AA126" s="440" t="str">
        <f ca="1">IF(AND(NOT(Y126),AND(Y$4:Y125)),MIN(EXP((Z126-$J126)*$G126),1),"")</f>
        <v/>
      </c>
      <c r="AB126" s="429"/>
      <c r="AC126" s="441" t="b">
        <f ca="1">IF(AND(NOT(Y126),AND(Y$4:Y125)),TRUE,Y126)</f>
        <v>0</v>
      </c>
      <c r="AD126" s="440" t="e">
        <f ca="1">IF(AND(NOT(ISBLANK(Jumpoverwrite5)),AND(NOT(AC126),AND(AC$4:AC125))),($J126*$G126-LN(1+Jumpoverwrite5*AE$2))/$G126,_xll.qlInterpolationInterpolate(AC$3,$F126,TRUE))</f>
        <v>#NAME?</v>
      </c>
      <c r="AE126" s="440" t="str">
        <f ca="1">IF(AND(NOT(AC126),AND(AC$4:AC125)),MIN(EXP((AD126-$J126)*$G126),1),"")</f>
        <v/>
      </c>
      <c r="AF126" s="429"/>
      <c r="AG126" s="441" t="b">
        <f ca="1">IF(AND(NOT(AC126),AND(AC$4:AC125)),TRUE,AC126)</f>
        <v>0</v>
      </c>
      <c r="AH126" s="440" t="e">
        <f ca="1">IF(AND(NOT(ISBLANK(Jumpoverwrite6)),AND(NOT(AG126),AND(AG$4:AG125))),($J126*$G126-LN(1+Jumpoverwrite6*AI$2))/$G126,_xll.qlInterpolationInterpolate(AG$3,$F126,TRUE))</f>
        <v>#NAME?</v>
      </c>
      <c r="AI126" s="440" t="str">
        <f ca="1">IF(AND(NOT(AG126),AND(AG$4:AG125)),MIN(EXP((AH126-$J126)*$G126),1),"")</f>
        <v/>
      </c>
      <c r="AJ126" s="429"/>
      <c r="AK126" s="441" t="b">
        <f ca="1">IF(AND(NOT(AG126),AND(AG$4:AG125)),TRUE,AG126)</f>
        <v>0</v>
      </c>
      <c r="AL126" s="440" t="e">
        <f ca="1">IF(AND(NOT(ISBLANK(Jumpoverwrite7)),AND(NOT(AK126),AND(AK$4:AK125))),($J126*$G126-LN(1+Jumpoverwrite7*AM$2))/$G126,_xll.qlInterpolationInterpolate(AK$3,$F126,TRUE))</f>
        <v>#NAME?</v>
      </c>
      <c r="AM126" s="440" t="str">
        <f ca="1">IF(AND(NOT(AK126),AND(AK$4:AK125)),MIN(EXP((AL126-$J126)*$G126),1),"")</f>
        <v/>
      </c>
      <c r="AO126" s="441" t="b">
        <f ca="1">IF(AND(NOT(AK126),AND(AK$4:AK125)),TRUE,AK126)</f>
        <v>0</v>
      </c>
      <c r="AP126" s="440" t="e">
        <f ca="1">IF(AND(NOT(ISBLANK(Jumpoverwrite8)),AND(NOT(AO126),AND(AO$4:AO125))),($J126*$G126-LN(1+Jumpoverwrite8*AQ$2))/$G126,_xll.qlInterpolationInterpolate(AO$3,$F126,TRUE))</f>
        <v>#NAME?</v>
      </c>
      <c r="AQ126" s="440" t="str">
        <f ca="1">IF(AND(NOT(AO126),AND(AO$4:AO125)),MIN(EXP((AP126-$J126)*$G126),1),"")</f>
        <v/>
      </c>
      <c r="AS126" s="441" t="b">
        <f ca="1">IF(AND(NOT(AO126),AND(AO$4:AO125)),TRUE,AO126)</f>
        <v>0</v>
      </c>
      <c r="AT126" s="440" t="e">
        <f ca="1">IF(AND(NOT(ISBLANK(Jumpoverwrite9)),AND(NOT(AS126),AND(AS$4:AS125))),($J126*$G126-LN(1+Jumpoverwrite9*AU$2))/$G126,_xll.qlInterpolationInterpolate(AS$3,$F126,TRUE))</f>
        <v>#NAME?</v>
      </c>
      <c r="AU126" s="440" t="str">
        <f ca="1">IF(AND(NOT(AS126),AND(AS$4:AS125)),MIN(EXP((AT126-$J126)*$G126),1),"")</f>
        <v/>
      </c>
      <c r="AW126" s="441" t="b">
        <f ca="1">IF(AND(NOT(AS126),AND(AS$4:AS125)),TRUE,AS126)</f>
        <v>0</v>
      </c>
      <c r="AX126" s="440" t="e">
        <f ca="1">IF(AND(NOT(ISBLANK(Jumpoverwrite10)),AND(NOT(AW126),AND(AW$4:AW125))),($J126*$G126-LN(1+Jumpoverwrite10*AY$2))/$G126,_xll.qlInterpolationInterpolate(AW$3,$F126,TRUE))</f>
        <v>#NAME?</v>
      </c>
      <c r="AY126" s="440" t="str">
        <f ca="1">IF(AND(NOT(AW126),AND(AW$4:AW125)),MIN(EXP((AX126-$J126)*$G126),1),"")</f>
        <v/>
      </c>
      <c r="BA126" s="441" t="b">
        <f ca="1">IF(AND(NOT(AW126),AND(AW$4:AW125)),TRUE,AW126)</f>
        <v>0</v>
      </c>
      <c r="BB126" s="440" t="e">
        <f ca="1">IF(AND(NOT(ISBLANK(Jumpoverwrite11)),AND(NOT(BA126),AND(BA$4:BA125))),($J126*$G126-LN(1+Jumpoverwrite11*BC$2))/$G126,_xll.qlInterpolationInterpolate(BA$3,$F126,TRUE))</f>
        <v>#NAME?</v>
      </c>
      <c r="BC126" s="440" t="str">
        <f ca="1">IF(AND(NOT(BA126),AND(BA$4:BA125)),MIN(EXP((BB126-$J126)*$G126),1),"")</f>
        <v/>
      </c>
      <c r="BE126" s="441" t="b">
        <f ca="1">IF(AND(NOT(BA126),AND(BA$4:BA125)),TRUE,BA126)</f>
        <v>0</v>
      </c>
      <c r="BF126" s="440" t="e">
        <f ca="1">IF(AND(NOT(ISBLANK(Jumpoverwrite12)),AND(NOT(BE126),AND(BE$4:BE125))),($J126*$G126-LN(1+Jumpoverwrite12*BG$2))/$G126,_xll.qlInterpolationInterpolate(BE$3,$F126,TRUE))</f>
        <v>#NAME?</v>
      </c>
      <c r="BG126" s="440" t="str">
        <f ca="1">IF(AND(NOT(BE126),AND(BE$4:BE125)),MIN(EXP((BF126-$J126)*$G126),1),"")</f>
        <v/>
      </c>
      <c r="BI126" s="441" t="b">
        <f t="shared" ca="1" si="15"/>
        <v>0</v>
      </c>
      <c r="BJ126" s="440" t="e">
        <f ca="1">IF(AND(NOT(ISBLANK(jumpoverwrite13)),AND(NOT(BI126),AND(BI$4:BI125))),($J126*$G126-LN(1+jumpoverwrite13*BK$2))/$G126,_xll.qlInterpolationInterpolate(BI$3,$F126,TRUE))</f>
        <v>#NAME?</v>
      </c>
      <c r="BK126" s="440" t="str">
        <f ca="1">IF(AND(NOT(BI126),AND(BI$4:BI125)),MIN(EXP((BJ126-$J126)*$G126),1),"")</f>
        <v/>
      </c>
    </row>
    <row r="127" spans="1:63" x14ac:dyDescent="0.2">
      <c r="A127" s="439" t="e">
        <f ca="1"/>
        <v>#NAME?</v>
      </c>
      <c r="B127" s="438" t="e">
        <f ca="1">_xll.qlRateHelperRate($A127,InterestRatesTrigger)</f>
        <v>#NAME?</v>
      </c>
      <c r="C127" s="437" t="e">
        <f ca="1">_xll.qlRateHelperEarliestDate($A127)</f>
        <v>#NAME?</v>
      </c>
      <c r="D127" s="436" t="e">
        <f ca="1">_xll.qlRateHelperPillarDate($A127)</f>
        <v>#NAME?</v>
      </c>
      <c r="F127" s="446" t="e">
        <f t="shared" ca="1" si="13"/>
        <v>#N/A</v>
      </c>
      <c r="G127" s="445" t="e">
        <f ca="1">_xll.qlDayCounterYearFraction(DayCounter,D126,D127)</f>
        <v>#NAME?</v>
      </c>
      <c r="I127" s="444" t="b">
        <f t="shared" ca="1" si="14"/>
        <v>0</v>
      </c>
      <c r="J127" s="443" t="e">
        <f ca="1"/>
        <v>#NAME?</v>
      </c>
      <c r="K127" s="442" t="e">
        <f t="shared" ca="1" si="12"/>
        <v>#NAME?</v>
      </c>
      <c r="L127" s="430"/>
      <c r="M127" s="441" t="b">
        <f ca="1">IF(AND(NOT(I127),AND(I$4:I126)),TRUE,I127)</f>
        <v>0</v>
      </c>
      <c r="N127" s="440" t="e">
        <f ca="1">IF(AND(NOT(ISBLANK(Jumpoverwrite1)),AND(NOT(M127),AND(M$4:M126))),($J127*$G127-LN(1+Jumpoverwrite1*O$2))/$G127,_xll.qlInterpolationInterpolate(M$3,$F127,TRUE))</f>
        <v>#NAME?</v>
      </c>
      <c r="O127" s="440" t="str">
        <f ca="1">IF(AND(NOT(M127),AND(M$4:M126)),MIN(EXP((N127-$J127)*$G127),1),"")</f>
        <v/>
      </c>
      <c r="P127" s="429"/>
      <c r="Q127" s="441" t="b">
        <f ca="1">IF(AND(NOT(M127),AND(M$4:M126)),TRUE,M127)</f>
        <v>0</v>
      </c>
      <c r="R127" s="440" t="e">
        <f ca="1">IF(AND(NOT(ISBLANK(Jumpoverwrite2)),AND(NOT(Q127),AND(Q$4:Q126))),($J127*$G127-LN(1+Jumpoverwrite2*S$2))/$G127,_xll.qlInterpolationInterpolate(Q$3,$F127,TRUE))</f>
        <v>#NAME?</v>
      </c>
      <c r="S127" s="440" t="str">
        <f ca="1">IF(AND(NOT(Q127),AND(Q$4:Q126)),MIN(EXP((R127-$J127)*$G127),1),"")</f>
        <v/>
      </c>
      <c r="T127" s="429"/>
      <c r="U127" s="441" t="b">
        <f ca="1">IF(AND(NOT(Q127),AND(Q$4:Q126)),TRUE,Q127)</f>
        <v>0</v>
      </c>
      <c r="V127" s="440" t="e">
        <f ca="1">IF(AND(NOT(ISBLANK(Jumpoverwrite3)),AND(NOT(U127),AND(U$4:U126))),($J127*$G127-LN(1+Jumpoverwrite3*W$2))/$G127,_xll.qlInterpolationInterpolate(U$3,$F127,TRUE))</f>
        <v>#NAME?</v>
      </c>
      <c r="W127" s="440" t="str">
        <f ca="1">IF(AND(NOT(U127),AND(U$4:U126)),MIN(EXP((V127-$J127)*$G127),1),"")</f>
        <v/>
      </c>
      <c r="X127" s="429"/>
      <c r="Y127" s="441" t="b">
        <f ca="1">IF(AND(NOT(U127),AND(U$4:U126)),TRUE,U127)</f>
        <v>0</v>
      </c>
      <c r="Z127" s="440" t="e">
        <f ca="1">IF(AND(NOT(ISBLANK(Jumpoverwrite4)),AND(NOT(Y127),AND(Y$4:Y126))),($J127*$G127-LN(1+Jumpoverwrite4*AA$2))/$G127,_xll.qlInterpolationInterpolate(Y$3,$F127,TRUE))</f>
        <v>#NAME?</v>
      </c>
      <c r="AA127" s="440" t="str">
        <f ca="1">IF(AND(NOT(Y127),AND(Y$4:Y126)),MIN(EXP((Z127-$J127)*$G127),1),"")</f>
        <v/>
      </c>
      <c r="AB127" s="429"/>
      <c r="AC127" s="441" t="b">
        <f ca="1">IF(AND(NOT(Y127),AND(Y$4:Y126)),TRUE,Y127)</f>
        <v>0</v>
      </c>
      <c r="AD127" s="440" t="e">
        <f ca="1">IF(AND(NOT(ISBLANK(Jumpoverwrite5)),AND(NOT(AC127),AND(AC$4:AC126))),($J127*$G127-LN(1+Jumpoverwrite5*AE$2))/$G127,_xll.qlInterpolationInterpolate(AC$3,$F127,TRUE))</f>
        <v>#NAME?</v>
      </c>
      <c r="AE127" s="440" t="str">
        <f ca="1">IF(AND(NOT(AC127),AND(AC$4:AC126)),MIN(EXP((AD127-$J127)*$G127),1),"")</f>
        <v/>
      </c>
      <c r="AF127" s="429"/>
      <c r="AG127" s="441" t="b">
        <f ca="1">IF(AND(NOT(AC127),AND(AC$4:AC126)),TRUE,AC127)</f>
        <v>0</v>
      </c>
      <c r="AH127" s="440" t="e">
        <f ca="1">IF(AND(NOT(ISBLANK(Jumpoverwrite6)),AND(NOT(AG127),AND(AG$4:AG126))),($J127*$G127-LN(1+Jumpoverwrite6*AI$2))/$G127,_xll.qlInterpolationInterpolate(AG$3,$F127,TRUE))</f>
        <v>#NAME?</v>
      </c>
      <c r="AI127" s="440" t="str">
        <f ca="1">IF(AND(NOT(AG127),AND(AG$4:AG126)),MIN(EXP((AH127-$J127)*$G127),1),"")</f>
        <v/>
      </c>
      <c r="AJ127" s="429"/>
      <c r="AK127" s="441" t="b">
        <f ca="1">IF(AND(NOT(AG127),AND(AG$4:AG126)),TRUE,AG127)</f>
        <v>0</v>
      </c>
      <c r="AL127" s="440" t="e">
        <f ca="1">IF(AND(NOT(ISBLANK(Jumpoverwrite7)),AND(NOT(AK127),AND(AK$4:AK126))),($J127*$G127-LN(1+Jumpoverwrite7*AM$2))/$G127,_xll.qlInterpolationInterpolate(AK$3,$F127,TRUE))</f>
        <v>#NAME?</v>
      </c>
      <c r="AM127" s="440" t="str">
        <f ca="1">IF(AND(NOT(AK127),AND(AK$4:AK126)),MIN(EXP((AL127-$J127)*$G127),1),"")</f>
        <v/>
      </c>
      <c r="AO127" s="441" t="b">
        <f ca="1">IF(AND(NOT(AK127),AND(AK$4:AK126)),TRUE,AK127)</f>
        <v>0</v>
      </c>
      <c r="AP127" s="440" t="e">
        <f ca="1">IF(AND(NOT(ISBLANK(Jumpoverwrite8)),AND(NOT(AO127),AND(AO$4:AO126))),($J127*$G127-LN(1+Jumpoverwrite8*AQ$2))/$G127,_xll.qlInterpolationInterpolate(AO$3,$F127,TRUE))</f>
        <v>#NAME?</v>
      </c>
      <c r="AQ127" s="440" t="str">
        <f ca="1">IF(AND(NOT(AO127),AND(AO$4:AO126)),MIN(EXP((AP127-$J127)*$G127),1),"")</f>
        <v/>
      </c>
      <c r="AS127" s="441" t="b">
        <f ca="1">IF(AND(NOT(AO127),AND(AO$4:AO126)),TRUE,AO127)</f>
        <v>0</v>
      </c>
      <c r="AT127" s="440" t="e">
        <f ca="1">IF(AND(NOT(ISBLANK(Jumpoverwrite9)),AND(NOT(AS127),AND(AS$4:AS126))),($J127*$G127-LN(1+Jumpoverwrite9*AU$2))/$G127,_xll.qlInterpolationInterpolate(AS$3,$F127,TRUE))</f>
        <v>#NAME?</v>
      </c>
      <c r="AU127" s="440" t="str">
        <f ca="1">IF(AND(NOT(AS127),AND(AS$4:AS126)),MIN(EXP((AT127-$J127)*$G127),1),"")</f>
        <v/>
      </c>
      <c r="AW127" s="441" t="b">
        <f ca="1">IF(AND(NOT(AS127),AND(AS$4:AS126)),TRUE,AS127)</f>
        <v>0</v>
      </c>
      <c r="AX127" s="440" t="e">
        <f ca="1">IF(AND(NOT(ISBLANK(Jumpoverwrite10)),AND(NOT(AW127),AND(AW$4:AW126))),($J127*$G127-LN(1+Jumpoverwrite10*AY$2))/$G127,_xll.qlInterpolationInterpolate(AW$3,$F127,TRUE))</f>
        <v>#NAME?</v>
      </c>
      <c r="AY127" s="440" t="str">
        <f ca="1">IF(AND(NOT(AW127),AND(AW$4:AW126)),MIN(EXP((AX127-$J127)*$G127),1),"")</f>
        <v/>
      </c>
      <c r="BA127" s="441" t="b">
        <f ca="1">IF(AND(NOT(AW127),AND(AW$4:AW126)),TRUE,AW127)</f>
        <v>0</v>
      </c>
      <c r="BB127" s="440" t="e">
        <f ca="1">IF(AND(NOT(ISBLANK(Jumpoverwrite11)),AND(NOT(BA127),AND(BA$4:BA126))),($J127*$G127-LN(1+Jumpoverwrite11*BC$2))/$G127,_xll.qlInterpolationInterpolate(BA$3,$F127,TRUE))</f>
        <v>#NAME?</v>
      </c>
      <c r="BC127" s="440" t="str">
        <f ca="1">IF(AND(NOT(BA127),AND(BA$4:BA126)),MIN(EXP((BB127-$J127)*$G127),1),"")</f>
        <v/>
      </c>
      <c r="BE127" s="441" t="b">
        <f ca="1">IF(AND(NOT(BA127),AND(BA$4:BA126)),TRUE,BA127)</f>
        <v>0</v>
      </c>
      <c r="BF127" s="440" t="e">
        <f ca="1">IF(AND(NOT(ISBLANK(Jumpoverwrite12)),AND(NOT(BE127),AND(BE$4:BE126))),($J127*$G127-LN(1+Jumpoverwrite12*BG$2))/$G127,_xll.qlInterpolationInterpolate(BE$3,$F127,TRUE))</f>
        <v>#NAME?</v>
      </c>
      <c r="BG127" s="440" t="str">
        <f ca="1">IF(AND(NOT(BE127),AND(BE$4:BE126)),MIN(EXP((BF127-$J127)*$G127),1),"")</f>
        <v/>
      </c>
      <c r="BI127" s="441" t="b">
        <f t="shared" ca="1" si="15"/>
        <v>0</v>
      </c>
      <c r="BJ127" s="440" t="e">
        <f ca="1">IF(AND(NOT(ISBLANK(jumpoverwrite13)),AND(NOT(BI127),AND(BI$4:BI126))),($J127*$G127-LN(1+jumpoverwrite13*BK$2))/$G127,_xll.qlInterpolationInterpolate(BI$3,$F127,TRUE))</f>
        <v>#NAME?</v>
      </c>
      <c r="BK127" s="440" t="str">
        <f ca="1">IF(AND(NOT(BI127),AND(BI$4:BI126)),MIN(EXP((BJ127-$J127)*$G127),1),"")</f>
        <v/>
      </c>
    </row>
    <row r="128" spans="1:63" x14ac:dyDescent="0.2">
      <c r="A128" s="439" t="e">
        <f ca="1"/>
        <v>#NAME?</v>
      </c>
      <c r="B128" s="438" t="e">
        <f ca="1">_xll.qlRateHelperRate($A128,InterestRatesTrigger)</f>
        <v>#NAME?</v>
      </c>
      <c r="C128" s="437" t="e">
        <f ca="1">_xll.qlRateHelperEarliestDate($A128)</f>
        <v>#NAME?</v>
      </c>
      <c r="D128" s="436" t="e">
        <f ca="1">_xll.qlRateHelperPillarDate($A128)</f>
        <v>#NAME?</v>
      </c>
      <c r="F128" s="446" t="e">
        <f t="shared" ca="1" si="13"/>
        <v>#N/A</v>
      </c>
      <c r="G128" s="445" t="e">
        <f ca="1">_xll.qlDayCounterYearFraction(DayCounter,D127,D128)</f>
        <v>#NAME?</v>
      </c>
      <c r="I128" s="444" t="b">
        <f t="shared" ca="1" si="14"/>
        <v>0</v>
      </c>
      <c r="J128" s="443" t="e">
        <f ca="1"/>
        <v>#NAME?</v>
      </c>
      <c r="K128" s="442" t="e">
        <f t="shared" ca="1" si="12"/>
        <v>#NAME?</v>
      </c>
      <c r="L128" s="430"/>
      <c r="M128" s="441" t="b">
        <f ca="1">IF(AND(NOT(I128),AND(I$4:I127)),TRUE,I128)</f>
        <v>0</v>
      </c>
      <c r="N128" s="440" t="e">
        <f ca="1">IF(AND(NOT(ISBLANK(Jumpoverwrite1)),AND(NOT(M128),AND(M$4:M127))),($J128*$G128-LN(1+Jumpoverwrite1*O$2))/$G128,_xll.qlInterpolationInterpolate(M$3,$F128,TRUE))</f>
        <v>#NAME?</v>
      </c>
      <c r="O128" s="440" t="str">
        <f ca="1">IF(AND(NOT(M128),AND(M$4:M127)),MIN(EXP((N128-$J128)*$G128),1),"")</f>
        <v/>
      </c>
      <c r="P128" s="429"/>
      <c r="Q128" s="441" t="b">
        <f ca="1">IF(AND(NOT(M128),AND(M$4:M127)),TRUE,M128)</f>
        <v>0</v>
      </c>
      <c r="R128" s="440" t="e">
        <f ca="1">IF(AND(NOT(ISBLANK(Jumpoverwrite2)),AND(NOT(Q128),AND(Q$4:Q127))),($J128*$G128-LN(1+Jumpoverwrite2*S$2))/$G128,_xll.qlInterpolationInterpolate(Q$3,$F128,TRUE))</f>
        <v>#NAME?</v>
      </c>
      <c r="S128" s="440" t="str">
        <f ca="1">IF(AND(NOT(Q128),AND(Q$4:Q127)),MIN(EXP((R128-$J128)*$G128),1),"")</f>
        <v/>
      </c>
      <c r="T128" s="429"/>
      <c r="U128" s="441" t="b">
        <f ca="1">IF(AND(NOT(Q128),AND(Q$4:Q127)),TRUE,Q128)</f>
        <v>0</v>
      </c>
      <c r="V128" s="440" t="e">
        <f ca="1">IF(AND(NOT(ISBLANK(Jumpoverwrite3)),AND(NOT(U128),AND(U$4:U127))),($J128*$G128-LN(1+Jumpoverwrite3*W$2))/$G128,_xll.qlInterpolationInterpolate(U$3,$F128,TRUE))</f>
        <v>#NAME?</v>
      </c>
      <c r="W128" s="440" t="str">
        <f ca="1">IF(AND(NOT(U128),AND(U$4:U127)),MIN(EXP((V128-$J128)*$G128),1),"")</f>
        <v/>
      </c>
      <c r="X128" s="429"/>
      <c r="Y128" s="441" t="b">
        <f ca="1">IF(AND(NOT(U128),AND(U$4:U127)),TRUE,U128)</f>
        <v>0</v>
      </c>
      <c r="Z128" s="440" t="e">
        <f ca="1">IF(AND(NOT(ISBLANK(Jumpoverwrite4)),AND(NOT(Y128),AND(Y$4:Y127))),($J128*$G128-LN(1+Jumpoverwrite4*AA$2))/$G128,_xll.qlInterpolationInterpolate(Y$3,$F128,TRUE))</f>
        <v>#NAME?</v>
      </c>
      <c r="AA128" s="440" t="str">
        <f ca="1">IF(AND(NOT(Y128),AND(Y$4:Y127)),MIN(EXP((Z128-$J128)*$G128),1),"")</f>
        <v/>
      </c>
      <c r="AB128" s="429"/>
      <c r="AC128" s="441" t="b">
        <f ca="1">IF(AND(NOT(Y128),AND(Y$4:Y127)),TRUE,Y128)</f>
        <v>0</v>
      </c>
      <c r="AD128" s="440" t="e">
        <f ca="1">IF(AND(NOT(ISBLANK(Jumpoverwrite5)),AND(NOT(AC128),AND(AC$4:AC127))),($J128*$G128-LN(1+Jumpoverwrite5*AE$2))/$G128,_xll.qlInterpolationInterpolate(AC$3,$F128,TRUE))</f>
        <v>#NAME?</v>
      </c>
      <c r="AE128" s="440" t="str">
        <f ca="1">IF(AND(NOT(AC128),AND(AC$4:AC127)),MIN(EXP((AD128-$J128)*$G128),1),"")</f>
        <v/>
      </c>
      <c r="AF128" s="429"/>
      <c r="AG128" s="441" t="b">
        <f ca="1">IF(AND(NOT(AC128),AND(AC$4:AC127)),TRUE,AC128)</f>
        <v>0</v>
      </c>
      <c r="AH128" s="440" t="e">
        <f ca="1">IF(AND(NOT(ISBLANK(Jumpoverwrite6)),AND(NOT(AG128),AND(AG$4:AG127))),($J128*$G128-LN(1+Jumpoverwrite6*AI$2))/$G128,_xll.qlInterpolationInterpolate(AG$3,$F128,TRUE))</f>
        <v>#NAME?</v>
      </c>
      <c r="AI128" s="440" t="str">
        <f ca="1">IF(AND(NOT(AG128),AND(AG$4:AG127)),MIN(EXP((AH128-$J128)*$G128),1),"")</f>
        <v/>
      </c>
      <c r="AJ128" s="429"/>
      <c r="AK128" s="441" t="b">
        <f ca="1">IF(AND(NOT(AG128),AND(AG$4:AG127)),TRUE,AG128)</f>
        <v>0</v>
      </c>
      <c r="AL128" s="440" t="e">
        <f ca="1">IF(AND(NOT(ISBLANK(Jumpoverwrite7)),AND(NOT(AK128),AND(AK$4:AK127))),($J128*$G128-LN(1+Jumpoverwrite7*AM$2))/$G128,_xll.qlInterpolationInterpolate(AK$3,$F128,TRUE))</f>
        <v>#NAME?</v>
      </c>
      <c r="AM128" s="440" t="str">
        <f ca="1">IF(AND(NOT(AK128),AND(AK$4:AK127)),MIN(EXP((AL128-$J128)*$G128),1),"")</f>
        <v/>
      </c>
      <c r="AO128" s="441" t="b">
        <f ca="1">IF(AND(NOT(AK128),AND(AK$4:AK127)),TRUE,AK128)</f>
        <v>0</v>
      </c>
      <c r="AP128" s="440" t="e">
        <f ca="1">IF(AND(NOT(ISBLANK(Jumpoverwrite8)),AND(NOT(AO128),AND(AO$4:AO127))),($J128*$G128-LN(1+Jumpoverwrite8*AQ$2))/$G128,_xll.qlInterpolationInterpolate(AO$3,$F128,TRUE))</f>
        <v>#NAME?</v>
      </c>
      <c r="AQ128" s="440" t="str">
        <f ca="1">IF(AND(NOT(AO128),AND(AO$4:AO127)),MIN(EXP((AP128-$J128)*$G128),1),"")</f>
        <v/>
      </c>
      <c r="AS128" s="441" t="b">
        <f ca="1">IF(AND(NOT(AO128),AND(AO$4:AO127)),TRUE,AO128)</f>
        <v>0</v>
      </c>
      <c r="AT128" s="440" t="e">
        <f ca="1">IF(AND(NOT(ISBLANK(Jumpoverwrite9)),AND(NOT(AS128),AND(AS$4:AS127))),($J128*$G128-LN(1+Jumpoverwrite9*AU$2))/$G128,_xll.qlInterpolationInterpolate(AS$3,$F128,TRUE))</f>
        <v>#NAME?</v>
      </c>
      <c r="AU128" s="440" t="str">
        <f ca="1">IF(AND(NOT(AS128),AND(AS$4:AS127)),MIN(EXP((AT128-$J128)*$G128),1),"")</f>
        <v/>
      </c>
      <c r="AW128" s="441" t="b">
        <f ca="1">IF(AND(NOT(AS128),AND(AS$4:AS127)),TRUE,AS128)</f>
        <v>0</v>
      </c>
      <c r="AX128" s="440" t="e">
        <f ca="1">IF(AND(NOT(ISBLANK(Jumpoverwrite10)),AND(NOT(AW128),AND(AW$4:AW127))),($J128*$G128-LN(1+Jumpoverwrite10*AY$2))/$G128,_xll.qlInterpolationInterpolate(AW$3,$F128,TRUE))</f>
        <v>#NAME?</v>
      </c>
      <c r="AY128" s="440" t="str">
        <f ca="1">IF(AND(NOT(AW128),AND(AW$4:AW127)),MIN(EXP((AX128-$J128)*$G128),1),"")</f>
        <v/>
      </c>
      <c r="BA128" s="441" t="b">
        <f ca="1">IF(AND(NOT(AW128),AND(AW$4:AW127)),TRUE,AW128)</f>
        <v>0</v>
      </c>
      <c r="BB128" s="440" t="e">
        <f ca="1">IF(AND(NOT(ISBLANK(Jumpoverwrite11)),AND(NOT(BA128),AND(BA$4:BA127))),($J128*$G128-LN(1+Jumpoverwrite11*BC$2))/$G128,_xll.qlInterpolationInterpolate(BA$3,$F128,TRUE))</f>
        <v>#NAME?</v>
      </c>
      <c r="BC128" s="440" t="str">
        <f ca="1">IF(AND(NOT(BA128),AND(BA$4:BA127)),MIN(EXP((BB128-$J128)*$G128),1),"")</f>
        <v/>
      </c>
      <c r="BE128" s="441" t="b">
        <f ca="1">IF(AND(NOT(BA128),AND(BA$4:BA127)),TRUE,BA128)</f>
        <v>0</v>
      </c>
      <c r="BF128" s="440" t="e">
        <f ca="1">IF(AND(NOT(ISBLANK(Jumpoverwrite12)),AND(NOT(BE128),AND(BE$4:BE127))),($J128*$G128-LN(1+Jumpoverwrite12*BG$2))/$G128,_xll.qlInterpolationInterpolate(BE$3,$F128,TRUE))</f>
        <v>#NAME?</v>
      </c>
      <c r="BG128" s="440" t="str">
        <f ca="1">IF(AND(NOT(BE128),AND(BE$4:BE127)),MIN(EXP((BF128-$J128)*$G128),1),"")</f>
        <v/>
      </c>
      <c r="BI128" s="441" t="b">
        <f t="shared" ca="1" si="15"/>
        <v>0</v>
      </c>
      <c r="BJ128" s="440" t="e">
        <f ca="1">IF(AND(NOT(ISBLANK(jumpoverwrite13)),AND(NOT(BI128),AND(BI$4:BI127))),($J128*$G128-LN(1+jumpoverwrite13*BK$2))/$G128,_xll.qlInterpolationInterpolate(BI$3,$F128,TRUE))</f>
        <v>#NAME?</v>
      </c>
      <c r="BK128" s="440" t="str">
        <f ca="1">IF(AND(NOT(BI128),AND(BI$4:BI127)),MIN(EXP((BJ128-$J128)*$G128),1),"")</f>
        <v/>
      </c>
    </row>
    <row r="129" spans="1:63" ht="12" thickBot="1" x14ac:dyDescent="0.25">
      <c r="A129" s="439" t="e">
        <f ca="1"/>
        <v>#NAME?</v>
      </c>
      <c r="B129" s="438" t="e">
        <f ca="1">_xll.qlRateHelperRate($A129,InterestRatesTrigger)</f>
        <v>#NAME?</v>
      </c>
      <c r="C129" s="437" t="e">
        <f ca="1">_xll.qlRateHelperEarliestDate($A129)</f>
        <v>#NAME?</v>
      </c>
      <c r="D129" s="436" t="e">
        <f ca="1">_xll.qlRateHelperPillarDate($A129)</f>
        <v>#NAME?</v>
      </c>
      <c r="F129" s="435" t="e">
        <f t="shared" ca="1" si="13"/>
        <v>#N/A</v>
      </c>
      <c r="G129" s="434" t="e">
        <f ca="1">_xll.qlDayCounterYearFraction(DayCounter,D128,D129)</f>
        <v>#NAME?</v>
      </c>
      <c r="I129" s="433" t="b">
        <f t="shared" ca="1" si="14"/>
        <v>0</v>
      </c>
      <c r="J129" s="432" t="e">
        <f ca="1"/>
        <v>#NAME?</v>
      </c>
      <c r="K129" s="431" t="e">
        <f t="shared" ca="1" si="12"/>
        <v>#NAME?</v>
      </c>
      <c r="L129" s="430"/>
      <c r="M129" s="427" t="b">
        <f ca="1">IF(AND(NOT(I129),AND(I$4:I128)),TRUE,I129)</f>
        <v>0</v>
      </c>
      <c r="N129" s="426" t="e">
        <f ca="1">IF(AND(NOT(ISBLANK(Jumpoverwrite1)),AND(NOT(M129),AND(M$4:M128))),($J129*$G129-LN(1+Jumpoverwrite1*O$2))/$G129,_xll.qlInterpolationInterpolate(M$3,$F129,TRUE))</f>
        <v>#NAME?</v>
      </c>
      <c r="O129" s="426" t="str">
        <f ca="1">IF(AND(NOT(M129),AND(M$4:M128)),MIN(EXP((N129-$J129)*$G129),1),"")</f>
        <v/>
      </c>
      <c r="P129" s="428"/>
      <c r="Q129" s="427" t="b">
        <f ca="1">IF(AND(NOT(M129),AND(M$4:M128)),TRUE,M129)</f>
        <v>0</v>
      </c>
      <c r="R129" s="426" t="e">
        <f ca="1">IF(AND(NOT(ISBLANK(Jumpoverwrite2)),AND(NOT(Q129),AND(Q$4:Q128))),($J129*$G129-LN(1+Jumpoverwrite2*S$2))/$G129,_xll.qlInterpolationInterpolate(Q$3,$F129,TRUE))</f>
        <v>#NAME?</v>
      </c>
      <c r="S129" s="426" t="str">
        <f ca="1">IF(AND(NOT(Q129),AND(Q$4:Q128)),MIN(EXP((R129-$J129)*$G129),1),"")</f>
        <v/>
      </c>
      <c r="T129" s="429"/>
      <c r="U129" s="427" t="b">
        <f ca="1">IF(AND(NOT(Q129),AND(Q$4:Q128)),TRUE,Q129)</f>
        <v>0</v>
      </c>
      <c r="V129" s="426" t="e">
        <f ca="1">IF(AND(NOT(ISBLANK(Jumpoverwrite3)),AND(NOT(U129),AND(U$4:U128))),($J129*$G129-LN(1+Jumpoverwrite3*W$2))/$G129,_xll.qlInterpolationInterpolate(U$3,$F129,TRUE))</f>
        <v>#NAME?</v>
      </c>
      <c r="W129" s="426" t="str">
        <f ca="1">IF(AND(NOT(U129),AND(U$4:U128)),MIN(EXP((V129-$J129)*$G129),1),"")</f>
        <v/>
      </c>
      <c r="X129" s="428"/>
      <c r="Y129" s="427" t="b">
        <f ca="1">IF(AND(NOT(U129),AND(U$4:U128)),TRUE,U129)</f>
        <v>0</v>
      </c>
      <c r="Z129" s="426" t="e">
        <f ca="1">IF(AND(NOT(ISBLANK(Jumpoverwrite4)),AND(NOT(Y129),AND(Y$4:Y128))),($J129*$G129-LN(1+Jumpoverwrite4*AA$2))/$G129,_xll.qlInterpolationInterpolate(Y$3,$F129,TRUE))</f>
        <v>#NAME?</v>
      </c>
      <c r="AA129" s="426" t="str">
        <f ca="1">IF(AND(NOT(Y129),AND(Y$4:Y128)),MIN(EXP((Z129-$J129)*$G129),1),"")</f>
        <v/>
      </c>
      <c r="AB129" s="428"/>
      <c r="AC129" s="427" t="b">
        <f ca="1">IF(AND(NOT(Y129),AND(Y$4:Y128)),TRUE,Y129)</f>
        <v>0</v>
      </c>
      <c r="AD129" s="426" t="e">
        <f ca="1">IF(AND(NOT(ISBLANK(Jumpoverwrite5)),AND(NOT(AC129),AND(AC$4:AC128))),($J129*$G129-LN(1+Jumpoverwrite5*AE$2))/$G129,_xll.qlInterpolationInterpolate(AC$3,$F129,TRUE))</f>
        <v>#NAME?</v>
      </c>
      <c r="AE129" s="426" t="str">
        <f ca="1">IF(AND(NOT(AC129),AND(AC$4:AC128)),MIN(EXP((AD129-$J129)*$G129),1),"")</f>
        <v/>
      </c>
      <c r="AF129" s="428"/>
      <c r="AG129" s="427" t="b">
        <f ca="1">IF(AND(NOT(AC129),AND(AC$4:AC128)),TRUE,AC129)</f>
        <v>0</v>
      </c>
      <c r="AH129" s="426" t="e">
        <f ca="1">IF(AND(NOT(ISBLANK(Jumpoverwrite6)),AND(NOT(AG129),AND(AG$4:AG128))),($J129*$G129-LN(1+Jumpoverwrite6*AI$2))/$G129,_xll.qlInterpolationInterpolate(AG$3,$F129,TRUE))</f>
        <v>#NAME?</v>
      </c>
      <c r="AI129" s="426" t="str">
        <f ca="1">IF(AND(NOT(AG129),AND(AG$4:AG128)),MIN(EXP((AH129-$J129)*$G129),1),"")</f>
        <v/>
      </c>
      <c r="AJ129" s="428"/>
      <c r="AK129" s="427" t="b">
        <f ca="1">IF(AND(NOT(AG129),AND(AG$4:AG128)),TRUE,AG129)</f>
        <v>0</v>
      </c>
      <c r="AL129" s="426" t="e">
        <f ca="1">IF(AND(NOT(ISBLANK(Jumpoverwrite7)),AND(NOT(AK129),AND(AK$4:AK128))),($J129*$G129-LN(1+Jumpoverwrite7*AM$2))/$G129,_xll.qlInterpolationInterpolate(AK$3,$F129,TRUE))</f>
        <v>#NAME?</v>
      </c>
      <c r="AM129" s="426" t="str">
        <f ca="1">IF(AND(NOT(AK129),AND(AK$4:AK128)),MIN(EXP((AL129-$J129)*$G129),1),"")</f>
        <v/>
      </c>
      <c r="AO129" s="427" t="b">
        <f ca="1">IF(AND(NOT(AK129),AND(AK$4:AK128)),TRUE,AK129)</f>
        <v>0</v>
      </c>
      <c r="AP129" s="426" t="e">
        <f ca="1">IF(AND(NOT(ISBLANK(Jumpoverwrite8)),AND(NOT(AO129),AND(AO$4:AO128))),($J129*$G129-LN(1+Jumpoverwrite8*AQ$2))/$G129,_xll.qlInterpolationInterpolate(AO$3,$F129,TRUE))</f>
        <v>#NAME?</v>
      </c>
      <c r="AQ129" s="426" t="str">
        <f ca="1">IF(AND(NOT(AO129),AND(AO$4:AO128)),MIN(EXP((AP129-$J129)*$G129),1),"")</f>
        <v/>
      </c>
      <c r="AS129" s="427" t="b">
        <f ca="1">IF(AND(NOT(AO129),AND(AO$4:AO128)),TRUE,AO129)</f>
        <v>0</v>
      </c>
      <c r="AT129" s="426" t="e">
        <f ca="1">IF(AND(NOT(ISBLANK(Jumpoverwrite9)),AND(NOT(AS129),AND(AS$4:AS128))),($J129*$G129-LN(1+Jumpoverwrite9*AU$2))/$G129,_xll.qlInterpolationInterpolate(AS$3,$F129,TRUE))</f>
        <v>#NAME?</v>
      </c>
      <c r="AU129" s="426" t="str">
        <f ca="1">IF(AND(NOT(AS129),AND(AS$4:AS128)),MIN(EXP((AT129-$J129)*$G129),1),"")</f>
        <v/>
      </c>
      <c r="AW129" s="427" t="b">
        <f ca="1">IF(AND(NOT(AS129),AND(AS$4:AS128)),TRUE,AS129)</f>
        <v>0</v>
      </c>
      <c r="AX129" s="426" t="e">
        <f ca="1">IF(AND(NOT(ISBLANK(Jumpoverwrite10)),AND(NOT(AW129),AND(AW$4:AW128))),($J129*$G129-LN(1+Jumpoverwrite10*AY$2))/$G129,_xll.qlInterpolationInterpolate(AW$3,$F129,TRUE))</f>
        <v>#NAME?</v>
      </c>
      <c r="AY129" s="426" t="str">
        <f ca="1">IF(AND(NOT(AW129),AND(AW$4:AW128)),MIN(EXP((AX129-$J129)*$G129),1),"")</f>
        <v/>
      </c>
      <c r="BA129" s="427" t="b">
        <f ca="1">IF(AND(NOT(AW129),AND(AW$4:AW128)),TRUE,AW129)</f>
        <v>0</v>
      </c>
      <c r="BB129" s="426" t="e">
        <f ca="1">IF(AND(NOT(ISBLANK(Jumpoverwrite11)),AND(NOT(BA129),AND(BA$4:BA128))),($J129*$G129-LN(1+Jumpoverwrite11*BC$2))/$G129,_xll.qlInterpolationInterpolate(BA$3,$F129,TRUE))</f>
        <v>#NAME?</v>
      </c>
      <c r="BC129" s="426" t="str">
        <f ca="1">IF(AND(NOT(BA129),AND(BA$4:BA128)),MIN(EXP((BB129-$J129)*$G129),1),"")</f>
        <v/>
      </c>
      <c r="BE129" s="427" t="b">
        <f ca="1">IF(AND(NOT(BA129),AND(BA$4:BA128)),TRUE,BA129)</f>
        <v>0</v>
      </c>
      <c r="BF129" s="426" t="e">
        <f ca="1">IF(AND(NOT(ISBLANK(Jumpoverwrite12)),AND(NOT(BE129),AND(BE$4:BE128))),($J129*$G129-LN(1+Jumpoverwrite12*BG$2))/$G129,_xll.qlInterpolationInterpolate(BE$3,$F129,TRUE))</f>
        <v>#NAME?</v>
      </c>
      <c r="BG129" s="426" t="str">
        <f ca="1">IF(AND(NOT(BE129),AND(BE$4:BE128)),MIN(EXP((BF129-$J129)*$G129),1),"")</f>
        <v/>
      </c>
      <c r="BI129" s="427" t="b">
        <f t="shared" ca="1" si="15"/>
        <v>0</v>
      </c>
      <c r="BJ129" s="426" t="e">
        <f ca="1">IF(AND(NOT(ISBLANK(jumpoverwrite13)),AND(NOT(BI129),AND(BI$4:BI128))),($J129*$G129-LN(1+jumpoverwrite13*BK$2))/$G129,_xll.qlInterpolationInterpolate(BI$3,$F129,TRUE))</f>
        <v>#NAME?</v>
      </c>
      <c r="BK129" s="426" t="str">
        <f ca="1">IF(AND(NOT(BI129),AND(BI$4:BI128)),MIN(EXP((BJ129-$J129)*$G129),1),"")</f>
        <v/>
      </c>
    </row>
    <row r="130" spans="1:63" x14ac:dyDescent="0.2">
      <c r="A130" s="425"/>
      <c r="B130" s="425"/>
      <c r="C130" s="425"/>
      <c r="D130" s="425"/>
    </row>
  </sheetData>
  <pageMargins left="0.75" right="0.75" top="1" bottom="1" header="0.5" footer="0.5"/>
  <pageSetup paperSize="9" orientation="portrait" r:id="rId1"/>
  <headerFooter alignWithMargins="0"/>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U515"/>
  <sheetViews>
    <sheetView showGridLines="0" workbookViewId="0">
      <selection activeCell="U3" sqref="U3:U4"/>
    </sheetView>
  </sheetViews>
  <sheetFormatPr defaultRowHeight="11.25" x14ac:dyDescent="0.2"/>
  <cols>
    <col min="1" max="1" width="2.7109375" style="386" customWidth="1"/>
    <col min="2" max="2" width="7" style="386" bestFit="1" customWidth="1"/>
    <col min="3" max="3" width="17.28515625" style="386" bestFit="1" customWidth="1"/>
    <col min="4" max="4" width="11" style="386" bestFit="1" customWidth="1"/>
    <col min="5" max="5" width="8" style="386" bestFit="1" customWidth="1"/>
    <col min="6" max="6" width="10" style="386" bestFit="1" customWidth="1"/>
    <col min="7" max="7" width="2.7109375" style="386" customWidth="1"/>
    <col min="8" max="8" width="11" style="386" bestFit="1" customWidth="1"/>
    <col min="9" max="9" width="2.7109375" style="386" customWidth="1"/>
    <col min="10" max="10" width="24.42578125" style="386" bestFit="1" customWidth="1"/>
    <col min="11" max="11" width="29.7109375" style="386" bestFit="1" customWidth="1"/>
    <col min="12" max="12" width="10" style="386" bestFit="1" customWidth="1"/>
    <col min="13" max="13" width="8" style="386" bestFit="1" customWidth="1"/>
    <col min="14" max="15" width="2.7109375" style="386" customWidth="1"/>
    <col min="16" max="16" width="10" style="386" customWidth="1"/>
    <col min="17" max="17" width="17.28515625" style="386" customWidth="1"/>
    <col min="18" max="18" width="9" style="386" customWidth="1"/>
    <col min="19" max="25" width="8.7109375" style="386" customWidth="1"/>
    <col min="26" max="16384" width="9.140625" style="386"/>
  </cols>
  <sheetData>
    <row r="1" spans="1:21" ht="11.25" customHeight="1" x14ac:dyDescent="0.25">
      <c r="A1" s="407"/>
      <c r="B1" s="422"/>
      <c r="C1" s="422"/>
      <c r="D1" s="413"/>
      <c r="E1" s="413"/>
      <c r="F1" s="413"/>
      <c r="G1" s="401"/>
      <c r="H1" s="413"/>
      <c r="I1" s="413"/>
      <c r="J1" s="422"/>
      <c r="K1" s="422"/>
      <c r="L1" s="422"/>
      <c r="M1" s="421" t="e">
        <f ca="1">_xll.ohTrigger(M3:M4)</f>
        <v>#NAME?</v>
      </c>
      <c r="N1" s="399"/>
    </row>
    <row r="2" spans="1:21" ht="23.25" thickBot="1" x14ac:dyDescent="0.3">
      <c r="A2" s="407"/>
      <c r="B2" s="103"/>
      <c r="C2" s="420" t="s">
        <v>263</v>
      </c>
      <c r="D2" s="420" t="s">
        <v>262</v>
      </c>
      <c r="E2" s="419" t="s">
        <v>261</v>
      </c>
      <c r="F2" s="419" t="s">
        <v>260</v>
      </c>
      <c r="G2" s="401"/>
      <c r="H2" s="103" t="s">
        <v>78</v>
      </c>
      <c r="I2" s="413"/>
      <c r="J2" s="103" t="s">
        <v>259</v>
      </c>
      <c r="K2" s="103"/>
      <c r="L2" s="103" t="s">
        <v>77</v>
      </c>
      <c r="M2" s="103" t="s">
        <v>76</v>
      </c>
      <c r="N2" s="399"/>
      <c r="P2" s="146" t="s">
        <v>258</v>
      </c>
      <c r="Q2" s="146" t="s">
        <v>257</v>
      </c>
      <c r="R2" s="146" t="s">
        <v>256</v>
      </c>
    </row>
    <row r="3" spans="1:21" ht="11.25" customHeight="1" x14ac:dyDescent="0.25">
      <c r="A3" s="407"/>
      <c r="B3" s="203" t="s">
        <v>255</v>
      </c>
      <c r="C3" s="418" t="e">
        <f ca="1">JumpDate1</f>
        <v>#NAME?</v>
      </c>
      <c r="D3" s="417" t="e">
        <f ca="1">JumpValue1</f>
        <v>#NAME?</v>
      </c>
      <c r="E3" s="416" t="e">
        <f ca="1">JumpSize1</f>
        <v>#NAME?</v>
      </c>
      <c r="F3" s="415"/>
      <c r="G3" s="401"/>
      <c r="H3" s="409">
        <v>0.99999802733365428</v>
      </c>
      <c r="I3" s="413"/>
      <c r="J3" s="414" t="str">
        <f t="shared" ref="J3:J15" si="0">Currency&amp;$B3&amp;QuoteSuffix</f>
        <v>EURJump1_SYNTHON_Quote</v>
      </c>
      <c r="K3" s="414" t="e">
        <f ca="1">_xll.qlSimpleQuote(J3,,,TRUE,Trigger)</f>
        <v>#NAME?</v>
      </c>
      <c r="L3" s="414">
        <f t="array" ref="L3:L15">QuoteStatic</f>
        <v>0.99999802733365428</v>
      </c>
      <c r="M3" s="414" t="e">
        <f ca="1">_xll.qlSimpleQuoteSetValue($K3,ROUND($L3,7),EvaluationDate)</f>
        <v>#NAME?</v>
      </c>
      <c r="N3" s="399"/>
      <c r="P3" s="392" t="s">
        <v>242</v>
      </c>
      <c r="Q3" s="391" t="e">
        <f ca="1">SettlementDate</f>
        <v>#NAME?</v>
      </c>
      <c r="R3" s="390" t="e">
        <f ca="1">_xll.qlIndexFixing(Index,Q3,,InterestRatesTrigger)</f>
        <v>#NAME?</v>
      </c>
      <c r="T3" s="1361" t="s">
        <v>529</v>
      </c>
      <c r="U3" s="1364" t="e">
        <f ca="1">_xll.ohTrigger('General Settings_2'!Trigger)</f>
        <v>#NAME?</v>
      </c>
    </row>
    <row r="4" spans="1:21" ht="11.25" customHeight="1" thickBot="1" x14ac:dyDescent="0.3">
      <c r="A4" s="407"/>
      <c r="B4" s="244" t="s">
        <v>254</v>
      </c>
      <c r="C4" s="412" t="e">
        <f ca="1">JumpDate2</f>
        <v>#NAME?</v>
      </c>
      <c r="D4" s="409" t="e">
        <f ca="1">JumpValue2</f>
        <v>#NAME?</v>
      </c>
      <c r="E4" s="411" t="e">
        <f ca="1">JumpSize2</f>
        <v>#NAME?</v>
      </c>
      <c r="F4" s="410">
        <v>0</v>
      </c>
      <c r="G4" s="401"/>
      <c r="H4" s="409">
        <v>1</v>
      </c>
      <c r="I4" s="413"/>
      <c r="J4" s="408" t="str">
        <f t="shared" si="0"/>
        <v>EURJump2_SYNTHON_Quote</v>
      </c>
      <c r="K4" s="408" t="e">
        <f ca="1">_xll.qlSimpleQuote(J4,,,TRUE,Trigger)</f>
        <v>#NAME?</v>
      </c>
      <c r="L4" s="408">
        <v>1</v>
      </c>
      <c r="M4" s="408" t="e">
        <f ca="1">_xll.qlSimpleQuoteSetValue($K4,ROUND($L4,7),EvaluationDate)</f>
        <v>#NAME?</v>
      </c>
      <c r="N4" s="399"/>
      <c r="P4" s="392" t="s">
        <v>242</v>
      </c>
      <c r="Q4" s="391" t="e">
        <f ca="1">_xll.qlCalendarAdvance(Calendar,Q3,P4,"f")</f>
        <v>#NAME?</v>
      </c>
      <c r="R4" s="390" t="e">
        <f ca="1">_xll.qlIndexFixing(Index,Q4,,InterestRatesTrigger)</f>
        <v>#NAME?</v>
      </c>
      <c r="T4" s="1362" t="s">
        <v>530</v>
      </c>
      <c r="U4" s="1365" t="e">
        <f ca="1">_xll.ohTrigger(M3:M15)</f>
        <v>#NAME?</v>
      </c>
    </row>
    <row r="5" spans="1:21" ht="11.25" customHeight="1" x14ac:dyDescent="0.25">
      <c r="A5" s="407"/>
      <c r="B5" s="244" t="s">
        <v>253</v>
      </c>
      <c r="C5" s="412" t="e">
        <f ca="1">JumpDate3</f>
        <v>#NAME?</v>
      </c>
      <c r="D5" s="409" t="e">
        <f ca="1">JumpValue3</f>
        <v>#NAME?</v>
      </c>
      <c r="E5" s="411" t="e">
        <f ca="1">JumpSize3</f>
        <v>#NAME?</v>
      </c>
      <c r="F5" s="410">
        <v>8.0000000000000004E-4</v>
      </c>
      <c r="G5" s="401"/>
      <c r="H5" s="409">
        <v>0.99999111119012274</v>
      </c>
      <c r="I5" s="401"/>
      <c r="J5" s="408" t="str">
        <f t="shared" si="0"/>
        <v>EURJump3_SYNTHON_Quote</v>
      </c>
      <c r="K5" s="408" t="e">
        <f ca="1">_xll.qlSimpleQuote(J5,,,TRUE,Trigger)</f>
        <v>#NAME?</v>
      </c>
      <c r="L5" s="408">
        <v>0.99999111119012274</v>
      </c>
      <c r="M5" s="408" t="e">
        <f ca="1">_xll.qlSimpleQuoteSetValue($K5,ROUND($L5,7),EvaluationDate)</f>
        <v>#NAME?</v>
      </c>
      <c r="N5" s="399"/>
      <c r="P5" s="392" t="s">
        <v>242</v>
      </c>
      <c r="Q5" s="391" t="e">
        <f ca="1">_xll.qlCalendarAdvance(Calendar,Q4,P5,"f")</f>
        <v>#NAME?</v>
      </c>
      <c r="R5" s="390" t="e">
        <f ca="1">_xll.qlIndexFixing(Index,Q5,,InterestRatesTrigger)</f>
        <v>#NAME?</v>
      </c>
    </row>
    <row r="6" spans="1:21" ht="11.25" customHeight="1" x14ac:dyDescent="0.25">
      <c r="A6" s="407"/>
      <c r="B6" s="244" t="s">
        <v>252</v>
      </c>
      <c r="C6" s="412" t="e">
        <f ca="1">JumpDate4</f>
        <v>#NAME?</v>
      </c>
      <c r="D6" s="409" t="e">
        <f ca="1">JumpValue4</f>
        <v>#NAME?</v>
      </c>
      <c r="E6" s="411" t="e">
        <f ca="1">JumpSize4</f>
        <v>#NAME?</v>
      </c>
      <c r="F6" s="410">
        <v>0</v>
      </c>
      <c r="G6" s="401"/>
      <c r="H6" s="409">
        <v>1</v>
      </c>
      <c r="I6" s="401"/>
      <c r="J6" s="408" t="str">
        <f t="shared" si="0"/>
        <v>EURJump4_SYNTHON_Quote</v>
      </c>
      <c r="K6" s="408" t="e">
        <f ca="1">_xll.qlSimpleQuote(J6,,,TRUE,Trigger)</f>
        <v>#NAME?</v>
      </c>
      <c r="L6" s="408">
        <v>1</v>
      </c>
      <c r="M6" s="408" t="e">
        <f ca="1">_xll.qlSimpleQuoteSetValue($K6,ROUND($L6,7),EvaluationDate)</f>
        <v>#NAME?</v>
      </c>
      <c r="N6" s="399"/>
      <c r="P6" s="392" t="s">
        <v>242</v>
      </c>
      <c r="Q6" s="391" t="e">
        <f ca="1">_xll.qlCalendarAdvance(Calendar,Q5,P6,"f")</f>
        <v>#NAME?</v>
      </c>
      <c r="R6" s="390" t="e">
        <f ca="1">_xll.qlIndexFixing(Index,Q6,,InterestRatesTrigger)</f>
        <v>#NAME?</v>
      </c>
    </row>
    <row r="7" spans="1:21" ht="11.25" customHeight="1" x14ac:dyDescent="0.25">
      <c r="A7" s="407"/>
      <c r="B7" s="244" t="s">
        <v>251</v>
      </c>
      <c r="C7" s="412" t="e">
        <f ca="1">JumpDate5</f>
        <v>#NAME?</v>
      </c>
      <c r="D7" s="409" t="e">
        <f ca="1">JumpValue5</f>
        <v>#NAME?</v>
      </c>
      <c r="E7" s="411" t="e">
        <f ca="1">JumpSize5</f>
        <v>#NAME?</v>
      </c>
      <c r="F7" s="410">
        <v>0</v>
      </c>
      <c r="G7" s="401"/>
      <c r="H7" s="409">
        <v>1</v>
      </c>
      <c r="I7" s="401"/>
      <c r="J7" s="408" t="str">
        <f t="shared" si="0"/>
        <v>EURJump5_SYNTHON_Quote</v>
      </c>
      <c r="K7" s="408" t="e">
        <f ca="1">_xll.qlSimpleQuote(J7,,,TRUE,Trigger)</f>
        <v>#NAME?</v>
      </c>
      <c r="L7" s="408">
        <v>1</v>
      </c>
      <c r="M7" s="408" t="e">
        <f ca="1">_xll.qlSimpleQuoteSetValue($K7,ROUND($L7,7),EvaluationDate)</f>
        <v>#NAME?</v>
      </c>
      <c r="N7" s="399"/>
      <c r="P7" s="392" t="s">
        <v>242</v>
      </c>
      <c r="Q7" s="391" t="e">
        <f ca="1">_xll.qlCalendarAdvance(Calendar,Q6,P7,"f")</f>
        <v>#NAME?</v>
      </c>
      <c r="R7" s="390" t="e">
        <f ca="1">_xll.qlIndexFixing(Index,Q7,,InterestRatesTrigger)</f>
        <v>#NAME?</v>
      </c>
    </row>
    <row r="8" spans="1:21" ht="11.25" customHeight="1" x14ac:dyDescent="0.25">
      <c r="A8" s="407"/>
      <c r="B8" s="244" t="s">
        <v>250</v>
      </c>
      <c r="C8" s="412" t="e">
        <f ca="1">JumpDate6</f>
        <v>#NAME?</v>
      </c>
      <c r="D8" s="409" t="e">
        <f ca="1">JumpValue6</f>
        <v>#NAME?</v>
      </c>
      <c r="E8" s="411" t="e">
        <f ca="1">JumpSize6</f>
        <v>#NAME?</v>
      </c>
      <c r="F8" s="410">
        <v>0</v>
      </c>
      <c r="G8" s="401"/>
      <c r="H8" s="409">
        <v>1</v>
      </c>
      <c r="I8" s="401"/>
      <c r="J8" s="408" t="str">
        <f t="shared" si="0"/>
        <v>EURJump6_SYNTHON_Quote</v>
      </c>
      <c r="K8" s="408" t="e">
        <f ca="1">_xll.qlSimpleQuote(J8,,,TRUE,Trigger)</f>
        <v>#NAME?</v>
      </c>
      <c r="L8" s="408">
        <v>1</v>
      </c>
      <c r="M8" s="408" t="e">
        <f ca="1">_xll.qlSimpleQuoteSetValue($K8,ROUND($L8,7),EvaluationDate)</f>
        <v>#NAME?</v>
      </c>
      <c r="N8" s="399"/>
      <c r="P8" s="392" t="s">
        <v>242</v>
      </c>
      <c r="Q8" s="391" t="e">
        <f ca="1">_xll.qlCalendarAdvance(Calendar,Q7,P8,"f")</f>
        <v>#NAME?</v>
      </c>
      <c r="R8" s="390" t="e">
        <f ca="1">_xll.qlIndexFixing(Index,Q8,,InterestRatesTrigger)</f>
        <v>#NAME?</v>
      </c>
    </row>
    <row r="9" spans="1:21" ht="11.25" customHeight="1" x14ac:dyDescent="0.25">
      <c r="A9" s="407"/>
      <c r="B9" s="244" t="s">
        <v>249</v>
      </c>
      <c r="C9" s="412" t="e">
        <f ca="1">JumpDate7</f>
        <v>#NAME?</v>
      </c>
      <c r="D9" s="409" t="e">
        <f ca="1">JumpValue7</f>
        <v>#NAME?</v>
      </c>
      <c r="E9" s="411" t="e">
        <f ca="1">JumpSize7</f>
        <v>#NAME?</v>
      </c>
      <c r="F9" s="410">
        <v>0</v>
      </c>
      <c r="G9" s="401"/>
      <c r="H9" s="409">
        <v>1</v>
      </c>
      <c r="I9" s="401"/>
      <c r="J9" s="408" t="str">
        <f t="shared" si="0"/>
        <v>EURJump7_SYNTHON_Quote</v>
      </c>
      <c r="K9" s="408" t="e">
        <f ca="1">_xll.qlSimpleQuote(J9,,,TRUE,Trigger)</f>
        <v>#NAME?</v>
      </c>
      <c r="L9" s="408">
        <v>1</v>
      </c>
      <c r="M9" s="408" t="e">
        <f ca="1">_xll.qlSimpleQuoteSetValue($K9,ROUND($L9,7),EvaluationDate)</f>
        <v>#NAME?</v>
      </c>
      <c r="N9" s="399"/>
      <c r="P9" s="392" t="s">
        <v>242</v>
      </c>
      <c r="Q9" s="391" t="e">
        <f ca="1">_xll.qlCalendarAdvance(Calendar,Q8,P9,"f")</f>
        <v>#NAME?</v>
      </c>
      <c r="R9" s="390" t="e">
        <f ca="1">_xll.qlIndexFixing(Index,Q9,,InterestRatesTrigger)</f>
        <v>#NAME?</v>
      </c>
    </row>
    <row r="10" spans="1:21" ht="11.25" customHeight="1" x14ac:dyDescent="0.25">
      <c r="A10" s="407"/>
      <c r="B10" s="244" t="s">
        <v>248</v>
      </c>
      <c r="C10" s="412" t="e">
        <f ca="1">JumpDate8</f>
        <v>#NAME?</v>
      </c>
      <c r="D10" s="409" t="e">
        <f ca="1">JumpValue8</f>
        <v>#NAME?</v>
      </c>
      <c r="E10" s="411" t="e">
        <f ca="1">JumpSize8</f>
        <v>#NAME?</v>
      </c>
      <c r="F10" s="410">
        <v>0</v>
      </c>
      <c r="G10" s="401"/>
      <c r="H10" s="409">
        <v>1</v>
      </c>
      <c r="I10" s="401"/>
      <c r="J10" s="408" t="str">
        <f t="shared" si="0"/>
        <v>EURJump8_SYNTHON_Quote</v>
      </c>
      <c r="K10" s="408" t="e">
        <f ca="1">_xll.qlSimpleQuote(J10,,,TRUE,Trigger)</f>
        <v>#NAME?</v>
      </c>
      <c r="L10" s="408">
        <v>1</v>
      </c>
      <c r="M10" s="408" t="e">
        <f ca="1">_xll.qlSimpleQuoteSetValue($K10,ROUND($L10,7),EvaluationDate)</f>
        <v>#NAME?</v>
      </c>
      <c r="N10" s="399"/>
      <c r="P10" s="392" t="s">
        <v>242</v>
      </c>
      <c r="Q10" s="391" t="e">
        <f ca="1">_xll.qlCalendarAdvance(Calendar,Q9,P10,"f")</f>
        <v>#NAME?</v>
      </c>
      <c r="R10" s="390" t="e">
        <f ca="1">_xll.qlIndexFixing(Index,Q10,,InterestRatesTrigger)</f>
        <v>#NAME?</v>
      </c>
    </row>
    <row r="11" spans="1:21" ht="11.25" customHeight="1" x14ac:dyDescent="0.25">
      <c r="A11" s="407"/>
      <c r="B11" s="244" t="s">
        <v>247</v>
      </c>
      <c r="C11" s="412" t="e">
        <f ca="1">JumpDate9</f>
        <v>#NAME?</v>
      </c>
      <c r="D11" s="409" t="e">
        <f ca="1">JumpValue9</f>
        <v>#NAME?</v>
      </c>
      <c r="E11" s="411" t="e">
        <f ca="1">JumpSize9</f>
        <v>#NAME?</v>
      </c>
      <c r="F11" s="410">
        <v>0</v>
      </c>
      <c r="G11" s="401"/>
      <c r="H11" s="409">
        <v>1</v>
      </c>
      <c r="I11" s="401"/>
      <c r="J11" s="408" t="str">
        <f t="shared" si="0"/>
        <v>EURJump9_SYNTHON_Quote</v>
      </c>
      <c r="K11" s="408" t="e">
        <f ca="1">_xll.qlSimpleQuote(J11,,,TRUE,Trigger)</f>
        <v>#NAME?</v>
      </c>
      <c r="L11" s="408">
        <v>1</v>
      </c>
      <c r="M11" s="408" t="e">
        <f ca="1">_xll.qlSimpleQuoteSetValue($K11,ROUND($L11,7),EvaluationDate)</f>
        <v>#NAME?</v>
      </c>
      <c r="N11" s="399"/>
      <c r="P11" s="392" t="s">
        <v>242</v>
      </c>
      <c r="Q11" s="391" t="e">
        <f ca="1">_xll.qlCalendarAdvance(Calendar,Q10,P11,"f")</f>
        <v>#NAME?</v>
      </c>
      <c r="R11" s="390" t="e">
        <f ca="1">_xll.qlIndexFixing(Index,Q11,,InterestRatesTrigger)</f>
        <v>#NAME?</v>
      </c>
    </row>
    <row r="12" spans="1:21" ht="11.25" customHeight="1" x14ac:dyDescent="0.25">
      <c r="A12" s="407"/>
      <c r="B12" s="244" t="s">
        <v>246</v>
      </c>
      <c r="C12" s="412" t="e">
        <f ca="1">JumpDate10</f>
        <v>#NAME?</v>
      </c>
      <c r="D12" s="409" t="e">
        <f ca="1">JumpValue10</f>
        <v>#NAME?</v>
      </c>
      <c r="E12" s="411" t="e">
        <f ca="1">JumpSize10</f>
        <v>#NAME?</v>
      </c>
      <c r="F12" s="410">
        <v>0</v>
      </c>
      <c r="G12" s="401"/>
      <c r="H12" s="409">
        <v>1</v>
      </c>
      <c r="I12" s="401"/>
      <c r="J12" s="408" t="str">
        <f t="shared" si="0"/>
        <v>EURJump10_SYNTHON_Quote</v>
      </c>
      <c r="K12" s="408" t="e">
        <f ca="1">_xll.qlSimpleQuote(J12,,,TRUE,Trigger)</f>
        <v>#NAME?</v>
      </c>
      <c r="L12" s="408">
        <v>1</v>
      </c>
      <c r="M12" s="408" t="e">
        <f ca="1">_xll.qlSimpleQuoteSetValue($K12,ROUND($L12,7),EvaluationDate)</f>
        <v>#NAME?</v>
      </c>
      <c r="N12" s="399"/>
      <c r="P12" s="392" t="s">
        <v>242</v>
      </c>
      <c r="Q12" s="391" t="e">
        <f ca="1">_xll.qlCalendarAdvance(Calendar,Q11,P12,"f")</f>
        <v>#NAME?</v>
      </c>
      <c r="R12" s="390" t="e">
        <f ca="1">_xll.qlIndexFixing(Index,Q12,,InterestRatesTrigger)</f>
        <v>#NAME?</v>
      </c>
    </row>
    <row r="13" spans="1:21" ht="11.25" customHeight="1" x14ac:dyDescent="0.25">
      <c r="A13" s="407"/>
      <c r="B13" s="244" t="s">
        <v>245</v>
      </c>
      <c r="C13" s="412" t="e">
        <f ca="1">JumpDate11</f>
        <v>#NAME?</v>
      </c>
      <c r="D13" s="409" t="e">
        <f ca="1">JumpValue11</f>
        <v>#NAME?</v>
      </c>
      <c r="E13" s="411" t="e">
        <f ca="1">JumpSize11</f>
        <v>#NAME?</v>
      </c>
      <c r="F13" s="410">
        <v>0</v>
      </c>
      <c r="G13" s="401"/>
      <c r="H13" s="409">
        <v>1</v>
      </c>
      <c r="I13" s="401"/>
      <c r="J13" s="408" t="str">
        <f t="shared" si="0"/>
        <v>EURJump11_SYNTHON_Quote</v>
      </c>
      <c r="K13" s="408" t="e">
        <f ca="1">_xll.qlSimpleQuote(J13,,,TRUE,Trigger)</f>
        <v>#NAME?</v>
      </c>
      <c r="L13" s="408">
        <v>1</v>
      </c>
      <c r="M13" s="408" t="e">
        <f ca="1">_xll.qlSimpleQuoteSetValue($K13,ROUND($L13,7),EvaluationDate)</f>
        <v>#NAME?</v>
      </c>
      <c r="N13" s="399"/>
      <c r="P13" s="392" t="s">
        <v>242</v>
      </c>
      <c r="Q13" s="391" t="e">
        <f ca="1">_xll.qlCalendarAdvance(Calendar,Q12,P13,"f")</f>
        <v>#NAME?</v>
      </c>
      <c r="R13" s="390" t="e">
        <f ca="1">_xll.qlIndexFixing(Index,Q13,,InterestRatesTrigger)</f>
        <v>#NAME?</v>
      </c>
    </row>
    <row r="14" spans="1:21" ht="11.25" customHeight="1" x14ac:dyDescent="0.25">
      <c r="A14" s="407"/>
      <c r="B14" s="244" t="s">
        <v>244</v>
      </c>
      <c r="C14" s="412" t="e">
        <f ca="1">JumpDate12</f>
        <v>#NAME?</v>
      </c>
      <c r="D14" s="409" t="e">
        <f ca="1">JumpValue12</f>
        <v>#NAME?</v>
      </c>
      <c r="E14" s="411" t="e">
        <f ca="1">JumpSize12</f>
        <v>#NAME?</v>
      </c>
      <c r="F14" s="410">
        <v>0</v>
      </c>
      <c r="G14" s="401"/>
      <c r="H14" s="409">
        <v>1</v>
      </c>
      <c r="I14" s="401"/>
      <c r="J14" s="408" t="str">
        <f t="shared" si="0"/>
        <v>EURJump12_SYNTHON_Quote</v>
      </c>
      <c r="K14" s="408" t="e">
        <f ca="1">_xll.qlSimpleQuote(J14,,,TRUE,Trigger)</f>
        <v>#NAME?</v>
      </c>
      <c r="L14" s="408">
        <v>1</v>
      </c>
      <c r="M14" s="408" t="e">
        <f ca="1">_xll.qlSimpleQuoteSetValue($K14,ROUND($L14,7),EvaluationDate)</f>
        <v>#NAME?</v>
      </c>
      <c r="N14" s="399"/>
      <c r="P14" s="392" t="s">
        <v>242</v>
      </c>
      <c r="Q14" s="391" t="e">
        <f ca="1">_xll.qlCalendarAdvance(Calendar,Q13,P14,"f")</f>
        <v>#NAME?</v>
      </c>
      <c r="R14" s="390" t="e">
        <f ca="1">_xll.qlIndexFixing(Index,Q14,,InterestRatesTrigger)</f>
        <v>#NAME?</v>
      </c>
    </row>
    <row r="15" spans="1:21" ht="11.25" customHeight="1" x14ac:dyDescent="0.25">
      <c r="A15" s="407"/>
      <c r="B15" s="406" t="s">
        <v>243</v>
      </c>
      <c r="C15" s="405" t="e">
        <f ca="1">JumpDate13</f>
        <v>#NAME?</v>
      </c>
      <c r="D15" s="402" t="e">
        <f ca="1">JumpValue13</f>
        <v>#NAME?</v>
      </c>
      <c r="E15" s="404" t="e">
        <f ca="1">JumpSize13</f>
        <v>#NAME?</v>
      </c>
      <c r="F15" s="403">
        <v>8.0000000000000004E-4</v>
      </c>
      <c r="G15" s="401"/>
      <c r="H15" s="402">
        <v>0.9999933333777774</v>
      </c>
      <c r="I15" s="401"/>
      <c r="J15" s="400" t="str">
        <f t="shared" si="0"/>
        <v>EURJump13_SYNTHON_Quote</v>
      </c>
      <c r="K15" s="400" t="e">
        <f ca="1">_xll.qlSimpleQuote(J15,,,TRUE,Trigger)</f>
        <v>#NAME?</v>
      </c>
      <c r="L15" s="400">
        <v>0.9999933333777774</v>
      </c>
      <c r="M15" s="400" t="e">
        <f ca="1">_xll.qlSimpleQuoteSetValue($K15,ROUND($L15,7),EvaluationDate)</f>
        <v>#NAME?</v>
      </c>
      <c r="N15" s="399"/>
      <c r="P15" s="392" t="s">
        <v>242</v>
      </c>
      <c r="Q15" s="391" t="e">
        <f ca="1">_xll.qlCalendarAdvance(Calendar,Q14,P15,"f")</f>
        <v>#NAME?</v>
      </c>
      <c r="R15" s="390" t="e">
        <f ca="1">_xll.qlIndexFixing(Index,Q15,,InterestRatesTrigger)</f>
        <v>#NAME?</v>
      </c>
    </row>
    <row r="16" spans="1:21" ht="11.25" customHeight="1" x14ac:dyDescent="0.25">
      <c r="A16" s="398"/>
      <c r="B16" s="396"/>
      <c r="C16" s="397"/>
      <c r="D16" s="396"/>
      <c r="E16" s="396"/>
      <c r="F16" s="396"/>
      <c r="G16" s="396"/>
      <c r="H16" s="396"/>
      <c r="I16" s="396"/>
      <c r="J16" s="396"/>
      <c r="K16" s="396"/>
      <c r="L16" s="396"/>
      <c r="M16" s="396"/>
      <c r="N16" s="395"/>
      <c r="P16" s="392" t="s">
        <v>242</v>
      </c>
      <c r="Q16" s="391" t="e">
        <f ca="1">_xll.qlCalendarAdvance(Calendar,Q15,P16,"f")</f>
        <v>#NAME?</v>
      </c>
      <c r="R16" s="390" t="e">
        <f ca="1">_xll.qlIndexFixing(Index,Q16,,InterestRatesTrigger)</f>
        <v>#NAME?</v>
      </c>
    </row>
    <row r="17" spans="1:18" ht="13.5" x14ac:dyDescent="0.25">
      <c r="A17" s="394"/>
      <c r="C17" s="393"/>
      <c r="P17" s="392" t="s">
        <v>242</v>
      </c>
      <c r="Q17" s="391" t="e">
        <f ca="1">_xll.qlCalendarAdvance(Calendar,Q16,P17,"f")</f>
        <v>#NAME?</v>
      </c>
      <c r="R17" s="390" t="e">
        <f ca="1">_xll.qlIndexFixing(Index,Q17,,InterestRatesTrigger)</f>
        <v>#NAME?</v>
      </c>
    </row>
    <row r="18" spans="1:18" ht="13.5" x14ac:dyDescent="0.25">
      <c r="A18" s="394"/>
      <c r="C18" s="393"/>
      <c r="P18" s="392" t="s">
        <v>242</v>
      </c>
      <c r="Q18" s="391" t="e">
        <f ca="1">_xll.qlCalendarAdvance(Calendar,Q17,P18,"f")</f>
        <v>#NAME?</v>
      </c>
      <c r="R18" s="390" t="e">
        <f ca="1">_xll.qlIndexFixing(Index,Q18,,InterestRatesTrigger)</f>
        <v>#NAME?</v>
      </c>
    </row>
    <row r="19" spans="1:18" x14ac:dyDescent="0.2">
      <c r="P19" s="392" t="s">
        <v>242</v>
      </c>
      <c r="Q19" s="391" t="e">
        <f ca="1">_xll.qlCalendarAdvance(Calendar,Q18,P19,"f")</f>
        <v>#NAME?</v>
      </c>
      <c r="R19" s="390" t="e">
        <f ca="1">_xll.qlIndexFixing(Index,Q19,,InterestRatesTrigger)</f>
        <v>#NAME?</v>
      </c>
    </row>
    <row r="20" spans="1:18" x14ac:dyDescent="0.2">
      <c r="P20" s="392" t="s">
        <v>242</v>
      </c>
      <c r="Q20" s="391" t="e">
        <f ca="1">_xll.qlCalendarAdvance(Calendar,Q19,P20,"f")</f>
        <v>#NAME?</v>
      </c>
      <c r="R20" s="390" t="e">
        <f ca="1">_xll.qlIndexFixing(Index,Q20,,InterestRatesTrigger)</f>
        <v>#NAME?</v>
      </c>
    </row>
    <row r="21" spans="1:18" x14ac:dyDescent="0.2">
      <c r="P21" s="392" t="s">
        <v>242</v>
      </c>
      <c r="Q21" s="391" t="e">
        <f ca="1">_xll.qlCalendarAdvance(Calendar,Q20,P21,"f")</f>
        <v>#NAME?</v>
      </c>
      <c r="R21" s="390" t="e">
        <f ca="1">_xll.qlIndexFixing(Index,Q21,,InterestRatesTrigger)</f>
        <v>#NAME?</v>
      </c>
    </row>
    <row r="22" spans="1:18" x14ac:dyDescent="0.2">
      <c r="P22" s="392" t="s">
        <v>242</v>
      </c>
      <c r="Q22" s="391" t="e">
        <f ca="1">_xll.qlCalendarAdvance(Calendar,Q21,P22,"f")</f>
        <v>#NAME?</v>
      </c>
      <c r="R22" s="390" t="e">
        <f ca="1">_xll.qlIndexFixing(Index,Q22,,InterestRatesTrigger)</f>
        <v>#NAME?</v>
      </c>
    </row>
    <row r="23" spans="1:18" x14ac:dyDescent="0.2">
      <c r="P23" s="392" t="s">
        <v>242</v>
      </c>
      <c r="Q23" s="391" t="e">
        <f ca="1">_xll.qlCalendarAdvance(Calendar,Q22,P23,"f")</f>
        <v>#NAME?</v>
      </c>
      <c r="R23" s="390" t="e">
        <f ca="1">_xll.qlIndexFixing(Index,Q23,,InterestRatesTrigger)</f>
        <v>#NAME?</v>
      </c>
    </row>
    <row r="24" spans="1:18" x14ac:dyDescent="0.2">
      <c r="P24" s="392" t="s">
        <v>242</v>
      </c>
      <c r="Q24" s="391" t="e">
        <f ca="1">_xll.qlCalendarAdvance(Calendar,Q23,P24,"f")</f>
        <v>#NAME?</v>
      </c>
      <c r="R24" s="390" t="e">
        <f ca="1">_xll.qlIndexFixing(Index,Q24,,InterestRatesTrigger)</f>
        <v>#NAME?</v>
      </c>
    </row>
    <row r="25" spans="1:18" x14ac:dyDescent="0.2">
      <c r="P25" s="392" t="s">
        <v>242</v>
      </c>
      <c r="Q25" s="391" t="e">
        <f ca="1">_xll.qlCalendarAdvance(Calendar,Q24,P25,"f")</f>
        <v>#NAME?</v>
      </c>
      <c r="R25" s="390" t="e">
        <f ca="1">_xll.qlIndexFixing(Index,Q25,,InterestRatesTrigger)</f>
        <v>#NAME?</v>
      </c>
    </row>
    <row r="26" spans="1:18" x14ac:dyDescent="0.2">
      <c r="P26" s="392" t="s">
        <v>242</v>
      </c>
      <c r="Q26" s="391" t="e">
        <f ca="1">_xll.qlCalendarAdvance(Calendar,Q25,P26,"f")</f>
        <v>#NAME?</v>
      </c>
      <c r="R26" s="390" t="e">
        <f ca="1">_xll.qlIndexFixing(Index,Q26,,InterestRatesTrigger)</f>
        <v>#NAME?</v>
      </c>
    </row>
    <row r="27" spans="1:18" x14ac:dyDescent="0.2">
      <c r="P27" s="392" t="s">
        <v>242</v>
      </c>
      <c r="Q27" s="391" t="e">
        <f ca="1">_xll.qlCalendarAdvance(Calendar,Q26,P27,"f")</f>
        <v>#NAME?</v>
      </c>
      <c r="R27" s="390" t="e">
        <f ca="1">_xll.qlIndexFixing(Index,Q27,,InterestRatesTrigger)</f>
        <v>#NAME?</v>
      </c>
    </row>
    <row r="28" spans="1:18" x14ac:dyDescent="0.2">
      <c r="P28" s="392" t="s">
        <v>242</v>
      </c>
      <c r="Q28" s="391" t="e">
        <f ca="1">_xll.qlCalendarAdvance(Calendar,Q27,P28,"f")</f>
        <v>#NAME?</v>
      </c>
      <c r="R28" s="390" t="e">
        <f ca="1">_xll.qlIndexFixing(Index,Q28,,InterestRatesTrigger)</f>
        <v>#NAME?</v>
      </c>
    </row>
    <row r="29" spans="1:18" x14ac:dyDescent="0.2">
      <c r="P29" s="392" t="s">
        <v>242</v>
      </c>
      <c r="Q29" s="391" t="e">
        <f ca="1">_xll.qlCalendarAdvance(Calendar,Q28,P29,"f")</f>
        <v>#NAME?</v>
      </c>
      <c r="R29" s="390" t="e">
        <f ca="1">_xll.qlIndexFixing(Index,Q29,,InterestRatesTrigger)</f>
        <v>#NAME?</v>
      </c>
    </row>
    <row r="30" spans="1:18" x14ac:dyDescent="0.2">
      <c r="P30" s="392" t="s">
        <v>242</v>
      </c>
      <c r="Q30" s="391" t="e">
        <f ca="1">_xll.qlCalendarAdvance(Calendar,Q29,P30,"f")</f>
        <v>#NAME?</v>
      </c>
      <c r="R30" s="390" t="e">
        <f ca="1">_xll.qlIndexFixing(Index,Q30,,InterestRatesTrigger)</f>
        <v>#NAME?</v>
      </c>
    </row>
    <row r="31" spans="1:18" x14ac:dyDescent="0.2">
      <c r="P31" s="392" t="s">
        <v>242</v>
      </c>
      <c r="Q31" s="391" t="e">
        <f ca="1">_xll.qlCalendarAdvance(Calendar,Q30,P31,"f")</f>
        <v>#NAME?</v>
      </c>
      <c r="R31" s="390" t="e">
        <f ca="1">_xll.qlIndexFixing(Index,Q31,,InterestRatesTrigger)</f>
        <v>#NAME?</v>
      </c>
    </row>
    <row r="32" spans="1:18" x14ac:dyDescent="0.2">
      <c r="P32" s="392" t="s">
        <v>242</v>
      </c>
      <c r="Q32" s="391" t="e">
        <f ca="1">_xll.qlCalendarAdvance(Calendar,Q31,P32,"f")</f>
        <v>#NAME?</v>
      </c>
      <c r="R32" s="390" t="e">
        <f ca="1">_xll.qlIndexFixing(Index,Q32,,InterestRatesTrigger)</f>
        <v>#NAME?</v>
      </c>
    </row>
    <row r="33" spans="16:18" x14ac:dyDescent="0.2">
      <c r="P33" s="392" t="s">
        <v>242</v>
      </c>
      <c r="Q33" s="391" t="e">
        <f ca="1">_xll.qlCalendarAdvance(Calendar,Q32,P33,"f")</f>
        <v>#NAME?</v>
      </c>
      <c r="R33" s="390" t="e">
        <f ca="1">_xll.qlIndexFixing(Index,Q33,,InterestRatesTrigger)</f>
        <v>#NAME?</v>
      </c>
    </row>
    <row r="34" spans="16:18" x14ac:dyDescent="0.2">
      <c r="P34" s="392" t="s">
        <v>242</v>
      </c>
      <c r="Q34" s="391" t="e">
        <f ca="1">_xll.qlCalendarAdvance(Calendar,Q33,P34,"f")</f>
        <v>#NAME?</v>
      </c>
      <c r="R34" s="390" t="e">
        <f ca="1">_xll.qlIndexFixing(Index,Q34,,InterestRatesTrigger)</f>
        <v>#NAME?</v>
      </c>
    </row>
    <row r="35" spans="16:18" x14ac:dyDescent="0.2">
      <c r="P35" s="392" t="s">
        <v>242</v>
      </c>
      <c r="Q35" s="391" t="e">
        <f ca="1">_xll.qlCalendarAdvance(Calendar,Q34,P35,"f")</f>
        <v>#NAME?</v>
      </c>
      <c r="R35" s="390" t="e">
        <f ca="1">_xll.qlIndexFixing(Index,Q35,,InterestRatesTrigger)</f>
        <v>#NAME?</v>
      </c>
    </row>
    <row r="36" spans="16:18" x14ac:dyDescent="0.2">
      <c r="P36" s="392" t="s">
        <v>242</v>
      </c>
      <c r="Q36" s="391" t="e">
        <f ca="1">_xll.qlCalendarAdvance(Calendar,Q35,P36,"f")</f>
        <v>#NAME?</v>
      </c>
      <c r="R36" s="390" t="e">
        <f ca="1">_xll.qlIndexFixing(Index,Q36,,InterestRatesTrigger)</f>
        <v>#NAME?</v>
      </c>
    </row>
    <row r="37" spans="16:18" x14ac:dyDescent="0.2">
      <c r="P37" s="392" t="s">
        <v>242</v>
      </c>
      <c r="Q37" s="391" t="e">
        <f ca="1">_xll.qlCalendarAdvance(Calendar,Q36,P37,"f")</f>
        <v>#NAME?</v>
      </c>
      <c r="R37" s="390" t="e">
        <f ca="1">_xll.qlIndexFixing(Index,Q37,,InterestRatesTrigger)</f>
        <v>#NAME?</v>
      </c>
    </row>
    <row r="38" spans="16:18" x14ac:dyDescent="0.2">
      <c r="P38" s="392" t="s">
        <v>242</v>
      </c>
      <c r="Q38" s="391" t="e">
        <f ca="1">_xll.qlCalendarAdvance(Calendar,Q37,P38,"f")</f>
        <v>#NAME?</v>
      </c>
      <c r="R38" s="390" t="e">
        <f ca="1">_xll.qlIndexFixing(Index,Q38,,InterestRatesTrigger)</f>
        <v>#NAME?</v>
      </c>
    </row>
    <row r="39" spans="16:18" x14ac:dyDescent="0.2">
      <c r="P39" s="392" t="s">
        <v>242</v>
      </c>
      <c r="Q39" s="391" t="e">
        <f ca="1">_xll.qlCalendarAdvance(Calendar,Q38,P39,"f")</f>
        <v>#NAME?</v>
      </c>
      <c r="R39" s="390" t="e">
        <f ca="1">_xll.qlIndexFixing(Index,Q39,,InterestRatesTrigger)</f>
        <v>#NAME?</v>
      </c>
    </row>
    <row r="40" spans="16:18" x14ac:dyDescent="0.2">
      <c r="P40" s="392" t="s">
        <v>242</v>
      </c>
      <c r="Q40" s="391" t="e">
        <f ca="1">_xll.qlCalendarAdvance(Calendar,Q39,P40,"f")</f>
        <v>#NAME?</v>
      </c>
      <c r="R40" s="390" t="e">
        <f ca="1">_xll.qlIndexFixing(Index,Q40,,InterestRatesTrigger)</f>
        <v>#NAME?</v>
      </c>
    </row>
    <row r="41" spans="16:18" x14ac:dyDescent="0.2">
      <c r="P41" s="392" t="s">
        <v>242</v>
      </c>
      <c r="Q41" s="391" t="e">
        <f ca="1">_xll.qlCalendarAdvance(Calendar,Q40,P41,"f")</f>
        <v>#NAME?</v>
      </c>
      <c r="R41" s="390" t="e">
        <f ca="1">_xll.qlIndexFixing(Index,Q41,,InterestRatesTrigger)</f>
        <v>#NAME?</v>
      </c>
    </row>
    <row r="42" spans="16:18" x14ac:dyDescent="0.2">
      <c r="P42" s="392" t="s">
        <v>242</v>
      </c>
      <c r="Q42" s="391" t="e">
        <f ca="1">_xll.qlCalendarAdvance(Calendar,Q41,P42,"f")</f>
        <v>#NAME?</v>
      </c>
      <c r="R42" s="390" t="e">
        <f ca="1">_xll.qlIndexFixing(Index,Q42,,InterestRatesTrigger)</f>
        <v>#NAME?</v>
      </c>
    </row>
    <row r="43" spans="16:18" x14ac:dyDescent="0.2">
      <c r="P43" s="392" t="s">
        <v>242</v>
      </c>
      <c r="Q43" s="391" t="e">
        <f ca="1">_xll.qlCalendarAdvance(Calendar,Q42,P43,"f")</f>
        <v>#NAME?</v>
      </c>
      <c r="R43" s="390" t="e">
        <f ca="1">_xll.qlIndexFixing(Index,Q43,,InterestRatesTrigger)</f>
        <v>#NAME?</v>
      </c>
    </row>
    <row r="44" spans="16:18" x14ac:dyDescent="0.2">
      <c r="P44" s="392" t="s">
        <v>242</v>
      </c>
      <c r="Q44" s="391" t="e">
        <f ca="1">_xll.qlCalendarAdvance(Calendar,Q43,P44,"f")</f>
        <v>#NAME?</v>
      </c>
      <c r="R44" s="390" t="e">
        <f ca="1">_xll.qlIndexFixing(Index,Q44,,InterestRatesTrigger)</f>
        <v>#NAME?</v>
      </c>
    </row>
    <row r="45" spans="16:18" x14ac:dyDescent="0.2">
      <c r="P45" s="392" t="s">
        <v>242</v>
      </c>
      <c r="Q45" s="391" t="e">
        <f ca="1">_xll.qlCalendarAdvance(Calendar,Q44,P45,"f")</f>
        <v>#NAME?</v>
      </c>
      <c r="R45" s="390" t="e">
        <f ca="1">_xll.qlIndexFixing(Index,Q45,,InterestRatesTrigger)</f>
        <v>#NAME?</v>
      </c>
    </row>
    <row r="46" spans="16:18" x14ac:dyDescent="0.2">
      <c r="P46" s="392" t="s">
        <v>242</v>
      </c>
      <c r="Q46" s="391" t="e">
        <f ca="1">_xll.qlCalendarAdvance(Calendar,Q45,P46,"f")</f>
        <v>#NAME?</v>
      </c>
      <c r="R46" s="390" t="e">
        <f ca="1">_xll.qlIndexFixing(Index,Q46,,InterestRatesTrigger)</f>
        <v>#NAME?</v>
      </c>
    </row>
    <row r="47" spans="16:18" x14ac:dyDescent="0.2">
      <c r="P47" s="392" t="s">
        <v>242</v>
      </c>
      <c r="Q47" s="391" t="e">
        <f ca="1">_xll.qlCalendarAdvance(Calendar,Q46,P47,"f")</f>
        <v>#NAME?</v>
      </c>
      <c r="R47" s="390" t="e">
        <f ca="1">_xll.qlIndexFixing(Index,Q47,,InterestRatesTrigger)</f>
        <v>#NAME?</v>
      </c>
    </row>
    <row r="48" spans="16:18" x14ac:dyDescent="0.2">
      <c r="P48" s="392" t="s">
        <v>242</v>
      </c>
      <c r="Q48" s="391" t="e">
        <f ca="1">_xll.qlCalendarAdvance(Calendar,Q47,P48,"f")</f>
        <v>#NAME?</v>
      </c>
      <c r="R48" s="390" t="e">
        <f ca="1">_xll.qlIndexFixing(Index,Q48,,InterestRatesTrigger)</f>
        <v>#NAME?</v>
      </c>
    </row>
    <row r="49" spans="16:18" x14ac:dyDescent="0.2">
      <c r="P49" s="392" t="s">
        <v>242</v>
      </c>
      <c r="Q49" s="391" t="e">
        <f ca="1">_xll.qlCalendarAdvance(Calendar,Q48,P49,"f")</f>
        <v>#NAME?</v>
      </c>
      <c r="R49" s="390" t="e">
        <f ca="1">_xll.qlIndexFixing(Index,Q49,,InterestRatesTrigger)</f>
        <v>#NAME?</v>
      </c>
    </row>
    <row r="50" spans="16:18" x14ac:dyDescent="0.2">
      <c r="P50" s="392" t="s">
        <v>242</v>
      </c>
      <c r="Q50" s="391" t="e">
        <f ca="1">_xll.qlCalendarAdvance(Calendar,Q49,P50,"f")</f>
        <v>#NAME?</v>
      </c>
      <c r="R50" s="390" t="e">
        <f ca="1">_xll.qlIndexFixing(Index,Q50,,InterestRatesTrigger)</f>
        <v>#NAME?</v>
      </c>
    </row>
    <row r="51" spans="16:18" x14ac:dyDescent="0.2">
      <c r="P51" s="392" t="s">
        <v>242</v>
      </c>
      <c r="Q51" s="391" t="e">
        <f ca="1">_xll.qlCalendarAdvance(Calendar,Q50,P51,"f")</f>
        <v>#NAME?</v>
      </c>
      <c r="R51" s="390" t="e">
        <f ca="1">_xll.qlIndexFixing(Index,Q51,,InterestRatesTrigger)</f>
        <v>#NAME?</v>
      </c>
    </row>
    <row r="52" spans="16:18" x14ac:dyDescent="0.2">
      <c r="P52" s="392" t="s">
        <v>242</v>
      </c>
      <c r="Q52" s="391" t="e">
        <f ca="1">_xll.qlCalendarAdvance(Calendar,Q51,P52,"f")</f>
        <v>#NAME?</v>
      </c>
      <c r="R52" s="390" t="e">
        <f ca="1">_xll.qlIndexFixing(Index,Q52,,InterestRatesTrigger)</f>
        <v>#NAME?</v>
      </c>
    </row>
    <row r="53" spans="16:18" x14ac:dyDescent="0.2">
      <c r="P53" s="392" t="s">
        <v>242</v>
      </c>
      <c r="Q53" s="391" t="e">
        <f ca="1">_xll.qlCalendarAdvance(Calendar,Q52,P53,"f")</f>
        <v>#NAME?</v>
      </c>
      <c r="R53" s="390" t="e">
        <f ca="1">_xll.qlIndexFixing(Index,Q53,,InterestRatesTrigger)</f>
        <v>#NAME?</v>
      </c>
    </row>
    <row r="54" spans="16:18" x14ac:dyDescent="0.2">
      <c r="P54" s="392" t="s">
        <v>242</v>
      </c>
      <c r="Q54" s="391" t="e">
        <f ca="1">_xll.qlCalendarAdvance(Calendar,Q53,P54,"f")</f>
        <v>#NAME?</v>
      </c>
      <c r="R54" s="390" t="e">
        <f ca="1">_xll.qlIndexFixing(Index,Q54,,InterestRatesTrigger)</f>
        <v>#NAME?</v>
      </c>
    </row>
    <row r="55" spans="16:18" x14ac:dyDescent="0.2">
      <c r="P55" s="392" t="s">
        <v>242</v>
      </c>
      <c r="Q55" s="391" t="e">
        <f ca="1">_xll.qlCalendarAdvance(Calendar,Q54,P55,"f")</f>
        <v>#NAME?</v>
      </c>
      <c r="R55" s="390" t="e">
        <f ca="1">_xll.qlIndexFixing(Index,Q55,,InterestRatesTrigger)</f>
        <v>#NAME?</v>
      </c>
    </row>
    <row r="56" spans="16:18" x14ac:dyDescent="0.2">
      <c r="P56" s="392" t="s">
        <v>242</v>
      </c>
      <c r="Q56" s="391" t="e">
        <f ca="1">_xll.qlCalendarAdvance(Calendar,Q55,P56,"f")</f>
        <v>#NAME?</v>
      </c>
      <c r="R56" s="390" t="e">
        <f ca="1">_xll.qlIndexFixing(Index,Q56,,InterestRatesTrigger)</f>
        <v>#NAME?</v>
      </c>
    </row>
    <row r="57" spans="16:18" x14ac:dyDescent="0.2">
      <c r="P57" s="392" t="s">
        <v>242</v>
      </c>
      <c r="Q57" s="391" t="e">
        <f ca="1">_xll.qlCalendarAdvance(Calendar,Q56,P57,"f")</f>
        <v>#NAME?</v>
      </c>
      <c r="R57" s="390" t="e">
        <f ca="1">_xll.qlIndexFixing(Index,Q57,,InterestRatesTrigger)</f>
        <v>#NAME?</v>
      </c>
    </row>
    <row r="58" spans="16:18" x14ac:dyDescent="0.2">
      <c r="P58" s="392" t="s">
        <v>242</v>
      </c>
      <c r="Q58" s="391" t="e">
        <f ca="1">_xll.qlCalendarAdvance(Calendar,Q57,P58,"f")</f>
        <v>#NAME?</v>
      </c>
      <c r="R58" s="390" t="e">
        <f ca="1">_xll.qlIndexFixing(Index,Q58,,InterestRatesTrigger)</f>
        <v>#NAME?</v>
      </c>
    </row>
    <row r="59" spans="16:18" x14ac:dyDescent="0.2">
      <c r="P59" s="392" t="s">
        <v>242</v>
      </c>
      <c r="Q59" s="391" t="e">
        <f ca="1">_xll.qlCalendarAdvance(Calendar,Q58,P59,"f")</f>
        <v>#NAME?</v>
      </c>
      <c r="R59" s="390" t="e">
        <f ca="1">_xll.qlIndexFixing(Index,Q59,,InterestRatesTrigger)</f>
        <v>#NAME?</v>
      </c>
    </row>
    <row r="60" spans="16:18" x14ac:dyDescent="0.2">
      <c r="P60" s="392" t="s">
        <v>242</v>
      </c>
      <c r="Q60" s="391" t="e">
        <f ca="1">_xll.qlCalendarAdvance(Calendar,Q59,P60,"f")</f>
        <v>#NAME?</v>
      </c>
      <c r="R60" s="390" t="e">
        <f ca="1">_xll.qlIndexFixing(Index,Q60,,InterestRatesTrigger)</f>
        <v>#NAME?</v>
      </c>
    </row>
    <row r="61" spans="16:18" x14ac:dyDescent="0.2">
      <c r="P61" s="392" t="s">
        <v>242</v>
      </c>
      <c r="Q61" s="391" t="e">
        <f ca="1">_xll.qlCalendarAdvance(Calendar,Q60,P61,"f")</f>
        <v>#NAME?</v>
      </c>
      <c r="R61" s="390" t="e">
        <f ca="1">_xll.qlIndexFixing(Index,Q61,,InterestRatesTrigger)</f>
        <v>#NAME?</v>
      </c>
    </row>
    <row r="62" spans="16:18" x14ac:dyDescent="0.2">
      <c r="P62" s="392" t="s">
        <v>242</v>
      </c>
      <c r="Q62" s="391" t="e">
        <f ca="1">_xll.qlCalendarAdvance(Calendar,Q61,P62,"f")</f>
        <v>#NAME?</v>
      </c>
      <c r="R62" s="390" t="e">
        <f ca="1">_xll.qlIndexFixing(Index,Q62,,InterestRatesTrigger)</f>
        <v>#NAME?</v>
      </c>
    </row>
    <row r="63" spans="16:18" x14ac:dyDescent="0.2">
      <c r="P63" s="392" t="s">
        <v>242</v>
      </c>
      <c r="Q63" s="391" t="e">
        <f ca="1">_xll.qlCalendarAdvance(Calendar,Q62,P63,"f")</f>
        <v>#NAME?</v>
      </c>
      <c r="R63" s="390" t="e">
        <f ca="1">_xll.qlIndexFixing(Index,Q63,,InterestRatesTrigger)</f>
        <v>#NAME?</v>
      </c>
    </row>
    <row r="64" spans="16:18" x14ac:dyDescent="0.2">
      <c r="P64" s="392" t="s">
        <v>242</v>
      </c>
      <c r="Q64" s="391" t="e">
        <f ca="1">_xll.qlCalendarAdvance(Calendar,Q63,P64,"f")</f>
        <v>#NAME?</v>
      </c>
      <c r="R64" s="390" t="e">
        <f ca="1">_xll.qlIndexFixing(Index,Q64,,InterestRatesTrigger)</f>
        <v>#NAME?</v>
      </c>
    </row>
    <row r="65" spans="16:18" x14ac:dyDescent="0.2">
      <c r="P65" s="392" t="s">
        <v>242</v>
      </c>
      <c r="Q65" s="391" t="e">
        <f ca="1">_xll.qlCalendarAdvance(Calendar,Q64,P65,"f")</f>
        <v>#NAME?</v>
      </c>
      <c r="R65" s="390" t="e">
        <f ca="1">_xll.qlIndexFixing(Index,Q65,,InterestRatesTrigger)</f>
        <v>#NAME?</v>
      </c>
    </row>
    <row r="66" spans="16:18" x14ac:dyDescent="0.2">
      <c r="P66" s="392" t="s">
        <v>242</v>
      </c>
      <c r="Q66" s="391" t="e">
        <f ca="1">_xll.qlCalendarAdvance(Calendar,Q65,P66,"f")</f>
        <v>#NAME?</v>
      </c>
      <c r="R66" s="390" t="e">
        <f ca="1">_xll.qlIndexFixing(Index,Q66,,InterestRatesTrigger)</f>
        <v>#NAME?</v>
      </c>
    </row>
    <row r="67" spans="16:18" x14ac:dyDescent="0.2">
      <c r="P67" s="392" t="s">
        <v>242</v>
      </c>
      <c r="Q67" s="391" t="e">
        <f ca="1">_xll.qlCalendarAdvance(Calendar,Q66,P67,"f")</f>
        <v>#NAME?</v>
      </c>
      <c r="R67" s="390" t="e">
        <f ca="1">_xll.qlIndexFixing(Index,Q67,,InterestRatesTrigger)</f>
        <v>#NAME?</v>
      </c>
    </row>
    <row r="68" spans="16:18" x14ac:dyDescent="0.2">
      <c r="P68" s="392" t="s">
        <v>242</v>
      </c>
      <c r="Q68" s="391" t="e">
        <f ca="1">_xll.qlCalendarAdvance(Calendar,Q67,P68,"f")</f>
        <v>#NAME?</v>
      </c>
      <c r="R68" s="390" t="e">
        <f ca="1">_xll.qlIndexFixing(Index,Q68,,InterestRatesTrigger)</f>
        <v>#NAME?</v>
      </c>
    </row>
    <row r="69" spans="16:18" x14ac:dyDescent="0.2">
      <c r="P69" s="392" t="s">
        <v>242</v>
      </c>
      <c r="Q69" s="391" t="e">
        <f ca="1">_xll.qlCalendarAdvance(Calendar,Q68,P69,"f")</f>
        <v>#NAME?</v>
      </c>
      <c r="R69" s="390" t="e">
        <f ca="1">_xll.qlIndexFixing(Index,Q69,,InterestRatesTrigger)</f>
        <v>#NAME?</v>
      </c>
    </row>
    <row r="70" spans="16:18" x14ac:dyDescent="0.2">
      <c r="P70" s="392" t="s">
        <v>242</v>
      </c>
      <c r="Q70" s="391" t="e">
        <f ca="1">_xll.qlCalendarAdvance(Calendar,Q69,P70,"f")</f>
        <v>#NAME?</v>
      </c>
      <c r="R70" s="390" t="e">
        <f ca="1">_xll.qlIndexFixing(Index,Q70,,InterestRatesTrigger)</f>
        <v>#NAME?</v>
      </c>
    </row>
    <row r="71" spans="16:18" x14ac:dyDescent="0.2">
      <c r="P71" s="392" t="s">
        <v>242</v>
      </c>
      <c r="Q71" s="391" t="e">
        <f ca="1">_xll.qlCalendarAdvance(Calendar,Q70,P71,"f")</f>
        <v>#NAME?</v>
      </c>
      <c r="R71" s="390" t="e">
        <f ca="1">_xll.qlIndexFixing(Index,Q71,,InterestRatesTrigger)</f>
        <v>#NAME?</v>
      </c>
    </row>
    <row r="72" spans="16:18" x14ac:dyDescent="0.2">
      <c r="P72" s="392" t="s">
        <v>242</v>
      </c>
      <c r="Q72" s="391" t="e">
        <f ca="1">_xll.qlCalendarAdvance(Calendar,Q71,P72,"f")</f>
        <v>#NAME?</v>
      </c>
      <c r="R72" s="390" t="e">
        <f ca="1">_xll.qlIndexFixing(Index,Q72,,InterestRatesTrigger)</f>
        <v>#NAME?</v>
      </c>
    </row>
    <row r="73" spans="16:18" x14ac:dyDescent="0.2">
      <c r="P73" s="392" t="s">
        <v>242</v>
      </c>
      <c r="Q73" s="391" t="e">
        <f ca="1">_xll.qlCalendarAdvance(Calendar,Q72,P73,"f")</f>
        <v>#NAME?</v>
      </c>
      <c r="R73" s="390" t="e">
        <f ca="1">_xll.qlIndexFixing(Index,Q73,,InterestRatesTrigger)</f>
        <v>#NAME?</v>
      </c>
    </row>
    <row r="74" spans="16:18" x14ac:dyDescent="0.2">
      <c r="P74" s="392" t="s">
        <v>242</v>
      </c>
      <c r="Q74" s="391" t="e">
        <f ca="1">_xll.qlCalendarAdvance(Calendar,Q73,P74,"f")</f>
        <v>#NAME?</v>
      </c>
      <c r="R74" s="390" t="e">
        <f ca="1">_xll.qlIndexFixing(Index,Q74,,InterestRatesTrigger)</f>
        <v>#NAME?</v>
      </c>
    </row>
    <row r="75" spans="16:18" x14ac:dyDescent="0.2">
      <c r="P75" s="392" t="s">
        <v>242</v>
      </c>
      <c r="Q75" s="391" t="e">
        <f ca="1">_xll.qlCalendarAdvance(Calendar,Q74,P75,"f")</f>
        <v>#NAME?</v>
      </c>
      <c r="R75" s="390" t="e">
        <f ca="1">_xll.qlIndexFixing(Index,Q75,,InterestRatesTrigger)</f>
        <v>#NAME?</v>
      </c>
    </row>
    <row r="76" spans="16:18" x14ac:dyDescent="0.2">
      <c r="P76" s="392" t="s">
        <v>242</v>
      </c>
      <c r="Q76" s="391" t="e">
        <f ca="1">_xll.qlCalendarAdvance(Calendar,Q75,P76,"f")</f>
        <v>#NAME?</v>
      </c>
      <c r="R76" s="390" t="e">
        <f ca="1">_xll.qlIndexFixing(Index,Q76,,InterestRatesTrigger)</f>
        <v>#NAME?</v>
      </c>
    </row>
    <row r="77" spans="16:18" x14ac:dyDescent="0.2">
      <c r="P77" s="392" t="s">
        <v>242</v>
      </c>
      <c r="Q77" s="391" t="e">
        <f ca="1">_xll.qlCalendarAdvance(Calendar,Q76,P77,"f")</f>
        <v>#NAME?</v>
      </c>
      <c r="R77" s="390" t="e">
        <f ca="1">_xll.qlIndexFixing(Index,Q77,,InterestRatesTrigger)</f>
        <v>#NAME?</v>
      </c>
    </row>
    <row r="78" spans="16:18" x14ac:dyDescent="0.2">
      <c r="P78" s="392" t="s">
        <v>242</v>
      </c>
      <c r="Q78" s="391" t="e">
        <f ca="1">_xll.qlCalendarAdvance(Calendar,Q77,P78,"f")</f>
        <v>#NAME?</v>
      </c>
      <c r="R78" s="390" t="e">
        <f ca="1">_xll.qlIndexFixing(Index,Q78,,InterestRatesTrigger)</f>
        <v>#NAME?</v>
      </c>
    </row>
    <row r="79" spans="16:18" x14ac:dyDescent="0.2">
      <c r="P79" s="392" t="s">
        <v>242</v>
      </c>
      <c r="Q79" s="391" t="e">
        <f ca="1">_xll.qlCalendarAdvance(Calendar,Q78,P79,"f")</f>
        <v>#NAME?</v>
      </c>
      <c r="R79" s="390" t="e">
        <f ca="1">_xll.qlIndexFixing(Index,Q79,,InterestRatesTrigger)</f>
        <v>#NAME?</v>
      </c>
    </row>
    <row r="80" spans="16:18" x14ac:dyDescent="0.2">
      <c r="P80" s="392" t="s">
        <v>242</v>
      </c>
      <c r="Q80" s="391" t="e">
        <f ca="1">_xll.qlCalendarAdvance(Calendar,Q79,P80,"f")</f>
        <v>#NAME?</v>
      </c>
      <c r="R80" s="390" t="e">
        <f ca="1">_xll.qlIndexFixing(Index,Q80,,InterestRatesTrigger)</f>
        <v>#NAME?</v>
      </c>
    </row>
    <row r="81" spans="16:18" x14ac:dyDescent="0.2">
      <c r="P81" s="392" t="s">
        <v>242</v>
      </c>
      <c r="Q81" s="391" t="e">
        <f ca="1">_xll.qlCalendarAdvance(Calendar,Q80,P81,"f")</f>
        <v>#NAME?</v>
      </c>
      <c r="R81" s="390" t="e">
        <f ca="1">_xll.qlIndexFixing(Index,Q81,,InterestRatesTrigger)</f>
        <v>#NAME?</v>
      </c>
    </row>
    <row r="82" spans="16:18" x14ac:dyDescent="0.2">
      <c r="P82" s="392" t="s">
        <v>242</v>
      </c>
      <c r="Q82" s="391" t="e">
        <f ca="1">_xll.qlCalendarAdvance(Calendar,Q81,P82,"f")</f>
        <v>#NAME?</v>
      </c>
      <c r="R82" s="390" t="e">
        <f ca="1">_xll.qlIndexFixing(Index,Q82,,InterestRatesTrigger)</f>
        <v>#NAME?</v>
      </c>
    </row>
    <row r="83" spans="16:18" x14ac:dyDescent="0.2">
      <c r="P83" s="392" t="s">
        <v>242</v>
      </c>
      <c r="Q83" s="391" t="e">
        <f ca="1">_xll.qlCalendarAdvance(Calendar,Q82,P83,"f")</f>
        <v>#NAME?</v>
      </c>
      <c r="R83" s="390" t="e">
        <f ca="1">_xll.qlIndexFixing(Index,Q83,,InterestRatesTrigger)</f>
        <v>#NAME?</v>
      </c>
    </row>
    <row r="84" spans="16:18" x14ac:dyDescent="0.2">
      <c r="P84" s="392" t="s">
        <v>242</v>
      </c>
      <c r="Q84" s="391" t="e">
        <f ca="1">_xll.qlCalendarAdvance(Calendar,Q83,P84,"f")</f>
        <v>#NAME?</v>
      </c>
      <c r="R84" s="390" t="e">
        <f ca="1">_xll.qlIndexFixing(Index,Q84,,InterestRatesTrigger)</f>
        <v>#NAME?</v>
      </c>
    </row>
    <row r="85" spans="16:18" x14ac:dyDescent="0.2">
      <c r="P85" s="392" t="s">
        <v>242</v>
      </c>
      <c r="Q85" s="391" t="e">
        <f ca="1">_xll.qlCalendarAdvance(Calendar,Q84,P85,"f")</f>
        <v>#NAME?</v>
      </c>
      <c r="R85" s="390" t="e">
        <f ca="1">_xll.qlIndexFixing(Index,Q85,,InterestRatesTrigger)</f>
        <v>#NAME?</v>
      </c>
    </row>
    <row r="86" spans="16:18" x14ac:dyDescent="0.2">
      <c r="P86" s="392" t="s">
        <v>242</v>
      </c>
      <c r="Q86" s="391" t="e">
        <f ca="1">_xll.qlCalendarAdvance(Calendar,Q85,P86,"f")</f>
        <v>#NAME?</v>
      </c>
      <c r="R86" s="390" t="e">
        <f ca="1">_xll.qlIndexFixing(Index,Q86,,InterestRatesTrigger)</f>
        <v>#NAME?</v>
      </c>
    </row>
    <row r="87" spans="16:18" x14ac:dyDescent="0.2">
      <c r="P87" s="392" t="s">
        <v>242</v>
      </c>
      <c r="Q87" s="391" t="e">
        <f ca="1">_xll.qlCalendarAdvance(Calendar,Q86,P87,"f")</f>
        <v>#NAME?</v>
      </c>
      <c r="R87" s="390" t="e">
        <f ca="1">_xll.qlIndexFixing(Index,Q87,,InterestRatesTrigger)</f>
        <v>#NAME?</v>
      </c>
    </row>
    <row r="88" spans="16:18" x14ac:dyDescent="0.2">
      <c r="P88" s="392" t="s">
        <v>242</v>
      </c>
      <c r="Q88" s="391" t="e">
        <f ca="1">_xll.qlCalendarAdvance(Calendar,Q87,P88,"f")</f>
        <v>#NAME?</v>
      </c>
      <c r="R88" s="390" t="e">
        <f ca="1">_xll.qlIndexFixing(Index,Q88,,InterestRatesTrigger)</f>
        <v>#NAME?</v>
      </c>
    </row>
    <row r="89" spans="16:18" x14ac:dyDescent="0.2">
      <c r="P89" s="392" t="s">
        <v>242</v>
      </c>
      <c r="Q89" s="391" t="e">
        <f ca="1">_xll.qlCalendarAdvance(Calendar,Q88,P89,"f")</f>
        <v>#NAME?</v>
      </c>
      <c r="R89" s="390" t="e">
        <f ca="1">_xll.qlIndexFixing(Index,Q89,,InterestRatesTrigger)</f>
        <v>#NAME?</v>
      </c>
    </row>
    <row r="90" spans="16:18" x14ac:dyDescent="0.2">
      <c r="P90" s="392" t="s">
        <v>242</v>
      </c>
      <c r="Q90" s="391" t="e">
        <f ca="1">_xll.qlCalendarAdvance(Calendar,Q89,P90,"f")</f>
        <v>#NAME?</v>
      </c>
      <c r="R90" s="390" t="e">
        <f ca="1">_xll.qlIndexFixing(Index,Q90,,InterestRatesTrigger)</f>
        <v>#NAME?</v>
      </c>
    </row>
    <row r="91" spans="16:18" x14ac:dyDescent="0.2">
      <c r="P91" s="392" t="s">
        <v>242</v>
      </c>
      <c r="Q91" s="391" t="e">
        <f ca="1">_xll.qlCalendarAdvance(Calendar,Q90,P91,"f")</f>
        <v>#NAME?</v>
      </c>
      <c r="R91" s="390" t="e">
        <f ca="1">_xll.qlIndexFixing(Index,Q91,,InterestRatesTrigger)</f>
        <v>#NAME?</v>
      </c>
    </row>
    <row r="92" spans="16:18" x14ac:dyDescent="0.2">
      <c r="P92" s="392" t="s">
        <v>242</v>
      </c>
      <c r="Q92" s="391" t="e">
        <f ca="1">_xll.qlCalendarAdvance(Calendar,Q91,P92,"f")</f>
        <v>#NAME?</v>
      </c>
      <c r="R92" s="390" t="e">
        <f ca="1">_xll.qlIndexFixing(Index,Q92,,InterestRatesTrigger)</f>
        <v>#NAME?</v>
      </c>
    </row>
    <row r="93" spans="16:18" x14ac:dyDescent="0.2">
      <c r="P93" s="392" t="s">
        <v>242</v>
      </c>
      <c r="Q93" s="391" t="e">
        <f ca="1">_xll.qlCalendarAdvance(Calendar,Q92,P93,"f")</f>
        <v>#NAME?</v>
      </c>
      <c r="R93" s="390" t="e">
        <f ca="1">_xll.qlIndexFixing(Index,Q93,,InterestRatesTrigger)</f>
        <v>#NAME?</v>
      </c>
    </row>
    <row r="94" spans="16:18" x14ac:dyDescent="0.2">
      <c r="P94" s="392" t="s">
        <v>242</v>
      </c>
      <c r="Q94" s="391" t="e">
        <f ca="1">_xll.qlCalendarAdvance(Calendar,Q93,P94,"f")</f>
        <v>#NAME?</v>
      </c>
      <c r="R94" s="390" t="e">
        <f ca="1">_xll.qlIndexFixing(Index,Q94,,InterestRatesTrigger)</f>
        <v>#NAME?</v>
      </c>
    </row>
    <row r="95" spans="16:18" x14ac:dyDescent="0.2">
      <c r="P95" s="392" t="s">
        <v>242</v>
      </c>
      <c r="Q95" s="391" t="e">
        <f ca="1">_xll.qlCalendarAdvance(Calendar,Q94,P95,"f")</f>
        <v>#NAME?</v>
      </c>
      <c r="R95" s="390" t="e">
        <f ca="1">_xll.qlIndexFixing(Index,Q95,,InterestRatesTrigger)</f>
        <v>#NAME?</v>
      </c>
    </row>
    <row r="96" spans="16:18" x14ac:dyDescent="0.2">
      <c r="P96" s="392" t="s">
        <v>242</v>
      </c>
      <c r="Q96" s="391" t="e">
        <f ca="1">_xll.qlCalendarAdvance(Calendar,Q95,P96,"f")</f>
        <v>#NAME?</v>
      </c>
      <c r="R96" s="390" t="e">
        <f ca="1">_xll.qlIndexFixing(Index,Q96,,InterestRatesTrigger)</f>
        <v>#NAME?</v>
      </c>
    </row>
    <row r="97" spans="16:18" x14ac:dyDescent="0.2">
      <c r="P97" s="392" t="s">
        <v>242</v>
      </c>
      <c r="Q97" s="391" t="e">
        <f ca="1">_xll.qlCalendarAdvance(Calendar,Q96,P97,"f")</f>
        <v>#NAME?</v>
      </c>
      <c r="R97" s="390" t="e">
        <f ca="1">_xll.qlIndexFixing(Index,Q97,,InterestRatesTrigger)</f>
        <v>#NAME?</v>
      </c>
    </row>
    <row r="98" spans="16:18" x14ac:dyDescent="0.2">
      <c r="P98" s="392" t="s">
        <v>242</v>
      </c>
      <c r="Q98" s="391" t="e">
        <f ca="1">_xll.qlCalendarAdvance(Calendar,Q97,P98,"f")</f>
        <v>#NAME?</v>
      </c>
      <c r="R98" s="390" t="e">
        <f ca="1">_xll.qlIndexFixing(Index,Q98,,InterestRatesTrigger)</f>
        <v>#NAME?</v>
      </c>
    </row>
    <row r="99" spans="16:18" x14ac:dyDescent="0.2">
      <c r="P99" s="392" t="s">
        <v>242</v>
      </c>
      <c r="Q99" s="391" t="e">
        <f ca="1">_xll.qlCalendarAdvance(Calendar,Q98,P99,"f")</f>
        <v>#NAME?</v>
      </c>
      <c r="R99" s="390" t="e">
        <f ca="1">_xll.qlIndexFixing(Index,Q99,,InterestRatesTrigger)</f>
        <v>#NAME?</v>
      </c>
    </row>
    <row r="100" spans="16:18" x14ac:dyDescent="0.2">
      <c r="P100" s="392" t="s">
        <v>242</v>
      </c>
      <c r="Q100" s="391" t="e">
        <f ca="1">_xll.qlCalendarAdvance(Calendar,Q99,P100,"f")</f>
        <v>#NAME?</v>
      </c>
      <c r="R100" s="390" t="e">
        <f ca="1">_xll.qlIndexFixing(Index,Q100,,InterestRatesTrigger)</f>
        <v>#NAME?</v>
      </c>
    </row>
    <row r="101" spans="16:18" x14ac:dyDescent="0.2">
      <c r="P101" s="392" t="s">
        <v>242</v>
      </c>
      <c r="Q101" s="391" t="e">
        <f ca="1">_xll.qlCalendarAdvance(Calendar,Q100,P101,"f")</f>
        <v>#NAME?</v>
      </c>
      <c r="R101" s="390" t="e">
        <f ca="1">_xll.qlIndexFixing(Index,Q101,,InterestRatesTrigger)</f>
        <v>#NAME?</v>
      </c>
    </row>
    <row r="102" spans="16:18" x14ac:dyDescent="0.2">
      <c r="P102" s="392" t="s">
        <v>242</v>
      </c>
      <c r="Q102" s="391" t="e">
        <f ca="1">_xll.qlCalendarAdvance(Calendar,Q101,P102,"f")</f>
        <v>#NAME?</v>
      </c>
      <c r="R102" s="390" t="e">
        <f ca="1">_xll.qlIndexFixing(Index,Q102,,InterestRatesTrigger)</f>
        <v>#NAME?</v>
      </c>
    </row>
    <row r="103" spans="16:18" x14ac:dyDescent="0.2">
      <c r="P103" s="392" t="s">
        <v>242</v>
      </c>
      <c r="Q103" s="391" t="e">
        <f ca="1">_xll.qlCalendarAdvance(Calendar,Q102,P103,"f")</f>
        <v>#NAME?</v>
      </c>
      <c r="R103" s="390" t="e">
        <f ca="1">_xll.qlIndexFixing(Index,Q103,,InterestRatesTrigger)</f>
        <v>#NAME?</v>
      </c>
    </row>
    <row r="104" spans="16:18" x14ac:dyDescent="0.2">
      <c r="P104" s="392" t="s">
        <v>242</v>
      </c>
      <c r="Q104" s="391" t="e">
        <f ca="1">_xll.qlCalendarAdvance(Calendar,Q103,P104,"f")</f>
        <v>#NAME?</v>
      </c>
      <c r="R104" s="390" t="e">
        <f ca="1">_xll.qlIndexFixing(Index,Q104,,InterestRatesTrigger)</f>
        <v>#NAME?</v>
      </c>
    </row>
    <row r="105" spans="16:18" x14ac:dyDescent="0.2">
      <c r="P105" s="392" t="s">
        <v>242</v>
      </c>
      <c r="Q105" s="391" t="e">
        <f ca="1">_xll.qlCalendarAdvance(Calendar,Q104,P105,"f")</f>
        <v>#NAME?</v>
      </c>
      <c r="R105" s="390" t="e">
        <f ca="1">_xll.qlIndexFixing(Index,Q105,,InterestRatesTrigger)</f>
        <v>#NAME?</v>
      </c>
    </row>
    <row r="106" spans="16:18" x14ac:dyDescent="0.2">
      <c r="P106" s="392" t="s">
        <v>242</v>
      </c>
      <c r="Q106" s="391" t="e">
        <f ca="1">_xll.qlCalendarAdvance(Calendar,Q105,P106,"f")</f>
        <v>#NAME?</v>
      </c>
      <c r="R106" s="390" t="e">
        <f ca="1">_xll.qlIndexFixing(Index,Q106,,InterestRatesTrigger)</f>
        <v>#NAME?</v>
      </c>
    </row>
    <row r="107" spans="16:18" x14ac:dyDescent="0.2">
      <c r="P107" s="392" t="s">
        <v>242</v>
      </c>
      <c r="Q107" s="391" t="e">
        <f ca="1">_xll.qlCalendarAdvance(Calendar,Q106,P107,"f")</f>
        <v>#NAME?</v>
      </c>
      <c r="R107" s="390" t="e">
        <f ca="1">_xll.qlIndexFixing(Index,Q107,,InterestRatesTrigger)</f>
        <v>#NAME?</v>
      </c>
    </row>
    <row r="108" spans="16:18" x14ac:dyDescent="0.2">
      <c r="P108" s="392" t="s">
        <v>242</v>
      </c>
      <c r="Q108" s="391" t="e">
        <f ca="1">_xll.qlCalendarAdvance(Calendar,Q107,P108,"f")</f>
        <v>#NAME?</v>
      </c>
      <c r="R108" s="390" t="e">
        <f ca="1">_xll.qlIndexFixing(Index,Q108,,InterestRatesTrigger)</f>
        <v>#NAME?</v>
      </c>
    </row>
    <row r="109" spans="16:18" x14ac:dyDescent="0.2">
      <c r="P109" s="392" t="s">
        <v>242</v>
      </c>
      <c r="Q109" s="391" t="e">
        <f ca="1">_xll.qlCalendarAdvance(Calendar,Q108,P109,"f")</f>
        <v>#NAME?</v>
      </c>
      <c r="R109" s="390" t="e">
        <f ca="1">_xll.qlIndexFixing(Index,Q109,,InterestRatesTrigger)</f>
        <v>#NAME?</v>
      </c>
    </row>
    <row r="110" spans="16:18" x14ac:dyDescent="0.2">
      <c r="P110" s="392" t="s">
        <v>242</v>
      </c>
      <c r="Q110" s="391" t="e">
        <f ca="1">_xll.qlCalendarAdvance(Calendar,Q109,P110,"f")</f>
        <v>#NAME?</v>
      </c>
      <c r="R110" s="390" t="e">
        <f ca="1">_xll.qlIndexFixing(Index,Q110,,InterestRatesTrigger)</f>
        <v>#NAME?</v>
      </c>
    </row>
    <row r="111" spans="16:18" x14ac:dyDescent="0.2">
      <c r="P111" s="392" t="s">
        <v>242</v>
      </c>
      <c r="Q111" s="391" t="e">
        <f ca="1">_xll.qlCalendarAdvance(Calendar,Q110,P111,"f")</f>
        <v>#NAME?</v>
      </c>
      <c r="R111" s="390" t="e">
        <f ca="1">_xll.qlIndexFixing(Index,Q111,,InterestRatesTrigger)</f>
        <v>#NAME?</v>
      </c>
    </row>
    <row r="112" spans="16:18" x14ac:dyDescent="0.2">
      <c r="P112" s="392" t="s">
        <v>242</v>
      </c>
      <c r="Q112" s="391" t="e">
        <f ca="1">_xll.qlCalendarAdvance(Calendar,Q111,P112,"f")</f>
        <v>#NAME?</v>
      </c>
      <c r="R112" s="390" t="e">
        <f ca="1">_xll.qlIndexFixing(Index,Q112,,InterestRatesTrigger)</f>
        <v>#NAME?</v>
      </c>
    </row>
    <row r="113" spans="16:18" x14ac:dyDescent="0.2">
      <c r="P113" s="392" t="s">
        <v>242</v>
      </c>
      <c r="Q113" s="391" t="e">
        <f ca="1">_xll.qlCalendarAdvance(Calendar,Q112,P113,"f")</f>
        <v>#NAME?</v>
      </c>
      <c r="R113" s="390" t="e">
        <f ca="1">_xll.qlIndexFixing(Index,Q113,,InterestRatesTrigger)</f>
        <v>#NAME?</v>
      </c>
    </row>
    <row r="114" spans="16:18" x14ac:dyDescent="0.2">
      <c r="P114" s="392" t="s">
        <v>242</v>
      </c>
      <c r="Q114" s="391" t="e">
        <f ca="1">_xll.qlCalendarAdvance(Calendar,Q113,P114,"f")</f>
        <v>#NAME?</v>
      </c>
      <c r="R114" s="390" t="e">
        <f ca="1">_xll.qlIndexFixing(Index,Q114,,InterestRatesTrigger)</f>
        <v>#NAME?</v>
      </c>
    </row>
    <row r="115" spans="16:18" x14ac:dyDescent="0.2">
      <c r="P115" s="392" t="s">
        <v>242</v>
      </c>
      <c r="Q115" s="391" t="e">
        <f ca="1">_xll.qlCalendarAdvance(Calendar,Q114,P115,"f")</f>
        <v>#NAME?</v>
      </c>
      <c r="R115" s="390" t="e">
        <f ca="1">_xll.qlIndexFixing(Index,Q115,,InterestRatesTrigger)</f>
        <v>#NAME?</v>
      </c>
    </row>
    <row r="116" spans="16:18" x14ac:dyDescent="0.2">
      <c r="P116" s="392" t="s">
        <v>242</v>
      </c>
      <c r="Q116" s="391" t="e">
        <f ca="1">_xll.qlCalendarAdvance(Calendar,Q115,P116,"f")</f>
        <v>#NAME?</v>
      </c>
      <c r="R116" s="390" t="e">
        <f ca="1">_xll.qlIndexFixing(Index,Q116,,InterestRatesTrigger)</f>
        <v>#NAME?</v>
      </c>
    </row>
    <row r="117" spans="16:18" x14ac:dyDescent="0.2">
      <c r="P117" s="392" t="s">
        <v>242</v>
      </c>
      <c r="Q117" s="391" t="e">
        <f ca="1">_xll.qlCalendarAdvance(Calendar,Q116,P117,"f")</f>
        <v>#NAME?</v>
      </c>
      <c r="R117" s="390" t="e">
        <f ca="1">_xll.qlIndexFixing(Index,Q117,,InterestRatesTrigger)</f>
        <v>#NAME?</v>
      </c>
    </row>
    <row r="118" spans="16:18" x14ac:dyDescent="0.2">
      <c r="P118" s="392" t="s">
        <v>242</v>
      </c>
      <c r="Q118" s="391" t="e">
        <f ca="1">_xll.qlCalendarAdvance(Calendar,Q117,P118,"f")</f>
        <v>#NAME?</v>
      </c>
      <c r="R118" s="390" t="e">
        <f ca="1">_xll.qlIndexFixing(Index,Q118,,InterestRatesTrigger)</f>
        <v>#NAME?</v>
      </c>
    </row>
    <row r="119" spans="16:18" x14ac:dyDescent="0.2">
      <c r="P119" s="392" t="s">
        <v>242</v>
      </c>
      <c r="Q119" s="391" t="e">
        <f ca="1">_xll.qlCalendarAdvance(Calendar,Q118,P119,"f")</f>
        <v>#NAME?</v>
      </c>
      <c r="R119" s="390" t="e">
        <f ca="1">_xll.qlIndexFixing(Index,Q119,,InterestRatesTrigger)</f>
        <v>#NAME?</v>
      </c>
    </row>
    <row r="120" spans="16:18" x14ac:dyDescent="0.2">
      <c r="P120" s="392" t="s">
        <v>242</v>
      </c>
      <c r="Q120" s="391" t="e">
        <f ca="1">_xll.qlCalendarAdvance(Calendar,Q119,P120,"f")</f>
        <v>#NAME?</v>
      </c>
      <c r="R120" s="390" t="e">
        <f ca="1">_xll.qlIndexFixing(Index,Q120,,InterestRatesTrigger)</f>
        <v>#NAME?</v>
      </c>
    </row>
    <row r="121" spans="16:18" x14ac:dyDescent="0.2">
      <c r="P121" s="392" t="s">
        <v>242</v>
      </c>
      <c r="Q121" s="391" t="e">
        <f ca="1">_xll.qlCalendarAdvance(Calendar,Q120,P121,"f")</f>
        <v>#NAME?</v>
      </c>
      <c r="R121" s="390" t="e">
        <f ca="1">_xll.qlIndexFixing(Index,Q121,,InterestRatesTrigger)</f>
        <v>#NAME?</v>
      </c>
    </row>
    <row r="122" spans="16:18" x14ac:dyDescent="0.2">
      <c r="P122" s="392" t="s">
        <v>242</v>
      </c>
      <c r="Q122" s="391" t="e">
        <f ca="1">_xll.qlCalendarAdvance(Calendar,Q121,P122,"f")</f>
        <v>#NAME?</v>
      </c>
      <c r="R122" s="390" t="e">
        <f ca="1">_xll.qlIndexFixing(Index,Q122,,InterestRatesTrigger)</f>
        <v>#NAME?</v>
      </c>
    </row>
    <row r="123" spans="16:18" x14ac:dyDescent="0.2">
      <c r="P123" s="392" t="s">
        <v>242</v>
      </c>
      <c r="Q123" s="391" t="e">
        <f ca="1">_xll.qlCalendarAdvance(Calendar,Q122,P123,"f")</f>
        <v>#NAME?</v>
      </c>
      <c r="R123" s="390" t="e">
        <f ca="1">_xll.qlIndexFixing(Index,Q123,,InterestRatesTrigger)</f>
        <v>#NAME?</v>
      </c>
    </row>
    <row r="124" spans="16:18" x14ac:dyDescent="0.2">
      <c r="P124" s="392" t="s">
        <v>242</v>
      </c>
      <c r="Q124" s="391" t="e">
        <f ca="1">_xll.qlCalendarAdvance(Calendar,Q123,P124,"f")</f>
        <v>#NAME?</v>
      </c>
      <c r="R124" s="390" t="e">
        <f ca="1">_xll.qlIndexFixing(Index,Q124,,InterestRatesTrigger)</f>
        <v>#NAME?</v>
      </c>
    </row>
    <row r="125" spans="16:18" x14ac:dyDescent="0.2">
      <c r="P125" s="392" t="s">
        <v>242</v>
      </c>
      <c r="Q125" s="391" t="e">
        <f ca="1">_xll.qlCalendarAdvance(Calendar,Q124,P125,"f")</f>
        <v>#NAME?</v>
      </c>
      <c r="R125" s="390" t="e">
        <f ca="1">_xll.qlIndexFixing(Index,Q125,,InterestRatesTrigger)</f>
        <v>#NAME?</v>
      </c>
    </row>
    <row r="126" spans="16:18" x14ac:dyDescent="0.2">
      <c r="P126" s="392" t="s">
        <v>242</v>
      </c>
      <c r="Q126" s="391" t="e">
        <f ca="1">_xll.qlCalendarAdvance(Calendar,Q125,P126,"f")</f>
        <v>#NAME?</v>
      </c>
      <c r="R126" s="390" t="e">
        <f ca="1">_xll.qlIndexFixing(Index,Q126,,InterestRatesTrigger)</f>
        <v>#NAME?</v>
      </c>
    </row>
    <row r="127" spans="16:18" x14ac:dyDescent="0.2">
      <c r="P127" s="392" t="s">
        <v>242</v>
      </c>
      <c r="Q127" s="391" t="e">
        <f ca="1">_xll.qlCalendarAdvance(Calendar,Q126,P127,"f")</f>
        <v>#NAME?</v>
      </c>
      <c r="R127" s="390" t="e">
        <f ca="1">_xll.qlIndexFixing(Index,Q127,,InterestRatesTrigger)</f>
        <v>#NAME?</v>
      </c>
    </row>
    <row r="128" spans="16:18" x14ac:dyDescent="0.2">
      <c r="P128" s="392" t="s">
        <v>242</v>
      </c>
      <c r="Q128" s="391" t="e">
        <f ca="1">_xll.qlCalendarAdvance(Calendar,Q127,P128,"f")</f>
        <v>#NAME?</v>
      </c>
      <c r="R128" s="390" t="e">
        <f ca="1">_xll.qlIndexFixing(Index,Q128,,InterestRatesTrigger)</f>
        <v>#NAME?</v>
      </c>
    </row>
    <row r="129" spans="16:18" x14ac:dyDescent="0.2">
      <c r="P129" s="392" t="s">
        <v>242</v>
      </c>
      <c r="Q129" s="391" t="e">
        <f ca="1">_xll.qlCalendarAdvance(Calendar,Q128,P129,"f")</f>
        <v>#NAME?</v>
      </c>
      <c r="R129" s="390" t="e">
        <f ca="1">_xll.qlIndexFixing(Index,Q129,,InterestRatesTrigger)</f>
        <v>#NAME?</v>
      </c>
    </row>
    <row r="130" spans="16:18" x14ac:dyDescent="0.2">
      <c r="P130" s="392" t="s">
        <v>242</v>
      </c>
      <c r="Q130" s="391" t="e">
        <f ca="1">_xll.qlCalendarAdvance(Calendar,Q129,P130,"f")</f>
        <v>#NAME?</v>
      </c>
      <c r="R130" s="390" t="e">
        <f ca="1">_xll.qlIndexFixing(Index,Q130,,InterestRatesTrigger)</f>
        <v>#NAME?</v>
      </c>
    </row>
    <row r="131" spans="16:18" x14ac:dyDescent="0.2">
      <c r="P131" s="392" t="s">
        <v>242</v>
      </c>
      <c r="Q131" s="391" t="e">
        <f ca="1">_xll.qlCalendarAdvance(Calendar,Q130,P131,"f")</f>
        <v>#NAME?</v>
      </c>
      <c r="R131" s="390" t="e">
        <f ca="1">_xll.qlIndexFixing(Index,Q131,,InterestRatesTrigger)</f>
        <v>#NAME?</v>
      </c>
    </row>
    <row r="132" spans="16:18" x14ac:dyDescent="0.2">
      <c r="P132" s="392" t="s">
        <v>242</v>
      </c>
      <c r="Q132" s="391" t="e">
        <f ca="1">_xll.qlCalendarAdvance(Calendar,Q131,P132,"f")</f>
        <v>#NAME?</v>
      </c>
      <c r="R132" s="390" t="e">
        <f ca="1">_xll.qlIndexFixing(Index,Q132,,InterestRatesTrigger)</f>
        <v>#NAME?</v>
      </c>
    </row>
    <row r="133" spans="16:18" x14ac:dyDescent="0.2">
      <c r="P133" s="392" t="s">
        <v>242</v>
      </c>
      <c r="Q133" s="391" t="e">
        <f ca="1">_xll.qlCalendarAdvance(Calendar,Q132,P133,"f")</f>
        <v>#NAME?</v>
      </c>
      <c r="R133" s="390" t="e">
        <f ca="1">_xll.qlIndexFixing(Index,Q133,,InterestRatesTrigger)</f>
        <v>#NAME?</v>
      </c>
    </row>
    <row r="134" spans="16:18" x14ac:dyDescent="0.2">
      <c r="P134" s="392" t="s">
        <v>242</v>
      </c>
      <c r="Q134" s="391" t="e">
        <f ca="1">_xll.qlCalendarAdvance(Calendar,Q133,P134,"f")</f>
        <v>#NAME?</v>
      </c>
      <c r="R134" s="390" t="e">
        <f ca="1">_xll.qlIndexFixing(Index,Q134,,InterestRatesTrigger)</f>
        <v>#NAME?</v>
      </c>
    </row>
    <row r="135" spans="16:18" x14ac:dyDescent="0.2">
      <c r="P135" s="392" t="s">
        <v>242</v>
      </c>
      <c r="Q135" s="391" t="e">
        <f ca="1">_xll.qlCalendarAdvance(Calendar,Q134,P135,"f")</f>
        <v>#NAME?</v>
      </c>
      <c r="R135" s="390" t="e">
        <f ca="1">_xll.qlIndexFixing(Index,Q135,,InterestRatesTrigger)</f>
        <v>#NAME?</v>
      </c>
    </row>
    <row r="136" spans="16:18" x14ac:dyDescent="0.2">
      <c r="P136" s="392" t="s">
        <v>242</v>
      </c>
      <c r="Q136" s="391" t="e">
        <f ca="1">_xll.qlCalendarAdvance(Calendar,Q135,P136,"f")</f>
        <v>#NAME?</v>
      </c>
      <c r="R136" s="390" t="e">
        <f ca="1">_xll.qlIndexFixing(Index,Q136,,InterestRatesTrigger)</f>
        <v>#NAME?</v>
      </c>
    </row>
    <row r="137" spans="16:18" x14ac:dyDescent="0.2">
      <c r="P137" s="392" t="s">
        <v>242</v>
      </c>
      <c r="Q137" s="391" t="e">
        <f ca="1">_xll.qlCalendarAdvance(Calendar,Q136,P137,"f")</f>
        <v>#NAME?</v>
      </c>
      <c r="R137" s="390" t="e">
        <f ca="1">_xll.qlIndexFixing(Index,Q137,,InterestRatesTrigger)</f>
        <v>#NAME?</v>
      </c>
    </row>
    <row r="138" spans="16:18" x14ac:dyDescent="0.2">
      <c r="P138" s="392" t="s">
        <v>242</v>
      </c>
      <c r="Q138" s="391" t="e">
        <f ca="1">_xll.qlCalendarAdvance(Calendar,Q137,P138,"f")</f>
        <v>#NAME?</v>
      </c>
      <c r="R138" s="390" t="e">
        <f ca="1">_xll.qlIndexFixing(Index,Q138,,InterestRatesTrigger)</f>
        <v>#NAME?</v>
      </c>
    </row>
    <row r="139" spans="16:18" x14ac:dyDescent="0.2">
      <c r="P139" s="392" t="s">
        <v>242</v>
      </c>
      <c r="Q139" s="391" t="e">
        <f ca="1">_xll.qlCalendarAdvance(Calendar,Q138,P139,"f")</f>
        <v>#NAME?</v>
      </c>
      <c r="R139" s="390" t="e">
        <f ca="1">_xll.qlIndexFixing(Index,Q139,,InterestRatesTrigger)</f>
        <v>#NAME?</v>
      </c>
    </row>
    <row r="140" spans="16:18" x14ac:dyDescent="0.2">
      <c r="P140" s="392" t="s">
        <v>242</v>
      </c>
      <c r="Q140" s="391" t="e">
        <f ca="1">_xll.qlCalendarAdvance(Calendar,Q139,P140,"f")</f>
        <v>#NAME?</v>
      </c>
      <c r="R140" s="390" t="e">
        <f ca="1">_xll.qlIndexFixing(Index,Q140,,InterestRatesTrigger)</f>
        <v>#NAME?</v>
      </c>
    </row>
    <row r="141" spans="16:18" x14ac:dyDescent="0.2">
      <c r="P141" s="392" t="s">
        <v>242</v>
      </c>
      <c r="Q141" s="391" t="e">
        <f ca="1">_xll.qlCalendarAdvance(Calendar,Q140,P141,"f")</f>
        <v>#NAME?</v>
      </c>
      <c r="R141" s="390" t="e">
        <f ca="1">_xll.qlIndexFixing(Index,Q141,,InterestRatesTrigger)</f>
        <v>#NAME?</v>
      </c>
    </row>
    <row r="142" spans="16:18" x14ac:dyDescent="0.2">
      <c r="P142" s="392" t="s">
        <v>242</v>
      </c>
      <c r="Q142" s="391" t="e">
        <f ca="1">_xll.qlCalendarAdvance(Calendar,Q141,P142,"f")</f>
        <v>#NAME?</v>
      </c>
      <c r="R142" s="390" t="e">
        <f ca="1">_xll.qlIndexFixing(Index,Q142,,InterestRatesTrigger)</f>
        <v>#NAME?</v>
      </c>
    </row>
    <row r="143" spans="16:18" x14ac:dyDescent="0.2">
      <c r="P143" s="392" t="s">
        <v>242</v>
      </c>
      <c r="Q143" s="391" t="e">
        <f ca="1">_xll.qlCalendarAdvance(Calendar,Q142,P143,"f")</f>
        <v>#NAME?</v>
      </c>
      <c r="R143" s="390" t="e">
        <f ca="1">_xll.qlIndexFixing(Index,Q143,,InterestRatesTrigger)</f>
        <v>#NAME?</v>
      </c>
    </row>
    <row r="144" spans="16:18" x14ac:dyDescent="0.2">
      <c r="P144" s="392" t="s">
        <v>242</v>
      </c>
      <c r="Q144" s="391" t="e">
        <f ca="1">_xll.qlCalendarAdvance(Calendar,Q143,P144,"f")</f>
        <v>#NAME?</v>
      </c>
      <c r="R144" s="390" t="e">
        <f ca="1">_xll.qlIndexFixing(Index,Q144,,InterestRatesTrigger)</f>
        <v>#NAME?</v>
      </c>
    </row>
    <row r="145" spans="16:18" x14ac:dyDescent="0.2">
      <c r="P145" s="392" t="s">
        <v>242</v>
      </c>
      <c r="Q145" s="391" t="e">
        <f ca="1">_xll.qlCalendarAdvance(Calendar,Q144,P145,"f")</f>
        <v>#NAME?</v>
      </c>
      <c r="R145" s="390" t="e">
        <f ca="1">_xll.qlIndexFixing(Index,Q145,,InterestRatesTrigger)</f>
        <v>#NAME?</v>
      </c>
    </row>
    <row r="146" spans="16:18" x14ac:dyDescent="0.2">
      <c r="P146" s="392" t="s">
        <v>242</v>
      </c>
      <c r="Q146" s="391" t="e">
        <f ca="1">_xll.qlCalendarAdvance(Calendar,Q145,P146,"f")</f>
        <v>#NAME?</v>
      </c>
      <c r="R146" s="390" t="e">
        <f ca="1">_xll.qlIndexFixing(Index,Q146,,InterestRatesTrigger)</f>
        <v>#NAME?</v>
      </c>
    </row>
    <row r="147" spans="16:18" x14ac:dyDescent="0.2">
      <c r="P147" s="392" t="s">
        <v>242</v>
      </c>
      <c r="Q147" s="391" t="e">
        <f ca="1">_xll.qlCalendarAdvance(Calendar,Q146,P147,"f")</f>
        <v>#NAME?</v>
      </c>
      <c r="R147" s="390" t="e">
        <f ca="1">_xll.qlIndexFixing(Index,Q147,,InterestRatesTrigger)</f>
        <v>#NAME?</v>
      </c>
    </row>
    <row r="148" spans="16:18" x14ac:dyDescent="0.2">
      <c r="P148" s="392" t="s">
        <v>242</v>
      </c>
      <c r="Q148" s="391" t="e">
        <f ca="1">_xll.qlCalendarAdvance(Calendar,Q147,P148,"f")</f>
        <v>#NAME?</v>
      </c>
      <c r="R148" s="390" t="e">
        <f ca="1">_xll.qlIndexFixing(Index,Q148,,InterestRatesTrigger)</f>
        <v>#NAME?</v>
      </c>
    </row>
    <row r="149" spans="16:18" x14ac:dyDescent="0.2">
      <c r="P149" s="392" t="s">
        <v>242</v>
      </c>
      <c r="Q149" s="391" t="e">
        <f ca="1">_xll.qlCalendarAdvance(Calendar,Q148,P149,"f")</f>
        <v>#NAME?</v>
      </c>
      <c r="R149" s="390" t="e">
        <f ca="1">_xll.qlIndexFixing(Index,Q149,,InterestRatesTrigger)</f>
        <v>#NAME?</v>
      </c>
    </row>
    <row r="150" spans="16:18" x14ac:dyDescent="0.2">
      <c r="P150" s="392" t="s">
        <v>242</v>
      </c>
      <c r="Q150" s="391" t="e">
        <f ca="1">_xll.qlCalendarAdvance(Calendar,Q149,P150,"f")</f>
        <v>#NAME?</v>
      </c>
      <c r="R150" s="390" t="e">
        <f ca="1">_xll.qlIndexFixing(Index,Q150,,InterestRatesTrigger)</f>
        <v>#NAME?</v>
      </c>
    </row>
    <row r="151" spans="16:18" x14ac:dyDescent="0.2">
      <c r="P151" s="392" t="s">
        <v>242</v>
      </c>
      <c r="Q151" s="391" t="e">
        <f ca="1">_xll.qlCalendarAdvance(Calendar,Q150,P151,"f")</f>
        <v>#NAME?</v>
      </c>
      <c r="R151" s="390" t="e">
        <f ca="1">_xll.qlIndexFixing(Index,Q151,,InterestRatesTrigger)</f>
        <v>#NAME?</v>
      </c>
    </row>
    <row r="152" spans="16:18" x14ac:dyDescent="0.2">
      <c r="P152" s="392" t="s">
        <v>242</v>
      </c>
      <c r="Q152" s="391" t="e">
        <f ca="1">_xll.qlCalendarAdvance(Calendar,Q151,P152,"f")</f>
        <v>#NAME?</v>
      </c>
      <c r="R152" s="390" t="e">
        <f ca="1">_xll.qlIndexFixing(Index,Q152,,InterestRatesTrigger)</f>
        <v>#NAME?</v>
      </c>
    </row>
    <row r="153" spans="16:18" x14ac:dyDescent="0.2">
      <c r="P153" s="392" t="s">
        <v>242</v>
      </c>
      <c r="Q153" s="391" t="e">
        <f ca="1">_xll.qlCalendarAdvance(Calendar,Q152,P153,"f")</f>
        <v>#NAME?</v>
      </c>
      <c r="R153" s="390" t="e">
        <f ca="1">_xll.qlIndexFixing(Index,Q153,,InterestRatesTrigger)</f>
        <v>#NAME?</v>
      </c>
    </row>
    <row r="154" spans="16:18" x14ac:dyDescent="0.2">
      <c r="P154" s="392" t="s">
        <v>242</v>
      </c>
      <c r="Q154" s="391" t="e">
        <f ca="1">_xll.qlCalendarAdvance(Calendar,Q153,P154,"f")</f>
        <v>#NAME?</v>
      </c>
      <c r="R154" s="390" t="e">
        <f ca="1">_xll.qlIndexFixing(Index,Q154,,InterestRatesTrigger)</f>
        <v>#NAME?</v>
      </c>
    </row>
    <row r="155" spans="16:18" x14ac:dyDescent="0.2">
      <c r="P155" s="392" t="s">
        <v>242</v>
      </c>
      <c r="Q155" s="391" t="e">
        <f ca="1">_xll.qlCalendarAdvance(Calendar,Q154,P155,"f")</f>
        <v>#NAME?</v>
      </c>
      <c r="R155" s="390" t="e">
        <f ca="1">_xll.qlIndexFixing(Index,Q155,,InterestRatesTrigger)</f>
        <v>#NAME?</v>
      </c>
    </row>
    <row r="156" spans="16:18" x14ac:dyDescent="0.2">
      <c r="P156" s="392" t="s">
        <v>242</v>
      </c>
      <c r="Q156" s="391" t="e">
        <f ca="1">_xll.qlCalendarAdvance(Calendar,Q155,P156,"f")</f>
        <v>#NAME?</v>
      </c>
      <c r="R156" s="390" t="e">
        <f ca="1">_xll.qlIndexFixing(Index,Q156,,InterestRatesTrigger)</f>
        <v>#NAME?</v>
      </c>
    </row>
    <row r="157" spans="16:18" x14ac:dyDescent="0.2">
      <c r="P157" s="392" t="s">
        <v>242</v>
      </c>
      <c r="Q157" s="391" t="e">
        <f ca="1">_xll.qlCalendarAdvance(Calendar,Q156,P157,"f")</f>
        <v>#NAME?</v>
      </c>
      <c r="R157" s="390" t="e">
        <f ca="1">_xll.qlIndexFixing(Index,Q157,,InterestRatesTrigger)</f>
        <v>#NAME?</v>
      </c>
    </row>
    <row r="158" spans="16:18" x14ac:dyDescent="0.2">
      <c r="P158" s="392" t="s">
        <v>242</v>
      </c>
      <c r="Q158" s="391" t="e">
        <f ca="1">_xll.qlCalendarAdvance(Calendar,Q157,P158,"f")</f>
        <v>#NAME?</v>
      </c>
      <c r="R158" s="390" t="e">
        <f ca="1">_xll.qlIndexFixing(Index,Q158,,InterestRatesTrigger)</f>
        <v>#NAME?</v>
      </c>
    </row>
    <row r="159" spans="16:18" x14ac:dyDescent="0.2">
      <c r="P159" s="392" t="s">
        <v>242</v>
      </c>
      <c r="Q159" s="391" t="e">
        <f ca="1">_xll.qlCalendarAdvance(Calendar,Q158,P159,"f")</f>
        <v>#NAME?</v>
      </c>
      <c r="R159" s="390" t="e">
        <f ca="1">_xll.qlIndexFixing(Index,Q159,,InterestRatesTrigger)</f>
        <v>#NAME?</v>
      </c>
    </row>
    <row r="160" spans="16:18" x14ac:dyDescent="0.2">
      <c r="P160" s="392" t="s">
        <v>242</v>
      </c>
      <c r="Q160" s="391" t="e">
        <f ca="1">_xll.qlCalendarAdvance(Calendar,Q159,P160,"f")</f>
        <v>#NAME?</v>
      </c>
      <c r="R160" s="390" t="e">
        <f ca="1">_xll.qlIndexFixing(Index,Q160,,InterestRatesTrigger)</f>
        <v>#NAME?</v>
      </c>
    </row>
    <row r="161" spans="16:18" x14ac:dyDescent="0.2">
      <c r="P161" s="392" t="s">
        <v>242</v>
      </c>
      <c r="Q161" s="391" t="e">
        <f ca="1">_xll.qlCalendarAdvance(Calendar,Q160,P161,"f")</f>
        <v>#NAME?</v>
      </c>
      <c r="R161" s="390" t="e">
        <f ca="1">_xll.qlIndexFixing(Index,Q161,,InterestRatesTrigger)</f>
        <v>#NAME?</v>
      </c>
    </row>
    <row r="162" spans="16:18" x14ac:dyDescent="0.2">
      <c r="P162" s="392" t="s">
        <v>242</v>
      </c>
      <c r="Q162" s="391" t="e">
        <f ca="1">_xll.qlCalendarAdvance(Calendar,Q161,P162,"f")</f>
        <v>#NAME?</v>
      </c>
      <c r="R162" s="390" t="e">
        <f ca="1">_xll.qlIndexFixing(Index,Q162,,InterestRatesTrigger)</f>
        <v>#NAME?</v>
      </c>
    </row>
    <row r="163" spans="16:18" x14ac:dyDescent="0.2">
      <c r="P163" s="392" t="s">
        <v>242</v>
      </c>
      <c r="Q163" s="391" t="e">
        <f ca="1">_xll.qlCalendarAdvance(Calendar,Q162,P163,"f")</f>
        <v>#NAME?</v>
      </c>
      <c r="R163" s="390" t="e">
        <f ca="1">_xll.qlIndexFixing(Index,Q163,,InterestRatesTrigger)</f>
        <v>#NAME?</v>
      </c>
    </row>
    <row r="164" spans="16:18" x14ac:dyDescent="0.2">
      <c r="P164" s="392" t="s">
        <v>242</v>
      </c>
      <c r="Q164" s="391" t="e">
        <f ca="1">_xll.qlCalendarAdvance(Calendar,Q163,P164,"f")</f>
        <v>#NAME?</v>
      </c>
      <c r="R164" s="390" t="e">
        <f ca="1">_xll.qlIndexFixing(Index,Q164,,InterestRatesTrigger)</f>
        <v>#NAME?</v>
      </c>
    </row>
    <row r="165" spans="16:18" x14ac:dyDescent="0.2">
      <c r="P165" s="392" t="s">
        <v>242</v>
      </c>
      <c r="Q165" s="391" t="e">
        <f ca="1">_xll.qlCalendarAdvance(Calendar,Q164,P165,"f")</f>
        <v>#NAME?</v>
      </c>
      <c r="R165" s="390" t="e">
        <f ca="1">_xll.qlIndexFixing(Index,Q165,,InterestRatesTrigger)</f>
        <v>#NAME?</v>
      </c>
    </row>
    <row r="166" spans="16:18" x14ac:dyDescent="0.2">
      <c r="P166" s="392" t="s">
        <v>242</v>
      </c>
      <c r="Q166" s="391" t="e">
        <f ca="1">_xll.qlCalendarAdvance(Calendar,Q165,P166,"f")</f>
        <v>#NAME?</v>
      </c>
      <c r="R166" s="390" t="e">
        <f ca="1">_xll.qlIndexFixing(Index,Q166,,InterestRatesTrigger)</f>
        <v>#NAME?</v>
      </c>
    </row>
    <row r="167" spans="16:18" x14ac:dyDescent="0.2">
      <c r="P167" s="392" t="s">
        <v>242</v>
      </c>
      <c r="Q167" s="391" t="e">
        <f ca="1">_xll.qlCalendarAdvance(Calendar,Q166,P167,"f")</f>
        <v>#NAME?</v>
      </c>
      <c r="R167" s="390" t="e">
        <f ca="1">_xll.qlIndexFixing(Index,Q167,,InterestRatesTrigger)</f>
        <v>#NAME?</v>
      </c>
    </row>
    <row r="168" spans="16:18" x14ac:dyDescent="0.2">
      <c r="P168" s="392" t="s">
        <v>242</v>
      </c>
      <c r="Q168" s="391" t="e">
        <f ca="1">_xll.qlCalendarAdvance(Calendar,Q167,P168,"f")</f>
        <v>#NAME?</v>
      </c>
      <c r="R168" s="390" t="e">
        <f ca="1">_xll.qlIndexFixing(Index,Q168,,InterestRatesTrigger)</f>
        <v>#NAME?</v>
      </c>
    </row>
    <row r="169" spans="16:18" x14ac:dyDescent="0.2">
      <c r="P169" s="392" t="s">
        <v>242</v>
      </c>
      <c r="Q169" s="391" t="e">
        <f ca="1">_xll.qlCalendarAdvance(Calendar,Q168,P169,"f")</f>
        <v>#NAME?</v>
      </c>
      <c r="R169" s="390" t="e">
        <f ca="1">_xll.qlIndexFixing(Index,Q169,,InterestRatesTrigger)</f>
        <v>#NAME?</v>
      </c>
    </row>
    <row r="170" spans="16:18" x14ac:dyDescent="0.2">
      <c r="P170" s="392" t="s">
        <v>242</v>
      </c>
      <c r="Q170" s="391" t="e">
        <f ca="1">_xll.qlCalendarAdvance(Calendar,Q169,P170,"f")</f>
        <v>#NAME?</v>
      </c>
      <c r="R170" s="390" t="e">
        <f ca="1">_xll.qlIndexFixing(Index,Q170,,InterestRatesTrigger)</f>
        <v>#NAME?</v>
      </c>
    </row>
    <row r="171" spans="16:18" x14ac:dyDescent="0.2">
      <c r="P171" s="392" t="s">
        <v>242</v>
      </c>
      <c r="Q171" s="391" t="e">
        <f ca="1">_xll.qlCalendarAdvance(Calendar,Q170,P171,"f")</f>
        <v>#NAME?</v>
      </c>
      <c r="R171" s="390" t="e">
        <f ca="1">_xll.qlIndexFixing(Index,Q171,,InterestRatesTrigger)</f>
        <v>#NAME?</v>
      </c>
    </row>
    <row r="172" spans="16:18" x14ac:dyDescent="0.2">
      <c r="P172" s="392" t="s">
        <v>242</v>
      </c>
      <c r="Q172" s="391" t="e">
        <f ca="1">_xll.qlCalendarAdvance(Calendar,Q171,P172,"f")</f>
        <v>#NAME?</v>
      </c>
      <c r="R172" s="390" t="e">
        <f ca="1">_xll.qlIndexFixing(Index,Q172,,InterestRatesTrigger)</f>
        <v>#NAME?</v>
      </c>
    </row>
    <row r="173" spans="16:18" x14ac:dyDescent="0.2">
      <c r="P173" s="392" t="s">
        <v>242</v>
      </c>
      <c r="Q173" s="391" t="e">
        <f ca="1">_xll.qlCalendarAdvance(Calendar,Q172,P173,"f")</f>
        <v>#NAME?</v>
      </c>
      <c r="R173" s="390" t="e">
        <f ca="1">_xll.qlIndexFixing(Index,Q173,,InterestRatesTrigger)</f>
        <v>#NAME?</v>
      </c>
    </row>
    <row r="174" spans="16:18" x14ac:dyDescent="0.2">
      <c r="P174" s="392" t="s">
        <v>242</v>
      </c>
      <c r="Q174" s="391" t="e">
        <f ca="1">_xll.qlCalendarAdvance(Calendar,Q173,P174,"f")</f>
        <v>#NAME?</v>
      </c>
      <c r="R174" s="390" t="e">
        <f ca="1">_xll.qlIndexFixing(Index,Q174,,InterestRatesTrigger)</f>
        <v>#NAME?</v>
      </c>
    </row>
    <row r="175" spans="16:18" x14ac:dyDescent="0.2">
      <c r="P175" s="392" t="s">
        <v>242</v>
      </c>
      <c r="Q175" s="391" t="e">
        <f ca="1">_xll.qlCalendarAdvance(Calendar,Q174,P175,"f")</f>
        <v>#NAME?</v>
      </c>
      <c r="R175" s="390" t="e">
        <f ca="1">_xll.qlIndexFixing(Index,Q175,,InterestRatesTrigger)</f>
        <v>#NAME?</v>
      </c>
    </row>
    <row r="176" spans="16:18" x14ac:dyDescent="0.2">
      <c r="P176" s="392" t="s">
        <v>242</v>
      </c>
      <c r="Q176" s="391" t="e">
        <f ca="1">_xll.qlCalendarAdvance(Calendar,Q175,P176,"f")</f>
        <v>#NAME?</v>
      </c>
      <c r="R176" s="390" t="e">
        <f ca="1">_xll.qlIndexFixing(Index,Q176,,InterestRatesTrigger)</f>
        <v>#NAME?</v>
      </c>
    </row>
    <row r="177" spans="16:18" x14ac:dyDescent="0.2">
      <c r="P177" s="392" t="s">
        <v>242</v>
      </c>
      <c r="Q177" s="391" t="e">
        <f ca="1">_xll.qlCalendarAdvance(Calendar,Q176,P177,"f")</f>
        <v>#NAME?</v>
      </c>
      <c r="R177" s="390" t="e">
        <f ca="1">_xll.qlIndexFixing(Index,Q177,,InterestRatesTrigger)</f>
        <v>#NAME?</v>
      </c>
    </row>
    <row r="178" spans="16:18" x14ac:dyDescent="0.2">
      <c r="P178" s="392" t="s">
        <v>242</v>
      </c>
      <c r="Q178" s="391" t="e">
        <f ca="1">_xll.qlCalendarAdvance(Calendar,Q177,P178,"f")</f>
        <v>#NAME?</v>
      </c>
      <c r="R178" s="390" t="e">
        <f ca="1">_xll.qlIndexFixing(Index,Q178,,InterestRatesTrigger)</f>
        <v>#NAME?</v>
      </c>
    </row>
    <row r="179" spans="16:18" x14ac:dyDescent="0.2">
      <c r="P179" s="392" t="s">
        <v>242</v>
      </c>
      <c r="Q179" s="391" t="e">
        <f ca="1">_xll.qlCalendarAdvance(Calendar,Q178,P179,"f")</f>
        <v>#NAME?</v>
      </c>
      <c r="R179" s="390" t="e">
        <f ca="1">_xll.qlIndexFixing(Index,Q179,,InterestRatesTrigger)</f>
        <v>#NAME?</v>
      </c>
    </row>
    <row r="180" spans="16:18" x14ac:dyDescent="0.2">
      <c r="P180" s="392" t="s">
        <v>242</v>
      </c>
      <c r="Q180" s="391" t="e">
        <f ca="1">_xll.qlCalendarAdvance(Calendar,Q179,P180,"f")</f>
        <v>#NAME?</v>
      </c>
      <c r="R180" s="390" t="e">
        <f ca="1">_xll.qlIndexFixing(Index,Q180,,InterestRatesTrigger)</f>
        <v>#NAME?</v>
      </c>
    </row>
    <row r="181" spans="16:18" x14ac:dyDescent="0.2">
      <c r="P181" s="392" t="s">
        <v>242</v>
      </c>
      <c r="Q181" s="391" t="e">
        <f ca="1">_xll.qlCalendarAdvance(Calendar,Q180,P181,"f")</f>
        <v>#NAME?</v>
      </c>
      <c r="R181" s="390" t="e">
        <f ca="1">_xll.qlIndexFixing(Index,Q181,,InterestRatesTrigger)</f>
        <v>#NAME?</v>
      </c>
    </row>
    <row r="182" spans="16:18" x14ac:dyDescent="0.2">
      <c r="P182" s="392" t="s">
        <v>242</v>
      </c>
      <c r="Q182" s="391" t="e">
        <f ca="1">_xll.qlCalendarAdvance(Calendar,Q181,P182,"f")</f>
        <v>#NAME?</v>
      </c>
      <c r="R182" s="390" t="e">
        <f ca="1">_xll.qlIndexFixing(Index,Q182,,InterestRatesTrigger)</f>
        <v>#NAME?</v>
      </c>
    </row>
    <row r="183" spans="16:18" x14ac:dyDescent="0.2">
      <c r="P183" s="392" t="s">
        <v>242</v>
      </c>
      <c r="Q183" s="391" t="e">
        <f ca="1">_xll.qlCalendarAdvance(Calendar,Q182,P183,"f")</f>
        <v>#NAME?</v>
      </c>
      <c r="R183" s="390" t="e">
        <f ca="1">_xll.qlIndexFixing(Index,Q183,,InterestRatesTrigger)</f>
        <v>#NAME?</v>
      </c>
    </row>
    <row r="184" spans="16:18" x14ac:dyDescent="0.2">
      <c r="P184" s="392" t="s">
        <v>242</v>
      </c>
      <c r="Q184" s="391" t="e">
        <f ca="1">_xll.qlCalendarAdvance(Calendar,Q183,P184,"f")</f>
        <v>#NAME?</v>
      </c>
      <c r="R184" s="390" t="e">
        <f ca="1">_xll.qlIndexFixing(Index,Q184,,InterestRatesTrigger)</f>
        <v>#NAME?</v>
      </c>
    </row>
    <row r="185" spans="16:18" x14ac:dyDescent="0.2">
      <c r="P185" s="392" t="s">
        <v>242</v>
      </c>
      <c r="Q185" s="391" t="e">
        <f ca="1">_xll.qlCalendarAdvance(Calendar,Q184,P185,"f")</f>
        <v>#NAME?</v>
      </c>
      <c r="R185" s="390" t="e">
        <f ca="1">_xll.qlIndexFixing(Index,Q185,,InterestRatesTrigger)</f>
        <v>#NAME?</v>
      </c>
    </row>
    <row r="186" spans="16:18" x14ac:dyDescent="0.2">
      <c r="P186" s="392" t="s">
        <v>242</v>
      </c>
      <c r="Q186" s="391" t="e">
        <f ca="1">_xll.qlCalendarAdvance(Calendar,Q185,P186,"f")</f>
        <v>#NAME?</v>
      </c>
      <c r="R186" s="390" t="e">
        <f ca="1">_xll.qlIndexFixing(Index,Q186,,InterestRatesTrigger)</f>
        <v>#NAME?</v>
      </c>
    </row>
    <row r="187" spans="16:18" x14ac:dyDescent="0.2">
      <c r="P187" s="392" t="s">
        <v>242</v>
      </c>
      <c r="Q187" s="391" t="e">
        <f ca="1">_xll.qlCalendarAdvance(Calendar,Q186,P187,"f")</f>
        <v>#NAME?</v>
      </c>
      <c r="R187" s="390" t="e">
        <f ca="1">_xll.qlIndexFixing(Index,Q187,,InterestRatesTrigger)</f>
        <v>#NAME?</v>
      </c>
    </row>
    <row r="188" spans="16:18" x14ac:dyDescent="0.2">
      <c r="P188" s="392" t="s">
        <v>242</v>
      </c>
      <c r="Q188" s="391" t="e">
        <f ca="1">_xll.qlCalendarAdvance(Calendar,Q187,P188,"f")</f>
        <v>#NAME?</v>
      </c>
      <c r="R188" s="390" t="e">
        <f ca="1">_xll.qlIndexFixing(Index,Q188,,InterestRatesTrigger)</f>
        <v>#NAME?</v>
      </c>
    </row>
    <row r="189" spans="16:18" x14ac:dyDescent="0.2">
      <c r="P189" s="392" t="s">
        <v>242</v>
      </c>
      <c r="Q189" s="391" t="e">
        <f ca="1">_xll.qlCalendarAdvance(Calendar,Q188,P189,"f")</f>
        <v>#NAME?</v>
      </c>
      <c r="R189" s="390" t="e">
        <f ca="1">_xll.qlIndexFixing(Index,Q189,,InterestRatesTrigger)</f>
        <v>#NAME?</v>
      </c>
    </row>
    <row r="190" spans="16:18" x14ac:dyDescent="0.2">
      <c r="P190" s="392" t="s">
        <v>242</v>
      </c>
      <c r="Q190" s="391" t="e">
        <f ca="1">_xll.qlCalendarAdvance(Calendar,Q189,P190,"f")</f>
        <v>#NAME?</v>
      </c>
      <c r="R190" s="390" t="e">
        <f ca="1">_xll.qlIndexFixing(Index,Q190,,InterestRatesTrigger)</f>
        <v>#NAME?</v>
      </c>
    </row>
    <row r="191" spans="16:18" x14ac:dyDescent="0.2">
      <c r="P191" s="392" t="s">
        <v>242</v>
      </c>
      <c r="Q191" s="391" t="e">
        <f ca="1">_xll.qlCalendarAdvance(Calendar,Q190,P191,"f")</f>
        <v>#NAME?</v>
      </c>
      <c r="R191" s="390" t="e">
        <f ca="1">_xll.qlIndexFixing(Index,Q191,,InterestRatesTrigger)</f>
        <v>#NAME?</v>
      </c>
    </row>
    <row r="192" spans="16:18" x14ac:dyDescent="0.2">
      <c r="P192" s="392" t="s">
        <v>242</v>
      </c>
      <c r="Q192" s="391" t="e">
        <f ca="1">_xll.qlCalendarAdvance(Calendar,Q191,P192,"f")</f>
        <v>#NAME?</v>
      </c>
      <c r="R192" s="390" t="e">
        <f ca="1">_xll.qlIndexFixing(Index,Q192,,InterestRatesTrigger)</f>
        <v>#NAME?</v>
      </c>
    </row>
    <row r="193" spans="16:18" x14ac:dyDescent="0.2">
      <c r="P193" s="392" t="s">
        <v>242</v>
      </c>
      <c r="Q193" s="391" t="e">
        <f ca="1">_xll.qlCalendarAdvance(Calendar,Q192,P193,"f")</f>
        <v>#NAME?</v>
      </c>
      <c r="R193" s="390" t="e">
        <f ca="1">_xll.qlIndexFixing(Index,Q193,,InterestRatesTrigger)</f>
        <v>#NAME?</v>
      </c>
    </row>
    <row r="194" spans="16:18" x14ac:dyDescent="0.2">
      <c r="P194" s="392" t="s">
        <v>242</v>
      </c>
      <c r="Q194" s="391" t="e">
        <f ca="1">_xll.qlCalendarAdvance(Calendar,Q193,P194,"f")</f>
        <v>#NAME?</v>
      </c>
      <c r="R194" s="390" t="e">
        <f ca="1">_xll.qlIndexFixing(Index,Q194,,InterestRatesTrigger)</f>
        <v>#NAME?</v>
      </c>
    </row>
    <row r="195" spans="16:18" x14ac:dyDescent="0.2">
      <c r="P195" s="392" t="s">
        <v>242</v>
      </c>
      <c r="Q195" s="391" t="e">
        <f ca="1">_xll.qlCalendarAdvance(Calendar,Q194,P195,"f")</f>
        <v>#NAME?</v>
      </c>
      <c r="R195" s="390" t="e">
        <f ca="1">_xll.qlIndexFixing(Index,Q195,,InterestRatesTrigger)</f>
        <v>#NAME?</v>
      </c>
    </row>
    <row r="196" spans="16:18" x14ac:dyDescent="0.2">
      <c r="P196" s="392" t="s">
        <v>242</v>
      </c>
      <c r="Q196" s="391" t="e">
        <f ca="1">_xll.qlCalendarAdvance(Calendar,Q195,P196,"f")</f>
        <v>#NAME?</v>
      </c>
      <c r="R196" s="390" t="e">
        <f ca="1">_xll.qlIndexFixing(Index,Q196,,InterestRatesTrigger)</f>
        <v>#NAME?</v>
      </c>
    </row>
    <row r="197" spans="16:18" x14ac:dyDescent="0.2">
      <c r="P197" s="392" t="s">
        <v>242</v>
      </c>
      <c r="Q197" s="391" t="e">
        <f ca="1">_xll.qlCalendarAdvance(Calendar,Q196,P197,"f")</f>
        <v>#NAME?</v>
      </c>
      <c r="R197" s="390" t="e">
        <f ca="1">_xll.qlIndexFixing(Index,Q197,,InterestRatesTrigger)</f>
        <v>#NAME?</v>
      </c>
    </row>
    <row r="198" spans="16:18" x14ac:dyDescent="0.2">
      <c r="P198" s="392" t="s">
        <v>242</v>
      </c>
      <c r="Q198" s="391" t="e">
        <f ca="1">_xll.qlCalendarAdvance(Calendar,Q197,P198,"f")</f>
        <v>#NAME?</v>
      </c>
      <c r="R198" s="390" t="e">
        <f ca="1">_xll.qlIndexFixing(Index,Q198,,InterestRatesTrigger)</f>
        <v>#NAME?</v>
      </c>
    </row>
    <row r="199" spans="16:18" x14ac:dyDescent="0.2">
      <c r="P199" s="392" t="s">
        <v>242</v>
      </c>
      <c r="Q199" s="391" t="e">
        <f ca="1">_xll.qlCalendarAdvance(Calendar,Q198,P199,"f")</f>
        <v>#NAME?</v>
      </c>
      <c r="R199" s="390" t="e">
        <f ca="1">_xll.qlIndexFixing(Index,Q199,,InterestRatesTrigger)</f>
        <v>#NAME?</v>
      </c>
    </row>
    <row r="200" spans="16:18" x14ac:dyDescent="0.2">
      <c r="P200" s="392" t="s">
        <v>242</v>
      </c>
      <c r="Q200" s="391" t="e">
        <f ca="1">_xll.qlCalendarAdvance(Calendar,Q199,P200,"f")</f>
        <v>#NAME?</v>
      </c>
      <c r="R200" s="390" t="e">
        <f ca="1">_xll.qlIndexFixing(Index,Q200,,InterestRatesTrigger)</f>
        <v>#NAME?</v>
      </c>
    </row>
    <row r="201" spans="16:18" x14ac:dyDescent="0.2">
      <c r="P201" s="392" t="s">
        <v>242</v>
      </c>
      <c r="Q201" s="391" t="e">
        <f ca="1">_xll.qlCalendarAdvance(Calendar,Q200,P201,"f")</f>
        <v>#NAME?</v>
      </c>
      <c r="R201" s="390" t="e">
        <f ca="1">_xll.qlIndexFixing(Index,Q201,,InterestRatesTrigger)</f>
        <v>#NAME?</v>
      </c>
    </row>
    <row r="202" spans="16:18" x14ac:dyDescent="0.2">
      <c r="P202" s="392" t="s">
        <v>242</v>
      </c>
      <c r="Q202" s="391" t="e">
        <f ca="1">_xll.qlCalendarAdvance(Calendar,Q201,P202,"f")</f>
        <v>#NAME?</v>
      </c>
      <c r="R202" s="390" t="e">
        <f ca="1">_xll.qlIndexFixing(Index,Q202,,InterestRatesTrigger)</f>
        <v>#NAME?</v>
      </c>
    </row>
    <row r="203" spans="16:18" x14ac:dyDescent="0.2">
      <c r="P203" s="392" t="s">
        <v>242</v>
      </c>
      <c r="Q203" s="391" t="e">
        <f ca="1">_xll.qlCalendarAdvance(Calendar,Q202,P203,"f")</f>
        <v>#NAME?</v>
      </c>
      <c r="R203" s="390" t="e">
        <f ca="1">_xll.qlIndexFixing(Index,Q203,,InterestRatesTrigger)</f>
        <v>#NAME?</v>
      </c>
    </row>
    <row r="204" spans="16:18" x14ac:dyDescent="0.2">
      <c r="P204" s="392" t="s">
        <v>242</v>
      </c>
      <c r="Q204" s="391" t="e">
        <f ca="1">_xll.qlCalendarAdvance(Calendar,Q203,P204,"f")</f>
        <v>#NAME?</v>
      </c>
      <c r="R204" s="390" t="e">
        <f ca="1">_xll.qlIndexFixing(Index,Q204,,InterestRatesTrigger)</f>
        <v>#NAME?</v>
      </c>
    </row>
    <row r="205" spans="16:18" x14ac:dyDescent="0.2">
      <c r="P205" s="392" t="s">
        <v>242</v>
      </c>
      <c r="Q205" s="391" t="e">
        <f ca="1">_xll.qlCalendarAdvance(Calendar,Q204,P205,"f")</f>
        <v>#NAME?</v>
      </c>
      <c r="R205" s="390" t="e">
        <f ca="1">_xll.qlIndexFixing(Index,Q205,,InterestRatesTrigger)</f>
        <v>#NAME?</v>
      </c>
    </row>
    <row r="206" spans="16:18" x14ac:dyDescent="0.2">
      <c r="P206" s="392" t="s">
        <v>242</v>
      </c>
      <c r="Q206" s="391" t="e">
        <f ca="1">_xll.qlCalendarAdvance(Calendar,Q205,P206,"f")</f>
        <v>#NAME?</v>
      </c>
      <c r="R206" s="390" t="e">
        <f ca="1">_xll.qlIndexFixing(Index,Q206,,InterestRatesTrigger)</f>
        <v>#NAME?</v>
      </c>
    </row>
    <row r="207" spans="16:18" x14ac:dyDescent="0.2">
      <c r="P207" s="392" t="s">
        <v>242</v>
      </c>
      <c r="Q207" s="391" t="e">
        <f ca="1">_xll.qlCalendarAdvance(Calendar,Q206,P207,"f")</f>
        <v>#NAME?</v>
      </c>
      <c r="R207" s="390" t="e">
        <f ca="1">_xll.qlIndexFixing(Index,Q207,,InterestRatesTrigger)</f>
        <v>#NAME?</v>
      </c>
    </row>
    <row r="208" spans="16:18" x14ac:dyDescent="0.2">
      <c r="P208" s="392" t="s">
        <v>242</v>
      </c>
      <c r="Q208" s="391" t="e">
        <f ca="1">_xll.qlCalendarAdvance(Calendar,Q207,P208,"f")</f>
        <v>#NAME?</v>
      </c>
      <c r="R208" s="390" t="e">
        <f ca="1">_xll.qlIndexFixing(Index,Q208,,InterestRatesTrigger)</f>
        <v>#NAME?</v>
      </c>
    </row>
    <row r="209" spans="16:18" x14ac:dyDescent="0.2">
      <c r="P209" s="392" t="s">
        <v>242</v>
      </c>
      <c r="Q209" s="391" t="e">
        <f ca="1">_xll.qlCalendarAdvance(Calendar,Q208,P209,"f")</f>
        <v>#NAME?</v>
      </c>
      <c r="R209" s="390" t="e">
        <f ca="1">_xll.qlIndexFixing(Index,Q209,,InterestRatesTrigger)</f>
        <v>#NAME?</v>
      </c>
    </row>
    <row r="210" spans="16:18" x14ac:dyDescent="0.2">
      <c r="P210" s="392" t="s">
        <v>242</v>
      </c>
      <c r="Q210" s="391" t="e">
        <f ca="1">_xll.qlCalendarAdvance(Calendar,Q209,P210,"f")</f>
        <v>#NAME?</v>
      </c>
      <c r="R210" s="390" t="e">
        <f ca="1">_xll.qlIndexFixing(Index,Q210,,InterestRatesTrigger)</f>
        <v>#NAME?</v>
      </c>
    </row>
    <row r="211" spans="16:18" x14ac:dyDescent="0.2">
      <c r="P211" s="392" t="s">
        <v>242</v>
      </c>
      <c r="Q211" s="391" t="e">
        <f ca="1">_xll.qlCalendarAdvance(Calendar,Q210,P211,"f")</f>
        <v>#NAME?</v>
      </c>
      <c r="R211" s="390" t="e">
        <f ca="1">_xll.qlIndexFixing(Index,Q211,,InterestRatesTrigger)</f>
        <v>#NAME?</v>
      </c>
    </row>
    <row r="212" spans="16:18" x14ac:dyDescent="0.2">
      <c r="P212" s="392" t="s">
        <v>242</v>
      </c>
      <c r="Q212" s="391" t="e">
        <f ca="1">_xll.qlCalendarAdvance(Calendar,Q211,P212,"f")</f>
        <v>#NAME?</v>
      </c>
      <c r="R212" s="390" t="e">
        <f ca="1">_xll.qlIndexFixing(Index,Q212,,InterestRatesTrigger)</f>
        <v>#NAME?</v>
      </c>
    </row>
    <row r="213" spans="16:18" x14ac:dyDescent="0.2">
      <c r="P213" s="392" t="s">
        <v>242</v>
      </c>
      <c r="Q213" s="391" t="e">
        <f ca="1">_xll.qlCalendarAdvance(Calendar,Q212,P213,"f")</f>
        <v>#NAME?</v>
      </c>
      <c r="R213" s="390" t="e">
        <f ca="1">_xll.qlIndexFixing(Index,Q213,,InterestRatesTrigger)</f>
        <v>#NAME?</v>
      </c>
    </row>
    <row r="214" spans="16:18" x14ac:dyDescent="0.2">
      <c r="P214" s="392" t="s">
        <v>242</v>
      </c>
      <c r="Q214" s="391" t="e">
        <f ca="1">_xll.qlCalendarAdvance(Calendar,Q213,P214,"f")</f>
        <v>#NAME?</v>
      </c>
      <c r="R214" s="390" t="e">
        <f ca="1">_xll.qlIndexFixing(Index,Q214,,InterestRatesTrigger)</f>
        <v>#NAME?</v>
      </c>
    </row>
    <row r="215" spans="16:18" x14ac:dyDescent="0.2">
      <c r="P215" s="392" t="s">
        <v>242</v>
      </c>
      <c r="Q215" s="391" t="e">
        <f ca="1">_xll.qlCalendarAdvance(Calendar,Q214,P215,"f")</f>
        <v>#NAME?</v>
      </c>
      <c r="R215" s="390" t="e">
        <f ca="1">_xll.qlIndexFixing(Index,Q215,,InterestRatesTrigger)</f>
        <v>#NAME?</v>
      </c>
    </row>
    <row r="216" spans="16:18" x14ac:dyDescent="0.2">
      <c r="P216" s="392" t="s">
        <v>242</v>
      </c>
      <c r="Q216" s="391" t="e">
        <f ca="1">_xll.qlCalendarAdvance(Calendar,Q215,P216,"f")</f>
        <v>#NAME?</v>
      </c>
      <c r="R216" s="390" t="e">
        <f ca="1">_xll.qlIndexFixing(Index,Q216,,InterestRatesTrigger)</f>
        <v>#NAME?</v>
      </c>
    </row>
    <row r="217" spans="16:18" x14ac:dyDescent="0.2">
      <c r="P217" s="392" t="s">
        <v>242</v>
      </c>
      <c r="Q217" s="391" t="e">
        <f ca="1">_xll.qlCalendarAdvance(Calendar,Q216,P217,"f")</f>
        <v>#NAME?</v>
      </c>
      <c r="R217" s="390" t="e">
        <f ca="1">_xll.qlIndexFixing(Index,Q217,,InterestRatesTrigger)</f>
        <v>#NAME?</v>
      </c>
    </row>
    <row r="218" spans="16:18" x14ac:dyDescent="0.2">
      <c r="P218" s="392" t="s">
        <v>242</v>
      </c>
      <c r="Q218" s="391" t="e">
        <f ca="1">_xll.qlCalendarAdvance(Calendar,Q217,P218,"f")</f>
        <v>#NAME?</v>
      </c>
      <c r="R218" s="390" t="e">
        <f ca="1">_xll.qlIndexFixing(Index,Q218,,InterestRatesTrigger)</f>
        <v>#NAME?</v>
      </c>
    </row>
    <row r="219" spans="16:18" x14ac:dyDescent="0.2">
      <c r="P219" s="392" t="s">
        <v>242</v>
      </c>
      <c r="Q219" s="391" t="e">
        <f ca="1">_xll.qlCalendarAdvance(Calendar,Q218,P219,"f")</f>
        <v>#NAME?</v>
      </c>
      <c r="R219" s="390" t="e">
        <f ca="1">_xll.qlIndexFixing(Index,Q219,,InterestRatesTrigger)</f>
        <v>#NAME?</v>
      </c>
    </row>
    <row r="220" spans="16:18" x14ac:dyDescent="0.2">
      <c r="P220" s="392" t="s">
        <v>242</v>
      </c>
      <c r="Q220" s="391" t="e">
        <f ca="1">_xll.qlCalendarAdvance(Calendar,Q219,P220,"f")</f>
        <v>#NAME?</v>
      </c>
      <c r="R220" s="390" t="e">
        <f ca="1">_xll.qlIndexFixing(Index,Q220,,InterestRatesTrigger)</f>
        <v>#NAME?</v>
      </c>
    </row>
    <row r="221" spans="16:18" x14ac:dyDescent="0.2">
      <c r="P221" s="392" t="s">
        <v>242</v>
      </c>
      <c r="Q221" s="391" t="e">
        <f ca="1">_xll.qlCalendarAdvance(Calendar,Q220,P221,"f")</f>
        <v>#NAME?</v>
      </c>
      <c r="R221" s="390" t="e">
        <f ca="1">_xll.qlIndexFixing(Index,Q221,,InterestRatesTrigger)</f>
        <v>#NAME?</v>
      </c>
    </row>
    <row r="222" spans="16:18" x14ac:dyDescent="0.2">
      <c r="P222" s="392" t="s">
        <v>242</v>
      </c>
      <c r="Q222" s="391" t="e">
        <f ca="1">_xll.qlCalendarAdvance(Calendar,Q221,P222,"f")</f>
        <v>#NAME?</v>
      </c>
      <c r="R222" s="390" t="e">
        <f ca="1">_xll.qlIndexFixing(Index,Q222,,InterestRatesTrigger)</f>
        <v>#NAME?</v>
      </c>
    </row>
    <row r="223" spans="16:18" x14ac:dyDescent="0.2">
      <c r="P223" s="392" t="s">
        <v>242</v>
      </c>
      <c r="Q223" s="391" t="e">
        <f ca="1">_xll.qlCalendarAdvance(Calendar,Q222,P223,"f")</f>
        <v>#NAME?</v>
      </c>
      <c r="R223" s="390" t="e">
        <f ca="1">_xll.qlIndexFixing(Index,Q223,,InterestRatesTrigger)</f>
        <v>#NAME?</v>
      </c>
    </row>
    <row r="224" spans="16:18" x14ac:dyDescent="0.2">
      <c r="P224" s="392" t="s">
        <v>242</v>
      </c>
      <c r="Q224" s="391" t="e">
        <f ca="1">_xll.qlCalendarAdvance(Calendar,Q223,P224,"f")</f>
        <v>#NAME?</v>
      </c>
      <c r="R224" s="390" t="e">
        <f ca="1">_xll.qlIndexFixing(Index,Q224,,InterestRatesTrigger)</f>
        <v>#NAME?</v>
      </c>
    </row>
    <row r="225" spans="16:18" x14ac:dyDescent="0.2">
      <c r="P225" s="392" t="s">
        <v>242</v>
      </c>
      <c r="Q225" s="391" t="e">
        <f ca="1">_xll.qlCalendarAdvance(Calendar,Q224,P225,"f")</f>
        <v>#NAME?</v>
      </c>
      <c r="R225" s="390" t="e">
        <f ca="1">_xll.qlIndexFixing(Index,Q225,,InterestRatesTrigger)</f>
        <v>#NAME?</v>
      </c>
    </row>
    <row r="226" spans="16:18" x14ac:dyDescent="0.2">
      <c r="P226" s="392" t="s">
        <v>242</v>
      </c>
      <c r="Q226" s="391" t="e">
        <f ca="1">_xll.qlCalendarAdvance(Calendar,Q225,P226,"f")</f>
        <v>#NAME?</v>
      </c>
      <c r="R226" s="390" t="e">
        <f ca="1">_xll.qlIndexFixing(Index,Q226,,InterestRatesTrigger)</f>
        <v>#NAME?</v>
      </c>
    </row>
    <row r="227" spans="16:18" x14ac:dyDescent="0.2">
      <c r="P227" s="392" t="s">
        <v>242</v>
      </c>
      <c r="Q227" s="391" t="e">
        <f ca="1">_xll.qlCalendarAdvance(Calendar,Q226,P227,"f")</f>
        <v>#NAME?</v>
      </c>
      <c r="R227" s="390" t="e">
        <f ca="1">_xll.qlIndexFixing(Index,Q227,,InterestRatesTrigger)</f>
        <v>#NAME?</v>
      </c>
    </row>
    <row r="228" spans="16:18" x14ac:dyDescent="0.2">
      <c r="P228" s="392" t="s">
        <v>242</v>
      </c>
      <c r="Q228" s="391" t="e">
        <f ca="1">_xll.qlCalendarAdvance(Calendar,Q227,P228,"f")</f>
        <v>#NAME?</v>
      </c>
      <c r="R228" s="390" t="e">
        <f ca="1">_xll.qlIndexFixing(Index,Q228,,InterestRatesTrigger)</f>
        <v>#NAME?</v>
      </c>
    </row>
    <row r="229" spans="16:18" x14ac:dyDescent="0.2">
      <c r="P229" s="392" t="s">
        <v>242</v>
      </c>
      <c r="Q229" s="391" t="e">
        <f ca="1">_xll.qlCalendarAdvance(Calendar,Q228,P229,"f")</f>
        <v>#NAME?</v>
      </c>
      <c r="R229" s="390" t="e">
        <f ca="1">_xll.qlIndexFixing(Index,Q229,,InterestRatesTrigger)</f>
        <v>#NAME?</v>
      </c>
    </row>
    <row r="230" spans="16:18" x14ac:dyDescent="0.2">
      <c r="P230" s="392" t="s">
        <v>242</v>
      </c>
      <c r="Q230" s="391" t="e">
        <f ca="1">_xll.qlCalendarAdvance(Calendar,Q229,P230,"f")</f>
        <v>#NAME?</v>
      </c>
      <c r="R230" s="390" t="e">
        <f ca="1">_xll.qlIndexFixing(Index,Q230,,InterestRatesTrigger)</f>
        <v>#NAME?</v>
      </c>
    </row>
    <row r="231" spans="16:18" x14ac:dyDescent="0.2">
      <c r="P231" s="392" t="s">
        <v>242</v>
      </c>
      <c r="Q231" s="391" t="e">
        <f ca="1">_xll.qlCalendarAdvance(Calendar,Q230,P231,"f")</f>
        <v>#NAME?</v>
      </c>
      <c r="R231" s="390" t="e">
        <f ca="1">_xll.qlIndexFixing(Index,Q231,,InterestRatesTrigger)</f>
        <v>#NAME?</v>
      </c>
    </row>
    <row r="232" spans="16:18" x14ac:dyDescent="0.2">
      <c r="P232" s="392" t="s">
        <v>242</v>
      </c>
      <c r="Q232" s="391" t="e">
        <f ca="1">_xll.qlCalendarAdvance(Calendar,Q231,P232,"f")</f>
        <v>#NAME?</v>
      </c>
      <c r="R232" s="390" t="e">
        <f ca="1">_xll.qlIndexFixing(Index,Q232,,InterestRatesTrigger)</f>
        <v>#NAME?</v>
      </c>
    </row>
    <row r="233" spans="16:18" x14ac:dyDescent="0.2">
      <c r="P233" s="392" t="s">
        <v>242</v>
      </c>
      <c r="Q233" s="391" t="e">
        <f ca="1">_xll.qlCalendarAdvance(Calendar,Q232,P233,"f")</f>
        <v>#NAME?</v>
      </c>
      <c r="R233" s="390" t="e">
        <f ca="1">_xll.qlIndexFixing(Index,Q233,,InterestRatesTrigger)</f>
        <v>#NAME?</v>
      </c>
    </row>
    <row r="234" spans="16:18" x14ac:dyDescent="0.2">
      <c r="P234" s="392" t="s">
        <v>242</v>
      </c>
      <c r="Q234" s="391" t="e">
        <f ca="1">_xll.qlCalendarAdvance(Calendar,Q233,P234,"f")</f>
        <v>#NAME?</v>
      </c>
      <c r="R234" s="390" t="e">
        <f ca="1">_xll.qlIndexFixing(Index,Q234,,InterestRatesTrigger)</f>
        <v>#NAME?</v>
      </c>
    </row>
    <row r="235" spans="16:18" x14ac:dyDescent="0.2">
      <c r="P235" s="392" t="s">
        <v>242</v>
      </c>
      <c r="Q235" s="391" t="e">
        <f ca="1">_xll.qlCalendarAdvance(Calendar,Q234,P235,"f")</f>
        <v>#NAME?</v>
      </c>
      <c r="R235" s="390" t="e">
        <f ca="1">_xll.qlIndexFixing(Index,Q235,,InterestRatesTrigger)</f>
        <v>#NAME?</v>
      </c>
    </row>
    <row r="236" spans="16:18" x14ac:dyDescent="0.2">
      <c r="P236" s="392" t="s">
        <v>242</v>
      </c>
      <c r="Q236" s="391" t="e">
        <f ca="1">_xll.qlCalendarAdvance(Calendar,Q235,P236,"f")</f>
        <v>#NAME?</v>
      </c>
      <c r="R236" s="390" t="e">
        <f ca="1">_xll.qlIndexFixing(Index,Q236,,InterestRatesTrigger)</f>
        <v>#NAME?</v>
      </c>
    </row>
    <row r="237" spans="16:18" x14ac:dyDescent="0.2">
      <c r="P237" s="392" t="s">
        <v>242</v>
      </c>
      <c r="Q237" s="391" t="e">
        <f ca="1">_xll.qlCalendarAdvance(Calendar,Q236,P237,"f")</f>
        <v>#NAME?</v>
      </c>
      <c r="R237" s="390" t="e">
        <f ca="1">_xll.qlIndexFixing(Index,Q237,,InterestRatesTrigger)</f>
        <v>#NAME?</v>
      </c>
    </row>
    <row r="238" spans="16:18" x14ac:dyDescent="0.2">
      <c r="P238" s="392" t="s">
        <v>242</v>
      </c>
      <c r="Q238" s="391" t="e">
        <f ca="1">_xll.qlCalendarAdvance(Calendar,Q237,P238,"f")</f>
        <v>#NAME?</v>
      </c>
      <c r="R238" s="390" t="e">
        <f ca="1">_xll.qlIndexFixing(Index,Q238,,InterestRatesTrigger)</f>
        <v>#NAME?</v>
      </c>
    </row>
    <row r="239" spans="16:18" x14ac:dyDescent="0.2">
      <c r="P239" s="392" t="s">
        <v>242</v>
      </c>
      <c r="Q239" s="391" t="e">
        <f ca="1">_xll.qlCalendarAdvance(Calendar,Q238,P239,"f")</f>
        <v>#NAME?</v>
      </c>
      <c r="R239" s="390" t="e">
        <f ca="1">_xll.qlIndexFixing(Index,Q239,,InterestRatesTrigger)</f>
        <v>#NAME?</v>
      </c>
    </row>
    <row r="240" spans="16:18" x14ac:dyDescent="0.2">
      <c r="P240" s="392" t="s">
        <v>242</v>
      </c>
      <c r="Q240" s="391" t="e">
        <f ca="1">_xll.qlCalendarAdvance(Calendar,Q239,P240,"f")</f>
        <v>#NAME?</v>
      </c>
      <c r="R240" s="390" t="e">
        <f ca="1">_xll.qlIndexFixing(Index,Q240,,InterestRatesTrigger)</f>
        <v>#NAME?</v>
      </c>
    </row>
    <row r="241" spans="16:18" x14ac:dyDescent="0.2">
      <c r="P241" s="392" t="s">
        <v>242</v>
      </c>
      <c r="Q241" s="391" t="e">
        <f ca="1">_xll.qlCalendarAdvance(Calendar,Q240,P241,"f")</f>
        <v>#NAME?</v>
      </c>
      <c r="R241" s="390" t="e">
        <f ca="1">_xll.qlIndexFixing(Index,Q241,,InterestRatesTrigger)</f>
        <v>#NAME?</v>
      </c>
    </row>
    <row r="242" spans="16:18" x14ac:dyDescent="0.2">
      <c r="P242" s="392" t="s">
        <v>242</v>
      </c>
      <c r="Q242" s="391" t="e">
        <f ca="1">_xll.qlCalendarAdvance(Calendar,Q241,P242,"f")</f>
        <v>#NAME?</v>
      </c>
      <c r="R242" s="390" t="e">
        <f ca="1">_xll.qlIndexFixing(Index,Q242,,InterestRatesTrigger)</f>
        <v>#NAME?</v>
      </c>
    </row>
    <row r="243" spans="16:18" x14ac:dyDescent="0.2">
      <c r="P243" s="392" t="s">
        <v>242</v>
      </c>
      <c r="Q243" s="391" t="e">
        <f ca="1">_xll.qlCalendarAdvance(Calendar,Q242,P243,"f")</f>
        <v>#NAME?</v>
      </c>
      <c r="R243" s="390" t="e">
        <f ca="1">_xll.qlIndexFixing(Index,Q243,,InterestRatesTrigger)</f>
        <v>#NAME?</v>
      </c>
    </row>
    <row r="244" spans="16:18" x14ac:dyDescent="0.2">
      <c r="P244" s="392" t="s">
        <v>242</v>
      </c>
      <c r="Q244" s="391" t="e">
        <f ca="1">_xll.qlCalendarAdvance(Calendar,Q243,P244,"f")</f>
        <v>#NAME?</v>
      </c>
      <c r="R244" s="390" t="e">
        <f ca="1">_xll.qlIndexFixing(Index,Q244,,InterestRatesTrigger)</f>
        <v>#NAME?</v>
      </c>
    </row>
    <row r="245" spans="16:18" x14ac:dyDescent="0.2">
      <c r="P245" s="392" t="s">
        <v>242</v>
      </c>
      <c r="Q245" s="391" t="e">
        <f ca="1">_xll.qlCalendarAdvance(Calendar,Q244,P245,"f")</f>
        <v>#NAME?</v>
      </c>
      <c r="R245" s="390" t="e">
        <f ca="1">_xll.qlIndexFixing(Index,Q245,,InterestRatesTrigger)</f>
        <v>#NAME?</v>
      </c>
    </row>
    <row r="246" spans="16:18" x14ac:dyDescent="0.2">
      <c r="P246" s="392" t="s">
        <v>242</v>
      </c>
      <c r="Q246" s="391" t="e">
        <f ca="1">_xll.qlCalendarAdvance(Calendar,Q245,P246,"f")</f>
        <v>#NAME?</v>
      </c>
      <c r="R246" s="390" t="e">
        <f ca="1">_xll.qlIndexFixing(Index,Q246,,InterestRatesTrigger)</f>
        <v>#NAME?</v>
      </c>
    </row>
    <row r="247" spans="16:18" x14ac:dyDescent="0.2">
      <c r="P247" s="392" t="s">
        <v>242</v>
      </c>
      <c r="Q247" s="391" t="e">
        <f ca="1">_xll.qlCalendarAdvance(Calendar,Q246,P247,"f")</f>
        <v>#NAME?</v>
      </c>
      <c r="R247" s="390" t="e">
        <f ca="1">_xll.qlIndexFixing(Index,Q247,,InterestRatesTrigger)</f>
        <v>#NAME?</v>
      </c>
    </row>
    <row r="248" spans="16:18" x14ac:dyDescent="0.2">
      <c r="P248" s="392" t="s">
        <v>242</v>
      </c>
      <c r="Q248" s="391" t="e">
        <f ca="1">_xll.qlCalendarAdvance(Calendar,Q247,P248,"f")</f>
        <v>#NAME?</v>
      </c>
      <c r="R248" s="390" t="e">
        <f ca="1">_xll.qlIndexFixing(Index,Q248,,InterestRatesTrigger)</f>
        <v>#NAME?</v>
      </c>
    </row>
    <row r="249" spans="16:18" x14ac:dyDescent="0.2">
      <c r="P249" s="392" t="s">
        <v>242</v>
      </c>
      <c r="Q249" s="391" t="e">
        <f ca="1">_xll.qlCalendarAdvance(Calendar,Q248,P249,"f")</f>
        <v>#NAME?</v>
      </c>
      <c r="R249" s="390" t="e">
        <f ca="1">_xll.qlIndexFixing(Index,Q249,,InterestRatesTrigger)</f>
        <v>#NAME?</v>
      </c>
    </row>
    <row r="250" spans="16:18" x14ac:dyDescent="0.2">
      <c r="P250" s="392" t="s">
        <v>242</v>
      </c>
      <c r="Q250" s="391" t="e">
        <f ca="1">_xll.qlCalendarAdvance(Calendar,Q249,P250,"f")</f>
        <v>#NAME?</v>
      </c>
      <c r="R250" s="390" t="e">
        <f ca="1">_xll.qlIndexFixing(Index,Q250,,InterestRatesTrigger)</f>
        <v>#NAME?</v>
      </c>
    </row>
    <row r="251" spans="16:18" x14ac:dyDescent="0.2">
      <c r="P251" s="392" t="s">
        <v>242</v>
      </c>
      <c r="Q251" s="391" t="e">
        <f ca="1">_xll.qlCalendarAdvance(Calendar,Q250,P251,"f")</f>
        <v>#NAME?</v>
      </c>
      <c r="R251" s="390" t="e">
        <f ca="1">_xll.qlIndexFixing(Index,Q251,,InterestRatesTrigger)</f>
        <v>#NAME?</v>
      </c>
    </row>
    <row r="252" spans="16:18" x14ac:dyDescent="0.2">
      <c r="P252" s="392" t="s">
        <v>242</v>
      </c>
      <c r="Q252" s="391" t="e">
        <f ca="1">_xll.qlCalendarAdvance(Calendar,Q251,P252,"f")</f>
        <v>#NAME?</v>
      </c>
      <c r="R252" s="390" t="e">
        <f ca="1">_xll.qlIndexFixing(Index,Q252,,InterestRatesTrigger)</f>
        <v>#NAME?</v>
      </c>
    </row>
    <row r="253" spans="16:18" x14ac:dyDescent="0.2">
      <c r="P253" s="392" t="s">
        <v>242</v>
      </c>
      <c r="Q253" s="391" t="e">
        <f ca="1">_xll.qlCalendarAdvance(Calendar,Q252,P253,"f")</f>
        <v>#NAME?</v>
      </c>
      <c r="R253" s="390" t="e">
        <f ca="1">_xll.qlIndexFixing(Index,Q253,,InterestRatesTrigger)</f>
        <v>#NAME?</v>
      </c>
    </row>
    <row r="254" spans="16:18" x14ac:dyDescent="0.2">
      <c r="P254" s="392" t="s">
        <v>242</v>
      </c>
      <c r="Q254" s="391" t="e">
        <f ca="1">_xll.qlCalendarAdvance(Calendar,Q253,P254,"f")</f>
        <v>#NAME?</v>
      </c>
      <c r="R254" s="390" t="e">
        <f ca="1">_xll.qlIndexFixing(Index,Q254,,InterestRatesTrigger)</f>
        <v>#NAME?</v>
      </c>
    </row>
    <row r="255" spans="16:18" x14ac:dyDescent="0.2">
      <c r="P255" s="392" t="s">
        <v>242</v>
      </c>
      <c r="Q255" s="391" t="e">
        <f ca="1">_xll.qlCalendarAdvance(Calendar,Q254,P255,"f")</f>
        <v>#NAME?</v>
      </c>
      <c r="R255" s="390" t="e">
        <f ca="1">_xll.qlIndexFixing(Index,Q255,,InterestRatesTrigger)</f>
        <v>#NAME?</v>
      </c>
    </row>
    <row r="256" spans="16:18" x14ac:dyDescent="0.2">
      <c r="P256" s="392" t="s">
        <v>242</v>
      </c>
      <c r="Q256" s="391" t="e">
        <f ca="1">_xll.qlCalendarAdvance(Calendar,Q255,P256,"f")</f>
        <v>#NAME?</v>
      </c>
      <c r="R256" s="390" t="e">
        <f ca="1">_xll.qlIndexFixing(Index,Q256,,InterestRatesTrigger)</f>
        <v>#NAME?</v>
      </c>
    </row>
    <row r="257" spans="16:18" x14ac:dyDescent="0.2">
      <c r="P257" s="392" t="s">
        <v>242</v>
      </c>
      <c r="Q257" s="391" t="e">
        <f ca="1">_xll.qlCalendarAdvance(Calendar,Q256,P257,"f")</f>
        <v>#NAME?</v>
      </c>
      <c r="R257" s="390" t="e">
        <f ca="1">_xll.qlIndexFixing(Index,Q257,,InterestRatesTrigger)</f>
        <v>#NAME?</v>
      </c>
    </row>
    <row r="258" spans="16:18" x14ac:dyDescent="0.2">
      <c r="P258" s="392" t="s">
        <v>242</v>
      </c>
      <c r="Q258" s="391" t="e">
        <f ca="1">_xll.qlCalendarAdvance(Calendar,Q257,P258,"f")</f>
        <v>#NAME?</v>
      </c>
      <c r="R258" s="390" t="e">
        <f ca="1">_xll.qlIndexFixing(Index,Q258,,InterestRatesTrigger)</f>
        <v>#NAME?</v>
      </c>
    </row>
    <row r="259" spans="16:18" x14ac:dyDescent="0.2">
      <c r="P259" s="392" t="s">
        <v>242</v>
      </c>
      <c r="Q259" s="391" t="e">
        <f ca="1">_xll.qlCalendarAdvance(Calendar,Q258,P259,"f")</f>
        <v>#NAME?</v>
      </c>
      <c r="R259" s="390" t="e">
        <f ca="1">_xll.qlIndexFixing(Index,Q259,,InterestRatesTrigger)</f>
        <v>#NAME?</v>
      </c>
    </row>
    <row r="260" spans="16:18" x14ac:dyDescent="0.2">
      <c r="P260" s="392" t="s">
        <v>242</v>
      </c>
      <c r="Q260" s="391" t="e">
        <f ca="1">_xll.qlCalendarAdvance(Calendar,Q259,P260,"f")</f>
        <v>#NAME?</v>
      </c>
      <c r="R260" s="390" t="e">
        <f ca="1">_xll.qlIndexFixing(Index,Q260,,InterestRatesTrigger)</f>
        <v>#NAME?</v>
      </c>
    </row>
    <row r="261" spans="16:18" x14ac:dyDescent="0.2">
      <c r="P261" s="392" t="s">
        <v>242</v>
      </c>
      <c r="Q261" s="391" t="e">
        <f ca="1">_xll.qlCalendarAdvance(Calendar,Q260,P261,"f")</f>
        <v>#NAME?</v>
      </c>
      <c r="R261" s="390" t="e">
        <f ca="1">_xll.qlIndexFixing(Index,Q261,,InterestRatesTrigger)</f>
        <v>#NAME?</v>
      </c>
    </row>
    <row r="262" spans="16:18" x14ac:dyDescent="0.2">
      <c r="P262" s="392" t="s">
        <v>242</v>
      </c>
      <c r="Q262" s="391" t="e">
        <f ca="1">_xll.qlCalendarAdvance(Calendar,Q261,P262,"f")</f>
        <v>#NAME?</v>
      </c>
      <c r="R262" s="390" t="e">
        <f ca="1">_xll.qlIndexFixing(Index,Q262,,InterestRatesTrigger)</f>
        <v>#NAME?</v>
      </c>
    </row>
    <row r="263" spans="16:18" x14ac:dyDescent="0.2">
      <c r="P263" s="392" t="s">
        <v>242</v>
      </c>
      <c r="Q263" s="391" t="e">
        <f ca="1">_xll.qlCalendarAdvance(Calendar,Q262,P263,"f")</f>
        <v>#NAME?</v>
      </c>
      <c r="R263" s="390" t="e">
        <f ca="1">_xll.qlIndexFixing(Index,Q263,,InterestRatesTrigger)</f>
        <v>#NAME?</v>
      </c>
    </row>
    <row r="264" spans="16:18" x14ac:dyDescent="0.2">
      <c r="P264" s="392" t="s">
        <v>242</v>
      </c>
      <c r="Q264" s="391" t="e">
        <f ca="1">_xll.qlCalendarAdvance(Calendar,Q263,P264,"f")</f>
        <v>#NAME?</v>
      </c>
      <c r="R264" s="390" t="e">
        <f ca="1">_xll.qlIndexFixing(Index,Q264,,InterestRatesTrigger)</f>
        <v>#NAME?</v>
      </c>
    </row>
    <row r="265" spans="16:18" x14ac:dyDescent="0.2">
      <c r="P265" s="392" t="s">
        <v>242</v>
      </c>
      <c r="Q265" s="391" t="e">
        <f ca="1">_xll.qlCalendarAdvance(Calendar,Q264,P265,"f")</f>
        <v>#NAME?</v>
      </c>
      <c r="R265" s="390" t="e">
        <f ca="1">_xll.qlIndexFixing(Index,Q265,,InterestRatesTrigger)</f>
        <v>#NAME?</v>
      </c>
    </row>
    <row r="266" spans="16:18" x14ac:dyDescent="0.2">
      <c r="P266" s="392" t="s">
        <v>242</v>
      </c>
      <c r="Q266" s="391" t="e">
        <f ca="1">_xll.qlCalendarAdvance(Calendar,Q265,P266,"f")</f>
        <v>#NAME?</v>
      </c>
      <c r="R266" s="390" t="e">
        <f ca="1">_xll.qlIndexFixing(Index,Q266,,InterestRatesTrigger)</f>
        <v>#NAME?</v>
      </c>
    </row>
    <row r="267" spans="16:18" x14ac:dyDescent="0.2">
      <c r="P267" s="392" t="s">
        <v>242</v>
      </c>
      <c r="Q267" s="391" t="e">
        <f ca="1">_xll.qlCalendarAdvance(Calendar,Q266,P267,"f")</f>
        <v>#NAME?</v>
      </c>
      <c r="R267" s="390" t="e">
        <f ca="1">_xll.qlIndexFixing(Index,Q267,,InterestRatesTrigger)</f>
        <v>#NAME?</v>
      </c>
    </row>
    <row r="268" spans="16:18" x14ac:dyDescent="0.2">
      <c r="P268" s="392" t="s">
        <v>242</v>
      </c>
      <c r="Q268" s="391" t="e">
        <f ca="1">_xll.qlCalendarAdvance(Calendar,Q267,P268,"f")</f>
        <v>#NAME?</v>
      </c>
      <c r="R268" s="390" t="e">
        <f ca="1">_xll.qlIndexFixing(Index,Q268,,InterestRatesTrigger)</f>
        <v>#NAME?</v>
      </c>
    </row>
    <row r="269" spans="16:18" x14ac:dyDescent="0.2">
      <c r="P269" s="392" t="s">
        <v>242</v>
      </c>
      <c r="Q269" s="391" t="e">
        <f ca="1">_xll.qlCalendarAdvance(Calendar,Q268,P269,"f")</f>
        <v>#NAME?</v>
      </c>
      <c r="R269" s="390" t="e">
        <f ca="1">_xll.qlIndexFixing(Index,Q269,,InterestRatesTrigger)</f>
        <v>#NAME?</v>
      </c>
    </row>
    <row r="270" spans="16:18" x14ac:dyDescent="0.2">
      <c r="P270" s="392" t="s">
        <v>242</v>
      </c>
      <c r="Q270" s="391" t="e">
        <f ca="1">_xll.qlCalendarAdvance(Calendar,Q269,P270,"f")</f>
        <v>#NAME?</v>
      </c>
      <c r="R270" s="390" t="e">
        <f ca="1">_xll.qlIndexFixing(Index,Q270,,InterestRatesTrigger)</f>
        <v>#NAME?</v>
      </c>
    </row>
    <row r="271" spans="16:18" x14ac:dyDescent="0.2">
      <c r="P271" s="392" t="s">
        <v>242</v>
      </c>
      <c r="Q271" s="391" t="e">
        <f ca="1">_xll.qlCalendarAdvance(Calendar,Q270,P271,"f")</f>
        <v>#NAME?</v>
      </c>
      <c r="R271" s="390" t="e">
        <f ca="1">_xll.qlIndexFixing(Index,Q271,,InterestRatesTrigger)</f>
        <v>#NAME?</v>
      </c>
    </row>
    <row r="272" spans="16:18" x14ac:dyDescent="0.2">
      <c r="P272" s="392" t="s">
        <v>242</v>
      </c>
      <c r="Q272" s="391" t="e">
        <f ca="1">_xll.qlCalendarAdvance(Calendar,Q271,P272,"f")</f>
        <v>#NAME?</v>
      </c>
      <c r="R272" s="390" t="e">
        <f ca="1">_xll.qlIndexFixing(Index,Q272,,InterestRatesTrigger)</f>
        <v>#NAME?</v>
      </c>
    </row>
    <row r="273" spans="16:18" x14ac:dyDescent="0.2">
      <c r="P273" s="392" t="s">
        <v>242</v>
      </c>
      <c r="Q273" s="391" t="e">
        <f ca="1">_xll.qlCalendarAdvance(Calendar,Q272,P273,"f")</f>
        <v>#NAME?</v>
      </c>
      <c r="R273" s="390" t="e">
        <f ca="1">_xll.qlIndexFixing(Index,Q273,,InterestRatesTrigger)</f>
        <v>#NAME?</v>
      </c>
    </row>
    <row r="274" spans="16:18" x14ac:dyDescent="0.2">
      <c r="P274" s="392" t="s">
        <v>242</v>
      </c>
      <c r="Q274" s="391" t="e">
        <f ca="1">_xll.qlCalendarAdvance(Calendar,Q273,P274,"f")</f>
        <v>#NAME?</v>
      </c>
      <c r="R274" s="390" t="e">
        <f ca="1">_xll.qlIndexFixing(Index,Q274,,InterestRatesTrigger)</f>
        <v>#NAME?</v>
      </c>
    </row>
    <row r="275" spans="16:18" x14ac:dyDescent="0.2">
      <c r="P275" s="392" t="s">
        <v>242</v>
      </c>
      <c r="Q275" s="391" t="e">
        <f ca="1">_xll.qlCalendarAdvance(Calendar,Q274,P275,"f")</f>
        <v>#NAME?</v>
      </c>
      <c r="R275" s="390" t="e">
        <f ca="1">_xll.qlIndexFixing(Index,Q275,,InterestRatesTrigger)</f>
        <v>#NAME?</v>
      </c>
    </row>
    <row r="276" spans="16:18" x14ac:dyDescent="0.2">
      <c r="P276" s="392" t="s">
        <v>242</v>
      </c>
      <c r="Q276" s="391" t="e">
        <f ca="1">_xll.qlCalendarAdvance(Calendar,Q275,P276,"f")</f>
        <v>#NAME?</v>
      </c>
      <c r="R276" s="390" t="e">
        <f ca="1">_xll.qlIndexFixing(Index,Q276,,InterestRatesTrigger)</f>
        <v>#NAME?</v>
      </c>
    </row>
    <row r="277" spans="16:18" x14ac:dyDescent="0.2">
      <c r="P277" s="392" t="s">
        <v>242</v>
      </c>
      <c r="Q277" s="391" t="e">
        <f ca="1">_xll.qlCalendarAdvance(Calendar,Q276,P277,"f")</f>
        <v>#NAME?</v>
      </c>
      <c r="R277" s="390" t="e">
        <f ca="1">_xll.qlIndexFixing(Index,Q277,,InterestRatesTrigger)</f>
        <v>#NAME?</v>
      </c>
    </row>
    <row r="278" spans="16:18" x14ac:dyDescent="0.2">
      <c r="P278" s="392" t="s">
        <v>242</v>
      </c>
      <c r="Q278" s="391" t="e">
        <f ca="1">_xll.qlCalendarAdvance(Calendar,Q277,P278,"f")</f>
        <v>#NAME?</v>
      </c>
      <c r="R278" s="390" t="e">
        <f ca="1">_xll.qlIndexFixing(Index,Q278,,InterestRatesTrigger)</f>
        <v>#NAME?</v>
      </c>
    </row>
    <row r="279" spans="16:18" x14ac:dyDescent="0.2">
      <c r="P279" s="392" t="s">
        <v>242</v>
      </c>
      <c r="Q279" s="391" t="e">
        <f ca="1">_xll.qlCalendarAdvance(Calendar,Q278,P279,"f")</f>
        <v>#NAME?</v>
      </c>
      <c r="R279" s="390" t="e">
        <f ca="1">_xll.qlIndexFixing(Index,Q279,,InterestRatesTrigger)</f>
        <v>#NAME?</v>
      </c>
    </row>
    <row r="280" spans="16:18" x14ac:dyDescent="0.2">
      <c r="P280" s="392" t="s">
        <v>242</v>
      </c>
      <c r="Q280" s="391" t="e">
        <f ca="1">_xll.qlCalendarAdvance(Calendar,Q279,P280,"f")</f>
        <v>#NAME?</v>
      </c>
      <c r="R280" s="390" t="e">
        <f ca="1">_xll.qlIndexFixing(Index,Q280,,InterestRatesTrigger)</f>
        <v>#NAME?</v>
      </c>
    </row>
    <row r="281" spans="16:18" x14ac:dyDescent="0.2">
      <c r="P281" s="392" t="s">
        <v>242</v>
      </c>
      <c r="Q281" s="391" t="e">
        <f ca="1">_xll.qlCalendarAdvance(Calendar,Q280,P281,"f")</f>
        <v>#NAME?</v>
      </c>
      <c r="R281" s="390" t="e">
        <f ca="1">_xll.qlIndexFixing(Index,Q281,,InterestRatesTrigger)</f>
        <v>#NAME?</v>
      </c>
    </row>
    <row r="282" spans="16:18" x14ac:dyDescent="0.2">
      <c r="P282" s="392" t="s">
        <v>242</v>
      </c>
      <c r="Q282" s="391" t="e">
        <f ca="1">_xll.qlCalendarAdvance(Calendar,Q281,P282,"f")</f>
        <v>#NAME?</v>
      </c>
      <c r="R282" s="390" t="e">
        <f ca="1">_xll.qlIndexFixing(Index,Q282,,InterestRatesTrigger)</f>
        <v>#NAME?</v>
      </c>
    </row>
    <row r="283" spans="16:18" x14ac:dyDescent="0.2">
      <c r="P283" s="392" t="s">
        <v>242</v>
      </c>
      <c r="Q283" s="391" t="e">
        <f ca="1">_xll.qlCalendarAdvance(Calendar,Q282,P283,"f")</f>
        <v>#NAME?</v>
      </c>
      <c r="R283" s="390" t="e">
        <f ca="1">_xll.qlIndexFixing(Index,Q283,,InterestRatesTrigger)</f>
        <v>#NAME?</v>
      </c>
    </row>
    <row r="284" spans="16:18" x14ac:dyDescent="0.2">
      <c r="P284" s="392" t="s">
        <v>242</v>
      </c>
      <c r="Q284" s="391" t="e">
        <f ca="1">_xll.qlCalendarAdvance(Calendar,Q283,P284,"f")</f>
        <v>#NAME?</v>
      </c>
      <c r="R284" s="390" t="e">
        <f ca="1">_xll.qlIndexFixing(Index,Q284,,InterestRatesTrigger)</f>
        <v>#NAME?</v>
      </c>
    </row>
    <row r="285" spans="16:18" x14ac:dyDescent="0.2">
      <c r="P285" s="392" t="s">
        <v>242</v>
      </c>
      <c r="Q285" s="391" t="e">
        <f ca="1">_xll.qlCalendarAdvance(Calendar,Q284,P285,"f")</f>
        <v>#NAME?</v>
      </c>
      <c r="R285" s="390" t="e">
        <f ca="1">_xll.qlIndexFixing(Index,Q285,,InterestRatesTrigger)</f>
        <v>#NAME?</v>
      </c>
    </row>
    <row r="286" spans="16:18" x14ac:dyDescent="0.2">
      <c r="P286" s="392" t="s">
        <v>242</v>
      </c>
      <c r="Q286" s="391" t="e">
        <f ca="1">_xll.qlCalendarAdvance(Calendar,Q285,P286,"f")</f>
        <v>#NAME?</v>
      </c>
      <c r="R286" s="390" t="e">
        <f ca="1">_xll.qlIndexFixing(Index,Q286,,InterestRatesTrigger)</f>
        <v>#NAME?</v>
      </c>
    </row>
    <row r="287" spans="16:18" x14ac:dyDescent="0.2">
      <c r="P287" s="392" t="s">
        <v>242</v>
      </c>
      <c r="Q287" s="391" t="e">
        <f ca="1">_xll.qlCalendarAdvance(Calendar,Q286,P287,"f")</f>
        <v>#NAME?</v>
      </c>
      <c r="R287" s="390" t="e">
        <f ca="1">_xll.qlIndexFixing(Index,Q287,,InterestRatesTrigger)</f>
        <v>#NAME?</v>
      </c>
    </row>
    <row r="288" spans="16:18" x14ac:dyDescent="0.2">
      <c r="P288" s="392" t="s">
        <v>242</v>
      </c>
      <c r="Q288" s="391" t="e">
        <f ca="1">_xll.qlCalendarAdvance(Calendar,Q287,P288,"f")</f>
        <v>#NAME?</v>
      </c>
      <c r="R288" s="390" t="e">
        <f ca="1">_xll.qlIndexFixing(Index,Q288,,InterestRatesTrigger)</f>
        <v>#NAME?</v>
      </c>
    </row>
    <row r="289" spans="16:18" x14ac:dyDescent="0.2">
      <c r="P289" s="392" t="s">
        <v>242</v>
      </c>
      <c r="Q289" s="391" t="e">
        <f ca="1">_xll.qlCalendarAdvance(Calendar,Q288,P289,"f")</f>
        <v>#NAME?</v>
      </c>
      <c r="R289" s="390" t="e">
        <f ca="1">_xll.qlIndexFixing(Index,Q289,,InterestRatesTrigger)</f>
        <v>#NAME?</v>
      </c>
    </row>
    <row r="290" spans="16:18" x14ac:dyDescent="0.2">
      <c r="P290" s="392" t="s">
        <v>242</v>
      </c>
      <c r="Q290" s="391" t="e">
        <f ca="1">_xll.qlCalendarAdvance(Calendar,Q289,P290,"f")</f>
        <v>#NAME?</v>
      </c>
      <c r="R290" s="390" t="e">
        <f ca="1">_xll.qlIndexFixing(Index,Q290,,InterestRatesTrigger)</f>
        <v>#NAME?</v>
      </c>
    </row>
    <row r="291" spans="16:18" x14ac:dyDescent="0.2">
      <c r="P291" s="392" t="s">
        <v>242</v>
      </c>
      <c r="Q291" s="391" t="e">
        <f ca="1">_xll.qlCalendarAdvance(Calendar,Q290,P291,"f")</f>
        <v>#NAME?</v>
      </c>
      <c r="R291" s="390" t="e">
        <f ca="1">_xll.qlIndexFixing(Index,Q291,,InterestRatesTrigger)</f>
        <v>#NAME?</v>
      </c>
    </row>
    <row r="292" spans="16:18" x14ac:dyDescent="0.2">
      <c r="P292" s="392" t="s">
        <v>242</v>
      </c>
      <c r="Q292" s="391" t="e">
        <f ca="1">_xll.qlCalendarAdvance(Calendar,Q291,P292,"f")</f>
        <v>#NAME?</v>
      </c>
      <c r="R292" s="390" t="e">
        <f ca="1">_xll.qlIndexFixing(Index,Q292,,InterestRatesTrigger)</f>
        <v>#NAME?</v>
      </c>
    </row>
    <row r="293" spans="16:18" x14ac:dyDescent="0.2">
      <c r="P293" s="392" t="s">
        <v>242</v>
      </c>
      <c r="Q293" s="391" t="e">
        <f ca="1">_xll.qlCalendarAdvance(Calendar,Q292,P293,"f")</f>
        <v>#NAME?</v>
      </c>
      <c r="R293" s="390" t="e">
        <f ca="1">_xll.qlIndexFixing(Index,Q293,,InterestRatesTrigger)</f>
        <v>#NAME?</v>
      </c>
    </row>
    <row r="294" spans="16:18" x14ac:dyDescent="0.2">
      <c r="P294" s="392" t="s">
        <v>242</v>
      </c>
      <c r="Q294" s="391" t="e">
        <f ca="1">_xll.qlCalendarAdvance(Calendar,Q293,P294,"f")</f>
        <v>#NAME?</v>
      </c>
      <c r="R294" s="390" t="e">
        <f ca="1">_xll.qlIndexFixing(Index,Q294,,InterestRatesTrigger)</f>
        <v>#NAME?</v>
      </c>
    </row>
    <row r="295" spans="16:18" x14ac:dyDescent="0.2">
      <c r="P295" s="392" t="s">
        <v>242</v>
      </c>
      <c r="Q295" s="391" t="e">
        <f ca="1">_xll.qlCalendarAdvance(Calendar,Q294,P295,"f")</f>
        <v>#NAME?</v>
      </c>
      <c r="R295" s="390" t="e">
        <f ca="1">_xll.qlIndexFixing(Index,Q295,,InterestRatesTrigger)</f>
        <v>#NAME?</v>
      </c>
    </row>
    <row r="296" spans="16:18" x14ac:dyDescent="0.2">
      <c r="P296" s="392" t="s">
        <v>242</v>
      </c>
      <c r="Q296" s="391" t="e">
        <f ca="1">_xll.qlCalendarAdvance(Calendar,Q295,P296,"f")</f>
        <v>#NAME?</v>
      </c>
      <c r="R296" s="390" t="e">
        <f ca="1">_xll.qlIndexFixing(Index,Q296,,InterestRatesTrigger)</f>
        <v>#NAME?</v>
      </c>
    </row>
    <row r="297" spans="16:18" x14ac:dyDescent="0.2">
      <c r="P297" s="392" t="s">
        <v>242</v>
      </c>
      <c r="Q297" s="391" t="e">
        <f ca="1">_xll.qlCalendarAdvance(Calendar,Q296,P297,"f")</f>
        <v>#NAME?</v>
      </c>
      <c r="R297" s="390" t="e">
        <f ca="1">_xll.qlIndexFixing(Index,Q297,,InterestRatesTrigger)</f>
        <v>#NAME?</v>
      </c>
    </row>
    <row r="298" spans="16:18" x14ac:dyDescent="0.2">
      <c r="P298" s="392" t="s">
        <v>242</v>
      </c>
      <c r="Q298" s="391" t="e">
        <f ca="1">_xll.qlCalendarAdvance(Calendar,Q297,P298,"f")</f>
        <v>#NAME?</v>
      </c>
      <c r="R298" s="390" t="e">
        <f ca="1">_xll.qlIndexFixing(Index,Q298,,InterestRatesTrigger)</f>
        <v>#NAME?</v>
      </c>
    </row>
    <row r="299" spans="16:18" x14ac:dyDescent="0.2">
      <c r="P299" s="392" t="s">
        <v>242</v>
      </c>
      <c r="Q299" s="391" t="e">
        <f ca="1">_xll.qlCalendarAdvance(Calendar,Q298,P299,"f")</f>
        <v>#NAME?</v>
      </c>
      <c r="R299" s="390" t="e">
        <f ca="1">_xll.qlIndexFixing(Index,Q299,,InterestRatesTrigger)</f>
        <v>#NAME?</v>
      </c>
    </row>
    <row r="300" spans="16:18" x14ac:dyDescent="0.2">
      <c r="P300" s="392" t="s">
        <v>242</v>
      </c>
      <c r="Q300" s="391" t="e">
        <f ca="1">_xll.qlCalendarAdvance(Calendar,Q299,P300,"f")</f>
        <v>#NAME?</v>
      </c>
      <c r="R300" s="390" t="e">
        <f ca="1">_xll.qlIndexFixing(Index,Q300,,InterestRatesTrigger)</f>
        <v>#NAME?</v>
      </c>
    </row>
    <row r="301" spans="16:18" x14ac:dyDescent="0.2">
      <c r="P301" s="392" t="s">
        <v>242</v>
      </c>
      <c r="Q301" s="391" t="e">
        <f ca="1">_xll.qlCalendarAdvance(Calendar,Q300,P301,"f")</f>
        <v>#NAME?</v>
      </c>
      <c r="R301" s="390" t="e">
        <f ca="1">_xll.qlIndexFixing(Index,Q301,,InterestRatesTrigger)</f>
        <v>#NAME?</v>
      </c>
    </row>
    <row r="302" spans="16:18" x14ac:dyDescent="0.2">
      <c r="P302" s="392" t="s">
        <v>242</v>
      </c>
      <c r="Q302" s="391" t="e">
        <f ca="1">_xll.qlCalendarAdvance(Calendar,Q301,P302,"f")</f>
        <v>#NAME?</v>
      </c>
      <c r="R302" s="390" t="e">
        <f ca="1">_xll.qlIndexFixing(Index,Q302,,InterestRatesTrigger)</f>
        <v>#NAME?</v>
      </c>
    </row>
    <row r="303" spans="16:18" x14ac:dyDescent="0.2">
      <c r="P303" s="392" t="s">
        <v>242</v>
      </c>
      <c r="Q303" s="391" t="e">
        <f ca="1">_xll.qlCalendarAdvance(Calendar,Q302,P303,"f")</f>
        <v>#NAME?</v>
      </c>
      <c r="R303" s="390" t="e">
        <f ca="1">_xll.qlIndexFixing(Index,Q303,,InterestRatesTrigger)</f>
        <v>#NAME?</v>
      </c>
    </row>
    <row r="304" spans="16:18" x14ac:dyDescent="0.2">
      <c r="P304" s="392" t="s">
        <v>242</v>
      </c>
      <c r="Q304" s="391" t="e">
        <f ca="1">_xll.qlCalendarAdvance(Calendar,Q303,P304,"f")</f>
        <v>#NAME?</v>
      </c>
      <c r="R304" s="390" t="e">
        <f ca="1">_xll.qlIndexFixing(Index,Q304,,InterestRatesTrigger)</f>
        <v>#NAME?</v>
      </c>
    </row>
    <row r="305" spans="16:18" x14ac:dyDescent="0.2">
      <c r="P305" s="392" t="s">
        <v>242</v>
      </c>
      <c r="Q305" s="391" t="e">
        <f ca="1">_xll.qlCalendarAdvance(Calendar,Q304,P305,"f")</f>
        <v>#NAME?</v>
      </c>
      <c r="R305" s="390" t="e">
        <f ca="1">_xll.qlIndexFixing(Index,Q305,,InterestRatesTrigger)</f>
        <v>#NAME?</v>
      </c>
    </row>
    <row r="306" spans="16:18" x14ac:dyDescent="0.2">
      <c r="P306" s="392" t="s">
        <v>242</v>
      </c>
      <c r="Q306" s="391" t="e">
        <f ca="1">_xll.qlCalendarAdvance(Calendar,Q305,P306,"f")</f>
        <v>#NAME?</v>
      </c>
      <c r="R306" s="390" t="e">
        <f ca="1">_xll.qlIndexFixing(Index,Q306,,InterestRatesTrigger)</f>
        <v>#NAME?</v>
      </c>
    </row>
    <row r="307" spans="16:18" x14ac:dyDescent="0.2">
      <c r="P307" s="392" t="s">
        <v>242</v>
      </c>
      <c r="Q307" s="391" t="e">
        <f ca="1">_xll.qlCalendarAdvance(Calendar,Q306,P307,"f")</f>
        <v>#NAME?</v>
      </c>
      <c r="R307" s="390" t="e">
        <f ca="1">_xll.qlIndexFixing(Index,Q307,,InterestRatesTrigger)</f>
        <v>#NAME?</v>
      </c>
    </row>
    <row r="308" spans="16:18" x14ac:dyDescent="0.2">
      <c r="P308" s="392" t="s">
        <v>242</v>
      </c>
      <c r="Q308" s="391" t="e">
        <f ca="1">_xll.qlCalendarAdvance(Calendar,Q307,P308,"f")</f>
        <v>#NAME?</v>
      </c>
      <c r="R308" s="390" t="e">
        <f ca="1">_xll.qlIndexFixing(Index,Q308,,InterestRatesTrigger)</f>
        <v>#NAME?</v>
      </c>
    </row>
    <row r="309" spans="16:18" x14ac:dyDescent="0.2">
      <c r="P309" s="392" t="s">
        <v>242</v>
      </c>
      <c r="Q309" s="391" t="e">
        <f ca="1">_xll.qlCalendarAdvance(Calendar,Q308,P309,"f")</f>
        <v>#NAME?</v>
      </c>
      <c r="R309" s="390" t="e">
        <f ca="1">_xll.qlIndexFixing(Index,Q309,,InterestRatesTrigger)</f>
        <v>#NAME?</v>
      </c>
    </row>
    <row r="310" spans="16:18" x14ac:dyDescent="0.2">
      <c r="P310" s="392" t="s">
        <v>242</v>
      </c>
      <c r="Q310" s="391" t="e">
        <f ca="1">_xll.qlCalendarAdvance(Calendar,Q309,P310,"f")</f>
        <v>#NAME?</v>
      </c>
      <c r="R310" s="390" t="e">
        <f ca="1">_xll.qlIndexFixing(Index,Q310,,InterestRatesTrigger)</f>
        <v>#NAME?</v>
      </c>
    </row>
    <row r="311" spans="16:18" x14ac:dyDescent="0.2">
      <c r="P311" s="392" t="s">
        <v>242</v>
      </c>
      <c r="Q311" s="391" t="e">
        <f ca="1">_xll.qlCalendarAdvance(Calendar,Q310,P311,"f")</f>
        <v>#NAME?</v>
      </c>
      <c r="R311" s="390" t="e">
        <f ca="1">_xll.qlIndexFixing(Index,Q311,,InterestRatesTrigger)</f>
        <v>#NAME?</v>
      </c>
    </row>
    <row r="312" spans="16:18" x14ac:dyDescent="0.2">
      <c r="P312" s="392" t="s">
        <v>242</v>
      </c>
      <c r="Q312" s="391" t="e">
        <f ca="1">_xll.qlCalendarAdvance(Calendar,Q311,P312,"f")</f>
        <v>#NAME?</v>
      </c>
      <c r="R312" s="390" t="e">
        <f ca="1">_xll.qlIndexFixing(Index,Q312,,InterestRatesTrigger)</f>
        <v>#NAME?</v>
      </c>
    </row>
    <row r="313" spans="16:18" x14ac:dyDescent="0.2">
      <c r="P313" s="392" t="s">
        <v>242</v>
      </c>
      <c r="Q313" s="391" t="e">
        <f ca="1">_xll.qlCalendarAdvance(Calendar,Q312,P313,"f")</f>
        <v>#NAME?</v>
      </c>
      <c r="R313" s="390" t="e">
        <f ca="1">_xll.qlIndexFixing(Index,Q313,,InterestRatesTrigger)</f>
        <v>#NAME?</v>
      </c>
    </row>
    <row r="314" spans="16:18" x14ac:dyDescent="0.2">
      <c r="P314" s="392" t="s">
        <v>242</v>
      </c>
      <c r="Q314" s="391" t="e">
        <f ca="1">_xll.qlCalendarAdvance(Calendar,Q313,P314,"f")</f>
        <v>#NAME?</v>
      </c>
      <c r="R314" s="390" t="e">
        <f ca="1">_xll.qlIndexFixing(Index,Q314,,InterestRatesTrigger)</f>
        <v>#NAME?</v>
      </c>
    </row>
    <row r="315" spans="16:18" x14ac:dyDescent="0.2">
      <c r="P315" s="392" t="s">
        <v>242</v>
      </c>
      <c r="Q315" s="391" t="e">
        <f ca="1">_xll.qlCalendarAdvance(Calendar,Q314,P315,"f")</f>
        <v>#NAME?</v>
      </c>
      <c r="R315" s="390" t="e">
        <f ca="1">_xll.qlIndexFixing(Index,Q315,,InterestRatesTrigger)</f>
        <v>#NAME?</v>
      </c>
    </row>
    <row r="316" spans="16:18" x14ac:dyDescent="0.2">
      <c r="P316" s="392" t="s">
        <v>242</v>
      </c>
      <c r="Q316" s="391" t="e">
        <f ca="1">_xll.qlCalendarAdvance(Calendar,Q315,P316,"f")</f>
        <v>#NAME?</v>
      </c>
      <c r="R316" s="390" t="e">
        <f ca="1">_xll.qlIndexFixing(Index,Q316,,InterestRatesTrigger)</f>
        <v>#NAME?</v>
      </c>
    </row>
    <row r="317" spans="16:18" x14ac:dyDescent="0.2">
      <c r="P317" s="392" t="s">
        <v>242</v>
      </c>
      <c r="Q317" s="391" t="e">
        <f ca="1">_xll.qlCalendarAdvance(Calendar,Q316,P317,"f")</f>
        <v>#NAME?</v>
      </c>
      <c r="R317" s="390" t="e">
        <f ca="1">_xll.qlIndexFixing(Index,Q317,,InterestRatesTrigger)</f>
        <v>#NAME?</v>
      </c>
    </row>
    <row r="318" spans="16:18" x14ac:dyDescent="0.2">
      <c r="P318" s="392" t="s">
        <v>242</v>
      </c>
      <c r="Q318" s="391" t="e">
        <f ca="1">_xll.qlCalendarAdvance(Calendar,Q317,P318,"f")</f>
        <v>#NAME?</v>
      </c>
      <c r="R318" s="390" t="e">
        <f ca="1">_xll.qlIndexFixing(Index,Q318,,InterestRatesTrigger)</f>
        <v>#NAME?</v>
      </c>
    </row>
    <row r="319" spans="16:18" x14ac:dyDescent="0.2">
      <c r="P319" s="392" t="s">
        <v>242</v>
      </c>
      <c r="Q319" s="391" t="e">
        <f ca="1">_xll.qlCalendarAdvance(Calendar,Q318,P319,"f")</f>
        <v>#NAME?</v>
      </c>
      <c r="R319" s="390" t="e">
        <f ca="1">_xll.qlIndexFixing(Index,Q319,,InterestRatesTrigger)</f>
        <v>#NAME?</v>
      </c>
    </row>
    <row r="320" spans="16:18" x14ac:dyDescent="0.2">
      <c r="P320" s="392" t="s">
        <v>242</v>
      </c>
      <c r="Q320" s="391" t="e">
        <f ca="1">_xll.qlCalendarAdvance(Calendar,Q319,P320,"f")</f>
        <v>#NAME?</v>
      </c>
      <c r="R320" s="390" t="e">
        <f ca="1">_xll.qlIndexFixing(Index,Q320,,InterestRatesTrigger)</f>
        <v>#NAME?</v>
      </c>
    </row>
    <row r="321" spans="16:18" x14ac:dyDescent="0.2">
      <c r="P321" s="392" t="s">
        <v>242</v>
      </c>
      <c r="Q321" s="391" t="e">
        <f ca="1">_xll.qlCalendarAdvance(Calendar,Q320,P321,"f")</f>
        <v>#NAME?</v>
      </c>
      <c r="R321" s="390" t="e">
        <f ca="1">_xll.qlIndexFixing(Index,Q321,,InterestRatesTrigger)</f>
        <v>#NAME?</v>
      </c>
    </row>
    <row r="322" spans="16:18" x14ac:dyDescent="0.2">
      <c r="P322" s="392" t="s">
        <v>242</v>
      </c>
      <c r="Q322" s="391" t="e">
        <f ca="1">_xll.qlCalendarAdvance(Calendar,Q321,P322,"f")</f>
        <v>#NAME?</v>
      </c>
      <c r="R322" s="390" t="e">
        <f ca="1">_xll.qlIndexFixing(Index,Q322,,InterestRatesTrigger)</f>
        <v>#NAME?</v>
      </c>
    </row>
    <row r="323" spans="16:18" x14ac:dyDescent="0.2">
      <c r="P323" s="392" t="s">
        <v>242</v>
      </c>
      <c r="Q323" s="391" t="e">
        <f ca="1">_xll.qlCalendarAdvance(Calendar,Q322,P323,"f")</f>
        <v>#NAME?</v>
      </c>
      <c r="R323" s="390" t="e">
        <f ca="1">_xll.qlIndexFixing(Index,Q323,,InterestRatesTrigger)</f>
        <v>#NAME?</v>
      </c>
    </row>
    <row r="324" spans="16:18" x14ac:dyDescent="0.2">
      <c r="P324" s="392" t="s">
        <v>242</v>
      </c>
      <c r="Q324" s="391" t="e">
        <f ca="1">_xll.qlCalendarAdvance(Calendar,Q323,P324,"f")</f>
        <v>#NAME?</v>
      </c>
      <c r="R324" s="390" t="e">
        <f ca="1">_xll.qlIndexFixing(Index,Q324,,InterestRatesTrigger)</f>
        <v>#NAME?</v>
      </c>
    </row>
    <row r="325" spans="16:18" x14ac:dyDescent="0.2">
      <c r="P325" s="392" t="s">
        <v>242</v>
      </c>
      <c r="Q325" s="391" t="e">
        <f ca="1">_xll.qlCalendarAdvance(Calendar,Q324,P325,"f")</f>
        <v>#NAME?</v>
      </c>
      <c r="R325" s="390" t="e">
        <f ca="1">_xll.qlIndexFixing(Index,Q325,,InterestRatesTrigger)</f>
        <v>#NAME?</v>
      </c>
    </row>
    <row r="326" spans="16:18" x14ac:dyDescent="0.2">
      <c r="P326" s="392" t="s">
        <v>242</v>
      </c>
      <c r="Q326" s="391" t="e">
        <f ca="1">_xll.qlCalendarAdvance(Calendar,Q325,P326,"f")</f>
        <v>#NAME?</v>
      </c>
      <c r="R326" s="390" t="e">
        <f ca="1">_xll.qlIndexFixing(Index,Q326,,InterestRatesTrigger)</f>
        <v>#NAME?</v>
      </c>
    </row>
    <row r="327" spans="16:18" x14ac:dyDescent="0.2">
      <c r="P327" s="392" t="s">
        <v>242</v>
      </c>
      <c r="Q327" s="391" t="e">
        <f ca="1">_xll.qlCalendarAdvance(Calendar,Q326,P327,"f")</f>
        <v>#NAME?</v>
      </c>
      <c r="R327" s="390" t="e">
        <f ca="1">_xll.qlIndexFixing(Index,Q327,,InterestRatesTrigger)</f>
        <v>#NAME?</v>
      </c>
    </row>
    <row r="328" spans="16:18" x14ac:dyDescent="0.2">
      <c r="P328" s="392" t="s">
        <v>242</v>
      </c>
      <c r="Q328" s="391" t="e">
        <f ca="1">_xll.qlCalendarAdvance(Calendar,Q327,P328,"f")</f>
        <v>#NAME?</v>
      </c>
      <c r="R328" s="390" t="e">
        <f ca="1">_xll.qlIndexFixing(Index,Q328,,InterestRatesTrigger)</f>
        <v>#NAME?</v>
      </c>
    </row>
    <row r="329" spans="16:18" x14ac:dyDescent="0.2">
      <c r="P329" s="392" t="s">
        <v>242</v>
      </c>
      <c r="Q329" s="391" t="e">
        <f ca="1">_xll.qlCalendarAdvance(Calendar,Q328,P329,"f")</f>
        <v>#NAME?</v>
      </c>
      <c r="R329" s="390" t="e">
        <f ca="1">_xll.qlIndexFixing(Index,Q329,,InterestRatesTrigger)</f>
        <v>#NAME?</v>
      </c>
    </row>
    <row r="330" spans="16:18" x14ac:dyDescent="0.2">
      <c r="P330" s="392" t="s">
        <v>242</v>
      </c>
      <c r="Q330" s="391" t="e">
        <f ca="1">_xll.qlCalendarAdvance(Calendar,Q329,P330,"f")</f>
        <v>#NAME?</v>
      </c>
      <c r="R330" s="390" t="e">
        <f ca="1">_xll.qlIndexFixing(Index,Q330,,InterestRatesTrigger)</f>
        <v>#NAME?</v>
      </c>
    </row>
    <row r="331" spans="16:18" x14ac:dyDescent="0.2">
      <c r="P331" s="392" t="s">
        <v>242</v>
      </c>
      <c r="Q331" s="391" t="e">
        <f ca="1">_xll.qlCalendarAdvance(Calendar,Q330,P331,"f")</f>
        <v>#NAME?</v>
      </c>
      <c r="R331" s="390" t="e">
        <f ca="1">_xll.qlIndexFixing(Index,Q331,,InterestRatesTrigger)</f>
        <v>#NAME?</v>
      </c>
    </row>
    <row r="332" spans="16:18" x14ac:dyDescent="0.2">
      <c r="P332" s="392" t="s">
        <v>242</v>
      </c>
      <c r="Q332" s="391" t="e">
        <f ca="1">_xll.qlCalendarAdvance(Calendar,Q331,P332,"f")</f>
        <v>#NAME?</v>
      </c>
      <c r="R332" s="390" t="e">
        <f ca="1">_xll.qlIndexFixing(Index,Q332,,InterestRatesTrigger)</f>
        <v>#NAME?</v>
      </c>
    </row>
    <row r="333" spans="16:18" x14ac:dyDescent="0.2">
      <c r="P333" s="392" t="s">
        <v>242</v>
      </c>
      <c r="Q333" s="391" t="e">
        <f ca="1">_xll.qlCalendarAdvance(Calendar,Q332,P333,"f")</f>
        <v>#NAME?</v>
      </c>
      <c r="R333" s="390" t="e">
        <f ca="1">_xll.qlIndexFixing(Index,Q333,,InterestRatesTrigger)</f>
        <v>#NAME?</v>
      </c>
    </row>
    <row r="334" spans="16:18" x14ac:dyDescent="0.2">
      <c r="P334" s="392" t="s">
        <v>242</v>
      </c>
      <c r="Q334" s="391" t="e">
        <f ca="1">_xll.qlCalendarAdvance(Calendar,Q333,P334,"f")</f>
        <v>#NAME?</v>
      </c>
      <c r="R334" s="390" t="e">
        <f ca="1">_xll.qlIndexFixing(Index,Q334,,InterestRatesTrigger)</f>
        <v>#NAME?</v>
      </c>
    </row>
    <row r="335" spans="16:18" x14ac:dyDescent="0.2">
      <c r="P335" s="392" t="s">
        <v>242</v>
      </c>
      <c r="Q335" s="391" t="e">
        <f ca="1">_xll.qlCalendarAdvance(Calendar,Q334,P335,"f")</f>
        <v>#NAME?</v>
      </c>
      <c r="R335" s="390" t="e">
        <f ca="1">_xll.qlIndexFixing(Index,Q335,,InterestRatesTrigger)</f>
        <v>#NAME?</v>
      </c>
    </row>
    <row r="336" spans="16:18" x14ac:dyDescent="0.2">
      <c r="P336" s="392" t="s">
        <v>242</v>
      </c>
      <c r="Q336" s="391" t="e">
        <f ca="1">_xll.qlCalendarAdvance(Calendar,Q335,P336,"f")</f>
        <v>#NAME?</v>
      </c>
      <c r="R336" s="390" t="e">
        <f ca="1">_xll.qlIndexFixing(Index,Q336,,InterestRatesTrigger)</f>
        <v>#NAME?</v>
      </c>
    </row>
    <row r="337" spans="16:18" x14ac:dyDescent="0.2">
      <c r="P337" s="392" t="s">
        <v>242</v>
      </c>
      <c r="Q337" s="391" t="e">
        <f ca="1">_xll.qlCalendarAdvance(Calendar,Q336,P337,"f")</f>
        <v>#NAME?</v>
      </c>
      <c r="R337" s="390" t="e">
        <f ca="1">_xll.qlIndexFixing(Index,Q337,,InterestRatesTrigger)</f>
        <v>#NAME?</v>
      </c>
    </row>
    <row r="338" spans="16:18" x14ac:dyDescent="0.2">
      <c r="P338" s="392" t="s">
        <v>242</v>
      </c>
      <c r="Q338" s="391" t="e">
        <f ca="1">_xll.qlCalendarAdvance(Calendar,Q337,P338,"f")</f>
        <v>#NAME?</v>
      </c>
      <c r="R338" s="390" t="e">
        <f ca="1">_xll.qlIndexFixing(Index,Q338,,InterestRatesTrigger)</f>
        <v>#NAME?</v>
      </c>
    </row>
    <row r="339" spans="16:18" x14ac:dyDescent="0.2">
      <c r="P339" s="392" t="s">
        <v>242</v>
      </c>
      <c r="Q339" s="391" t="e">
        <f ca="1">_xll.qlCalendarAdvance(Calendar,Q338,P339,"f")</f>
        <v>#NAME?</v>
      </c>
      <c r="R339" s="390" t="e">
        <f ca="1">_xll.qlIndexFixing(Index,Q339,,InterestRatesTrigger)</f>
        <v>#NAME?</v>
      </c>
    </row>
    <row r="340" spans="16:18" x14ac:dyDescent="0.2">
      <c r="P340" s="392" t="s">
        <v>242</v>
      </c>
      <c r="Q340" s="391" t="e">
        <f ca="1">_xll.qlCalendarAdvance(Calendar,Q339,P340,"f")</f>
        <v>#NAME?</v>
      </c>
      <c r="R340" s="390" t="e">
        <f ca="1">_xll.qlIndexFixing(Index,Q340,,InterestRatesTrigger)</f>
        <v>#NAME?</v>
      </c>
    </row>
    <row r="341" spans="16:18" x14ac:dyDescent="0.2">
      <c r="P341" s="392" t="s">
        <v>242</v>
      </c>
      <c r="Q341" s="391" t="e">
        <f ca="1">_xll.qlCalendarAdvance(Calendar,Q340,P341,"f")</f>
        <v>#NAME?</v>
      </c>
      <c r="R341" s="390" t="e">
        <f ca="1">_xll.qlIndexFixing(Index,Q341,,InterestRatesTrigger)</f>
        <v>#NAME?</v>
      </c>
    </row>
    <row r="342" spans="16:18" x14ac:dyDescent="0.2">
      <c r="P342" s="392" t="s">
        <v>242</v>
      </c>
      <c r="Q342" s="391" t="e">
        <f ca="1">_xll.qlCalendarAdvance(Calendar,Q341,P342,"f")</f>
        <v>#NAME?</v>
      </c>
      <c r="R342" s="390" t="e">
        <f ca="1">_xll.qlIndexFixing(Index,Q342,,InterestRatesTrigger)</f>
        <v>#NAME?</v>
      </c>
    </row>
    <row r="343" spans="16:18" x14ac:dyDescent="0.2">
      <c r="P343" s="392" t="s">
        <v>242</v>
      </c>
      <c r="Q343" s="391" t="e">
        <f ca="1">_xll.qlCalendarAdvance(Calendar,Q342,P343,"f")</f>
        <v>#NAME?</v>
      </c>
      <c r="R343" s="390" t="e">
        <f ca="1">_xll.qlIndexFixing(Index,Q343,,InterestRatesTrigger)</f>
        <v>#NAME?</v>
      </c>
    </row>
    <row r="344" spans="16:18" x14ac:dyDescent="0.2">
      <c r="P344" s="392" t="s">
        <v>242</v>
      </c>
      <c r="Q344" s="391" t="e">
        <f ca="1">_xll.qlCalendarAdvance(Calendar,Q343,P344,"f")</f>
        <v>#NAME?</v>
      </c>
      <c r="R344" s="390" t="e">
        <f ca="1">_xll.qlIndexFixing(Index,Q344,,InterestRatesTrigger)</f>
        <v>#NAME?</v>
      </c>
    </row>
    <row r="345" spans="16:18" x14ac:dyDescent="0.2">
      <c r="P345" s="392" t="s">
        <v>242</v>
      </c>
      <c r="Q345" s="391" t="e">
        <f ca="1">_xll.qlCalendarAdvance(Calendar,Q344,P345,"f")</f>
        <v>#NAME?</v>
      </c>
      <c r="R345" s="390" t="e">
        <f ca="1">_xll.qlIndexFixing(Index,Q345,,InterestRatesTrigger)</f>
        <v>#NAME?</v>
      </c>
    </row>
    <row r="346" spans="16:18" x14ac:dyDescent="0.2">
      <c r="P346" s="392" t="s">
        <v>242</v>
      </c>
      <c r="Q346" s="391" t="e">
        <f ca="1">_xll.qlCalendarAdvance(Calendar,Q345,P346,"f")</f>
        <v>#NAME?</v>
      </c>
      <c r="R346" s="390" t="e">
        <f ca="1">_xll.qlIndexFixing(Index,Q346,,InterestRatesTrigger)</f>
        <v>#NAME?</v>
      </c>
    </row>
    <row r="347" spans="16:18" x14ac:dyDescent="0.2">
      <c r="P347" s="392" t="s">
        <v>242</v>
      </c>
      <c r="Q347" s="391" t="e">
        <f ca="1">_xll.qlCalendarAdvance(Calendar,Q346,P347,"f")</f>
        <v>#NAME?</v>
      </c>
      <c r="R347" s="390" t="e">
        <f ca="1">_xll.qlIndexFixing(Index,Q347,,InterestRatesTrigger)</f>
        <v>#NAME?</v>
      </c>
    </row>
    <row r="348" spans="16:18" x14ac:dyDescent="0.2">
      <c r="P348" s="392" t="s">
        <v>242</v>
      </c>
      <c r="Q348" s="391" t="e">
        <f ca="1">_xll.qlCalendarAdvance(Calendar,Q347,P348,"f")</f>
        <v>#NAME?</v>
      </c>
      <c r="R348" s="390" t="e">
        <f ca="1">_xll.qlIndexFixing(Index,Q348,,InterestRatesTrigger)</f>
        <v>#NAME?</v>
      </c>
    </row>
    <row r="349" spans="16:18" x14ac:dyDescent="0.2">
      <c r="P349" s="392" t="s">
        <v>242</v>
      </c>
      <c r="Q349" s="391" t="e">
        <f ca="1">_xll.qlCalendarAdvance(Calendar,Q348,P349,"f")</f>
        <v>#NAME?</v>
      </c>
      <c r="R349" s="390" t="e">
        <f ca="1">_xll.qlIndexFixing(Index,Q349,,InterestRatesTrigger)</f>
        <v>#NAME?</v>
      </c>
    </row>
    <row r="350" spans="16:18" x14ac:dyDescent="0.2">
      <c r="P350" s="392" t="s">
        <v>242</v>
      </c>
      <c r="Q350" s="391" t="e">
        <f ca="1">_xll.qlCalendarAdvance(Calendar,Q349,P350,"f")</f>
        <v>#NAME?</v>
      </c>
      <c r="R350" s="390" t="e">
        <f ca="1">_xll.qlIndexFixing(Index,Q350,,InterestRatesTrigger)</f>
        <v>#NAME?</v>
      </c>
    </row>
    <row r="351" spans="16:18" x14ac:dyDescent="0.2">
      <c r="P351" s="392" t="s">
        <v>242</v>
      </c>
      <c r="Q351" s="391" t="e">
        <f ca="1">_xll.qlCalendarAdvance(Calendar,Q350,P351,"f")</f>
        <v>#NAME?</v>
      </c>
      <c r="R351" s="390" t="e">
        <f ca="1">_xll.qlIndexFixing(Index,Q351,,InterestRatesTrigger)</f>
        <v>#NAME?</v>
      </c>
    </row>
    <row r="352" spans="16:18" x14ac:dyDescent="0.2">
      <c r="P352" s="392" t="s">
        <v>242</v>
      </c>
      <c r="Q352" s="391" t="e">
        <f ca="1">_xll.qlCalendarAdvance(Calendar,Q351,P352,"f")</f>
        <v>#NAME?</v>
      </c>
      <c r="R352" s="390" t="e">
        <f ca="1">_xll.qlIndexFixing(Index,Q352,,InterestRatesTrigger)</f>
        <v>#NAME?</v>
      </c>
    </row>
    <row r="353" spans="16:18" x14ac:dyDescent="0.2">
      <c r="P353" s="392" t="s">
        <v>242</v>
      </c>
      <c r="Q353" s="391" t="e">
        <f ca="1">_xll.qlCalendarAdvance(Calendar,Q352,P353,"f")</f>
        <v>#NAME?</v>
      </c>
      <c r="R353" s="390" t="e">
        <f ca="1">_xll.qlIndexFixing(Index,Q353,,InterestRatesTrigger)</f>
        <v>#NAME?</v>
      </c>
    </row>
    <row r="354" spans="16:18" x14ac:dyDescent="0.2">
      <c r="P354" s="392" t="s">
        <v>242</v>
      </c>
      <c r="Q354" s="391" t="e">
        <f ca="1">_xll.qlCalendarAdvance(Calendar,Q353,P354,"f")</f>
        <v>#NAME?</v>
      </c>
      <c r="R354" s="390" t="e">
        <f ca="1">_xll.qlIndexFixing(Index,Q354,,InterestRatesTrigger)</f>
        <v>#NAME?</v>
      </c>
    </row>
    <row r="355" spans="16:18" x14ac:dyDescent="0.2">
      <c r="P355" s="392" t="s">
        <v>242</v>
      </c>
      <c r="Q355" s="391" t="e">
        <f ca="1">_xll.qlCalendarAdvance(Calendar,Q354,P355,"f")</f>
        <v>#NAME?</v>
      </c>
      <c r="R355" s="390" t="e">
        <f ca="1">_xll.qlIndexFixing(Index,Q355,,InterestRatesTrigger)</f>
        <v>#NAME?</v>
      </c>
    </row>
    <row r="356" spans="16:18" x14ac:dyDescent="0.2">
      <c r="P356" s="392" t="s">
        <v>242</v>
      </c>
      <c r="Q356" s="391" t="e">
        <f ca="1">_xll.qlCalendarAdvance(Calendar,Q355,P356,"f")</f>
        <v>#NAME?</v>
      </c>
      <c r="R356" s="390" t="e">
        <f ca="1">_xll.qlIndexFixing(Index,Q356,,InterestRatesTrigger)</f>
        <v>#NAME?</v>
      </c>
    </row>
    <row r="357" spans="16:18" x14ac:dyDescent="0.2">
      <c r="P357" s="392" t="s">
        <v>242</v>
      </c>
      <c r="Q357" s="391" t="e">
        <f ca="1">_xll.qlCalendarAdvance(Calendar,Q356,P357,"f")</f>
        <v>#NAME?</v>
      </c>
      <c r="R357" s="390" t="e">
        <f ca="1">_xll.qlIndexFixing(Index,Q357,,InterestRatesTrigger)</f>
        <v>#NAME?</v>
      </c>
    </row>
    <row r="358" spans="16:18" x14ac:dyDescent="0.2">
      <c r="P358" s="392" t="s">
        <v>242</v>
      </c>
      <c r="Q358" s="391" t="e">
        <f ca="1">_xll.qlCalendarAdvance(Calendar,Q357,P358,"f")</f>
        <v>#NAME?</v>
      </c>
      <c r="R358" s="390" t="e">
        <f ca="1">_xll.qlIndexFixing(Index,Q358,,InterestRatesTrigger)</f>
        <v>#NAME?</v>
      </c>
    </row>
    <row r="359" spans="16:18" x14ac:dyDescent="0.2">
      <c r="P359" s="392" t="s">
        <v>242</v>
      </c>
      <c r="Q359" s="391" t="e">
        <f ca="1">_xll.qlCalendarAdvance(Calendar,Q358,P359,"f")</f>
        <v>#NAME?</v>
      </c>
      <c r="R359" s="390" t="e">
        <f ca="1">_xll.qlIndexFixing(Index,Q359,,InterestRatesTrigger)</f>
        <v>#NAME?</v>
      </c>
    </row>
    <row r="360" spans="16:18" x14ac:dyDescent="0.2">
      <c r="P360" s="392" t="s">
        <v>242</v>
      </c>
      <c r="Q360" s="391" t="e">
        <f ca="1">_xll.qlCalendarAdvance(Calendar,Q359,P360,"f")</f>
        <v>#NAME?</v>
      </c>
      <c r="R360" s="390" t="e">
        <f ca="1">_xll.qlIndexFixing(Index,Q360,,InterestRatesTrigger)</f>
        <v>#NAME?</v>
      </c>
    </row>
    <row r="361" spans="16:18" x14ac:dyDescent="0.2">
      <c r="P361" s="392" t="s">
        <v>242</v>
      </c>
      <c r="Q361" s="391" t="e">
        <f ca="1">_xll.qlCalendarAdvance(Calendar,Q360,P361,"f")</f>
        <v>#NAME?</v>
      </c>
      <c r="R361" s="390" t="e">
        <f ca="1">_xll.qlIndexFixing(Index,Q361,,InterestRatesTrigger)</f>
        <v>#NAME?</v>
      </c>
    </row>
    <row r="362" spans="16:18" x14ac:dyDescent="0.2">
      <c r="P362" s="392" t="s">
        <v>242</v>
      </c>
      <c r="Q362" s="391" t="e">
        <f ca="1">_xll.qlCalendarAdvance(Calendar,Q361,P362,"f")</f>
        <v>#NAME?</v>
      </c>
      <c r="R362" s="390" t="e">
        <f ca="1">_xll.qlIndexFixing(Index,Q362,,InterestRatesTrigger)</f>
        <v>#NAME?</v>
      </c>
    </row>
    <row r="363" spans="16:18" x14ac:dyDescent="0.2">
      <c r="P363" s="392" t="s">
        <v>242</v>
      </c>
      <c r="Q363" s="391" t="e">
        <f ca="1">_xll.qlCalendarAdvance(Calendar,Q362,P363,"f")</f>
        <v>#NAME?</v>
      </c>
      <c r="R363" s="390" t="e">
        <f ca="1">_xll.qlIndexFixing(Index,Q363,,InterestRatesTrigger)</f>
        <v>#NAME?</v>
      </c>
    </row>
    <row r="364" spans="16:18" x14ac:dyDescent="0.2">
      <c r="P364" s="392" t="s">
        <v>242</v>
      </c>
      <c r="Q364" s="391" t="e">
        <f ca="1">_xll.qlCalendarAdvance(Calendar,Q363,P364,"f")</f>
        <v>#NAME?</v>
      </c>
      <c r="R364" s="390" t="e">
        <f ca="1">_xll.qlIndexFixing(Index,Q364,,InterestRatesTrigger)</f>
        <v>#NAME?</v>
      </c>
    </row>
    <row r="365" spans="16:18" x14ac:dyDescent="0.2">
      <c r="P365" s="392" t="s">
        <v>242</v>
      </c>
      <c r="Q365" s="391" t="e">
        <f ca="1">_xll.qlCalendarAdvance(Calendar,Q364,P365,"f")</f>
        <v>#NAME?</v>
      </c>
      <c r="R365" s="390" t="e">
        <f ca="1">_xll.qlIndexFixing(Index,Q365,,InterestRatesTrigger)</f>
        <v>#NAME?</v>
      </c>
    </row>
    <row r="366" spans="16:18" x14ac:dyDescent="0.2">
      <c r="P366" s="392" t="s">
        <v>242</v>
      </c>
      <c r="Q366" s="391" t="e">
        <f ca="1">_xll.qlCalendarAdvance(Calendar,Q365,P366,"f")</f>
        <v>#NAME?</v>
      </c>
      <c r="R366" s="390" t="e">
        <f ca="1">_xll.qlIndexFixing(Index,Q366,,InterestRatesTrigger)</f>
        <v>#NAME?</v>
      </c>
    </row>
    <row r="367" spans="16:18" x14ac:dyDescent="0.2">
      <c r="P367" s="392" t="s">
        <v>242</v>
      </c>
      <c r="Q367" s="391" t="e">
        <f ca="1">_xll.qlCalendarAdvance(Calendar,Q366,P367,"f")</f>
        <v>#NAME?</v>
      </c>
      <c r="R367" s="390" t="e">
        <f ca="1">_xll.qlIndexFixing(Index,Q367,,InterestRatesTrigger)</f>
        <v>#NAME?</v>
      </c>
    </row>
    <row r="368" spans="16:18" x14ac:dyDescent="0.2">
      <c r="P368" s="392" t="s">
        <v>242</v>
      </c>
      <c r="Q368" s="391" t="e">
        <f ca="1">_xll.qlCalendarAdvance(Calendar,Q367,P368,"f")</f>
        <v>#NAME?</v>
      </c>
      <c r="R368" s="390" t="e">
        <f ca="1">_xll.qlIndexFixing(Index,Q368,,InterestRatesTrigger)</f>
        <v>#NAME?</v>
      </c>
    </row>
    <row r="369" spans="16:18" x14ac:dyDescent="0.2">
      <c r="P369" s="392" t="s">
        <v>242</v>
      </c>
      <c r="Q369" s="391" t="e">
        <f ca="1">_xll.qlCalendarAdvance(Calendar,Q368,P369,"f")</f>
        <v>#NAME?</v>
      </c>
      <c r="R369" s="390" t="e">
        <f ca="1">_xll.qlIndexFixing(Index,Q369,,InterestRatesTrigger)</f>
        <v>#NAME?</v>
      </c>
    </row>
    <row r="370" spans="16:18" x14ac:dyDescent="0.2">
      <c r="P370" s="392" t="s">
        <v>242</v>
      </c>
      <c r="Q370" s="391" t="e">
        <f ca="1">_xll.qlCalendarAdvance(Calendar,Q369,P370,"f")</f>
        <v>#NAME?</v>
      </c>
      <c r="R370" s="390" t="e">
        <f ca="1">_xll.qlIndexFixing(Index,Q370,,InterestRatesTrigger)</f>
        <v>#NAME?</v>
      </c>
    </row>
    <row r="371" spans="16:18" x14ac:dyDescent="0.2">
      <c r="P371" s="392" t="s">
        <v>242</v>
      </c>
      <c r="Q371" s="391" t="e">
        <f ca="1">_xll.qlCalendarAdvance(Calendar,Q370,P371,"f")</f>
        <v>#NAME?</v>
      </c>
      <c r="R371" s="390" t="e">
        <f ca="1">_xll.qlIndexFixing(Index,Q371,,InterestRatesTrigger)</f>
        <v>#NAME?</v>
      </c>
    </row>
    <row r="372" spans="16:18" x14ac:dyDescent="0.2">
      <c r="P372" s="392" t="s">
        <v>242</v>
      </c>
      <c r="Q372" s="391" t="e">
        <f ca="1">_xll.qlCalendarAdvance(Calendar,Q371,P372,"f")</f>
        <v>#NAME?</v>
      </c>
      <c r="R372" s="390" t="e">
        <f ca="1">_xll.qlIndexFixing(Index,Q372,,InterestRatesTrigger)</f>
        <v>#NAME?</v>
      </c>
    </row>
    <row r="373" spans="16:18" x14ac:dyDescent="0.2">
      <c r="P373" s="392" t="s">
        <v>242</v>
      </c>
      <c r="Q373" s="391" t="e">
        <f ca="1">_xll.qlCalendarAdvance(Calendar,Q372,P373,"f")</f>
        <v>#NAME?</v>
      </c>
      <c r="R373" s="390" t="e">
        <f ca="1">_xll.qlIndexFixing(Index,Q373,,InterestRatesTrigger)</f>
        <v>#NAME?</v>
      </c>
    </row>
    <row r="374" spans="16:18" x14ac:dyDescent="0.2">
      <c r="P374" s="392" t="s">
        <v>242</v>
      </c>
      <c r="Q374" s="391" t="e">
        <f ca="1">_xll.qlCalendarAdvance(Calendar,Q373,P374,"f")</f>
        <v>#NAME?</v>
      </c>
      <c r="R374" s="390" t="e">
        <f ca="1">_xll.qlIndexFixing(Index,Q374,,InterestRatesTrigger)</f>
        <v>#NAME?</v>
      </c>
    </row>
    <row r="375" spans="16:18" x14ac:dyDescent="0.2">
      <c r="P375" s="392" t="s">
        <v>242</v>
      </c>
      <c r="Q375" s="391" t="e">
        <f ca="1">_xll.qlCalendarAdvance(Calendar,Q374,P375,"f")</f>
        <v>#NAME?</v>
      </c>
      <c r="R375" s="390" t="e">
        <f ca="1">_xll.qlIndexFixing(Index,Q375,,InterestRatesTrigger)</f>
        <v>#NAME?</v>
      </c>
    </row>
    <row r="376" spans="16:18" x14ac:dyDescent="0.2">
      <c r="P376" s="392" t="s">
        <v>242</v>
      </c>
      <c r="Q376" s="391" t="e">
        <f ca="1">_xll.qlCalendarAdvance(Calendar,Q375,P376,"f")</f>
        <v>#NAME?</v>
      </c>
      <c r="R376" s="390" t="e">
        <f ca="1">_xll.qlIndexFixing(Index,Q376,,InterestRatesTrigger)</f>
        <v>#NAME?</v>
      </c>
    </row>
    <row r="377" spans="16:18" x14ac:dyDescent="0.2">
      <c r="P377" s="392" t="s">
        <v>242</v>
      </c>
      <c r="Q377" s="391" t="e">
        <f ca="1">_xll.qlCalendarAdvance(Calendar,Q376,P377,"f")</f>
        <v>#NAME?</v>
      </c>
      <c r="R377" s="390" t="e">
        <f ca="1">_xll.qlIndexFixing(Index,Q377,,InterestRatesTrigger)</f>
        <v>#NAME?</v>
      </c>
    </row>
    <row r="378" spans="16:18" x14ac:dyDescent="0.2">
      <c r="P378" s="392" t="s">
        <v>242</v>
      </c>
      <c r="Q378" s="391" t="e">
        <f ca="1">_xll.qlCalendarAdvance(Calendar,Q377,P378,"f")</f>
        <v>#NAME?</v>
      </c>
      <c r="R378" s="390" t="e">
        <f ca="1">_xll.qlIndexFixing(Index,Q378,,InterestRatesTrigger)</f>
        <v>#NAME?</v>
      </c>
    </row>
    <row r="379" spans="16:18" x14ac:dyDescent="0.2">
      <c r="P379" s="392" t="s">
        <v>242</v>
      </c>
      <c r="Q379" s="391" t="e">
        <f ca="1">_xll.qlCalendarAdvance(Calendar,Q378,P379,"f")</f>
        <v>#NAME?</v>
      </c>
      <c r="R379" s="390" t="e">
        <f ca="1">_xll.qlIndexFixing(Index,Q379,,InterestRatesTrigger)</f>
        <v>#NAME?</v>
      </c>
    </row>
    <row r="380" spans="16:18" x14ac:dyDescent="0.2">
      <c r="P380" s="392" t="s">
        <v>242</v>
      </c>
      <c r="Q380" s="391" t="e">
        <f ca="1">_xll.qlCalendarAdvance(Calendar,Q379,P380,"f")</f>
        <v>#NAME?</v>
      </c>
      <c r="R380" s="390" t="e">
        <f ca="1">_xll.qlIndexFixing(Index,Q380,,InterestRatesTrigger)</f>
        <v>#NAME?</v>
      </c>
    </row>
    <row r="381" spans="16:18" x14ac:dyDescent="0.2">
      <c r="P381" s="392" t="s">
        <v>242</v>
      </c>
      <c r="Q381" s="391" t="e">
        <f ca="1">_xll.qlCalendarAdvance(Calendar,Q380,P381,"f")</f>
        <v>#NAME?</v>
      </c>
      <c r="R381" s="390" t="e">
        <f ca="1">_xll.qlIndexFixing(Index,Q381,,InterestRatesTrigger)</f>
        <v>#NAME?</v>
      </c>
    </row>
    <row r="382" spans="16:18" x14ac:dyDescent="0.2">
      <c r="P382" s="392" t="s">
        <v>242</v>
      </c>
      <c r="Q382" s="391" t="e">
        <f ca="1">_xll.qlCalendarAdvance(Calendar,Q381,P382,"f")</f>
        <v>#NAME?</v>
      </c>
      <c r="R382" s="390" t="e">
        <f ca="1">_xll.qlIndexFixing(Index,Q382,,InterestRatesTrigger)</f>
        <v>#NAME?</v>
      </c>
    </row>
    <row r="383" spans="16:18" x14ac:dyDescent="0.2">
      <c r="P383" s="392" t="s">
        <v>242</v>
      </c>
      <c r="Q383" s="391" t="e">
        <f ca="1">_xll.qlCalendarAdvance(Calendar,Q382,P383,"f")</f>
        <v>#NAME?</v>
      </c>
      <c r="R383" s="390" t="e">
        <f ca="1">_xll.qlIndexFixing(Index,Q383,,InterestRatesTrigger)</f>
        <v>#NAME?</v>
      </c>
    </row>
    <row r="384" spans="16:18" x14ac:dyDescent="0.2">
      <c r="P384" s="392" t="s">
        <v>242</v>
      </c>
      <c r="Q384" s="391" t="e">
        <f ca="1">_xll.qlCalendarAdvance(Calendar,Q383,P384,"f")</f>
        <v>#NAME?</v>
      </c>
      <c r="R384" s="390" t="e">
        <f ca="1">_xll.qlIndexFixing(Index,Q384,,InterestRatesTrigger)</f>
        <v>#NAME?</v>
      </c>
    </row>
    <row r="385" spans="16:18" x14ac:dyDescent="0.2">
      <c r="P385" s="392" t="s">
        <v>242</v>
      </c>
      <c r="Q385" s="391" t="e">
        <f ca="1">_xll.qlCalendarAdvance(Calendar,Q384,P385,"f")</f>
        <v>#NAME?</v>
      </c>
      <c r="R385" s="390" t="e">
        <f ca="1">_xll.qlIndexFixing(Index,Q385,,InterestRatesTrigger)</f>
        <v>#NAME?</v>
      </c>
    </row>
    <row r="386" spans="16:18" x14ac:dyDescent="0.2">
      <c r="P386" s="392" t="s">
        <v>242</v>
      </c>
      <c r="Q386" s="391" t="e">
        <f ca="1">_xll.qlCalendarAdvance(Calendar,Q385,P386,"f")</f>
        <v>#NAME?</v>
      </c>
      <c r="R386" s="390" t="e">
        <f ca="1">_xll.qlIndexFixing(Index,Q386,,InterestRatesTrigger)</f>
        <v>#NAME?</v>
      </c>
    </row>
    <row r="387" spans="16:18" x14ac:dyDescent="0.2">
      <c r="P387" s="392" t="s">
        <v>242</v>
      </c>
      <c r="Q387" s="391" t="e">
        <f ca="1">_xll.qlCalendarAdvance(Calendar,Q386,P387,"f")</f>
        <v>#NAME?</v>
      </c>
      <c r="R387" s="390" t="e">
        <f ca="1">_xll.qlIndexFixing(Index,Q387,,InterestRatesTrigger)</f>
        <v>#NAME?</v>
      </c>
    </row>
    <row r="388" spans="16:18" x14ac:dyDescent="0.2">
      <c r="P388" s="392" t="s">
        <v>242</v>
      </c>
      <c r="Q388" s="391" t="e">
        <f ca="1">_xll.qlCalendarAdvance(Calendar,Q387,P388,"f")</f>
        <v>#NAME?</v>
      </c>
      <c r="R388" s="390" t="e">
        <f ca="1">_xll.qlIndexFixing(Index,Q388,,InterestRatesTrigger)</f>
        <v>#NAME?</v>
      </c>
    </row>
    <row r="389" spans="16:18" x14ac:dyDescent="0.2">
      <c r="P389" s="392" t="s">
        <v>242</v>
      </c>
      <c r="Q389" s="391" t="e">
        <f ca="1">_xll.qlCalendarAdvance(Calendar,Q388,P389,"f")</f>
        <v>#NAME?</v>
      </c>
      <c r="R389" s="390" t="e">
        <f ca="1">_xll.qlIndexFixing(Index,Q389,,InterestRatesTrigger)</f>
        <v>#NAME?</v>
      </c>
    </row>
    <row r="390" spans="16:18" x14ac:dyDescent="0.2">
      <c r="P390" s="392" t="s">
        <v>242</v>
      </c>
      <c r="Q390" s="391" t="e">
        <f ca="1">_xll.qlCalendarAdvance(Calendar,Q389,P390,"f")</f>
        <v>#NAME?</v>
      </c>
      <c r="R390" s="390" t="e">
        <f ca="1">_xll.qlIndexFixing(Index,Q390,,InterestRatesTrigger)</f>
        <v>#NAME?</v>
      </c>
    </row>
    <row r="391" spans="16:18" x14ac:dyDescent="0.2">
      <c r="P391" s="392" t="s">
        <v>242</v>
      </c>
      <c r="Q391" s="391" t="e">
        <f ca="1">_xll.qlCalendarAdvance(Calendar,Q390,P391,"f")</f>
        <v>#NAME?</v>
      </c>
      <c r="R391" s="390" t="e">
        <f ca="1">_xll.qlIndexFixing(Index,Q391,,InterestRatesTrigger)</f>
        <v>#NAME?</v>
      </c>
    </row>
    <row r="392" spans="16:18" x14ac:dyDescent="0.2">
      <c r="P392" s="392" t="s">
        <v>242</v>
      </c>
      <c r="Q392" s="391" t="e">
        <f ca="1">_xll.qlCalendarAdvance(Calendar,Q391,P392,"f")</f>
        <v>#NAME?</v>
      </c>
      <c r="R392" s="390" t="e">
        <f ca="1">_xll.qlIndexFixing(Index,Q392,,InterestRatesTrigger)</f>
        <v>#NAME?</v>
      </c>
    </row>
    <row r="393" spans="16:18" x14ac:dyDescent="0.2">
      <c r="P393" s="392" t="s">
        <v>242</v>
      </c>
      <c r="Q393" s="391" t="e">
        <f ca="1">_xll.qlCalendarAdvance(Calendar,Q392,P393,"f")</f>
        <v>#NAME?</v>
      </c>
      <c r="R393" s="390" t="e">
        <f ca="1">_xll.qlIndexFixing(Index,Q393,,InterestRatesTrigger)</f>
        <v>#NAME?</v>
      </c>
    </row>
    <row r="394" spans="16:18" x14ac:dyDescent="0.2">
      <c r="P394" s="392" t="s">
        <v>242</v>
      </c>
      <c r="Q394" s="391" t="e">
        <f ca="1">_xll.qlCalendarAdvance(Calendar,Q393,P394,"f")</f>
        <v>#NAME?</v>
      </c>
      <c r="R394" s="390" t="e">
        <f ca="1">_xll.qlIndexFixing(Index,Q394,,InterestRatesTrigger)</f>
        <v>#NAME?</v>
      </c>
    </row>
    <row r="395" spans="16:18" x14ac:dyDescent="0.2">
      <c r="P395" s="392" t="s">
        <v>242</v>
      </c>
      <c r="Q395" s="391" t="e">
        <f ca="1">_xll.qlCalendarAdvance(Calendar,Q394,P395,"f")</f>
        <v>#NAME?</v>
      </c>
      <c r="R395" s="390" t="e">
        <f ca="1">_xll.qlIndexFixing(Index,Q395,,InterestRatesTrigger)</f>
        <v>#NAME?</v>
      </c>
    </row>
    <row r="396" spans="16:18" x14ac:dyDescent="0.2">
      <c r="P396" s="392" t="s">
        <v>242</v>
      </c>
      <c r="Q396" s="391" t="e">
        <f ca="1">_xll.qlCalendarAdvance(Calendar,Q395,P396,"f")</f>
        <v>#NAME?</v>
      </c>
      <c r="R396" s="390" t="e">
        <f ca="1">_xll.qlIndexFixing(Index,Q396,,InterestRatesTrigger)</f>
        <v>#NAME?</v>
      </c>
    </row>
    <row r="397" spans="16:18" x14ac:dyDescent="0.2">
      <c r="P397" s="392" t="s">
        <v>242</v>
      </c>
      <c r="Q397" s="391" t="e">
        <f ca="1">_xll.qlCalendarAdvance(Calendar,Q396,P397,"f")</f>
        <v>#NAME?</v>
      </c>
      <c r="R397" s="390" t="e">
        <f ca="1">_xll.qlIndexFixing(Index,Q397,,InterestRatesTrigger)</f>
        <v>#NAME?</v>
      </c>
    </row>
    <row r="398" spans="16:18" x14ac:dyDescent="0.2">
      <c r="P398" s="392" t="s">
        <v>242</v>
      </c>
      <c r="Q398" s="391" t="e">
        <f ca="1">_xll.qlCalendarAdvance(Calendar,Q397,P398,"f")</f>
        <v>#NAME?</v>
      </c>
      <c r="R398" s="390" t="e">
        <f ca="1">_xll.qlIndexFixing(Index,Q398,,InterestRatesTrigger)</f>
        <v>#NAME?</v>
      </c>
    </row>
    <row r="399" spans="16:18" x14ac:dyDescent="0.2">
      <c r="P399" s="392" t="s">
        <v>242</v>
      </c>
      <c r="Q399" s="391" t="e">
        <f ca="1">_xll.qlCalendarAdvance(Calendar,Q398,P399,"f")</f>
        <v>#NAME?</v>
      </c>
      <c r="R399" s="390" t="e">
        <f ca="1">_xll.qlIndexFixing(Index,Q399,,InterestRatesTrigger)</f>
        <v>#NAME?</v>
      </c>
    </row>
    <row r="400" spans="16:18" x14ac:dyDescent="0.2">
      <c r="P400" s="392" t="s">
        <v>242</v>
      </c>
      <c r="Q400" s="391" t="e">
        <f ca="1">_xll.qlCalendarAdvance(Calendar,Q399,P400,"f")</f>
        <v>#NAME?</v>
      </c>
      <c r="R400" s="390" t="e">
        <f ca="1">_xll.qlIndexFixing(Index,Q400,,InterestRatesTrigger)</f>
        <v>#NAME?</v>
      </c>
    </row>
    <row r="401" spans="16:18" x14ac:dyDescent="0.2">
      <c r="P401" s="392" t="s">
        <v>242</v>
      </c>
      <c r="Q401" s="391" t="e">
        <f ca="1">_xll.qlCalendarAdvance(Calendar,Q400,P401,"f")</f>
        <v>#NAME?</v>
      </c>
      <c r="R401" s="390" t="e">
        <f ca="1">_xll.qlIndexFixing(Index,Q401,,InterestRatesTrigger)</f>
        <v>#NAME?</v>
      </c>
    </row>
    <row r="402" spans="16:18" x14ac:dyDescent="0.2">
      <c r="P402" s="392" t="s">
        <v>242</v>
      </c>
      <c r="Q402" s="391" t="e">
        <f ca="1">_xll.qlCalendarAdvance(Calendar,Q401,P402,"f")</f>
        <v>#NAME?</v>
      </c>
      <c r="R402" s="390" t="e">
        <f ca="1">_xll.qlIndexFixing(Index,Q402,,InterestRatesTrigger)</f>
        <v>#NAME?</v>
      </c>
    </row>
    <row r="403" spans="16:18" x14ac:dyDescent="0.2">
      <c r="P403" s="392" t="s">
        <v>242</v>
      </c>
      <c r="Q403" s="391" t="e">
        <f ca="1">_xll.qlCalendarAdvance(Calendar,Q402,P403,"f")</f>
        <v>#NAME?</v>
      </c>
      <c r="R403" s="390" t="e">
        <f ca="1">_xll.qlIndexFixing(Index,Q403,,InterestRatesTrigger)</f>
        <v>#NAME?</v>
      </c>
    </row>
    <row r="404" spans="16:18" x14ac:dyDescent="0.2">
      <c r="P404" s="392" t="s">
        <v>242</v>
      </c>
      <c r="Q404" s="391" t="e">
        <f ca="1">_xll.qlCalendarAdvance(Calendar,Q403,P404,"f")</f>
        <v>#NAME?</v>
      </c>
      <c r="R404" s="390" t="e">
        <f ca="1">_xll.qlIndexFixing(Index,Q404,,InterestRatesTrigger)</f>
        <v>#NAME?</v>
      </c>
    </row>
    <row r="405" spans="16:18" x14ac:dyDescent="0.2">
      <c r="P405" s="392" t="s">
        <v>242</v>
      </c>
      <c r="Q405" s="391" t="e">
        <f ca="1">_xll.qlCalendarAdvance(Calendar,Q404,P405,"f")</f>
        <v>#NAME?</v>
      </c>
      <c r="R405" s="390" t="e">
        <f ca="1">_xll.qlIndexFixing(Index,Q405,,InterestRatesTrigger)</f>
        <v>#NAME?</v>
      </c>
    </row>
    <row r="406" spans="16:18" x14ac:dyDescent="0.2">
      <c r="P406" s="392" t="s">
        <v>242</v>
      </c>
      <c r="Q406" s="391" t="e">
        <f ca="1">_xll.qlCalendarAdvance(Calendar,Q405,P406,"f")</f>
        <v>#NAME?</v>
      </c>
      <c r="R406" s="390" t="e">
        <f ca="1">_xll.qlIndexFixing(Index,Q406,,InterestRatesTrigger)</f>
        <v>#NAME?</v>
      </c>
    </row>
    <row r="407" spans="16:18" x14ac:dyDescent="0.2">
      <c r="P407" s="392" t="s">
        <v>242</v>
      </c>
      <c r="Q407" s="391" t="e">
        <f ca="1">_xll.qlCalendarAdvance(Calendar,Q406,P407,"f")</f>
        <v>#NAME?</v>
      </c>
      <c r="R407" s="390" t="e">
        <f ca="1">_xll.qlIndexFixing(Index,Q407,,InterestRatesTrigger)</f>
        <v>#NAME?</v>
      </c>
    </row>
    <row r="408" spans="16:18" x14ac:dyDescent="0.2">
      <c r="P408" s="392" t="s">
        <v>242</v>
      </c>
      <c r="Q408" s="391" t="e">
        <f ca="1">_xll.qlCalendarAdvance(Calendar,Q407,P408,"f")</f>
        <v>#NAME?</v>
      </c>
      <c r="R408" s="390" t="e">
        <f ca="1">_xll.qlIndexFixing(Index,Q408,,InterestRatesTrigger)</f>
        <v>#NAME?</v>
      </c>
    </row>
    <row r="409" spans="16:18" x14ac:dyDescent="0.2">
      <c r="P409" s="392" t="s">
        <v>242</v>
      </c>
      <c r="Q409" s="391" t="e">
        <f ca="1">_xll.qlCalendarAdvance(Calendar,Q408,P409,"f")</f>
        <v>#NAME?</v>
      </c>
      <c r="R409" s="390" t="e">
        <f ca="1">_xll.qlIndexFixing(Index,Q409,,InterestRatesTrigger)</f>
        <v>#NAME?</v>
      </c>
    </row>
    <row r="410" spans="16:18" x14ac:dyDescent="0.2">
      <c r="P410" s="392" t="s">
        <v>242</v>
      </c>
      <c r="Q410" s="391" t="e">
        <f ca="1">_xll.qlCalendarAdvance(Calendar,Q409,P410,"f")</f>
        <v>#NAME?</v>
      </c>
      <c r="R410" s="390" t="e">
        <f ca="1">_xll.qlIndexFixing(Index,Q410,,InterestRatesTrigger)</f>
        <v>#NAME?</v>
      </c>
    </row>
    <row r="411" spans="16:18" x14ac:dyDescent="0.2">
      <c r="P411" s="392" t="s">
        <v>242</v>
      </c>
      <c r="Q411" s="391" t="e">
        <f ca="1">_xll.qlCalendarAdvance(Calendar,Q410,P411,"f")</f>
        <v>#NAME?</v>
      </c>
      <c r="R411" s="390" t="e">
        <f ca="1">_xll.qlIndexFixing(Index,Q411,,InterestRatesTrigger)</f>
        <v>#NAME?</v>
      </c>
    </row>
    <row r="412" spans="16:18" x14ac:dyDescent="0.2">
      <c r="P412" s="392" t="s">
        <v>242</v>
      </c>
      <c r="Q412" s="391" t="e">
        <f ca="1">_xll.qlCalendarAdvance(Calendar,Q411,P412,"f")</f>
        <v>#NAME?</v>
      </c>
      <c r="R412" s="390" t="e">
        <f ca="1">_xll.qlIndexFixing(Index,Q412,,InterestRatesTrigger)</f>
        <v>#NAME?</v>
      </c>
    </row>
    <row r="413" spans="16:18" x14ac:dyDescent="0.2">
      <c r="P413" s="392" t="s">
        <v>242</v>
      </c>
      <c r="Q413" s="391" t="e">
        <f ca="1">_xll.qlCalendarAdvance(Calendar,Q412,P413,"f")</f>
        <v>#NAME?</v>
      </c>
      <c r="R413" s="390" t="e">
        <f ca="1">_xll.qlIndexFixing(Index,Q413,,InterestRatesTrigger)</f>
        <v>#NAME?</v>
      </c>
    </row>
    <row r="414" spans="16:18" x14ac:dyDescent="0.2">
      <c r="P414" s="392" t="s">
        <v>242</v>
      </c>
      <c r="Q414" s="391" t="e">
        <f ca="1">_xll.qlCalendarAdvance(Calendar,Q413,P414,"f")</f>
        <v>#NAME?</v>
      </c>
      <c r="R414" s="390" t="e">
        <f ca="1">_xll.qlIndexFixing(Index,Q414,,InterestRatesTrigger)</f>
        <v>#NAME?</v>
      </c>
    </row>
    <row r="415" spans="16:18" x14ac:dyDescent="0.2">
      <c r="P415" s="392" t="s">
        <v>242</v>
      </c>
      <c r="Q415" s="391" t="e">
        <f ca="1">_xll.qlCalendarAdvance(Calendar,Q414,P415,"f")</f>
        <v>#NAME?</v>
      </c>
      <c r="R415" s="390" t="e">
        <f ca="1">_xll.qlIndexFixing(Index,Q415,,InterestRatesTrigger)</f>
        <v>#NAME?</v>
      </c>
    </row>
    <row r="416" spans="16:18" x14ac:dyDescent="0.2">
      <c r="P416" s="392" t="s">
        <v>242</v>
      </c>
      <c r="Q416" s="391" t="e">
        <f ca="1">_xll.qlCalendarAdvance(Calendar,Q415,P416,"f")</f>
        <v>#NAME?</v>
      </c>
      <c r="R416" s="390" t="e">
        <f ca="1">_xll.qlIndexFixing(Index,Q416,,InterestRatesTrigger)</f>
        <v>#NAME?</v>
      </c>
    </row>
    <row r="417" spans="16:18" x14ac:dyDescent="0.2">
      <c r="P417" s="392" t="s">
        <v>242</v>
      </c>
      <c r="Q417" s="391" t="e">
        <f ca="1">_xll.qlCalendarAdvance(Calendar,Q416,P417,"f")</f>
        <v>#NAME?</v>
      </c>
      <c r="R417" s="390" t="e">
        <f ca="1">_xll.qlIndexFixing(Index,Q417,,InterestRatesTrigger)</f>
        <v>#NAME?</v>
      </c>
    </row>
    <row r="418" spans="16:18" x14ac:dyDescent="0.2">
      <c r="P418" s="392" t="s">
        <v>242</v>
      </c>
      <c r="Q418" s="391" t="e">
        <f ca="1">_xll.qlCalendarAdvance(Calendar,Q417,P418,"f")</f>
        <v>#NAME?</v>
      </c>
      <c r="R418" s="390" t="e">
        <f ca="1">_xll.qlIndexFixing(Index,Q418,,InterestRatesTrigger)</f>
        <v>#NAME?</v>
      </c>
    </row>
    <row r="419" spans="16:18" x14ac:dyDescent="0.2">
      <c r="P419" s="392" t="s">
        <v>242</v>
      </c>
      <c r="Q419" s="391" t="e">
        <f ca="1">_xll.qlCalendarAdvance(Calendar,Q418,P419,"f")</f>
        <v>#NAME?</v>
      </c>
      <c r="R419" s="390" t="e">
        <f ca="1">_xll.qlIndexFixing(Index,Q419,,InterestRatesTrigger)</f>
        <v>#NAME?</v>
      </c>
    </row>
    <row r="420" spans="16:18" x14ac:dyDescent="0.2">
      <c r="P420" s="392" t="s">
        <v>242</v>
      </c>
      <c r="Q420" s="391" t="e">
        <f ca="1">_xll.qlCalendarAdvance(Calendar,Q419,P420,"f")</f>
        <v>#NAME?</v>
      </c>
      <c r="R420" s="390" t="e">
        <f ca="1">_xll.qlIndexFixing(Index,Q420,,InterestRatesTrigger)</f>
        <v>#NAME?</v>
      </c>
    </row>
    <row r="421" spans="16:18" x14ac:dyDescent="0.2">
      <c r="P421" s="392" t="s">
        <v>242</v>
      </c>
      <c r="Q421" s="391" t="e">
        <f ca="1">_xll.qlCalendarAdvance(Calendar,Q420,P421,"f")</f>
        <v>#NAME?</v>
      </c>
      <c r="R421" s="390" t="e">
        <f ca="1">_xll.qlIndexFixing(Index,Q421,,InterestRatesTrigger)</f>
        <v>#NAME?</v>
      </c>
    </row>
    <row r="422" spans="16:18" x14ac:dyDescent="0.2">
      <c r="P422" s="392" t="s">
        <v>242</v>
      </c>
      <c r="Q422" s="391" t="e">
        <f ca="1">_xll.qlCalendarAdvance(Calendar,Q421,P422,"f")</f>
        <v>#NAME?</v>
      </c>
      <c r="R422" s="390" t="e">
        <f ca="1">_xll.qlIndexFixing(Index,Q422,,InterestRatesTrigger)</f>
        <v>#NAME?</v>
      </c>
    </row>
    <row r="423" spans="16:18" x14ac:dyDescent="0.2">
      <c r="P423" s="392" t="s">
        <v>242</v>
      </c>
      <c r="Q423" s="391" t="e">
        <f ca="1">_xll.qlCalendarAdvance(Calendar,Q422,P423,"f")</f>
        <v>#NAME?</v>
      </c>
      <c r="R423" s="390" t="e">
        <f ca="1">_xll.qlIndexFixing(Index,Q423,,InterestRatesTrigger)</f>
        <v>#NAME?</v>
      </c>
    </row>
    <row r="424" spans="16:18" x14ac:dyDescent="0.2">
      <c r="P424" s="392" t="s">
        <v>242</v>
      </c>
      <c r="Q424" s="391" t="e">
        <f ca="1">_xll.qlCalendarAdvance(Calendar,Q423,P424,"f")</f>
        <v>#NAME?</v>
      </c>
      <c r="R424" s="390" t="e">
        <f ca="1">_xll.qlIndexFixing(Index,Q424,,InterestRatesTrigger)</f>
        <v>#NAME?</v>
      </c>
    </row>
    <row r="425" spans="16:18" x14ac:dyDescent="0.2">
      <c r="P425" s="392" t="s">
        <v>242</v>
      </c>
      <c r="Q425" s="391" t="e">
        <f ca="1">_xll.qlCalendarAdvance(Calendar,Q424,P425,"f")</f>
        <v>#NAME?</v>
      </c>
      <c r="R425" s="390" t="e">
        <f ca="1">_xll.qlIndexFixing(Index,Q425,,InterestRatesTrigger)</f>
        <v>#NAME?</v>
      </c>
    </row>
    <row r="426" spans="16:18" x14ac:dyDescent="0.2">
      <c r="P426" s="392" t="s">
        <v>242</v>
      </c>
      <c r="Q426" s="391" t="e">
        <f ca="1">_xll.qlCalendarAdvance(Calendar,Q425,P426,"f")</f>
        <v>#NAME?</v>
      </c>
      <c r="R426" s="390" t="e">
        <f ca="1">_xll.qlIndexFixing(Index,Q426,,InterestRatesTrigger)</f>
        <v>#NAME?</v>
      </c>
    </row>
    <row r="427" spans="16:18" x14ac:dyDescent="0.2">
      <c r="P427" s="392" t="s">
        <v>242</v>
      </c>
      <c r="Q427" s="391" t="e">
        <f ca="1">_xll.qlCalendarAdvance(Calendar,Q426,P427,"f")</f>
        <v>#NAME?</v>
      </c>
      <c r="R427" s="390" t="e">
        <f ca="1">_xll.qlIndexFixing(Index,Q427,,InterestRatesTrigger)</f>
        <v>#NAME?</v>
      </c>
    </row>
    <row r="428" spans="16:18" x14ac:dyDescent="0.2">
      <c r="P428" s="392" t="s">
        <v>242</v>
      </c>
      <c r="Q428" s="391" t="e">
        <f ca="1">_xll.qlCalendarAdvance(Calendar,Q427,P428,"f")</f>
        <v>#NAME?</v>
      </c>
      <c r="R428" s="390" t="e">
        <f ca="1">_xll.qlIndexFixing(Index,Q428,,InterestRatesTrigger)</f>
        <v>#NAME?</v>
      </c>
    </row>
    <row r="429" spans="16:18" x14ac:dyDescent="0.2">
      <c r="P429" s="392" t="s">
        <v>242</v>
      </c>
      <c r="Q429" s="391" t="e">
        <f ca="1">_xll.qlCalendarAdvance(Calendar,Q428,P429,"f")</f>
        <v>#NAME?</v>
      </c>
      <c r="R429" s="390" t="e">
        <f ca="1">_xll.qlIndexFixing(Index,Q429,,InterestRatesTrigger)</f>
        <v>#NAME?</v>
      </c>
    </row>
    <row r="430" spans="16:18" x14ac:dyDescent="0.2">
      <c r="P430" s="392" t="s">
        <v>242</v>
      </c>
      <c r="Q430" s="391" t="e">
        <f ca="1">_xll.qlCalendarAdvance(Calendar,Q429,P430,"f")</f>
        <v>#NAME?</v>
      </c>
      <c r="R430" s="390" t="e">
        <f ca="1">_xll.qlIndexFixing(Index,Q430,,InterestRatesTrigger)</f>
        <v>#NAME?</v>
      </c>
    </row>
    <row r="431" spans="16:18" x14ac:dyDescent="0.2">
      <c r="P431" s="392" t="s">
        <v>242</v>
      </c>
      <c r="Q431" s="391" t="e">
        <f ca="1">_xll.qlCalendarAdvance(Calendar,Q430,P431,"f")</f>
        <v>#NAME?</v>
      </c>
      <c r="R431" s="390" t="e">
        <f ca="1">_xll.qlIndexFixing(Index,Q431,,InterestRatesTrigger)</f>
        <v>#NAME?</v>
      </c>
    </row>
    <row r="432" spans="16:18" x14ac:dyDescent="0.2">
      <c r="P432" s="392" t="s">
        <v>242</v>
      </c>
      <c r="Q432" s="391" t="e">
        <f ca="1">_xll.qlCalendarAdvance(Calendar,Q431,P432,"f")</f>
        <v>#NAME?</v>
      </c>
      <c r="R432" s="390" t="e">
        <f ca="1">_xll.qlIndexFixing(Index,Q432,,InterestRatesTrigger)</f>
        <v>#NAME?</v>
      </c>
    </row>
    <row r="433" spans="16:18" x14ac:dyDescent="0.2">
      <c r="P433" s="392" t="s">
        <v>242</v>
      </c>
      <c r="Q433" s="391" t="e">
        <f ca="1">_xll.qlCalendarAdvance(Calendar,Q432,P433,"f")</f>
        <v>#NAME?</v>
      </c>
      <c r="R433" s="390" t="e">
        <f ca="1">_xll.qlIndexFixing(Index,Q433,,InterestRatesTrigger)</f>
        <v>#NAME?</v>
      </c>
    </row>
    <row r="434" spans="16:18" x14ac:dyDescent="0.2">
      <c r="P434" s="392" t="s">
        <v>242</v>
      </c>
      <c r="Q434" s="391" t="e">
        <f ca="1">_xll.qlCalendarAdvance(Calendar,Q433,P434,"f")</f>
        <v>#NAME?</v>
      </c>
      <c r="R434" s="390" t="e">
        <f ca="1">_xll.qlIndexFixing(Index,Q434,,InterestRatesTrigger)</f>
        <v>#NAME?</v>
      </c>
    </row>
    <row r="435" spans="16:18" x14ac:dyDescent="0.2">
      <c r="P435" s="392" t="s">
        <v>242</v>
      </c>
      <c r="Q435" s="391" t="e">
        <f ca="1">_xll.qlCalendarAdvance(Calendar,Q434,P435,"f")</f>
        <v>#NAME?</v>
      </c>
      <c r="R435" s="390" t="e">
        <f ca="1">_xll.qlIndexFixing(Index,Q435,,InterestRatesTrigger)</f>
        <v>#NAME?</v>
      </c>
    </row>
    <row r="436" spans="16:18" x14ac:dyDescent="0.2">
      <c r="P436" s="392" t="s">
        <v>242</v>
      </c>
      <c r="Q436" s="391" t="e">
        <f ca="1">_xll.qlCalendarAdvance(Calendar,Q435,P436,"f")</f>
        <v>#NAME?</v>
      </c>
      <c r="R436" s="390" t="e">
        <f ca="1">_xll.qlIndexFixing(Index,Q436,,InterestRatesTrigger)</f>
        <v>#NAME?</v>
      </c>
    </row>
    <row r="437" spans="16:18" x14ac:dyDescent="0.2">
      <c r="P437" s="392" t="s">
        <v>242</v>
      </c>
      <c r="Q437" s="391" t="e">
        <f ca="1">_xll.qlCalendarAdvance(Calendar,Q436,P437,"f")</f>
        <v>#NAME?</v>
      </c>
      <c r="R437" s="390" t="e">
        <f ca="1">_xll.qlIndexFixing(Index,Q437,,InterestRatesTrigger)</f>
        <v>#NAME?</v>
      </c>
    </row>
    <row r="438" spans="16:18" x14ac:dyDescent="0.2">
      <c r="P438" s="392" t="s">
        <v>242</v>
      </c>
      <c r="Q438" s="391" t="e">
        <f ca="1">_xll.qlCalendarAdvance(Calendar,Q437,P438,"f")</f>
        <v>#NAME?</v>
      </c>
      <c r="R438" s="390" t="e">
        <f ca="1">_xll.qlIndexFixing(Index,Q438,,InterestRatesTrigger)</f>
        <v>#NAME?</v>
      </c>
    </row>
    <row r="439" spans="16:18" x14ac:dyDescent="0.2">
      <c r="P439" s="392" t="s">
        <v>242</v>
      </c>
      <c r="Q439" s="391" t="e">
        <f ca="1">_xll.qlCalendarAdvance(Calendar,Q438,P439,"f")</f>
        <v>#NAME?</v>
      </c>
      <c r="R439" s="390" t="e">
        <f ca="1">_xll.qlIndexFixing(Index,Q439,,InterestRatesTrigger)</f>
        <v>#NAME?</v>
      </c>
    </row>
    <row r="440" spans="16:18" x14ac:dyDescent="0.2">
      <c r="P440" s="392" t="s">
        <v>242</v>
      </c>
      <c r="Q440" s="391" t="e">
        <f ca="1">_xll.qlCalendarAdvance(Calendar,Q439,P440,"f")</f>
        <v>#NAME?</v>
      </c>
      <c r="R440" s="390" t="e">
        <f ca="1">_xll.qlIndexFixing(Index,Q440,,InterestRatesTrigger)</f>
        <v>#NAME?</v>
      </c>
    </row>
    <row r="441" spans="16:18" x14ac:dyDescent="0.2">
      <c r="P441" s="392" t="s">
        <v>242</v>
      </c>
      <c r="Q441" s="391" t="e">
        <f ca="1">_xll.qlCalendarAdvance(Calendar,Q440,P441,"f")</f>
        <v>#NAME?</v>
      </c>
      <c r="R441" s="390" t="e">
        <f ca="1">_xll.qlIndexFixing(Index,Q441,,InterestRatesTrigger)</f>
        <v>#NAME?</v>
      </c>
    </row>
    <row r="442" spans="16:18" x14ac:dyDescent="0.2">
      <c r="P442" s="392" t="s">
        <v>242</v>
      </c>
      <c r="Q442" s="391" t="e">
        <f ca="1">_xll.qlCalendarAdvance(Calendar,Q441,P442,"f")</f>
        <v>#NAME?</v>
      </c>
      <c r="R442" s="390" t="e">
        <f ca="1">_xll.qlIndexFixing(Index,Q442,,InterestRatesTrigger)</f>
        <v>#NAME?</v>
      </c>
    </row>
    <row r="443" spans="16:18" x14ac:dyDescent="0.2">
      <c r="P443" s="392" t="s">
        <v>242</v>
      </c>
      <c r="Q443" s="391" t="e">
        <f ca="1">_xll.qlCalendarAdvance(Calendar,Q442,P443,"f")</f>
        <v>#NAME?</v>
      </c>
      <c r="R443" s="390" t="e">
        <f ca="1">_xll.qlIndexFixing(Index,Q443,,InterestRatesTrigger)</f>
        <v>#NAME?</v>
      </c>
    </row>
    <row r="444" spans="16:18" x14ac:dyDescent="0.2">
      <c r="P444" s="392" t="s">
        <v>242</v>
      </c>
      <c r="Q444" s="391" t="e">
        <f ca="1">_xll.qlCalendarAdvance(Calendar,Q443,P444,"f")</f>
        <v>#NAME?</v>
      </c>
      <c r="R444" s="390" t="e">
        <f ca="1">_xll.qlIndexFixing(Index,Q444,,InterestRatesTrigger)</f>
        <v>#NAME?</v>
      </c>
    </row>
    <row r="445" spans="16:18" x14ac:dyDescent="0.2">
      <c r="P445" s="392" t="s">
        <v>242</v>
      </c>
      <c r="Q445" s="391" t="e">
        <f ca="1">_xll.qlCalendarAdvance(Calendar,Q444,P445,"f")</f>
        <v>#NAME?</v>
      </c>
      <c r="R445" s="390" t="e">
        <f ca="1">_xll.qlIndexFixing(Index,Q445,,InterestRatesTrigger)</f>
        <v>#NAME?</v>
      </c>
    </row>
    <row r="446" spans="16:18" x14ac:dyDescent="0.2">
      <c r="P446" s="392" t="s">
        <v>242</v>
      </c>
      <c r="Q446" s="391" t="e">
        <f ca="1">_xll.qlCalendarAdvance(Calendar,Q445,P446,"f")</f>
        <v>#NAME?</v>
      </c>
      <c r="R446" s="390" t="e">
        <f ca="1">_xll.qlIndexFixing(Index,Q446,,InterestRatesTrigger)</f>
        <v>#NAME?</v>
      </c>
    </row>
    <row r="447" spans="16:18" x14ac:dyDescent="0.2">
      <c r="P447" s="392" t="s">
        <v>242</v>
      </c>
      <c r="Q447" s="391" t="e">
        <f ca="1">_xll.qlCalendarAdvance(Calendar,Q446,P447,"f")</f>
        <v>#NAME?</v>
      </c>
      <c r="R447" s="390" t="e">
        <f ca="1">_xll.qlIndexFixing(Index,Q447,,InterestRatesTrigger)</f>
        <v>#NAME?</v>
      </c>
    </row>
    <row r="448" spans="16:18" x14ac:dyDescent="0.2">
      <c r="P448" s="392" t="s">
        <v>242</v>
      </c>
      <c r="Q448" s="391" t="e">
        <f ca="1">_xll.qlCalendarAdvance(Calendar,Q447,P448,"f")</f>
        <v>#NAME?</v>
      </c>
      <c r="R448" s="390" t="e">
        <f ca="1">_xll.qlIndexFixing(Index,Q448,,InterestRatesTrigger)</f>
        <v>#NAME?</v>
      </c>
    </row>
    <row r="449" spans="16:18" x14ac:dyDescent="0.2">
      <c r="P449" s="392" t="s">
        <v>242</v>
      </c>
      <c r="Q449" s="391" t="e">
        <f ca="1">_xll.qlCalendarAdvance(Calendar,Q448,P449,"f")</f>
        <v>#NAME?</v>
      </c>
      <c r="R449" s="390" t="e">
        <f ca="1">_xll.qlIndexFixing(Index,Q449,,InterestRatesTrigger)</f>
        <v>#NAME?</v>
      </c>
    </row>
    <row r="450" spans="16:18" x14ac:dyDescent="0.2">
      <c r="P450" s="392" t="s">
        <v>242</v>
      </c>
      <c r="Q450" s="391" t="e">
        <f ca="1">_xll.qlCalendarAdvance(Calendar,Q449,P450,"f")</f>
        <v>#NAME?</v>
      </c>
      <c r="R450" s="390" t="e">
        <f ca="1">_xll.qlIndexFixing(Index,Q450,,InterestRatesTrigger)</f>
        <v>#NAME?</v>
      </c>
    </row>
    <row r="451" spans="16:18" x14ac:dyDescent="0.2">
      <c r="P451" s="392" t="s">
        <v>242</v>
      </c>
      <c r="Q451" s="391" t="e">
        <f ca="1">_xll.qlCalendarAdvance(Calendar,Q450,P451,"f")</f>
        <v>#NAME?</v>
      </c>
      <c r="R451" s="390" t="e">
        <f ca="1">_xll.qlIndexFixing(Index,Q451,,InterestRatesTrigger)</f>
        <v>#NAME?</v>
      </c>
    </row>
    <row r="452" spans="16:18" x14ac:dyDescent="0.2">
      <c r="P452" s="392" t="s">
        <v>242</v>
      </c>
      <c r="Q452" s="391" t="e">
        <f ca="1">_xll.qlCalendarAdvance(Calendar,Q451,P452,"f")</f>
        <v>#NAME?</v>
      </c>
      <c r="R452" s="390" t="e">
        <f ca="1">_xll.qlIndexFixing(Index,Q452,,InterestRatesTrigger)</f>
        <v>#NAME?</v>
      </c>
    </row>
    <row r="453" spans="16:18" x14ac:dyDescent="0.2">
      <c r="P453" s="392" t="s">
        <v>242</v>
      </c>
      <c r="Q453" s="391" t="e">
        <f ca="1">_xll.qlCalendarAdvance(Calendar,Q452,P453,"f")</f>
        <v>#NAME?</v>
      </c>
      <c r="R453" s="390" t="e">
        <f ca="1">_xll.qlIndexFixing(Index,Q453,,InterestRatesTrigger)</f>
        <v>#NAME?</v>
      </c>
    </row>
    <row r="454" spans="16:18" x14ac:dyDescent="0.2">
      <c r="P454" s="392" t="s">
        <v>242</v>
      </c>
      <c r="Q454" s="391" t="e">
        <f ca="1">_xll.qlCalendarAdvance(Calendar,Q453,P454,"f")</f>
        <v>#NAME?</v>
      </c>
      <c r="R454" s="390" t="e">
        <f ca="1">_xll.qlIndexFixing(Index,Q454,,InterestRatesTrigger)</f>
        <v>#NAME?</v>
      </c>
    </row>
    <row r="455" spans="16:18" x14ac:dyDescent="0.2">
      <c r="P455" s="392" t="s">
        <v>242</v>
      </c>
      <c r="Q455" s="391" t="e">
        <f ca="1">_xll.qlCalendarAdvance(Calendar,Q454,P455,"f")</f>
        <v>#NAME?</v>
      </c>
      <c r="R455" s="390" t="e">
        <f ca="1">_xll.qlIndexFixing(Index,Q455,,InterestRatesTrigger)</f>
        <v>#NAME?</v>
      </c>
    </row>
    <row r="456" spans="16:18" x14ac:dyDescent="0.2">
      <c r="P456" s="392" t="s">
        <v>242</v>
      </c>
      <c r="Q456" s="391" t="e">
        <f ca="1">_xll.qlCalendarAdvance(Calendar,Q455,P456,"f")</f>
        <v>#NAME?</v>
      </c>
      <c r="R456" s="390" t="e">
        <f ca="1">_xll.qlIndexFixing(Index,Q456,,InterestRatesTrigger)</f>
        <v>#NAME?</v>
      </c>
    </row>
    <row r="457" spans="16:18" x14ac:dyDescent="0.2">
      <c r="P457" s="392" t="s">
        <v>242</v>
      </c>
      <c r="Q457" s="391" t="e">
        <f ca="1">_xll.qlCalendarAdvance(Calendar,Q456,P457,"f")</f>
        <v>#NAME?</v>
      </c>
      <c r="R457" s="390" t="e">
        <f ca="1">_xll.qlIndexFixing(Index,Q457,,InterestRatesTrigger)</f>
        <v>#NAME?</v>
      </c>
    </row>
    <row r="458" spans="16:18" x14ac:dyDescent="0.2">
      <c r="P458" s="392" t="s">
        <v>242</v>
      </c>
      <c r="Q458" s="391" t="e">
        <f ca="1">_xll.qlCalendarAdvance(Calendar,Q457,P458,"f")</f>
        <v>#NAME?</v>
      </c>
      <c r="R458" s="390" t="e">
        <f ca="1">_xll.qlIndexFixing(Index,Q458,,InterestRatesTrigger)</f>
        <v>#NAME?</v>
      </c>
    </row>
    <row r="459" spans="16:18" x14ac:dyDescent="0.2">
      <c r="P459" s="392" t="s">
        <v>242</v>
      </c>
      <c r="Q459" s="391" t="e">
        <f ca="1">_xll.qlCalendarAdvance(Calendar,Q458,P459,"f")</f>
        <v>#NAME?</v>
      </c>
      <c r="R459" s="390" t="e">
        <f ca="1">_xll.qlIndexFixing(Index,Q459,,InterestRatesTrigger)</f>
        <v>#NAME?</v>
      </c>
    </row>
    <row r="460" spans="16:18" x14ac:dyDescent="0.2">
      <c r="P460" s="392" t="s">
        <v>242</v>
      </c>
      <c r="Q460" s="391" t="e">
        <f ca="1">_xll.qlCalendarAdvance(Calendar,Q459,P460,"f")</f>
        <v>#NAME?</v>
      </c>
      <c r="R460" s="390" t="e">
        <f ca="1">_xll.qlIndexFixing(Index,Q460,,InterestRatesTrigger)</f>
        <v>#NAME?</v>
      </c>
    </row>
    <row r="461" spans="16:18" x14ac:dyDescent="0.2">
      <c r="P461" s="392" t="s">
        <v>242</v>
      </c>
      <c r="Q461" s="391" t="e">
        <f ca="1">_xll.qlCalendarAdvance(Calendar,Q460,P461,"f")</f>
        <v>#NAME?</v>
      </c>
      <c r="R461" s="390" t="e">
        <f ca="1">_xll.qlIndexFixing(Index,Q461,,InterestRatesTrigger)</f>
        <v>#NAME?</v>
      </c>
    </row>
    <row r="462" spans="16:18" x14ac:dyDescent="0.2">
      <c r="P462" s="392" t="s">
        <v>242</v>
      </c>
      <c r="Q462" s="391" t="e">
        <f ca="1">_xll.qlCalendarAdvance(Calendar,Q461,P462,"f")</f>
        <v>#NAME?</v>
      </c>
      <c r="R462" s="390" t="e">
        <f ca="1">_xll.qlIndexFixing(Index,Q462,,InterestRatesTrigger)</f>
        <v>#NAME?</v>
      </c>
    </row>
    <row r="463" spans="16:18" x14ac:dyDescent="0.2">
      <c r="P463" s="392" t="s">
        <v>242</v>
      </c>
      <c r="Q463" s="391" t="e">
        <f ca="1">_xll.qlCalendarAdvance(Calendar,Q462,P463,"f")</f>
        <v>#NAME?</v>
      </c>
      <c r="R463" s="390" t="e">
        <f ca="1">_xll.qlIndexFixing(Index,Q463,,InterestRatesTrigger)</f>
        <v>#NAME?</v>
      </c>
    </row>
    <row r="464" spans="16:18" x14ac:dyDescent="0.2">
      <c r="P464" s="392" t="s">
        <v>242</v>
      </c>
      <c r="Q464" s="391" t="e">
        <f ca="1">_xll.qlCalendarAdvance(Calendar,Q463,P464,"f")</f>
        <v>#NAME?</v>
      </c>
      <c r="R464" s="390" t="e">
        <f ca="1">_xll.qlIndexFixing(Index,Q464,,InterestRatesTrigger)</f>
        <v>#NAME?</v>
      </c>
    </row>
    <row r="465" spans="16:18" x14ac:dyDescent="0.2">
      <c r="P465" s="392" t="s">
        <v>242</v>
      </c>
      <c r="Q465" s="391" t="e">
        <f ca="1">_xll.qlCalendarAdvance(Calendar,Q464,P465,"f")</f>
        <v>#NAME?</v>
      </c>
      <c r="R465" s="390" t="e">
        <f ca="1">_xll.qlIndexFixing(Index,Q465,,InterestRatesTrigger)</f>
        <v>#NAME?</v>
      </c>
    </row>
    <row r="466" spans="16:18" x14ac:dyDescent="0.2">
      <c r="P466" s="392" t="s">
        <v>242</v>
      </c>
      <c r="Q466" s="391" t="e">
        <f ca="1">_xll.qlCalendarAdvance(Calendar,Q465,P466,"f")</f>
        <v>#NAME?</v>
      </c>
      <c r="R466" s="390" t="e">
        <f ca="1">_xll.qlIndexFixing(Index,Q466,,InterestRatesTrigger)</f>
        <v>#NAME?</v>
      </c>
    </row>
    <row r="467" spans="16:18" x14ac:dyDescent="0.2">
      <c r="P467" s="392" t="s">
        <v>242</v>
      </c>
      <c r="Q467" s="391" t="e">
        <f ca="1">_xll.qlCalendarAdvance(Calendar,Q466,P467,"f")</f>
        <v>#NAME?</v>
      </c>
      <c r="R467" s="390" t="e">
        <f ca="1">_xll.qlIndexFixing(Index,Q467,,InterestRatesTrigger)</f>
        <v>#NAME?</v>
      </c>
    </row>
    <row r="468" spans="16:18" x14ac:dyDescent="0.2">
      <c r="P468" s="392" t="s">
        <v>242</v>
      </c>
      <c r="Q468" s="391" t="e">
        <f ca="1">_xll.qlCalendarAdvance(Calendar,Q467,P468,"f")</f>
        <v>#NAME?</v>
      </c>
      <c r="R468" s="390" t="e">
        <f ca="1">_xll.qlIndexFixing(Index,Q468,,InterestRatesTrigger)</f>
        <v>#NAME?</v>
      </c>
    </row>
    <row r="469" spans="16:18" x14ac:dyDescent="0.2">
      <c r="P469" s="392" t="s">
        <v>242</v>
      </c>
      <c r="Q469" s="391" t="e">
        <f ca="1">_xll.qlCalendarAdvance(Calendar,Q468,P469,"f")</f>
        <v>#NAME?</v>
      </c>
      <c r="R469" s="390" t="e">
        <f ca="1">_xll.qlIndexFixing(Index,Q469,,InterestRatesTrigger)</f>
        <v>#NAME?</v>
      </c>
    </row>
    <row r="470" spans="16:18" x14ac:dyDescent="0.2">
      <c r="P470" s="392" t="s">
        <v>242</v>
      </c>
      <c r="Q470" s="391" t="e">
        <f ca="1">_xll.qlCalendarAdvance(Calendar,Q469,P470,"f")</f>
        <v>#NAME?</v>
      </c>
      <c r="R470" s="390" t="e">
        <f ca="1">_xll.qlIndexFixing(Index,Q470,,InterestRatesTrigger)</f>
        <v>#NAME?</v>
      </c>
    </row>
    <row r="471" spans="16:18" x14ac:dyDescent="0.2">
      <c r="P471" s="392" t="s">
        <v>242</v>
      </c>
      <c r="Q471" s="391" t="e">
        <f ca="1">_xll.qlCalendarAdvance(Calendar,Q470,P471,"f")</f>
        <v>#NAME?</v>
      </c>
      <c r="R471" s="390" t="e">
        <f ca="1">_xll.qlIndexFixing(Index,Q471,,InterestRatesTrigger)</f>
        <v>#NAME?</v>
      </c>
    </row>
    <row r="472" spans="16:18" x14ac:dyDescent="0.2">
      <c r="P472" s="392" t="s">
        <v>242</v>
      </c>
      <c r="Q472" s="391" t="e">
        <f ca="1">_xll.qlCalendarAdvance(Calendar,Q471,P472,"f")</f>
        <v>#NAME?</v>
      </c>
      <c r="R472" s="390" t="e">
        <f ca="1">_xll.qlIndexFixing(Index,Q472,,InterestRatesTrigger)</f>
        <v>#NAME?</v>
      </c>
    </row>
    <row r="473" spans="16:18" x14ac:dyDescent="0.2">
      <c r="P473" s="392" t="s">
        <v>242</v>
      </c>
      <c r="Q473" s="391" t="e">
        <f ca="1">_xll.qlCalendarAdvance(Calendar,Q472,P473,"f")</f>
        <v>#NAME?</v>
      </c>
      <c r="R473" s="390" t="e">
        <f ca="1">_xll.qlIndexFixing(Index,Q473,,InterestRatesTrigger)</f>
        <v>#NAME?</v>
      </c>
    </row>
    <row r="474" spans="16:18" x14ac:dyDescent="0.2">
      <c r="P474" s="392" t="s">
        <v>242</v>
      </c>
      <c r="Q474" s="391" t="e">
        <f ca="1">_xll.qlCalendarAdvance(Calendar,Q473,P474,"f")</f>
        <v>#NAME?</v>
      </c>
      <c r="R474" s="390" t="e">
        <f ca="1">_xll.qlIndexFixing(Index,Q474,,InterestRatesTrigger)</f>
        <v>#NAME?</v>
      </c>
    </row>
    <row r="475" spans="16:18" x14ac:dyDescent="0.2">
      <c r="P475" s="392" t="s">
        <v>242</v>
      </c>
      <c r="Q475" s="391" t="e">
        <f ca="1">_xll.qlCalendarAdvance(Calendar,Q474,P475,"f")</f>
        <v>#NAME?</v>
      </c>
      <c r="R475" s="390" t="e">
        <f ca="1">_xll.qlIndexFixing(Index,Q475,,InterestRatesTrigger)</f>
        <v>#NAME?</v>
      </c>
    </row>
    <row r="476" spans="16:18" x14ac:dyDescent="0.2">
      <c r="P476" s="392" t="s">
        <v>242</v>
      </c>
      <c r="Q476" s="391" t="e">
        <f ca="1">_xll.qlCalendarAdvance(Calendar,Q475,P476,"f")</f>
        <v>#NAME?</v>
      </c>
      <c r="R476" s="390" t="e">
        <f ca="1">_xll.qlIndexFixing(Index,Q476,,InterestRatesTrigger)</f>
        <v>#NAME?</v>
      </c>
    </row>
    <row r="477" spans="16:18" x14ac:dyDescent="0.2">
      <c r="P477" s="392" t="s">
        <v>242</v>
      </c>
      <c r="Q477" s="391" t="e">
        <f ca="1">_xll.qlCalendarAdvance(Calendar,Q476,P477,"f")</f>
        <v>#NAME?</v>
      </c>
      <c r="R477" s="390" t="e">
        <f ca="1">_xll.qlIndexFixing(Index,Q477,,InterestRatesTrigger)</f>
        <v>#NAME?</v>
      </c>
    </row>
    <row r="478" spans="16:18" x14ac:dyDescent="0.2">
      <c r="P478" s="392" t="s">
        <v>242</v>
      </c>
      <c r="Q478" s="391" t="e">
        <f ca="1">_xll.qlCalendarAdvance(Calendar,Q477,P478,"f")</f>
        <v>#NAME?</v>
      </c>
      <c r="R478" s="390" t="e">
        <f ca="1">_xll.qlIndexFixing(Index,Q478,,InterestRatesTrigger)</f>
        <v>#NAME?</v>
      </c>
    </row>
    <row r="479" spans="16:18" x14ac:dyDescent="0.2">
      <c r="P479" s="392" t="s">
        <v>242</v>
      </c>
      <c r="Q479" s="391" t="e">
        <f ca="1">_xll.qlCalendarAdvance(Calendar,Q478,P479,"f")</f>
        <v>#NAME?</v>
      </c>
      <c r="R479" s="390" t="e">
        <f ca="1">_xll.qlIndexFixing(Index,Q479,,InterestRatesTrigger)</f>
        <v>#NAME?</v>
      </c>
    </row>
    <row r="480" spans="16:18" x14ac:dyDescent="0.2">
      <c r="P480" s="392" t="s">
        <v>242</v>
      </c>
      <c r="Q480" s="391" t="e">
        <f ca="1">_xll.qlCalendarAdvance(Calendar,Q479,P480,"f")</f>
        <v>#NAME?</v>
      </c>
      <c r="R480" s="390" t="e">
        <f ca="1">_xll.qlIndexFixing(Index,Q480,,InterestRatesTrigger)</f>
        <v>#NAME?</v>
      </c>
    </row>
    <row r="481" spans="16:18" x14ac:dyDescent="0.2">
      <c r="P481" s="392" t="s">
        <v>242</v>
      </c>
      <c r="Q481" s="391" t="e">
        <f ca="1">_xll.qlCalendarAdvance(Calendar,Q480,P481,"f")</f>
        <v>#NAME?</v>
      </c>
      <c r="R481" s="390" t="e">
        <f ca="1">_xll.qlIndexFixing(Index,Q481,,InterestRatesTrigger)</f>
        <v>#NAME?</v>
      </c>
    </row>
    <row r="482" spans="16:18" x14ac:dyDescent="0.2">
      <c r="P482" s="392" t="s">
        <v>242</v>
      </c>
      <c r="Q482" s="391" t="e">
        <f ca="1">_xll.qlCalendarAdvance(Calendar,Q481,P482,"f")</f>
        <v>#NAME?</v>
      </c>
      <c r="R482" s="390" t="e">
        <f ca="1">_xll.qlIndexFixing(Index,Q482,,InterestRatesTrigger)</f>
        <v>#NAME?</v>
      </c>
    </row>
    <row r="483" spans="16:18" x14ac:dyDescent="0.2">
      <c r="P483" s="392" t="s">
        <v>242</v>
      </c>
      <c r="Q483" s="391" t="e">
        <f ca="1">_xll.qlCalendarAdvance(Calendar,Q482,P483,"f")</f>
        <v>#NAME?</v>
      </c>
      <c r="R483" s="390" t="e">
        <f ca="1">_xll.qlIndexFixing(Index,Q483,,InterestRatesTrigger)</f>
        <v>#NAME?</v>
      </c>
    </row>
    <row r="484" spans="16:18" x14ac:dyDescent="0.2">
      <c r="P484" s="392" t="s">
        <v>242</v>
      </c>
      <c r="Q484" s="391" t="e">
        <f ca="1">_xll.qlCalendarAdvance(Calendar,Q483,P484,"f")</f>
        <v>#NAME?</v>
      </c>
      <c r="R484" s="390" t="e">
        <f ca="1">_xll.qlIndexFixing(Index,Q484,,InterestRatesTrigger)</f>
        <v>#NAME?</v>
      </c>
    </row>
    <row r="485" spans="16:18" x14ac:dyDescent="0.2">
      <c r="P485" s="392" t="s">
        <v>242</v>
      </c>
      <c r="Q485" s="391" t="e">
        <f ca="1">_xll.qlCalendarAdvance(Calendar,Q484,P485,"f")</f>
        <v>#NAME?</v>
      </c>
      <c r="R485" s="390" t="e">
        <f ca="1">_xll.qlIndexFixing(Index,Q485,,InterestRatesTrigger)</f>
        <v>#NAME?</v>
      </c>
    </row>
    <row r="486" spans="16:18" x14ac:dyDescent="0.2">
      <c r="P486" s="392" t="s">
        <v>242</v>
      </c>
      <c r="Q486" s="391" t="e">
        <f ca="1">_xll.qlCalendarAdvance(Calendar,Q485,P486,"f")</f>
        <v>#NAME?</v>
      </c>
      <c r="R486" s="390" t="e">
        <f ca="1">_xll.qlIndexFixing(Index,Q486,,InterestRatesTrigger)</f>
        <v>#NAME?</v>
      </c>
    </row>
    <row r="487" spans="16:18" x14ac:dyDescent="0.2">
      <c r="P487" s="392" t="s">
        <v>242</v>
      </c>
      <c r="Q487" s="391" t="e">
        <f ca="1">_xll.qlCalendarAdvance(Calendar,Q486,P487,"f")</f>
        <v>#NAME?</v>
      </c>
      <c r="R487" s="390" t="e">
        <f ca="1">_xll.qlIndexFixing(Index,Q487,,InterestRatesTrigger)</f>
        <v>#NAME?</v>
      </c>
    </row>
    <row r="488" spans="16:18" x14ac:dyDescent="0.2">
      <c r="P488" s="392" t="s">
        <v>242</v>
      </c>
      <c r="Q488" s="391" t="e">
        <f ca="1">_xll.qlCalendarAdvance(Calendar,Q487,P488,"f")</f>
        <v>#NAME?</v>
      </c>
      <c r="R488" s="390" t="e">
        <f ca="1">_xll.qlIndexFixing(Index,Q488,,InterestRatesTrigger)</f>
        <v>#NAME?</v>
      </c>
    </row>
    <row r="489" spans="16:18" x14ac:dyDescent="0.2">
      <c r="P489" s="392" t="s">
        <v>242</v>
      </c>
      <c r="Q489" s="391" t="e">
        <f ca="1">_xll.qlCalendarAdvance(Calendar,Q488,P489,"f")</f>
        <v>#NAME?</v>
      </c>
      <c r="R489" s="390" t="e">
        <f ca="1">_xll.qlIndexFixing(Index,Q489,,InterestRatesTrigger)</f>
        <v>#NAME?</v>
      </c>
    </row>
    <row r="490" spans="16:18" x14ac:dyDescent="0.2">
      <c r="P490" s="392" t="s">
        <v>242</v>
      </c>
      <c r="Q490" s="391" t="e">
        <f ca="1">_xll.qlCalendarAdvance(Calendar,Q489,P490,"f")</f>
        <v>#NAME?</v>
      </c>
      <c r="R490" s="390" t="e">
        <f ca="1">_xll.qlIndexFixing(Index,Q490,,InterestRatesTrigger)</f>
        <v>#NAME?</v>
      </c>
    </row>
    <row r="491" spans="16:18" x14ac:dyDescent="0.2">
      <c r="P491" s="392" t="s">
        <v>242</v>
      </c>
      <c r="Q491" s="391" t="e">
        <f ca="1">_xll.qlCalendarAdvance(Calendar,Q490,P491,"f")</f>
        <v>#NAME?</v>
      </c>
      <c r="R491" s="390" t="e">
        <f ca="1">_xll.qlIndexFixing(Index,Q491,,InterestRatesTrigger)</f>
        <v>#NAME?</v>
      </c>
    </row>
    <row r="492" spans="16:18" x14ac:dyDescent="0.2">
      <c r="P492" s="392" t="s">
        <v>242</v>
      </c>
      <c r="Q492" s="391" t="e">
        <f ca="1">_xll.qlCalendarAdvance(Calendar,Q491,P492,"f")</f>
        <v>#NAME?</v>
      </c>
      <c r="R492" s="390" t="e">
        <f ca="1">_xll.qlIndexFixing(Index,Q492,,InterestRatesTrigger)</f>
        <v>#NAME?</v>
      </c>
    </row>
    <row r="493" spans="16:18" x14ac:dyDescent="0.2">
      <c r="P493" s="392" t="s">
        <v>242</v>
      </c>
      <c r="Q493" s="391" t="e">
        <f ca="1">_xll.qlCalendarAdvance(Calendar,Q492,P493,"f")</f>
        <v>#NAME?</v>
      </c>
      <c r="R493" s="390" t="e">
        <f ca="1">_xll.qlIndexFixing(Index,Q493,,InterestRatesTrigger)</f>
        <v>#NAME?</v>
      </c>
    </row>
    <row r="494" spans="16:18" x14ac:dyDescent="0.2">
      <c r="P494" s="392" t="s">
        <v>242</v>
      </c>
      <c r="Q494" s="391" t="e">
        <f ca="1">_xll.qlCalendarAdvance(Calendar,Q493,P494,"f")</f>
        <v>#NAME?</v>
      </c>
      <c r="R494" s="390" t="e">
        <f ca="1">_xll.qlIndexFixing(Index,Q494,,InterestRatesTrigger)</f>
        <v>#NAME?</v>
      </c>
    </row>
    <row r="495" spans="16:18" x14ac:dyDescent="0.2">
      <c r="P495" s="392" t="s">
        <v>242</v>
      </c>
      <c r="Q495" s="391" t="e">
        <f ca="1">_xll.qlCalendarAdvance(Calendar,Q494,P495,"f")</f>
        <v>#NAME?</v>
      </c>
      <c r="R495" s="390" t="e">
        <f ca="1">_xll.qlIndexFixing(Index,Q495,,InterestRatesTrigger)</f>
        <v>#NAME?</v>
      </c>
    </row>
    <row r="496" spans="16:18" x14ac:dyDescent="0.2">
      <c r="P496" s="392" t="s">
        <v>242</v>
      </c>
      <c r="Q496" s="391" t="e">
        <f ca="1">_xll.qlCalendarAdvance(Calendar,Q495,P496,"f")</f>
        <v>#NAME?</v>
      </c>
      <c r="R496" s="390" t="e">
        <f ca="1">_xll.qlIndexFixing(Index,Q496,,InterestRatesTrigger)</f>
        <v>#NAME?</v>
      </c>
    </row>
    <row r="497" spans="16:18" x14ac:dyDescent="0.2">
      <c r="P497" s="392" t="s">
        <v>242</v>
      </c>
      <c r="Q497" s="391" t="e">
        <f ca="1">_xll.qlCalendarAdvance(Calendar,Q496,P497,"f")</f>
        <v>#NAME?</v>
      </c>
      <c r="R497" s="390" t="e">
        <f ca="1">_xll.qlIndexFixing(Index,Q497,,InterestRatesTrigger)</f>
        <v>#NAME?</v>
      </c>
    </row>
    <row r="498" spans="16:18" x14ac:dyDescent="0.2">
      <c r="P498" s="392" t="s">
        <v>242</v>
      </c>
      <c r="Q498" s="391" t="e">
        <f ca="1">_xll.qlCalendarAdvance(Calendar,Q497,P498,"f")</f>
        <v>#NAME?</v>
      </c>
      <c r="R498" s="390" t="e">
        <f ca="1">_xll.qlIndexFixing(Index,Q498,,InterestRatesTrigger)</f>
        <v>#NAME?</v>
      </c>
    </row>
    <row r="499" spans="16:18" x14ac:dyDescent="0.2">
      <c r="P499" s="392" t="s">
        <v>242</v>
      </c>
      <c r="Q499" s="391" t="e">
        <f ca="1">_xll.qlCalendarAdvance(Calendar,Q498,P499,"f")</f>
        <v>#NAME?</v>
      </c>
      <c r="R499" s="390" t="e">
        <f ca="1">_xll.qlIndexFixing(Index,Q499,,InterestRatesTrigger)</f>
        <v>#NAME?</v>
      </c>
    </row>
    <row r="500" spans="16:18" x14ac:dyDescent="0.2">
      <c r="P500" s="392" t="s">
        <v>242</v>
      </c>
      <c r="Q500" s="391" t="e">
        <f ca="1">_xll.qlCalendarAdvance(Calendar,Q499,P500,"f")</f>
        <v>#NAME?</v>
      </c>
      <c r="R500" s="390" t="e">
        <f ca="1">_xll.qlIndexFixing(Index,Q500,,InterestRatesTrigger)</f>
        <v>#NAME?</v>
      </c>
    </row>
    <row r="501" spans="16:18" x14ac:dyDescent="0.2">
      <c r="P501" s="392" t="s">
        <v>242</v>
      </c>
      <c r="Q501" s="391" t="e">
        <f ca="1">_xll.qlCalendarAdvance(Calendar,Q500,P501,"f")</f>
        <v>#NAME?</v>
      </c>
      <c r="R501" s="390" t="e">
        <f ca="1">_xll.qlIndexFixing(Index,Q501,,InterestRatesTrigger)</f>
        <v>#NAME?</v>
      </c>
    </row>
    <row r="502" spans="16:18" x14ac:dyDescent="0.2">
      <c r="P502" s="392" t="s">
        <v>242</v>
      </c>
      <c r="Q502" s="391" t="e">
        <f ca="1">_xll.qlCalendarAdvance(Calendar,Q501,P502,"f")</f>
        <v>#NAME?</v>
      </c>
      <c r="R502" s="390" t="e">
        <f ca="1">_xll.qlIndexFixing(Index,Q502,,InterestRatesTrigger)</f>
        <v>#NAME?</v>
      </c>
    </row>
    <row r="503" spans="16:18" x14ac:dyDescent="0.2">
      <c r="P503" s="392" t="s">
        <v>242</v>
      </c>
      <c r="Q503" s="391" t="e">
        <f ca="1">_xll.qlCalendarAdvance(Calendar,Q502,P503,"f")</f>
        <v>#NAME?</v>
      </c>
      <c r="R503" s="390" t="e">
        <f ca="1">_xll.qlIndexFixing(Index,Q503,,InterestRatesTrigger)</f>
        <v>#NAME?</v>
      </c>
    </row>
    <row r="504" spans="16:18" x14ac:dyDescent="0.2">
      <c r="P504" s="392" t="s">
        <v>242</v>
      </c>
      <c r="Q504" s="391" t="e">
        <f ca="1">_xll.qlCalendarAdvance(Calendar,Q503,P504,"f")</f>
        <v>#NAME?</v>
      </c>
      <c r="R504" s="390" t="e">
        <f ca="1">_xll.qlIndexFixing(Index,Q504,,InterestRatesTrigger)</f>
        <v>#NAME?</v>
      </c>
    </row>
    <row r="505" spans="16:18" x14ac:dyDescent="0.2">
      <c r="P505" s="392" t="s">
        <v>242</v>
      </c>
      <c r="Q505" s="391" t="e">
        <f ca="1">_xll.qlCalendarAdvance(Calendar,Q504,P505,"f")</f>
        <v>#NAME?</v>
      </c>
      <c r="R505" s="390" t="e">
        <f ca="1">_xll.qlIndexFixing(Index,Q505,,InterestRatesTrigger)</f>
        <v>#NAME?</v>
      </c>
    </row>
    <row r="506" spans="16:18" x14ac:dyDescent="0.2">
      <c r="P506" s="392" t="s">
        <v>242</v>
      </c>
      <c r="Q506" s="391" t="e">
        <f ca="1">_xll.qlCalendarAdvance(Calendar,Q505,P506,"f")</f>
        <v>#NAME?</v>
      </c>
      <c r="R506" s="390" t="e">
        <f ca="1">_xll.qlIndexFixing(Index,Q506,,InterestRatesTrigger)</f>
        <v>#NAME?</v>
      </c>
    </row>
    <row r="507" spans="16:18" x14ac:dyDescent="0.2">
      <c r="P507" s="392" t="s">
        <v>242</v>
      </c>
      <c r="Q507" s="391" t="e">
        <f ca="1">_xll.qlCalendarAdvance(Calendar,Q506,P507,"f")</f>
        <v>#NAME?</v>
      </c>
      <c r="R507" s="390" t="e">
        <f ca="1">_xll.qlIndexFixing(Index,Q507,,InterestRatesTrigger)</f>
        <v>#NAME?</v>
      </c>
    </row>
    <row r="508" spans="16:18" x14ac:dyDescent="0.2">
      <c r="P508" s="392" t="s">
        <v>242</v>
      </c>
      <c r="Q508" s="391" t="e">
        <f ca="1">_xll.qlCalendarAdvance(Calendar,Q507,P508,"f")</f>
        <v>#NAME?</v>
      </c>
      <c r="R508" s="390" t="e">
        <f ca="1">_xll.qlIndexFixing(Index,Q508,,InterestRatesTrigger)</f>
        <v>#NAME?</v>
      </c>
    </row>
    <row r="509" spans="16:18" x14ac:dyDescent="0.2">
      <c r="P509" s="392" t="s">
        <v>242</v>
      </c>
      <c r="Q509" s="391" t="e">
        <f ca="1">_xll.qlCalendarAdvance(Calendar,Q508,P509,"f")</f>
        <v>#NAME?</v>
      </c>
      <c r="R509" s="390" t="e">
        <f ca="1">_xll.qlIndexFixing(Index,Q509,,InterestRatesTrigger)</f>
        <v>#NAME?</v>
      </c>
    </row>
    <row r="510" spans="16:18" x14ac:dyDescent="0.2">
      <c r="P510" s="392" t="s">
        <v>242</v>
      </c>
      <c r="Q510" s="391" t="e">
        <f ca="1">_xll.qlCalendarAdvance(Calendar,Q509,P510,"f")</f>
        <v>#NAME?</v>
      </c>
      <c r="R510" s="390" t="e">
        <f ca="1">_xll.qlIndexFixing(Index,Q510,,InterestRatesTrigger)</f>
        <v>#NAME?</v>
      </c>
    </row>
    <row r="511" spans="16:18" x14ac:dyDescent="0.2">
      <c r="P511" s="392" t="s">
        <v>242</v>
      </c>
      <c r="Q511" s="391" t="e">
        <f ca="1">_xll.qlCalendarAdvance(Calendar,Q510,P511,"f")</f>
        <v>#NAME?</v>
      </c>
      <c r="R511" s="390" t="e">
        <f ca="1">_xll.qlIndexFixing(Index,Q511,,InterestRatesTrigger)</f>
        <v>#NAME?</v>
      </c>
    </row>
    <row r="512" spans="16:18" x14ac:dyDescent="0.2">
      <c r="P512" s="392" t="s">
        <v>242</v>
      </c>
      <c r="Q512" s="391" t="e">
        <f ca="1">_xll.qlCalendarAdvance(Calendar,Q511,P512,"f")</f>
        <v>#NAME?</v>
      </c>
      <c r="R512" s="390" t="e">
        <f ca="1">_xll.qlIndexFixing(Index,Q512,,InterestRatesTrigger)</f>
        <v>#NAME?</v>
      </c>
    </row>
    <row r="513" spans="16:18" x14ac:dyDescent="0.2">
      <c r="P513" s="392" t="s">
        <v>242</v>
      </c>
      <c r="Q513" s="391" t="e">
        <f ca="1">_xll.qlCalendarAdvance(Calendar,Q512,P513,"f")</f>
        <v>#NAME?</v>
      </c>
      <c r="R513" s="390" t="e">
        <f ca="1">_xll.qlIndexFixing(Index,Q513,,InterestRatesTrigger)</f>
        <v>#NAME?</v>
      </c>
    </row>
    <row r="514" spans="16:18" x14ac:dyDescent="0.2">
      <c r="P514" s="392" t="s">
        <v>242</v>
      </c>
      <c r="Q514" s="391" t="e">
        <f ca="1">_xll.qlCalendarAdvance(Calendar,Q513,P514,"f")</f>
        <v>#NAME?</v>
      </c>
      <c r="R514" s="390" t="e">
        <f ca="1">_xll.qlIndexFixing(Index,Q514,,InterestRatesTrigger)</f>
        <v>#NAME?</v>
      </c>
    </row>
    <row r="515" spans="16:18" x14ac:dyDescent="0.2">
      <c r="P515" s="389" t="s">
        <v>242</v>
      </c>
      <c r="Q515" s="388" t="e">
        <f ca="1">_xll.qlCalendarAdvance(Calendar,Q514,P515,"f")</f>
        <v>#NAME?</v>
      </c>
      <c r="R515" s="387" t="e">
        <f ca="1">_xll.qlIndexFixing(Index,Q515,,InterestRatesTrigger)</f>
        <v>#NAME?</v>
      </c>
    </row>
  </sheetData>
  <pageMargins left="0.75" right="0.75" top="1" bottom="1" header="0.5" footer="0.5"/>
  <pageSetup paperSize="9" orientation="portrait" r:id="rId1"/>
  <headerFooter alignWithMargins="0"/>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A1:XFD50"/>
  <sheetViews>
    <sheetView workbookViewId="0">
      <selection activeCell="D6" sqref="D6"/>
    </sheetView>
  </sheetViews>
  <sheetFormatPr defaultRowHeight="12.75" x14ac:dyDescent="0.2"/>
  <cols>
    <col min="1" max="1" width="3.140625" style="339" customWidth="1"/>
    <col min="2" max="2" width="2.7109375" style="339" customWidth="1"/>
    <col min="3" max="4" width="27.28515625" style="339" customWidth="1"/>
    <col min="5" max="7" width="2.7109375" style="339" customWidth="1"/>
    <col min="8" max="8" width="26.42578125" style="339" customWidth="1"/>
    <col min="9" max="9" width="28.42578125" style="339" customWidth="1"/>
    <col min="10" max="10" width="2.7109375" style="339" customWidth="1"/>
    <col min="11" max="12" width="9.140625" style="339"/>
    <col min="13" max="13" width="27.5703125" style="339" bestFit="1" customWidth="1"/>
    <col min="14" max="16384" width="9.140625" style="339"/>
  </cols>
  <sheetData>
    <row r="1" spans="2:13" s="30" customFormat="1" ht="11.25" x14ac:dyDescent="0.2">
      <c r="B1" s="30" t="e">
        <f ca="1">_xll.qlxlVersion(TRUE,Trigger)</f>
        <v>#NAME?</v>
      </c>
    </row>
    <row r="2" spans="2:13" s="30" customFormat="1" ht="17.25" customHeight="1" thickBot="1" x14ac:dyDescent="0.25">
      <c r="B2" s="370" t="s">
        <v>241</v>
      </c>
      <c r="C2" s="369"/>
      <c r="D2" s="369"/>
      <c r="E2" s="368"/>
      <c r="G2" s="370" t="s">
        <v>240</v>
      </c>
      <c r="H2" s="369"/>
      <c r="I2" s="369"/>
      <c r="J2" s="368"/>
    </row>
    <row r="3" spans="2:13" s="30" customFormat="1" ht="11.25" customHeight="1" x14ac:dyDescent="0.25">
      <c r="B3" s="113"/>
      <c r="C3" s="110"/>
      <c r="D3" s="110"/>
      <c r="E3" s="36"/>
      <c r="G3" s="113"/>
      <c r="H3" s="110"/>
      <c r="I3" s="110"/>
      <c r="J3" s="36"/>
      <c r="L3" s="1361" t="s">
        <v>529</v>
      </c>
      <c r="M3" s="1363">
        <v>42365.566458333335</v>
      </c>
    </row>
    <row r="4" spans="2:13" s="30" customFormat="1" ht="11.25" customHeight="1" thickBot="1" x14ac:dyDescent="0.3">
      <c r="B4" s="113"/>
      <c r="C4" s="365" t="s">
        <v>239</v>
      </c>
      <c r="D4" s="385">
        <v>42277</v>
      </c>
      <c r="E4" s="371"/>
      <c r="G4" s="113"/>
      <c r="H4" s="365" t="s">
        <v>238</v>
      </c>
      <c r="I4" s="384" t="b">
        <v>0</v>
      </c>
      <c r="J4" s="371"/>
      <c r="L4" s="1362" t="s">
        <v>530</v>
      </c>
      <c r="M4" s="1365" t="e">
        <f ca="1">_xll.ohTrigger(M5:M8)</f>
        <v>#NAME?</v>
      </c>
    </row>
    <row r="5" spans="2:13" s="30" customFormat="1" ht="11.25" customHeight="1" x14ac:dyDescent="0.2">
      <c r="B5" s="383"/>
      <c r="C5" s="362" t="s">
        <v>237</v>
      </c>
      <c r="D5" s="382" t="b">
        <f>_xll.cfyql_SettingsSetEvaluationDate(D4)</f>
        <v>1</v>
      </c>
      <c r="E5" s="381"/>
      <c r="G5" s="113"/>
      <c r="H5" s="362" t="s">
        <v>236</v>
      </c>
      <c r="I5" s="380">
        <v>42277.718820949071</v>
      </c>
      <c r="J5" s="371"/>
      <c r="M5" s="30" t="e">
        <f ca="1">_xll.ohTrigger(Euribor!Trigger2,EuriborSwapIsdaFixA!Trigger2,Deposits!Trigger2,FRA!Trigger2,OIS!Trigger2,'ECB OIS'!Trigger2,'IMM OIS'!Trigger2,Futures3M!Trigger2,FuturesHWConvAdj!Trigger2,BasisSwapEON3M!Trigger2)</f>
        <v>#NAME?</v>
      </c>
    </row>
    <row r="6" spans="2:13" s="30" customFormat="1" ht="11.25" customHeight="1" x14ac:dyDescent="0.2">
      <c r="B6" s="379"/>
      <c r="C6" s="275"/>
      <c r="D6" s="378"/>
      <c r="E6" s="377"/>
      <c r="G6" s="35"/>
      <c r="H6" s="34"/>
      <c r="I6" s="34"/>
      <c r="J6" s="32"/>
      <c r="M6" s="30" t="e">
        <f ca="1">_xll.ohTrigger(BasisSwap1MxM!Trigger2,BasisSwap3M6M!Trigger2,BasisSwapxM12M!Trigger2,Swaps1M_1Y!Trigger2,Swap1M!Trigger2,Swap3M!Trigger2,Swap6M!Trigger2,ForwardSwap6M!Trigger2,SwapsIMMDated!Trigger2)</f>
        <v>#NAME?</v>
      </c>
    </row>
    <row r="7" spans="2:13" s="30" customFormat="1" ht="11.25" customHeight="1" x14ac:dyDescent="0.2">
      <c r="B7" s="113"/>
      <c r="C7" s="365" t="s">
        <v>235</v>
      </c>
      <c r="D7" s="364" t="e">
        <f ca="1">_xll.ohTrigger(Euribor!J5:J12,Deposits!S2,FRA!X2,OIS!X2,'ECB OIS'!Z2,Futures3M!AD2,BasisSwap1MxM!X2,BasisSwap3M6M!X2,BasisSwapxM12M!X2,Swaps1M_1Y!X2,Swap1M!X2,Swap3M!X2,Swap6M!X2,ForwardSwap6M!S2)</f>
        <v>#NAME?</v>
      </c>
      <c r="E7" s="36"/>
      <c r="M7" s="30" t="e">
        <f ca="1">_xll.ohTrigger('ImmFra6M '!Trigger2,'ON Basis Swap'!Trigger2,'1M Basis Swap'!Trigger2,'3M Basis Swap'!Trigger2,'6M Basis Swap'!Trigger2,'1Y Basis Swap'!Trigger2,'Euribor 3M Time Series'!Trigger2)</f>
        <v>#NAME?</v>
      </c>
    </row>
    <row r="8" spans="2:13" s="30" customFormat="1" ht="11.25" customHeight="1" x14ac:dyDescent="0.2">
      <c r="B8" s="113"/>
      <c r="C8" s="362" t="s">
        <v>234</v>
      </c>
      <c r="D8" s="361" t="e">
        <f ca="1">_xll.ohTrigger(Euribor!L5:L12)</f>
        <v>#NAME?</v>
      </c>
      <c r="E8" s="36"/>
      <c r="M8" s="30" t="e">
        <f ca="1">_xll.ohTrigger('Euribor 6M Time Series'!Trigger2,EuriborSwapIsdaFixA1Y!Trigger2)</f>
        <v>#NAME?</v>
      </c>
    </row>
    <row r="9" spans="2:13" s="30" customFormat="1" ht="11.25" customHeight="1" x14ac:dyDescent="0.2">
      <c r="B9" s="35"/>
      <c r="C9" s="173"/>
      <c r="D9" s="173"/>
      <c r="E9" s="32"/>
    </row>
    <row r="10" spans="2:13" s="30" customFormat="1" ht="11.25" customHeight="1" x14ac:dyDescent="0.2"/>
    <row r="11" spans="2:13" s="30" customFormat="1" ht="17.25" customHeight="1" x14ac:dyDescent="0.2">
      <c r="B11" s="370" t="s">
        <v>233</v>
      </c>
      <c r="C11" s="369"/>
      <c r="D11" s="369"/>
      <c r="E11" s="368"/>
      <c r="G11" s="370" t="s">
        <v>232</v>
      </c>
      <c r="H11" s="369"/>
      <c r="I11" s="369"/>
      <c r="J11" s="368"/>
    </row>
    <row r="12" spans="2:13" s="30" customFormat="1" ht="11.25" customHeight="1" x14ac:dyDescent="0.2">
      <c r="B12" s="113"/>
      <c r="C12" s="110"/>
      <c r="D12" s="110"/>
      <c r="E12" s="36"/>
      <c r="G12" s="113"/>
      <c r="H12" s="110"/>
      <c r="I12" s="110"/>
      <c r="J12" s="36"/>
    </row>
    <row r="13" spans="2:13" s="30" customFormat="1" ht="11.25" customHeight="1" x14ac:dyDescent="0.2">
      <c r="B13" s="113"/>
      <c r="C13" s="365" t="s">
        <v>231</v>
      </c>
      <c r="D13" s="364" t="s">
        <v>230</v>
      </c>
      <c r="E13" s="371"/>
      <c r="G13" s="113"/>
      <c r="H13" s="365" t="s">
        <v>229</v>
      </c>
      <c r="I13" s="364" t="b">
        <v>1</v>
      </c>
      <c r="J13" s="371"/>
    </row>
    <row r="14" spans="2:13" s="30" customFormat="1" ht="11.25" customHeight="1" x14ac:dyDescent="0.2">
      <c r="B14" s="113"/>
      <c r="C14" s="363" t="s">
        <v>228</v>
      </c>
      <c r="D14" s="183" t="str">
        <f>Currency&amp;"ON"</f>
        <v>EURON</v>
      </c>
      <c r="E14" s="371"/>
      <c r="G14" s="113"/>
      <c r="H14" s="363" t="s">
        <v>227</v>
      </c>
      <c r="I14" s="183" t="b">
        <v>0</v>
      </c>
      <c r="J14" s="371"/>
    </row>
    <row r="15" spans="2:13" s="30" customFormat="1" ht="11.25" customHeight="1" x14ac:dyDescent="0.2">
      <c r="B15" s="113"/>
      <c r="C15" s="363" t="s">
        <v>226</v>
      </c>
      <c r="D15" s="183" t="s">
        <v>225</v>
      </c>
      <c r="E15" s="371"/>
      <c r="G15" s="113"/>
      <c r="H15" s="363" t="s">
        <v>224</v>
      </c>
      <c r="I15" s="183" t="s">
        <v>223</v>
      </c>
      <c r="J15" s="371"/>
    </row>
    <row r="16" spans="2:13" s="30" customFormat="1" ht="11.25" customHeight="1" x14ac:dyDescent="0.2">
      <c r="B16" s="113"/>
      <c r="C16" s="363" t="s">
        <v>222</v>
      </c>
      <c r="D16" s="183" t="s">
        <v>221</v>
      </c>
      <c r="E16" s="371"/>
      <c r="G16" s="113"/>
      <c r="H16" s="376" t="s">
        <v>220</v>
      </c>
      <c r="I16" s="375">
        <v>1E-4</v>
      </c>
      <c r="J16" s="371"/>
    </row>
    <row r="17" spans="2:10" s="30" customFormat="1" ht="11.25" customHeight="1" x14ac:dyDescent="0.2">
      <c r="B17" s="113"/>
      <c r="C17" s="363" t="s">
        <v>219</v>
      </c>
      <c r="D17" s="183" t="s">
        <v>218</v>
      </c>
      <c r="E17" s="371"/>
      <c r="G17" s="113"/>
      <c r="H17" s="374" t="s">
        <v>217</v>
      </c>
      <c r="I17" s="361">
        <v>-0.01</v>
      </c>
      <c r="J17" s="371"/>
    </row>
    <row r="18" spans="2:10" s="30" customFormat="1" ht="11.25" customHeight="1" x14ac:dyDescent="0.2">
      <c r="B18" s="113"/>
      <c r="C18" s="362" t="s">
        <v>216</v>
      </c>
      <c r="D18" s="361" t="s">
        <v>215</v>
      </c>
      <c r="E18" s="371"/>
      <c r="G18" s="113"/>
      <c r="H18" s="373" t="s">
        <v>214</v>
      </c>
      <c r="I18" s="372" t="s">
        <v>213</v>
      </c>
      <c r="J18" s="371"/>
    </row>
    <row r="19" spans="2:10" s="30" customFormat="1" ht="11.25" customHeight="1" x14ac:dyDescent="0.2">
      <c r="B19" s="35"/>
      <c r="C19" s="34"/>
      <c r="D19" s="34"/>
      <c r="E19" s="32"/>
      <c r="G19" s="35"/>
      <c r="H19" s="34"/>
      <c r="I19" s="34"/>
      <c r="J19" s="32"/>
    </row>
    <row r="20" spans="2:10" s="30" customFormat="1" ht="11.25" customHeight="1" x14ac:dyDescent="0.2"/>
    <row r="21" spans="2:10" s="30" customFormat="1" ht="17.25" customHeight="1" x14ac:dyDescent="0.2">
      <c r="B21" s="370" t="s">
        <v>212</v>
      </c>
      <c r="C21" s="369"/>
      <c r="D21" s="369"/>
      <c r="E21" s="368"/>
    </row>
    <row r="22" spans="2:10" s="30" customFormat="1" ht="11.25" x14ac:dyDescent="0.2">
      <c r="B22" s="113"/>
      <c r="C22" s="367"/>
      <c r="D22" s="366"/>
      <c r="E22" s="36"/>
    </row>
    <row r="23" spans="2:10" s="30" customFormat="1" ht="11.25" customHeight="1" x14ac:dyDescent="0.2">
      <c r="B23" s="113"/>
      <c r="C23" s="365" t="s">
        <v>211</v>
      </c>
      <c r="D23" s="364" t="str">
        <f>""</f>
        <v/>
      </c>
      <c r="E23" s="36"/>
    </row>
    <row r="24" spans="2:10" s="30" customFormat="1" ht="11.25" customHeight="1" x14ac:dyDescent="0.2">
      <c r="B24" s="113"/>
      <c r="C24" s="363" t="s">
        <v>199</v>
      </c>
      <c r="D24" s="183" t="s">
        <v>210</v>
      </c>
      <c r="E24" s="36"/>
    </row>
    <row r="25" spans="2:10" s="30" customFormat="1" ht="11.25" customHeight="1" x14ac:dyDescent="0.2">
      <c r="B25" s="113"/>
      <c r="C25" s="363" t="s">
        <v>124</v>
      </c>
      <c r="D25" s="183" t="s">
        <v>124</v>
      </c>
      <c r="E25" s="36"/>
    </row>
    <row r="26" spans="2:10" s="30" customFormat="1" ht="11.25" customHeight="1" x14ac:dyDescent="0.2">
      <c r="B26" s="113"/>
      <c r="C26" s="363" t="s">
        <v>209</v>
      </c>
      <c r="D26" s="183" t="s">
        <v>208</v>
      </c>
      <c r="E26" s="36"/>
    </row>
    <row r="27" spans="2:10" s="30" customFormat="1" ht="11.25" customHeight="1" x14ac:dyDescent="0.2">
      <c r="B27" s="113"/>
      <c r="C27" s="363" t="s">
        <v>207</v>
      </c>
      <c r="D27" s="183" t="s">
        <v>206</v>
      </c>
      <c r="E27" s="36"/>
    </row>
    <row r="28" spans="2:10" s="30" customFormat="1" ht="11.25" customHeight="1" x14ac:dyDescent="0.2">
      <c r="B28" s="113"/>
      <c r="C28" s="363" t="s">
        <v>205</v>
      </c>
      <c r="D28" s="183" t="s">
        <v>204</v>
      </c>
      <c r="E28" s="36"/>
      <c r="G28" s="339"/>
      <c r="H28" s="339"/>
      <c r="I28" s="339"/>
      <c r="J28" s="339"/>
    </row>
    <row r="29" spans="2:10" s="30" customFormat="1" ht="11.25" customHeight="1" x14ac:dyDescent="0.2">
      <c r="B29" s="113"/>
      <c r="C29" s="362" t="s">
        <v>203</v>
      </c>
      <c r="D29" s="361" t="s">
        <v>202</v>
      </c>
      <c r="E29" s="36"/>
      <c r="G29" s="339"/>
      <c r="H29" s="339"/>
      <c r="I29" s="339"/>
      <c r="J29" s="339"/>
    </row>
    <row r="30" spans="2:10" s="30" customFormat="1" ht="11.25" customHeight="1" x14ac:dyDescent="0.2">
      <c r="B30" s="360"/>
      <c r="C30" s="359"/>
      <c r="D30" s="359"/>
      <c r="E30" s="358"/>
      <c r="G30" s="339"/>
      <c r="H30" s="339"/>
      <c r="I30" s="339"/>
      <c r="J30" s="339"/>
    </row>
    <row r="31" spans="2:10" s="30" customFormat="1" ht="11.25" customHeight="1" x14ac:dyDescent="0.2">
      <c r="B31" s="339"/>
      <c r="C31" s="357"/>
      <c r="D31" s="357"/>
      <c r="E31" s="357"/>
      <c r="G31" s="339"/>
      <c r="H31" s="339"/>
      <c r="I31" s="339"/>
      <c r="J31" s="339"/>
    </row>
    <row r="32" spans="2:10" s="30" customFormat="1" x14ac:dyDescent="0.2">
      <c r="B32" s="356"/>
      <c r="C32" s="355"/>
      <c r="D32" s="355"/>
      <c r="E32" s="354"/>
      <c r="G32" s="339"/>
      <c r="H32" s="339"/>
      <c r="I32" s="339"/>
      <c r="J32" s="339"/>
    </row>
    <row r="33" spans="1:16384" s="30" customFormat="1" x14ac:dyDescent="0.2">
      <c r="B33" s="346"/>
      <c r="C33" s="353" t="s">
        <v>201</v>
      </c>
      <c r="D33" s="353" t="s">
        <v>200</v>
      </c>
      <c r="E33" s="350"/>
      <c r="G33" s="339"/>
      <c r="H33" s="339"/>
      <c r="I33" s="339"/>
      <c r="J33" s="339"/>
    </row>
    <row r="34" spans="1:16384" s="30" customFormat="1" x14ac:dyDescent="0.2">
      <c r="B34" s="346"/>
      <c r="C34" s="352" t="s">
        <v>186</v>
      </c>
      <c r="D34" s="351" t="s">
        <v>199</v>
      </c>
      <c r="E34" s="350"/>
      <c r="G34" s="339"/>
      <c r="H34" s="339"/>
      <c r="I34" s="339"/>
      <c r="J34" s="339"/>
    </row>
    <row r="35" spans="1:16384" s="349" customFormat="1" x14ac:dyDescent="0.2">
      <c r="A35" s="30"/>
      <c r="B35" s="346"/>
      <c r="C35" s="348" t="s">
        <v>181</v>
      </c>
      <c r="D35" s="347" t="s">
        <v>124</v>
      </c>
      <c r="E35" s="343"/>
      <c r="F35" s="30"/>
      <c r="G35" s="339"/>
      <c r="H35" s="339"/>
      <c r="I35" s="339"/>
      <c r="J35" s="339"/>
      <c r="K35" s="30"/>
      <c r="L35" s="30"/>
      <c r="M35" s="30"/>
      <c r="N35" s="30"/>
      <c r="O35" s="30"/>
      <c r="P35" s="30"/>
      <c r="Q35" s="30"/>
      <c r="R35" s="30"/>
      <c r="S35" s="30"/>
      <c r="T35" s="30"/>
      <c r="U35" s="30"/>
      <c r="V35" s="30"/>
      <c r="W35" s="30"/>
      <c r="X35" s="30"/>
      <c r="Y35" s="30"/>
      <c r="Z35" s="30"/>
      <c r="AA35" s="30"/>
      <c r="AB35" s="30"/>
      <c r="AC35" s="30"/>
      <c r="AD35" s="30"/>
      <c r="AE35" s="30"/>
      <c r="AF35" s="30"/>
      <c r="AG35" s="30"/>
      <c r="AH35" s="30"/>
      <c r="AI35" s="30"/>
      <c r="AJ35" s="30"/>
      <c r="AK35" s="30"/>
      <c r="AL35" s="30"/>
      <c r="AM35" s="30"/>
      <c r="AN35" s="30"/>
      <c r="AO35" s="30"/>
      <c r="AP35" s="30"/>
      <c r="AQ35" s="30"/>
      <c r="AR35" s="30"/>
      <c r="AS35" s="30"/>
      <c r="AT35" s="30"/>
      <c r="AU35" s="30"/>
      <c r="AV35" s="30"/>
      <c r="AW35" s="30"/>
      <c r="AX35" s="30"/>
      <c r="AY35" s="30"/>
      <c r="AZ35" s="30"/>
      <c r="BA35" s="30"/>
      <c r="BB35" s="30"/>
      <c r="BC35" s="30"/>
      <c r="BD35" s="30"/>
      <c r="BE35" s="30"/>
      <c r="BF35" s="30"/>
      <c r="BG35" s="30"/>
      <c r="BH35" s="30"/>
      <c r="BI35" s="30"/>
      <c r="BJ35" s="30"/>
      <c r="BK35" s="30"/>
      <c r="BL35" s="30"/>
      <c r="BM35" s="30"/>
      <c r="BN35" s="30"/>
      <c r="BO35" s="30"/>
      <c r="BP35" s="30"/>
      <c r="BQ35" s="30"/>
      <c r="BR35" s="30"/>
      <c r="BS35" s="30"/>
      <c r="BT35" s="30"/>
      <c r="BU35" s="30"/>
      <c r="BV35" s="30"/>
      <c r="BW35" s="30"/>
      <c r="BX35" s="30"/>
      <c r="BY35" s="30"/>
      <c r="BZ35" s="30"/>
      <c r="CA35" s="30"/>
      <c r="CB35" s="30"/>
      <c r="CC35" s="30"/>
      <c r="CD35" s="30"/>
      <c r="CE35" s="30"/>
      <c r="CF35" s="30"/>
      <c r="CG35" s="30"/>
      <c r="CH35" s="30"/>
      <c r="CI35" s="30"/>
      <c r="CJ35" s="30"/>
      <c r="CK35" s="30"/>
      <c r="CL35" s="30"/>
      <c r="CM35" s="30"/>
      <c r="CN35" s="30"/>
      <c r="CO35" s="30"/>
      <c r="CP35" s="30"/>
      <c r="CQ35" s="30"/>
      <c r="CR35" s="30"/>
      <c r="CS35" s="30"/>
      <c r="CT35" s="30"/>
      <c r="CU35" s="30"/>
      <c r="CV35" s="30"/>
      <c r="CW35" s="30"/>
      <c r="CX35" s="30"/>
      <c r="CY35" s="30"/>
      <c r="CZ35" s="30"/>
      <c r="DA35" s="30"/>
      <c r="DB35" s="30"/>
      <c r="DC35" s="30"/>
      <c r="DD35" s="30"/>
      <c r="DE35" s="30"/>
      <c r="DF35" s="30"/>
      <c r="DG35" s="30"/>
      <c r="DH35" s="30"/>
      <c r="DI35" s="30"/>
      <c r="DJ35" s="30"/>
      <c r="DK35" s="30"/>
      <c r="DL35" s="30"/>
      <c r="DM35" s="30"/>
      <c r="DN35" s="30"/>
      <c r="DO35" s="30"/>
      <c r="DP35" s="30"/>
      <c r="DQ35" s="30"/>
      <c r="DR35" s="30"/>
      <c r="DS35" s="30"/>
      <c r="DT35" s="30"/>
      <c r="DU35" s="30"/>
      <c r="DV35" s="30"/>
      <c r="DW35" s="30"/>
      <c r="DX35" s="30"/>
      <c r="DY35" s="30"/>
      <c r="DZ35" s="30"/>
      <c r="EA35" s="30"/>
      <c r="EB35" s="30"/>
      <c r="EC35" s="30"/>
      <c r="ED35" s="30"/>
      <c r="EE35" s="30"/>
      <c r="EF35" s="30"/>
      <c r="EG35" s="30"/>
      <c r="EH35" s="30"/>
      <c r="EI35" s="30"/>
      <c r="EJ35" s="30"/>
      <c r="EK35" s="30"/>
      <c r="EL35" s="30"/>
      <c r="EM35" s="30"/>
      <c r="EN35" s="30"/>
      <c r="EO35" s="30"/>
      <c r="EP35" s="30"/>
      <c r="EQ35" s="30"/>
      <c r="ER35" s="30"/>
      <c r="ES35" s="30"/>
      <c r="ET35" s="30"/>
      <c r="EU35" s="30"/>
      <c r="EV35" s="30"/>
      <c r="EW35" s="30"/>
      <c r="EX35" s="30"/>
      <c r="EY35" s="30"/>
      <c r="EZ35" s="30"/>
      <c r="FA35" s="30"/>
      <c r="FB35" s="30"/>
      <c r="FC35" s="30"/>
      <c r="FD35" s="30"/>
      <c r="FE35" s="30"/>
      <c r="FF35" s="30"/>
      <c r="FG35" s="30"/>
      <c r="FH35" s="30"/>
      <c r="FI35" s="30"/>
      <c r="FJ35" s="30"/>
      <c r="FK35" s="30"/>
      <c r="FL35" s="30"/>
      <c r="FM35" s="30"/>
      <c r="FN35" s="30"/>
      <c r="FO35" s="30"/>
      <c r="FP35" s="30"/>
      <c r="FQ35" s="30"/>
      <c r="FR35" s="30"/>
      <c r="FS35" s="30"/>
      <c r="FT35" s="30"/>
      <c r="FU35" s="30"/>
      <c r="FV35" s="30"/>
      <c r="FW35" s="30"/>
      <c r="FX35" s="30"/>
      <c r="FY35" s="30"/>
      <c r="FZ35" s="30"/>
      <c r="GA35" s="30"/>
      <c r="GB35" s="30"/>
      <c r="GC35" s="30"/>
      <c r="GD35" s="30"/>
      <c r="GE35" s="30"/>
      <c r="GF35" s="30"/>
      <c r="GG35" s="30"/>
      <c r="GH35" s="30"/>
      <c r="GI35" s="30"/>
      <c r="GJ35" s="30"/>
      <c r="GK35" s="30"/>
      <c r="GL35" s="30"/>
      <c r="GM35" s="30"/>
      <c r="GN35" s="30"/>
      <c r="GO35" s="30"/>
      <c r="GP35" s="30"/>
      <c r="GQ35" s="30"/>
      <c r="GR35" s="30"/>
      <c r="GS35" s="30"/>
      <c r="GT35" s="30"/>
      <c r="GU35" s="30"/>
      <c r="GV35" s="30"/>
      <c r="GW35" s="30"/>
      <c r="GX35" s="30"/>
      <c r="GY35" s="30"/>
      <c r="GZ35" s="30"/>
      <c r="HA35" s="30"/>
      <c r="HB35" s="30"/>
      <c r="HC35" s="30"/>
      <c r="HD35" s="30"/>
      <c r="HE35" s="30"/>
      <c r="HF35" s="30"/>
      <c r="HG35" s="30"/>
      <c r="HH35" s="30"/>
      <c r="HI35" s="30"/>
      <c r="HJ35" s="30"/>
      <c r="HK35" s="30"/>
      <c r="HL35" s="30"/>
      <c r="HM35" s="30"/>
      <c r="HN35" s="30"/>
      <c r="HO35" s="30"/>
      <c r="HP35" s="30"/>
      <c r="HQ35" s="30"/>
      <c r="HR35" s="30"/>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c r="JV35" s="30"/>
      <c r="JW35" s="30"/>
      <c r="JX35" s="30"/>
      <c r="JY35" s="30"/>
      <c r="JZ35" s="30"/>
      <c r="KA35" s="30"/>
      <c r="KB35" s="30"/>
      <c r="KC35" s="30"/>
      <c r="KD35" s="30"/>
      <c r="KE35" s="30"/>
      <c r="KF35" s="30"/>
      <c r="KG35" s="30"/>
      <c r="KH35" s="30"/>
      <c r="KI35" s="30"/>
      <c r="KJ35" s="30"/>
      <c r="KK35" s="30"/>
      <c r="KL35" s="30"/>
      <c r="KM35" s="30"/>
      <c r="KN35" s="30"/>
      <c r="KO35" s="30"/>
      <c r="KP35" s="30"/>
      <c r="KQ35" s="30"/>
      <c r="KR35" s="30"/>
      <c r="KS35" s="30"/>
      <c r="KT35" s="30"/>
      <c r="KU35" s="30"/>
      <c r="KV35" s="30"/>
      <c r="KW35" s="30"/>
      <c r="KX35" s="30"/>
      <c r="KY35" s="30"/>
      <c r="KZ35" s="30"/>
      <c r="LA35" s="30"/>
      <c r="LB35" s="30"/>
      <c r="LC35" s="30"/>
      <c r="LD35" s="30"/>
      <c r="LE35" s="30"/>
      <c r="LF35" s="30"/>
      <c r="LG35" s="30"/>
      <c r="LH35" s="30"/>
      <c r="LI35" s="30"/>
      <c r="LJ35" s="30"/>
      <c r="LK35" s="30"/>
      <c r="LL35" s="30"/>
      <c r="LM35" s="30"/>
      <c r="LN35" s="30"/>
      <c r="LO35" s="30"/>
      <c r="LP35" s="30"/>
      <c r="LQ35" s="30"/>
      <c r="LR35" s="30"/>
      <c r="LS35" s="30"/>
      <c r="LT35" s="30"/>
      <c r="LU35" s="30"/>
      <c r="LV35" s="30"/>
      <c r="LW35" s="30"/>
      <c r="LX35" s="30"/>
      <c r="LY35" s="30"/>
      <c r="LZ35" s="30"/>
      <c r="MA35" s="30"/>
      <c r="MB35" s="30"/>
      <c r="MC35" s="30"/>
      <c r="MD35" s="30"/>
      <c r="ME35" s="30"/>
      <c r="MF35" s="30"/>
      <c r="MG35" s="30"/>
      <c r="MH35" s="30"/>
      <c r="MI35" s="30"/>
      <c r="MJ35" s="30"/>
      <c r="MK35" s="30"/>
      <c r="ML35" s="30"/>
      <c r="MM35" s="30"/>
      <c r="MN35" s="30"/>
      <c r="MO35" s="30"/>
      <c r="MP35" s="30"/>
      <c r="MQ35" s="30"/>
      <c r="MR35" s="30"/>
      <c r="MS35" s="30"/>
      <c r="MT35" s="30"/>
      <c r="MU35" s="30"/>
      <c r="MV35" s="30"/>
      <c r="MW35" s="30"/>
      <c r="MX35" s="30"/>
      <c r="MY35" s="30"/>
      <c r="MZ35" s="30"/>
      <c r="NA35" s="30"/>
      <c r="NB35" s="30"/>
      <c r="NC35" s="30"/>
      <c r="ND35" s="30"/>
      <c r="NE35" s="30"/>
      <c r="NF35" s="30"/>
      <c r="NG35" s="30"/>
      <c r="NH35" s="30"/>
      <c r="NI35" s="30"/>
      <c r="NJ35" s="30"/>
      <c r="NK35" s="30"/>
      <c r="NL35" s="30"/>
      <c r="NM35" s="30"/>
      <c r="NN35" s="30"/>
      <c r="NO35" s="30"/>
      <c r="NP35" s="30"/>
      <c r="NQ35" s="30"/>
      <c r="NR35" s="30"/>
      <c r="NS35" s="30"/>
      <c r="NT35" s="30"/>
      <c r="NU35" s="30"/>
      <c r="NV35" s="30"/>
      <c r="NW35" s="30"/>
      <c r="NX35" s="30"/>
      <c r="NY35" s="30"/>
      <c r="NZ35" s="30"/>
      <c r="OA35" s="30"/>
      <c r="OB35" s="30"/>
      <c r="OC35" s="30"/>
      <c r="OD35" s="30"/>
      <c r="OE35" s="30"/>
      <c r="OF35" s="30"/>
      <c r="OG35" s="30"/>
      <c r="OH35" s="30"/>
      <c r="OI35" s="30"/>
      <c r="OJ35" s="30"/>
      <c r="OK35" s="30"/>
      <c r="OL35" s="30"/>
      <c r="OM35" s="30"/>
      <c r="ON35" s="30"/>
      <c r="OO35" s="30"/>
      <c r="OP35" s="30"/>
      <c r="OQ35" s="30"/>
      <c r="OR35" s="30"/>
      <c r="OS35" s="30"/>
      <c r="OT35" s="30"/>
      <c r="OU35" s="30"/>
      <c r="OV35" s="30"/>
      <c r="OW35" s="30"/>
      <c r="OX35" s="30"/>
      <c r="OY35" s="30"/>
      <c r="OZ35" s="30"/>
      <c r="PA35" s="30"/>
      <c r="PB35" s="30"/>
      <c r="PC35" s="30"/>
      <c r="PD35" s="30"/>
      <c r="PE35" s="30"/>
      <c r="PF35" s="30"/>
      <c r="PG35" s="30"/>
      <c r="PH35" s="30"/>
      <c r="PI35" s="30"/>
      <c r="PJ35" s="30"/>
      <c r="PK35" s="30"/>
      <c r="PL35" s="30"/>
      <c r="PM35" s="30"/>
      <c r="PN35" s="30"/>
      <c r="PO35" s="30"/>
      <c r="PP35" s="30"/>
      <c r="PQ35" s="30"/>
      <c r="PR35" s="30"/>
      <c r="PS35" s="30"/>
      <c r="PT35" s="30"/>
      <c r="PU35" s="30"/>
      <c r="PV35" s="30"/>
      <c r="PW35" s="30"/>
      <c r="PX35" s="30"/>
      <c r="PY35" s="30"/>
      <c r="PZ35" s="30"/>
      <c r="QA35" s="30"/>
      <c r="QB35" s="30"/>
      <c r="QC35" s="30"/>
      <c r="QD35" s="30"/>
      <c r="QE35" s="30"/>
      <c r="QF35" s="30"/>
      <c r="QG35" s="30"/>
      <c r="QH35" s="30"/>
      <c r="QI35" s="30"/>
      <c r="QJ35" s="30"/>
      <c r="QK35" s="30"/>
      <c r="QL35" s="30"/>
      <c r="QM35" s="30"/>
      <c r="QN35" s="30"/>
      <c r="QO35" s="30"/>
      <c r="QP35" s="30"/>
      <c r="QQ35" s="30"/>
      <c r="QR35" s="30"/>
      <c r="QS35" s="30"/>
      <c r="QT35" s="30"/>
      <c r="QU35" s="30"/>
      <c r="QV35" s="30"/>
      <c r="QW35" s="30"/>
      <c r="QX35" s="30"/>
      <c r="QY35" s="30"/>
      <c r="QZ35" s="30"/>
      <c r="RA35" s="30"/>
      <c r="RB35" s="30"/>
      <c r="RC35" s="30"/>
      <c r="RD35" s="30"/>
      <c r="RE35" s="30"/>
      <c r="RF35" s="30"/>
      <c r="RG35" s="30"/>
      <c r="RH35" s="30"/>
      <c r="RI35" s="30"/>
      <c r="RJ35" s="30"/>
      <c r="RK35" s="30"/>
      <c r="RL35" s="30"/>
      <c r="RM35" s="30"/>
      <c r="RN35" s="30"/>
      <c r="RO35" s="30"/>
      <c r="RP35" s="30"/>
      <c r="RQ35" s="30"/>
      <c r="RR35" s="30"/>
      <c r="RS35" s="30"/>
      <c r="RT35" s="30"/>
      <c r="RU35" s="30"/>
      <c r="RV35" s="30"/>
      <c r="RW35" s="30"/>
      <c r="RX35" s="30"/>
      <c r="RY35" s="30"/>
      <c r="RZ35" s="30"/>
      <c r="SA35" s="30"/>
      <c r="SB35" s="30"/>
      <c r="SC35" s="30"/>
      <c r="SD35" s="30"/>
      <c r="SE35" s="30"/>
      <c r="SF35" s="30"/>
      <c r="SG35" s="30"/>
      <c r="SH35" s="30"/>
      <c r="SI35" s="30"/>
      <c r="SJ35" s="30"/>
      <c r="SK35" s="30"/>
      <c r="SL35" s="30"/>
      <c r="SM35" s="30"/>
      <c r="SN35" s="30"/>
      <c r="SO35" s="30"/>
      <c r="SP35" s="30"/>
      <c r="SQ35" s="30"/>
      <c r="SR35" s="30"/>
      <c r="SS35" s="30"/>
      <c r="ST35" s="30"/>
      <c r="SU35" s="30"/>
      <c r="SV35" s="30"/>
      <c r="SW35" s="30"/>
      <c r="SX35" s="30"/>
      <c r="SY35" s="30"/>
      <c r="SZ35" s="30"/>
      <c r="TA35" s="30"/>
      <c r="TB35" s="30"/>
      <c r="TC35" s="30"/>
      <c r="TD35" s="30"/>
      <c r="TE35" s="30"/>
      <c r="TF35" s="30"/>
      <c r="TG35" s="30"/>
      <c r="TH35" s="30"/>
      <c r="TI35" s="30"/>
      <c r="TJ35" s="30"/>
      <c r="TK35" s="30"/>
      <c r="TL35" s="30"/>
      <c r="TM35" s="30"/>
      <c r="TN35" s="30"/>
      <c r="TO35" s="30"/>
      <c r="TP35" s="30"/>
      <c r="TQ35" s="30"/>
      <c r="TR35" s="30"/>
      <c r="TS35" s="30"/>
      <c r="TT35" s="30"/>
      <c r="TU35" s="30"/>
      <c r="TV35" s="30"/>
      <c r="TW35" s="30"/>
      <c r="TX35" s="30"/>
      <c r="TY35" s="30"/>
      <c r="TZ35" s="30"/>
      <c r="UA35" s="30"/>
      <c r="UB35" s="30"/>
      <c r="UC35" s="30"/>
      <c r="UD35" s="30"/>
      <c r="UE35" s="30"/>
      <c r="UF35" s="30"/>
      <c r="UG35" s="30"/>
      <c r="UH35" s="30"/>
      <c r="UI35" s="30"/>
      <c r="UJ35" s="30"/>
      <c r="UK35" s="30"/>
      <c r="UL35" s="30"/>
      <c r="UM35" s="30"/>
      <c r="UN35" s="30"/>
      <c r="UO35" s="30"/>
      <c r="UP35" s="30"/>
      <c r="UQ35" s="30"/>
      <c r="UR35" s="30"/>
      <c r="US35" s="30"/>
      <c r="UT35" s="30"/>
      <c r="UU35" s="30"/>
      <c r="UV35" s="30"/>
      <c r="UW35" s="30"/>
      <c r="UX35" s="30"/>
      <c r="UY35" s="30"/>
      <c r="UZ35" s="30"/>
      <c r="VA35" s="30"/>
      <c r="VB35" s="30"/>
      <c r="VC35" s="30"/>
      <c r="VD35" s="30"/>
      <c r="VE35" s="30"/>
      <c r="VF35" s="30"/>
      <c r="VG35" s="30"/>
      <c r="VH35" s="30"/>
      <c r="VI35" s="30"/>
      <c r="VJ35" s="30"/>
      <c r="VK35" s="30"/>
      <c r="VL35" s="30"/>
      <c r="VM35" s="30"/>
      <c r="VN35" s="30"/>
      <c r="VO35" s="30"/>
      <c r="VP35" s="30"/>
      <c r="VQ35" s="30"/>
      <c r="VR35" s="30"/>
      <c r="VS35" s="30"/>
      <c r="VT35" s="30"/>
      <c r="VU35" s="30"/>
      <c r="VV35" s="30"/>
      <c r="VW35" s="30"/>
      <c r="VX35" s="30"/>
      <c r="VY35" s="30"/>
      <c r="VZ35" s="30"/>
      <c r="WA35" s="30"/>
      <c r="WB35" s="30"/>
      <c r="WC35" s="30"/>
      <c r="WD35" s="30"/>
      <c r="WE35" s="30"/>
      <c r="WF35" s="30"/>
      <c r="WG35" s="30"/>
      <c r="WH35" s="30"/>
      <c r="WI35" s="30"/>
      <c r="WJ35" s="30"/>
      <c r="WK35" s="30"/>
      <c r="WL35" s="30"/>
      <c r="WM35" s="30"/>
      <c r="WN35" s="30"/>
      <c r="WO35" s="30"/>
      <c r="WP35" s="30"/>
      <c r="WQ35" s="30"/>
      <c r="WR35" s="30"/>
      <c r="WS35" s="30"/>
      <c r="WT35" s="30"/>
      <c r="WU35" s="30"/>
      <c r="WV35" s="30"/>
      <c r="WW35" s="30"/>
      <c r="WX35" s="30"/>
      <c r="WY35" s="30"/>
      <c r="WZ35" s="30"/>
      <c r="XA35" s="30"/>
      <c r="XB35" s="30"/>
      <c r="XC35" s="30"/>
      <c r="XD35" s="30"/>
      <c r="XE35" s="30"/>
      <c r="XF35" s="30"/>
      <c r="XG35" s="30"/>
      <c r="XH35" s="30"/>
      <c r="XI35" s="30"/>
      <c r="XJ35" s="30"/>
      <c r="XK35" s="30"/>
      <c r="XL35" s="30"/>
      <c r="XM35" s="30"/>
      <c r="XN35" s="30"/>
      <c r="XO35" s="30"/>
      <c r="XP35" s="30"/>
      <c r="XQ35" s="30"/>
      <c r="XR35" s="30"/>
      <c r="XS35" s="30"/>
      <c r="XT35" s="30"/>
      <c r="XU35" s="30"/>
      <c r="XV35" s="30"/>
      <c r="XW35" s="30"/>
      <c r="XX35" s="30"/>
      <c r="XY35" s="30"/>
      <c r="XZ35" s="30"/>
      <c r="YA35" s="30"/>
      <c r="YB35" s="30"/>
      <c r="YC35" s="30"/>
      <c r="YD35" s="30"/>
      <c r="YE35" s="30"/>
      <c r="YF35" s="30"/>
      <c r="YG35" s="30"/>
      <c r="YH35" s="30"/>
      <c r="YI35" s="30"/>
      <c r="YJ35" s="30"/>
      <c r="YK35" s="30"/>
      <c r="YL35" s="30"/>
      <c r="YM35" s="30"/>
      <c r="YN35" s="30"/>
      <c r="YO35" s="30"/>
      <c r="YP35" s="30"/>
      <c r="YQ35" s="30"/>
      <c r="YR35" s="30"/>
      <c r="YS35" s="30"/>
      <c r="YT35" s="30"/>
      <c r="YU35" s="30"/>
      <c r="YV35" s="30"/>
      <c r="YW35" s="30"/>
      <c r="YX35" s="30"/>
      <c r="YY35" s="30"/>
      <c r="YZ35" s="30"/>
      <c r="ZA35" s="30"/>
      <c r="ZB35" s="30"/>
      <c r="ZC35" s="30"/>
      <c r="ZD35" s="30"/>
      <c r="ZE35" s="30"/>
      <c r="ZF35" s="30"/>
      <c r="ZG35" s="30"/>
      <c r="ZH35" s="30"/>
      <c r="ZI35" s="30"/>
      <c r="ZJ35" s="30"/>
      <c r="ZK35" s="30"/>
      <c r="ZL35" s="30"/>
      <c r="ZM35" s="30"/>
      <c r="ZN35" s="30"/>
      <c r="ZO35" s="30"/>
      <c r="ZP35" s="30"/>
      <c r="ZQ35" s="30"/>
      <c r="ZR35" s="30"/>
      <c r="ZS35" s="30"/>
      <c r="ZT35" s="30"/>
      <c r="ZU35" s="30"/>
      <c r="ZV35" s="30"/>
      <c r="ZW35" s="30"/>
      <c r="ZX35" s="30"/>
      <c r="ZY35" s="30"/>
      <c r="ZZ35" s="30"/>
      <c r="AAA35" s="30"/>
      <c r="AAB35" s="30"/>
      <c r="AAC35" s="30"/>
      <c r="AAD35" s="30"/>
      <c r="AAE35" s="30"/>
      <c r="AAF35" s="30"/>
      <c r="AAG35" s="30"/>
      <c r="AAH35" s="30"/>
      <c r="AAI35" s="30"/>
      <c r="AAJ35" s="30"/>
      <c r="AAK35" s="30"/>
      <c r="AAL35" s="30"/>
      <c r="AAM35" s="30"/>
      <c r="AAN35" s="30"/>
      <c r="AAO35" s="30"/>
      <c r="AAP35" s="30"/>
      <c r="AAQ35" s="30"/>
      <c r="AAR35" s="30"/>
      <c r="AAS35" s="30"/>
      <c r="AAT35" s="30"/>
      <c r="AAU35" s="30"/>
      <c r="AAV35" s="30"/>
      <c r="AAW35" s="30"/>
      <c r="AAX35" s="30"/>
      <c r="AAY35" s="30"/>
      <c r="AAZ35" s="30"/>
      <c r="ABA35" s="30"/>
      <c r="ABB35" s="30"/>
      <c r="ABC35" s="30"/>
      <c r="ABD35" s="30"/>
      <c r="ABE35" s="30"/>
      <c r="ABF35" s="30"/>
      <c r="ABG35" s="30"/>
      <c r="ABH35" s="30"/>
      <c r="ABI35" s="30"/>
      <c r="ABJ35" s="30"/>
      <c r="ABK35" s="30"/>
      <c r="ABL35" s="30"/>
      <c r="ABM35" s="30"/>
      <c r="ABN35" s="30"/>
      <c r="ABO35" s="30"/>
      <c r="ABP35" s="30"/>
      <c r="ABQ35" s="30"/>
      <c r="ABR35" s="30"/>
      <c r="ABS35" s="30"/>
      <c r="ABT35" s="30"/>
      <c r="ABU35" s="30"/>
      <c r="ABV35" s="30"/>
      <c r="ABW35" s="30"/>
      <c r="ABX35" s="30"/>
      <c r="ABY35" s="30"/>
      <c r="ABZ35" s="30"/>
      <c r="ACA35" s="30"/>
      <c r="ACB35" s="30"/>
      <c r="ACC35" s="30"/>
      <c r="ACD35" s="30"/>
      <c r="ACE35" s="30"/>
      <c r="ACF35" s="30"/>
      <c r="ACG35" s="30"/>
      <c r="ACH35" s="30"/>
      <c r="ACI35" s="30"/>
      <c r="ACJ35" s="30"/>
      <c r="ACK35" s="30"/>
      <c r="ACL35" s="30"/>
      <c r="ACM35" s="30"/>
      <c r="ACN35" s="30"/>
      <c r="ACO35" s="30"/>
      <c r="ACP35" s="30"/>
      <c r="ACQ35" s="30"/>
      <c r="ACR35" s="30"/>
      <c r="ACS35" s="30"/>
      <c r="ACT35" s="30"/>
      <c r="ACU35" s="30"/>
      <c r="ACV35" s="30"/>
      <c r="ACW35" s="30"/>
      <c r="ACX35" s="30"/>
      <c r="ACY35" s="30"/>
      <c r="ACZ35" s="30"/>
      <c r="ADA35" s="30"/>
      <c r="ADB35" s="30"/>
      <c r="ADC35" s="30"/>
      <c r="ADD35" s="30"/>
      <c r="ADE35" s="30"/>
      <c r="ADF35" s="30"/>
      <c r="ADG35" s="30"/>
      <c r="ADH35" s="30"/>
      <c r="ADI35" s="30"/>
      <c r="ADJ35" s="30"/>
      <c r="ADK35" s="30"/>
      <c r="ADL35" s="30"/>
      <c r="ADM35" s="30"/>
      <c r="ADN35" s="30"/>
      <c r="ADO35" s="30"/>
      <c r="ADP35" s="30"/>
      <c r="ADQ35" s="30"/>
      <c r="ADR35" s="30"/>
      <c r="ADS35" s="30"/>
      <c r="ADT35" s="30"/>
      <c r="ADU35" s="30"/>
      <c r="ADV35" s="30"/>
      <c r="ADW35" s="30"/>
      <c r="ADX35" s="30"/>
      <c r="ADY35" s="30"/>
      <c r="ADZ35" s="30"/>
      <c r="AEA35" s="30"/>
      <c r="AEB35" s="30"/>
      <c r="AEC35" s="30"/>
      <c r="AED35" s="30"/>
      <c r="AEE35" s="30"/>
      <c r="AEF35" s="30"/>
      <c r="AEG35" s="30"/>
      <c r="AEH35" s="30"/>
      <c r="AEI35" s="30"/>
      <c r="AEJ35" s="30"/>
      <c r="AEK35" s="30"/>
      <c r="AEL35" s="30"/>
      <c r="AEM35" s="30"/>
      <c r="AEN35" s="30"/>
      <c r="AEO35" s="30"/>
      <c r="AEP35" s="30"/>
      <c r="AEQ35" s="30"/>
      <c r="AER35" s="30"/>
      <c r="AES35" s="30"/>
      <c r="AET35" s="30"/>
      <c r="AEU35" s="30"/>
      <c r="AEV35" s="30"/>
      <c r="AEW35" s="30"/>
      <c r="AEX35" s="30"/>
      <c r="AEY35" s="30"/>
      <c r="AEZ35" s="30"/>
      <c r="AFA35" s="30"/>
      <c r="AFB35" s="30"/>
      <c r="AFC35" s="30"/>
      <c r="AFD35" s="30"/>
      <c r="AFE35" s="30"/>
      <c r="AFF35" s="30"/>
      <c r="AFG35" s="30"/>
      <c r="AFH35" s="30"/>
      <c r="AFI35" s="30"/>
      <c r="AFJ35" s="30"/>
      <c r="AFK35" s="30"/>
      <c r="AFL35" s="30"/>
      <c r="AFM35" s="30"/>
      <c r="AFN35" s="30"/>
      <c r="AFO35" s="30"/>
      <c r="AFP35" s="30"/>
      <c r="AFQ35" s="30"/>
      <c r="AFR35" s="30"/>
      <c r="AFS35" s="30"/>
      <c r="AFT35" s="30"/>
      <c r="AFU35" s="30"/>
      <c r="AFV35" s="30"/>
      <c r="AFW35" s="30"/>
      <c r="AFX35" s="30"/>
      <c r="AFY35" s="30"/>
      <c r="AFZ35" s="30"/>
      <c r="AGA35" s="30"/>
      <c r="AGB35" s="30"/>
      <c r="AGC35" s="30"/>
      <c r="AGD35" s="30"/>
      <c r="AGE35" s="30"/>
      <c r="AGF35" s="30"/>
      <c r="AGG35" s="30"/>
      <c r="AGH35" s="30"/>
      <c r="AGI35" s="30"/>
      <c r="AGJ35" s="30"/>
      <c r="AGK35" s="30"/>
      <c r="AGL35" s="30"/>
      <c r="AGM35" s="30"/>
      <c r="AGN35" s="30"/>
      <c r="AGO35" s="30"/>
      <c r="AGP35" s="30"/>
      <c r="AGQ35" s="30"/>
      <c r="AGR35" s="30"/>
      <c r="AGS35" s="30"/>
      <c r="AGT35" s="30"/>
      <c r="AGU35" s="30"/>
      <c r="AGV35" s="30"/>
      <c r="AGW35" s="30"/>
      <c r="AGX35" s="30"/>
      <c r="AGY35" s="30"/>
      <c r="AGZ35" s="30"/>
      <c r="AHA35" s="30"/>
      <c r="AHB35" s="30"/>
      <c r="AHC35" s="30"/>
      <c r="AHD35" s="30"/>
      <c r="AHE35" s="30"/>
      <c r="AHF35" s="30"/>
      <c r="AHG35" s="30"/>
      <c r="AHH35" s="30"/>
      <c r="AHI35" s="30"/>
      <c r="AHJ35" s="30"/>
      <c r="AHK35" s="30"/>
      <c r="AHL35" s="30"/>
      <c r="AHM35" s="30"/>
      <c r="AHN35" s="30"/>
      <c r="AHO35" s="30"/>
      <c r="AHP35" s="30"/>
      <c r="AHQ35" s="30"/>
      <c r="AHR35" s="30"/>
      <c r="AHS35" s="30"/>
      <c r="AHT35" s="30"/>
      <c r="AHU35" s="30"/>
      <c r="AHV35" s="30"/>
      <c r="AHW35" s="30"/>
      <c r="AHX35" s="30"/>
      <c r="AHY35" s="30"/>
      <c r="AHZ35" s="30"/>
      <c r="AIA35" s="30"/>
      <c r="AIB35" s="30"/>
      <c r="AIC35" s="30"/>
      <c r="AID35" s="30"/>
      <c r="AIE35" s="30"/>
      <c r="AIF35" s="30"/>
      <c r="AIG35" s="30"/>
      <c r="AIH35" s="30"/>
      <c r="AII35" s="30"/>
      <c r="AIJ35" s="30"/>
      <c r="AIK35" s="30"/>
      <c r="AIL35" s="30"/>
      <c r="AIM35" s="30"/>
      <c r="AIN35" s="30"/>
      <c r="AIO35" s="30"/>
      <c r="AIP35" s="30"/>
      <c r="AIQ35" s="30"/>
      <c r="AIR35" s="30"/>
      <c r="AIS35" s="30"/>
      <c r="AIT35" s="30"/>
      <c r="AIU35" s="30"/>
      <c r="AIV35" s="30"/>
      <c r="AIW35" s="30"/>
      <c r="AIX35" s="30"/>
      <c r="AIY35" s="30"/>
      <c r="AIZ35" s="30"/>
      <c r="AJA35" s="30"/>
      <c r="AJB35" s="30"/>
      <c r="AJC35" s="30"/>
      <c r="AJD35" s="30"/>
      <c r="AJE35" s="30"/>
      <c r="AJF35" s="30"/>
      <c r="AJG35" s="30"/>
      <c r="AJH35" s="30"/>
      <c r="AJI35" s="30"/>
      <c r="AJJ35" s="30"/>
      <c r="AJK35" s="30"/>
      <c r="AJL35" s="30"/>
      <c r="AJM35" s="30"/>
      <c r="AJN35" s="30"/>
      <c r="AJO35" s="30"/>
      <c r="AJP35" s="30"/>
      <c r="AJQ35" s="30"/>
      <c r="AJR35" s="30"/>
      <c r="AJS35" s="30"/>
      <c r="AJT35" s="30"/>
      <c r="AJU35" s="30"/>
      <c r="AJV35" s="30"/>
      <c r="AJW35" s="30"/>
      <c r="AJX35" s="30"/>
      <c r="AJY35" s="30"/>
      <c r="AJZ35" s="30"/>
      <c r="AKA35" s="30"/>
      <c r="AKB35" s="30"/>
      <c r="AKC35" s="30"/>
      <c r="AKD35" s="30"/>
      <c r="AKE35" s="30"/>
      <c r="AKF35" s="30"/>
      <c r="AKG35" s="30"/>
      <c r="AKH35" s="30"/>
      <c r="AKI35" s="30"/>
      <c r="AKJ35" s="30"/>
      <c r="AKK35" s="30"/>
      <c r="AKL35" s="30"/>
      <c r="AKM35" s="30"/>
      <c r="AKN35" s="30"/>
      <c r="AKO35" s="30"/>
      <c r="AKP35" s="30"/>
      <c r="AKQ35" s="30"/>
      <c r="AKR35" s="30"/>
      <c r="AKS35" s="30"/>
      <c r="AKT35" s="30"/>
      <c r="AKU35" s="30"/>
      <c r="AKV35" s="30"/>
      <c r="AKW35" s="30"/>
      <c r="AKX35" s="30"/>
      <c r="AKY35" s="30"/>
      <c r="AKZ35" s="30"/>
      <c r="ALA35" s="30"/>
      <c r="ALB35" s="30"/>
      <c r="ALC35" s="30"/>
      <c r="ALD35" s="30"/>
      <c r="ALE35" s="30"/>
      <c r="ALF35" s="30"/>
      <c r="ALG35" s="30"/>
      <c r="ALH35" s="30"/>
      <c r="ALI35" s="30"/>
      <c r="ALJ35" s="30"/>
      <c r="ALK35" s="30"/>
      <c r="ALL35" s="30"/>
      <c r="ALM35" s="30"/>
      <c r="ALN35" s="30"/>
      <c r="ALO35" s="30"/>
      <c r="ALP35" s="30"/>
      <c r="ALQ35" s="30"/>
      <c r="ALR35" s="30"/>
      <c r="ALS35" s="30"/>
      <c r="ALT35" s="30"/>
      <c r="ALU35" s="30"/>
      <c r="ALV35" s="30"/>
      <c r="ALW35" s="30"/>
      <c r="ALX35" s="30"/>
      <c r="ALY35" s="30"/>
      <c r="ALZ35" s="30"/>
      <c r="AMA35" s="30"/>
      <c r="AMB35" s="30"/>
      <c r="AMC35" s="30"/>
      <c r="AMD35" s="30"/>
      <c r="AME35" s="30"/>
      <c r="AMF35" s="30"/>
      <c r="AMG35" s="30"/>
      <c r="AMH35" s="30"/>
      <c r="AMI35" s="30"/>
      <c r="AMJ35" s="30"/>
      <c r="AMK35" s="30"/>
      <c r="AML35" s="30"/>
      <c r="AMM35" s="30"/>
      <c r="AMN35" s="30"/>
      <c r="AMO35" s="30"/>
      <c r="AMP35" s="30"/>
      <c r="AMQ35" s="30"/>
      <c r="AMR35" s="30"/>
      <c r="AMS35" s="30"/>
      <c r="AMT35" s="30"/>
      <c r="AMU35" s="30"/>
      <c r="AMV35" s="30"/>
      <c r="AMW35" s="30"/>
      <c r="AMX35" s="30"/>
      <c r="AMY35" s="30"/>
      <c r="AMZ35" s="30"/>
      <c r="ANA35" s="30"/>
      <c r="ANB35" s="30"/>
      <c r="ANC35" s="30"/>
      <c r="AND35" s="30"/>
      <c r="ANE35" s="30"/>
      <c r="ANF35" s="30"/>
      <c r="ANG35" s="30"/>
      <c r="ANH35" s="30"/>
      <c r="ANI35" s="30"/>
      <c r="ANJ35" s="30"/>
      <c r="ANK35" s="30"/>
      <c r="ANL35" s="30"/>
      <c r="ANM35" s="30"/>
      <c r="ANN35" s="30"/>
      <c r="ANO35" s="30"/>
      <c r="ANP35" s="30"/>
      <c r="ANQ35" s="30"/>
      <c r="ANR35" s="30"/>
      <c r="ANS35" s="30"/>
      <c r="ANT35" s="30"/>
      <c r="ANU35" s="30"/>
      <c r="ANV35" s="30"/>
      <c r="ANW35" s="30"/>
      <c r="ANX35" s="30"/>
      <c r="ANY35" s="30"/>
      <c r="ANZ35" s="30"/>
      <c r="AOA35" s="30"/>
      <c r="AOB35" s="30"/>
      <c r="AOC35" s="30"/>
      <c r="AOD35" s="30"/>
      <c r="AOE35" s="30"/>
      <c r="AOF35" s="30"/>
      <c r="AOG35" s="30"/>
      <c r="AOH35" s="30"/>
      <c r="AOI35" s="30"/>
      <c r="AOJ35" s="30"/>
      <c r="AOK35" s="30"/>
      <c r="AOL35" s="30"/>
      <c r="AOM35" s="30"/>
      <c r="AON35" s="30"/>
      <c r="AOO35" s="30"/>
      <c r="AOP35" s="30"/>
      <c r="AOQ35" s="30"/>
      <c r="AOR35" s="30"/>
      <c r="AOS35" s="30"/>
      <c r="AOT35" s="30"/>
      <c r="AOU35" s="30"/>
      <c r="AOV35" s="30"/>
      <c r="AOW35" s="30"/>
      <c r="AOX35" s="30"/>
      <c r="AOY35" s="30"/>
      <c r="AOZ35" s="30"/>
      <c r="APA35" s="30"/>
      <c r="APB35" s="30"/>
      <c r="APC35" s="30"/>
      <c r="APD35" s="30"/>
      <c r="APE35" s="30"/>
      <c r="APF35" s="30"/>
      <c r="APG35" s="30"/>
      <c r="APH35" s="30"/>
      <c r="API35" s="30"/>
      <c r="APJ35" s="30"/>
      <c r="APK35" s="30"/>
      <c r="APL35" s="30"/>
      <c r="APM35" s="30"/>
      <c r="APN35" s="30"/>
      <c r="APO35" s="30"/>
      <c r="APP35" s="30"/>
      <c r="APQ35" s="30"/>
      <c r="APR35" s="30"/>
      <c r="APS35" s="30"/>
      <c r="APT35" s="30"/>
      <c r="APU35" s="30"/>
      <c r="APV35" s="30"/>
      <c r="APW35" s="30"/>
      <c r="APX35" s="30"/>
      <c r="APY35" s="30"/>
      <c r="APZ35" s="30"/>
      <c r="AQA35" s="30"/>
      <c r="AQB35" s="30"/>
      <c r="AQC35" s="30"/>
      <c r="AQD35" s="30"/>
      <c r="AQE35" s="30"/>
      <c r="AQF35" s="30"/>
      <c r="AQG35" s="30"/>
      <c r="AQH35" s="30"/>
      <c r="AQI35" s="30"/>
      <c r="AQJ35" s="30"/>
      <c r="AQK35" s="30"/>
      <c r="AQL35" s="30"/>
      <c r="AQM35" s="30"/>
      <c r="AQN35" s="30"/>
      <c r="AQO35" s="30"/>
      <c r="AQP35" s="30"/>
      <c r="AQQ35" s="30"/>
      <c r="AQR35" s="30"/>
      <c r="AQS35" s="30"/>
      <c r="AQT35" s="30"/>
      <c r="AQU35" s="30"/>
      <c r="AQV35" s="30"/>
      <c r="AQW35" s="30"/>
      <c r="AQX35" s="30"/>
      <c r="AQY35" s="30"/>
      <c r="AQZ35" s="30"/>
      <c r="ARA35" s="30"/>
      <c r="ARB35" s="30"/>
      <c r="ARC35" s="30"/>
      <c r="ARD35" s="30"/>
      <c r="ARE35" s="30"/>
      <c r="ARF35" s="30"/>
      <c r="ARG35" s="30"/>
      <c r="ARH35" s="30"/>
      <c r="ARI35" s="30"/>
      <c r="ARJ35" s="30"/>
      <c r="ARK35" s="30"/>
      <c r="ARL35" s="30"/>
      <c r="ARM35" s="30"/>
      <c r="ARN35" s="30"/>
      <c r="ARO35" s="30"/>
      <c r="ARP35" s="30"/>
      <c r="ARQ35" s="30"/>
      <c r="ARR35" s="30"/>
      <c r="ARS35" s="30"/>
      <c r="ART35" s="30"/>
      <c r="ARU35" s="30"/>
      <c r="ARV35" s="30"/>
      <c r="ARW35" s="30"/>
      <c r="ARX35" s="30"/>
      <c r="ARY35" s="30"/>
      <c r="ARZ35" s="30"/>
      <c r="ASA35" s="30"/>
      <c r="ASB35" s="30"/>
      <c r="ASC35" s="30"/>
      <c r="ASD35" s="30"/>
      <c r="ASE35" s="30"/>
      <c r="ASF35" s="30"/>
      <c r="ASG35" s="30"/>
      <c r="ASH35" s="30"/>
      <c r="ASI35" s="30"/>
      <c r="ASJ35" s="30"/>
      <c r="ASK35" s="30"/>
      <c r="ASL35" s="30"/>
      <c r="ASM35" s="30"/>
      <c r="ASN35" s="30"/>
      <c r="ASO35" s="30"/>
      <c r="ASP35" s="30"/>
      <c r="ASQ35" s="30"/>
      <c r="ASR35" s="30"/>
      <c r="ASS35" s="30"/>
      <c r="AST35" s="30"/>
      <c r="ASU35" s="30"/>
      <c r="ASV35" s="30"/>
      <c r="ASW35" s="30"/>
      <c r="ASX35" s="30"/>
      <c r="ASY35" s="30"/>
      <c r="ASZ35" s="30"/>
      <c r="ATA35" s="30"/>
      <c r="ATB35" s="30"/>
      <c r="ATC35" s="30"/>
      <c r="ATD35" s="30"/>
      <c r="ATE35" s="30"/>
      <c r="ATF35" s="30"/>
      <c r="ATG35" s="30"/>
      <c r="ATH35" s="30"/>
      <c r="ATI35" s="30"/>
      <c r="ATJ35" s="30"/>
      <c r="ATK35" s="30"/>
      <c r="ATL35" s="30"/>
      <c r="ATM35" s="30"/>
      <c r="ATN35" s="30"/>
      <c r="ATO35" s="30"/>
      <c r="ATP35" s="30"/>
      <c r="ATQ35" s="30"/>
      <c r="ATR35" s="30"/>
      <c r="ATS35" s="30"/>
      <c r="ATT35" s="30"/>
      <c r="ATU35" s="30"/>
      <c r="ATV35" s="30"/>
      <c r="ATW35" s="30"/>
      <c r="ATX35" s="30"/>
      <c r="ATY35" s="30"/>
      <c r="ATZ35" s="30"/>
      <c r="AUA35" s="30"/>
      <c r="AUB35" s="30"/>
      <c r="AUC35" s="30"/>
      <c r="AUD35" s="30"/>
      <c r="AUE35" s="30"/>
      <c r="AUF35" s="30"/>
      <c r="AUG35" s="30"/>
      <c r="AUH35" s="30"/>
      <c r="AUI35" s="30"/>
      <c r="AUJ35" s="30"/>
      <c r="AUK35" s="30"/>
      <c r="AUL35" s="30"/>
      <c r="AUM35" s="30"/>
      <c r="AUN35" s="30"/>
      <c r="AUO35" s="30"/>
      <c r="AUP35" s="30"/>
      <c r="AUQ35" s="30"/>
      <c r="AUR35" s="30"/>
      <c r="AUS35" s="30"/>
      <c r="AUT35" s="30"/>
      <c r="AUU35" s="30"/>
      <c r="AUV35" s="30"/>
      <c r="AUW35" s="30"/>
      <c r="AUX35" s="30"/>
      <c r="AUY35" s="30"/>
      <c r="AUZ35" s="30"/>
      <c r="AVA35" s="30"/>
      <c r="AVB35" s="30"/>
      <c r="AVC35" s="30"/>
      <c r="AVD35" s="30"/>
      <c r="AVE35" s="30"/>
      <c r="AVF35" s="30"/>
      <c r="AVG35" s="30"/>
      <c r="AVH35" s="30"/>
      <c r="AVI35" s="30"/>
      <c r="AVJ35" s="30"/>
      <c r="AVK35" s="30"/>
      <c r="AVL35" s="30"/>
      <c r="AVM35" s="30"/>
      <c r="AVN35" s="30"/>
      <c r="AVO35" s="30"/>
      <c r="AVP35" s="30"/>
      <c r="AVQ35" s="30"/>
      <c r="AVR35" s="30"/>
      <c r="AVS35" s="30"/>
      <c r="AVT35" s="30"/>
      <c r="AVU35" s="30"/>
      <c r="AVV35" s="30"/>
      <c r="AVW35" s="30"/>
      <c r="AVX35" s="30"/>
      <c r="AVY35" s="30"/>
      <c r="AVZ35" s="30"/>
      <c r="AWA35" s="30"/>
      <c r="AWB35" s="30"/>
      <c r="AWC35" s="30"/>
      <c r="AWD35" s="30"/>
      <c r="AWE35" s="30"/>
      <c r="AWF35" s="30"/>
      <c r="AWG35" s="30"/>
      <c r="AWH35" s="30"/>
      <c r="AWI35" s="30"/>
      <c r="AWJ35" s="30"/>
      <c r="AWK35" s="30"/>
      <c r="AWL35" s="30"/>
      <c r="AWM35" s="30"/>
      <c r="AWN35" s="30"/>
      <c r="AWO35" s="30"/>
      <c r="AWP35" s="30"/>
      <c r="AWQ35" s="30"/>
      <c r="AWR35" s="30"/>
      <c r="AWS35" s="30"/>
      <c r="AWT35" s="30"/>
      <c r="AWU35" s="30"/>
      <c r="AWV35" s="30"/>
      <c r="AWW35" s="30"/>
      <c r="AWX35" s="30"/>
      <c r="AWY35" s="30"/>
      <c r="AWZ35" s="30"/>
      <c r="AXA35" s="30"/>
      <c r="AXB35" s="30"/>
      <c r="AXC35" s="30"/>
      <c r="AXD35" s="30"/>
      <c r="AXE35" s="30"/>
      <c r="AXF35" s="30"/>
      <c r="AXG35" s="30"/>
      <c r="AXH35" s="30"/>
      <c r="AXI35" s="30"/>
      <c r="AXJ35" s="30"/>
      <c r="AXK35" s="30"/>
      <c r="AXL35" s="30"/>
      <c r="AXM35" s="30"/>
      <c r="AXN35" s="30"/>
      <c r="AXO35" s="30"/>
      <c r="AXP35" s="30"/>
      <c r="AXQ35" s="30"/>
      <c r="AXR35" s="30"/>
      <c r="AXS35" s="30"/>
      <c r="AXT35" s="30"/>
      <c r="AXU35" s="30"/>
      <c r="AXV35" s="30"/>
      <c r="AXW35" s="30"/>
      <c r="AXX35" s="30"/>
      <c r="AXY35" s="30"/>
      <c r="AXZ35" s="30"/>
      <c r="AYA35" s="30"/>
      <c r="AYB35" s="30"/>
      <c r="AYC35" s="30"/>
      <c r="AYD35" s="30"/>
      <c r="AYE35" s="30"/>
      <c r="AYF35" s="30"/>
      <c r="AYG35" s="30"/>
      <c r="AYH35" s="30"/>
      <c r="AYI35" s="30"/>
      <c r="AYJ35" s="30"/>
      <c r="AYK35" s="30"/>
      <c r="AYL35" s="30"/>
      <c r="AYM35" s="30"/>
      <c r="AYN35" s="30"/>
      <c r="AYO35" s="30"/>
      <c r="AYP35" s="30"/>
      <c r="AYQ35" s="30"/>
      <c r="AYR35" s="30"/>
      <c r="AYS35" s="30"/>
      <c r="AYT35" s="30"/>
      <c r="AYU35" s="30"/>
      <c r="AYV35" s="30"/>
      <c r="AYW35" s="30"/>
      <c r="AYX35" s="30"/>
      <c r="AYY35" s="30"/>
      <c r="AYZ35" s="30"/>
      <c r="AZA35" s="30"/>
      <c r="AZB35" s="30"/>
      <c r="AZC35" s="30"/>
      <c r="AZD35" s="30"/>
      <c r="AZE35" s="30"/>
      <c r="AZF35" s="30"/>
      <c r="AZG35" s="30"/>
      <c r="AZH35" s="30"/>
      <c r="AZI35" s="30"/>
      <c r="AZJ35" s="30"/>
      <c r="AZK35" s="30"/>
      <c r="AZL35" s="30"/>
      <c r="AZM35" s="30"/>
      <c r="AZN35" s="30"/>
      <c r="AZO35" s="30"/>
      <c r="AZP35" s="30"/>
      <c r="AZQ35" s="30"/>
      <c r="AZR35" s="30"/>
      <c r="AZS35" s="30"/>
      <c r="AZT35" s="30"/>
      <c r="AZU35" s="30"/>
      <c r="AZV35" s="30"/>
      <c r="AZW35" s="30"/>
      <c r="AZX35" s="30"/>
      <c r="AZY35" s="30"/>
      <c r="AZZ35" s="30"/>
      <c r="BAA35" s="30"/>
      <c r="BAB35" s="30"/>
      <c r="BAC35" s="30"/>
      <c r="BAD35" s="30"/>
      <c r="BAE35" s="30"/>
      <c r="BAF35" s="30"/>
      <c r="BAG35" s="30"/>
      <c r="BAH35" s="30"/>
      <c r="BAI35" s="30"/>
      <c r="BAJ35" s="30"/>
      <c r="BAK35" s="30"/>
      <c r="BAL35" s="30"/>
      <c r="BAM35" s="30"/>
      <c r="BAN35" s="30"/>
      <c r="BAO35" s="30"/>
      <c r="BAP35" s="30"/>
      <c r="BAQ35" s="30"/>
      <c r="BAR35" s="30"/>
      <c r="BAS35" s="30"/>
      <c r="BAT35" s="30"/>
      <c r="BAU35" s="30"/>
      <c r="BAV35" s="30"/>
      <c r="BAW35" s="30"/>
      <c r="BAX35" s="30"/>
      <c r="BAY35" s="30"/>
      <c r="BAZ35" s="30"/>
      <c r="BBA35" s="30"/>
      <c r="BBB35" s="30"/>
      <c r="BBC35" s="30"/>
      <c r="BBD35" s="30"/>
      <c r="BBE35" s="30"/>
      <c r="BBF35" s="30"/>
      <c r="BBG35" s="30"/>
      <c r="BBH35" s="30"/>
      <c r="BBI35" s="30"/>
      <c r="BBJ35" s="30"/>
      <c r="BBK35" s="30"/>
      <c r="BBL35" s="30"/>
      <c r="BBM35" s="30"/>
      <c r="BBN35" s="30"/>
      <c r="BBO35" s="30"/>
      <c r="BBP35" s="30"/>
      <c r="BBQ35" s="30"/>
      <c r="BBR35" s="30"/>
      <c r="BBS35" s="30"/>
      <c r="BBT35" s="30"/>
      <c r="BBU35" s="30"/>
      <c r="BBV35" s="30"/>
      <c r="BBW35" s="30"/>
      <c r="BBX35" s="30"/>
      <c r="BBY35" s="30"/>
      <c r="BBZ35" s="30"/>
      <c r="BCA35" s="30"/>
      <c r="BCB35" s="30"/>
      <c r="BCC35" s="30"/>
      <c r="BCD35" s="30"/>
      <c r="BCE35" s="30"/>
      <c r="BCF35" s="30"/>
      <c r="BCG35" s="30"/>
      <c r="BCH35" s="30"/>
      <c r="BCI35" s="30"/>
      <c r="BCJ35" s="30"/>
      <c r="BCK35" s="30"/>
      <c r="BCL35" s="30"/>
      <c r="BCM35" s="30"/>
      <c r="BCN35" s="30"/>
      <c r="BCO35" s="30"/>
      <c r="BCP35" s="30"/>
      <c r="BCQ35" s="30"/>
      <c r="BCR35" s="30"/>
      <c r="BCS35" s="30"/>
      <c r="BCT35" s="30"/>
      <c r="BCU35" s="30"/>
      <c r="BCV35" s="30"/>
      <c r="BCW35" s="30"/>
      <c r="BCX35" s="30"/>
      <c r="BCY35" s="30"/>
      <c r="BCZ35" s="30"/>
      <c r="BDA35" s="30"/>
      <c r="BDB35" s="30"/>
      <c r="BDC35" s="30"/>
      <c r="BDD35" s="30"/>
      <c r="BDE35" s="30"/>
      <c r="BDF35" s="30"/>
      <c r="BDG35" s="30"/>
      <c r="BDH35" s="30"/>
      <c r="BDI35" s="30"/>
      <c r="BDJ35" s="30"/>
      <c r="BDK35" s="30"/>
      <c r="BDL35" s="30"/>
      <c r="BDM35" s="30"/>
      <c r="BDN35" s="30"/>
      <c r="BDO35" s="30"/>
      <c r="BDP35" s="30"/>
      <c r="BDQ35" s="30"/>
      <c r="BDR35" s="30"/>
      <c r="BDS35" s="30"/>
      <c r="BDT35" s="30"/>
      <c r="BDU35" s="30"/>
      <c r="BDV35" s="30"/>
      <c r="BDW35" s="30"/>
      <c r="BDX35" s="30"/>
      <c r="BDY35" s="30"/>
      <c r="BDZ35" s="30"/>
      <c r="BEA35" s="30"/>
      <c r="BEB35" s="30"/>
      <c r="BEC35" s="30"/>
      <c r="BED35" s="30"/>
      <c r="BEE35" s="30"/>
      <c r="BEF35" s="30"/>
      <c r="BEG35" s="30"/>
      <c r="BEH35" s="30"/>
      <c r="BEI35" s="30"/>
      <c r="BEJ35" s="30"/>
      <c r="BEK35" s="30"/>
      <c r="BEL35" s="30"/>
      <c r="BEM35" s="30"/>
      <c r="BEN35" s="30"/>
      <c r="BEO35" s="30"/>
      <c r="BEP35" s="30"/>
      <c r="BEQ35" s="30"/>
      <c r="BER35" s="30"/>
      <c r="BES35" s="30"/>
      <c r="BET35" s="30"/>
      <c r="BEU35" s="30"/>
      <c r="BEV35" s="30"/>
      <c r="BEW35" s="30"/>
      <c r="BEX35" s="30"/>
      <c r="BEY35" s="30"/>
      <c r="BEZ35" s="30"/>
      <c r="BFA35" s="30"/>
      <c r="BFB35" s="30"/>
      <c r="BFC35" s="30"/>
      <c r="BFD35" s="30"/>
      <c r="BFE35" s="30"/>
      <c r="BFF35" s="30"/>
      <c r="BFG35" s="30"/>
      <c r="BFH35" s="30"/>
      <c r="BFI35" s="30"/>
      <c r="BFJ35" s="30"/>
      <c r="BFK35" s="30"/>
      <c r="BFL35" s="30"/>
      <c r="BFM35" s="30"/>
      <c r="BFN35" s="30"/>
      <c r="BFO35" s="30"/>
      <c r="BFP35" s="30"/>
      <c r="BFQ35" s="30"/>
      <c r="BFR35" s="30"/>
      <c r="BFS35" s="30"/>
      <c r="BFT35" s="30"/>
      <c r="BFU35" s="30"/>
      <c r="BFV35" s="30"/>
      <c r="BFW35" s="30"/>
      <c r="BFX35" s="30"/>
      <c r="BFY35" s="30"/>
      <c r="BFZ35" s="30"/>
      <c r="BGA35" s="30"/>
      <c r="BGB35" s="30"/>
      <c r="BGC35" s="30"/>
      <c r="BGD35" s="30"/>
      <c r="BGE35" s="30"/>
      <c r="BGF35" s="30"/>
      <c r="BGG35" s="30"/>
      <c r="BGH35" s="30"/>
      <c r="BGI35" s="30"/>
      <c r="BGJ35" s="30"/>
      <c r="BGK35" s="30"/>
      <c r="BGL35" s="30"/>
      <c r="BGM35" s="30"/>
      <c r="BGN35" s="30"/>
      <c r="BGO35" s="30"/>
      <c r="BGP35" s="30"/>
      <c r="BGQ35" s="30"/>
      <c r="BGR35" s="30"/>
      <c r="BGS35" s="30"/>
      <c r="BGT35" s="30"/>
      <c r="BGU35" s="30"/>
      <c r="BGV35" s="30"/>
      <c r="BGW35" s="30"/>
      <c r="BGX35" s="30"/>
      <c r="BGY35" s="30"/>
      <c r="BGZ35" s="30"/>
      <c r="BHA35" s="30"/>
      <c r="BHB35" s="30"/>
      <c r="BHC35" s="30"/>
      <c r="BHD35" s="30"/>
      <c r="BHE35" s="30"/>
      <c r="BHF35" s="30"/>
      <c r="BHG35" s="30"/>
      <c r="BHH35" s="30"/>
      <c r="BHI35" s="30"/>
      <c r="BHJ35" s="30"/>
      <c r="BHK35" s="30"/>
      <c r="BHL35" s="30"/>
      <c r="BHM35" s="30"/>
      <c r="BHN35" s="30"/>
      <c r="BHO35" s="30"/>
      <c r="BHP35" s="30"/>
      <c r="BHQ35" s="30"/>
      <c r="BHR35" s="30"/>
      <c r="BHS35" s="30"/>
      <c r="BHT35" s="30"/>
      <c r="BHU35" s="30"/>
      <c r="BHV35" s="30"/>
      <c r="BHW35" s="30"/>
      <c r="BHX35" s="30"/>
      <c r="BHY35" s="30"/>
      <c r="BHZ35" s="30"/>
      <c r="BIA35" s="30"/>
      <c r="BIB35" s="30"/>
      <c r="BIC35" s="30"/>
      <c r="BID35" s="30"/>
      <c r="BIE35" s="30"/>
      <c r="BIF35" s="30"/>
      <c r="BIG35" s="30"/>
      <c r="BIH35" s="30"/>
      <c r="BII35" s="30"/>
      <c r="BIJ35" s="30"/>
      <c r="BIK35" s="30"/>
      <c r="BIL35" s="30"/>
      <c r="BIM35" s="30"/>
      <c r="BIN35" s="30"/>
      <c r="BIO35" s="30"/>
      <c r="BIP35" s="30"/>
      <c r="BIQ35" s="30"/>
      <c r="BIR35" s="30"/>
      <c r="BIS35" s="30"/>
      <c r="BIT35" s="30"/>
      <c r="BIU35" s="30"/>
      <c r="BIV35" s="30"/>
      <c r="BIW35" s="30"/>
      <c r="BIX35" s="30"/>
      <c r="BIY35" s="30"/>
      <c r="BIZ35" s="30"/>
      <c r="BJA35" s="30"/>
      <c r="BJB35" s="30"/>
      <c r="BJC35" s="30"/>
      <c r="BJD35" s="30"/>
      <c r="BJE35" s="30"/>
      <c r="BJF35" s="30"/>
      <c r="BJG35" s="30"/>
      <c r="BJH35" s="30"/>
      <c r="BJI35" s="30"/>
      <c r="BJJ35" s="30"/>
      <c r="BJK35" s="30"/>
      <c r="BJL35" s="30"/>
      <c r="BJM35" s="30"/>
      <c r="BJN35" s="30"/>
      <c r="BJO35" s="30"/>
      <c r="BJP35" s="30"/>
      <c r="BJQ35" s="30"/>
      <c r="BJR35" s="30"/>
      <c r="BJS35" s="30"/>
      <c r="BJT35" s="30"/>
      <c r="BJU35" s="30"/>
      <c r="BJV35" s="30"/>
      <c r="BJW35" s="30"/>
      <c r="BJX35" s="30"/>
      <c r="BJY35" s="30"/>
      <c r="BJZ35" s="30"/>
      <c r="BKA35" s="30"/>
      <c r="BKB35" s="30"/>
      <c r="BKC35" s="30"/>
      <c r="BKD35" s="30"/>
      <c r="BKE35" s="30"/>
      <c r="BKF35" s="30"/>
      <c r="BKG35" s="30"/>
      <c r="BKH35" s="30"/>
      <c r="BKI35" s="30"/>
      <c r="BKJ35" s="30"/>
      <c r="BKK35" s="30"/>
      <c r="BKL35" s="30"/>
      <c r="BKM35" s="30"/>
      <c r="BKN35" s="30"/>
      <c r="BKO35" s="30"/>
      <c r="BKP35" s="30"/>
      <c r="BKQ35" s="30"/>
      <c r="BKR35" s="30"/>
      <c r="BKS35" s="30"/>
      <c r="BKT35" s="30"/>
      <c r="BKU35" s="30"/>
      <c r="BKV35" s="30"/>
      <c r="BKW35" s="30"/>
      <c r="BKX35" s="30"/>
      <c r="BKY35" s="30"/>
      <c r="BKZ35" s="30"/>
      <c r="BLA35" s="30"/>
      <c r="BLB35" s="30"/>
      <c r="BLC35" s="30"/>
      <c r="BLD35" s="30"/>
      <c r="BLE35" s="30"/>
      <c r="BLF35" s="30"/>
      <c r="BLG35" s="30"/>
      <c r="BLH35" s="30"/>
      <c r="BLI35" s="30"/>
      <c r="BLJ35" s="30"/>
      <c r="BLK35" s="30"/>
      <c r="BLL35" s="30"/>
      <c r="BLM35" s="30"/>
      <c r="BLN35" s="30"/>
      <c r="BLO35" s="30"/>
      <c r="BLP35" s="30"/>
      <c r="BLQ35" s="30"/>
      <c r="BLR35" s="30"/>
      <c r="BLS35" s="30"/>
      <c r="BLT35" s="30"/>
      <c r="BLU35" s="30"/>
      <c r="BLV35" s="30"/>
      <c r="BLW35" s="30"/>
      <c r="BLX35" s="30"/>
      <c r="BLY35" s="30"/>
      <c r="BLZ35" s="30"/>
      <c r="BMA35" s="30"/>
      <c r="BMB35" s="30"/>
      <c r="BMC35" s="30"/>
      <c r="BMD35" s="30"/>
      <c r="BME35" s="30"/>
      <c r="BMF35" s="30"/>
      <c r="BMG35" s="30"/>
      <c r="BMH35" s="30"/>
      <c r="BMI35" s="30"/>
      <c r="BMJ35" s="30"/>
      <c r="BMK35" s="30"/>
      <c r="BML35" s="30"/>
      <c r="BMM35" s="30"/>
      <c r="BMN35" s="30"/>
      <c r="BMO35" s="30"/>
      <c r="BMP35" s="30"/>
      <c r="BMQ35" s="30"/>
      <c r="BMR35" s="30"/>
      <c r="BMS35" s="30"/>
      <c r="BMT35" s="30"/>
      <c r="BMU35" s="30"/>
      <c r="BMV35" s="30"/>
      <c r="BMW35" s="30"/>
      <c r="BMX35" s="30"/>
      <c r="BMY35" s="30"/>
      <c r="BMZ35" s="30"/>
      <c r="BNA35" s="30"/>
      <c r="BNB35" s="30"/>
      <c r="BNC35" s="30"/>
      <c r="BND35" s="30"/>
      <c r="BNE35" s="30"/>
      <c r="BNF35" s="30"/>
      <c r="BNG35" s="30"/>
      <c r="BNH35" s="30"/>
      <c r="BNI35" s="30"/>
      <c r="BNJ35" s="30"/>
      <c r="BNK35" s="30"/>
      <c r="BNL35" s="30"/>
      <c r="BNM35" s="30"/>
      <c r="BNN35" s="30"/>
      <c r="BNO35" s="30"/>
      <c r="BNP35" s="30"/>
      <c r="BNQ35" s="30"/>
      <c r="BNR35" s="30"/>
      <c r="BNS35" s="30"/>
      <c r="BNT35" s="30"/>
      <c r="BNU35" s="30"/>
      <c r="BNV35" s="30"/>
      <c r="BNW35" s="30"/>
      <c r="BNX35" s="30"/>
      <c r="BNY35" s="30"/>
      <c r="BNZ35" s="30"/>
      <c r="BOA35" s="30"/>
      <c r="BOB35" s="30"/>
      <c r="BOC35" s="30"/>
      <c r="BOD35" s="30"/>
      <c r="BOE35" s="30"/>
      <c r="BOF35" s="30"/>
      <c r="BOG35" s="30"/>
      <c r="BOH35" s="30"/>
      <c r="BOI35" s="30"/>
      <c r="BOJ35" s="30"/>
      <c r="BOK35" s="30"/>
      <c r="BOL35" s="30"/>
      <c r="BOM35" s="30"/>
      <c r="BON35" s="30"/>
      <c r="BOO35" s="30"/>
      <c r="BOP35" s="30"/>
      <c r="BOQ35" s="30"/>
      <c r="BOR35" s="30"/>
      <c r="BOS35" s="30"/>
      <c r="BOT35" s="30"/>
      <c r="BOU35" s="30"/>
      <c r="BOV35" s="30"/>
      <c r="BOW35" s="30"/>
      <c r="BOX35" s="30"/>
      <c r="BOY35" s="30"/>
      <c r="BOZ35" s="30"/>
      <c r="BPA35" s="30"/>
      <c r="BPB35" s="30"/>
      <c r="BPC35" s="30"/>
      <c r="BPD35" s="30"/>
      <c r="BPE35" s="30"/>
      <c r="BPF35" s="30"/>
      <c r="BPG35" s="30"/>
      <c r="BPH35" s="30"/>
      <c r="BPI35" s="30"/>
      <c r="BPJ35" s="30"/>
      <c r="BPK35" s="30"/>
      <c r="BPL35" s="30"/>
      <c r="BPM35" s="30"/>
      <c r="BPN35" s="30"/>
      <c r="BPO35" s="30"/>
      <c r="BPP35" s="30"/>
      <c r="BPQ35" s="30"/>
      <c r="BPR35" s="30"/>
      <c r="BPS35" s="30"/>
      <c r="BPT35" s="30"/>
      <c r="BPU35" s="30"/>
      <c r="BPV35" s="30"/>
      <c r="BPW35" s="30"/>
      <c r="BPX35" s="30"/>
      <c r="BPY35" s="30"/>
      <c r="BPZ35" s="30"/>
      <c r="BQA35" s="30"/>
      <c r="BQB35" s="30"/>
      <c r="BQC35" s="30"/>
      <c r="BQD35" s="30"/>
      <c r="BQE35" s="30"/>
      <c r="BQF35" s="30"/>
      <c r="BQG35" s="30"/>
      <c r="BQH35" s="30"/>
      <c r="BQI35" s="30"/>
      <c r="BQJ35" s="30"/>
      <c r="BQK35" s="30"/>
      <c r="BQL35" s="30"/>
      <c r="BQM35" s="30"/>
      <c r="BQN35" s="30"/>
      <c r="BQO35" s="30"/>
      <c r="BQP35" s="30"/>
      <c r="BQQ35" s="30"/>
      <c r="BQR35" s="30"/>
      <c r="BQS35" s="30"/>
      <c r="BQT35" s="30"/>
      <c r="BQU35" s="30"/>
      <c r="BQV35" s="30"/>
      <c r="BQW35" s="30"/>
      <c r="BQX35" s="30"/>
      <c r="BQY35" s="30"/>
      <c r="BQZ35" s="30"/>
      <c r="BRA35" s="30"/>
      <c r="BRB35" s="30"/>
      <c r="BRC35" s="30"/>
      <c r="BRD35" s="30"/>
      <c r="BRE35" s="30"/>
      <c r="BRF35" s="30"/>
      <c r="BRG35" s="30"/>
      <c r="BRH35" s="30"/>
      <c r="BRI35" s="30"/>
      <c r="BRJ35" s="30"/>
      <c r="BRK35" s="30"/>
      <c r="BRL35" s="30"/>
      <c r="BRM35" s="30"/>
      <c r="BRN35" s="30"/>
      <c r="BRO35" s="30"/>
      <c r="BRP35" s="30"/>
      <c r="BRQ35" s="30"/>
      <c r="BRR35" s="30"/>
      <c r="BRS35" s="30"/>
      <c r="BRT35" s="30"/>
      <c r="BRU35" s="30"/>
      <c r="BRV35" s="30"/>
      <c r="BRW35" s="30"/>
      <c r="BRX35" s="30"/>
      <c r="BRY35" s="30"/>
      <c r="BRZ35" s="30"/>
      <c r="BSA35" s="30"/>
      <c r="BSB35" s="30"/>
      <c r="BSC35" s="30"/>
      <c r="BSD35" s="30"/>
      <c r="BSE35" s="30"/>
      <c r="BSF35" s="30"/>
      <c r="BSG35" s="30"/>
      <c r="BSH35" s="30"/>
      <c r="BSI35" s="30"/>
      <c r="BSJ35" s="30"/>
      <c r="BSK35" s="30"/>
      <c r="BSL35" s="30"/>
      <c r="BSM35" s="30"/>
      <c r="BSN35" s="30"/>
      <c r="BSO35" s="30"/>
      <c r="BSP35" s="30"/>
      <c r="BSQ35" s="30"/>
      <c r="BSR35" s="30"/>
      <c r="BSS35" s="30"/>
      <c r="BST35" s="30"/>
      <c r="BSU35" s="30"/>
      <c r="BSV35" s="30"/>
      <c r="BSW35" s="30"/>
      <c r="BSX35" s="30"/>
      <c r="BSY35" s="30"/>
      <c r="BSZ35" s="30"/>
      <c r="BTA35" s="30"/>
      <c r="BTB35" s="30"/>
      <c r="BTC35" s="30"/>
      <c r="BTD35" s="30"/>
      <c r="BTE35" s="30"/>
      <c r="BTF35" s="30"/>
      <c r="BTG35" s="30"/>
      <c r="BTH35" s="30"/>
      <c r="BTI35" s="30"/>
      <c r="BTJ35" s="30"/>
      <c r="BTK35" s="30"/>
      <c r="BTL35" s="30"/>
      <c r="BTM35" s="30"/>
      <c r="BTN35" s="30"/>
      <c r="BTO35" s="30"/>
      <c r="BTP35" s="30"/>
      <c r="BTQ35" s="30"/>
      <c r="BTR35" s="30"/>
      <c r="BTS35" s="30"/>
      <c r="BTT35" s="30"/>
      <c r="BTU35" s="30"/>
      <c r="BTV35" s="30"/>
      <c r="BTW35" s="30"/>
      <c r="BTX35" s="30"/>
      <c r="BTY35" s="30"/>
      <c r="BTZ35" s="30"/>
      <c r="BUA35" s="30"/>
      <c r="BUB35" s="30"/>
      <c r="BUC35" s="30"/>
      <c r="BUD35" s="30"/>
      <c r="BUE35" s="30"/>
      <c r="BUF35" s="30"/>
      <c r="BUG35" s="30"/>
      <c r="BUH35" s="30"/>
      <c r="BUI35" s="30"/>
      <c r="BUJ35" s="30"/>
      <c r="BUK35" s="30"/>
      <c r="BUL35" s="30"/>
      <c r="BUM35" s="30"/>
      <c r="BUN35" s="30"/>
      <c r="BUO35" s="30"/>
      <c r="BUP35" s="30"/>
      <c r="BUQ35" s="30"/>
      <c r="BUR35" s="30"/>
      <c r="BUS35" s="30"/>
      <c r="BUT35" s="30"/>
      <c r="BUU35" s="30"/>
      <c r="BUV35" s="30"/>
      <c r="BUW35" s="30"/>
      <c r="BUX35" s="30"/>
      <c r="BUY35" s="30"/>
      <c r="BUZ35" s="30"/>
      <c r="BVA35" s="30"/>
      <c r="BVB35" s="30"/>
      <c r="BVC35" s="30"/>
      <c r="BVD35" s="30"/>
      <c r="BVE35" s="30"/>
      <c r="BVF35" s="30"/>
      <c r="BVG35" s="30"/>
      <c r="BVH35" s="30"/>
      <c r="BVI35" s="30"/>
      <c r="BVJ35" s="30"/>
      <c r="BVK35" s="30"/>
      <c r="BVL35" s="30"/>
      <c r="BVM35" s="30"/>
      <c r="BVN35" s="30"/>
      <c r="BVO35" s="30"/>
      <c r="BVP35" s="30"/>
      <c r="BVQ35" s="30"/>
      <c r="BVR35" s="30"/>
      <c r="BVS35" s="30"/>
      <c r="BVT35" s="30"/>
      <c r="BVU35" s="30"/>
      <c r="BVV35" s="30"/>
      <c r="BVW35" s="30"/>
      <c r="BVX35" s="30"/>
      <c r="BVY35" s="30"/>
      <c r="BVZ35" s="30"/>
      <c r="BWA35" s="30"/>
      <c r="BWB35" s="30"/>
      <c r="BWC35" s="30"/>
      <c r="BWD35" s="30"/>
      <c r="BWE35" s="30"/>
      <c r="BWF35" s="30"/>
      <c r="BWG35" s="30"/>
      <c r="BWH35" s="30"/>
      <c r="BWI35" s="30"/>
      <c r="BWJ35" s="30"/>
      <c r="BWK35" s="30"/>
      <c r="BWL35" s="30"/>
      <c r="BWM35" s="30"/>
      <c r="BWN35" s="30"/>
      <c r="BWO35" s="30"/>
      <c r="BWP35" s="30"/>
      <c r="BWQ35" s="30"/>
      <c r="BWR35" s="30"/>
      <c r="BWS35" s="30"/>
      <c r="BWT35" s="30"/>
      <c r="BWU35" s="30"/>
      <c r="BWV35" s="30"/>
      <c r="BWW35" s="30"/>
      <c r="BWX35" s="30"/>
      <c r="BWY35" s="30"/>
      <c r="BWZ35" s="30"/>
      <c r="BXA35" s="30"/>
      <c r="BXB35" s="30"/>
      <c r="BXC35" s="30"/>
      <c r="BXD35" s="30"/>
      <c r="BXE35" s="30"/>
      <c r="BXF35" s="30"/>
      <c r="BXG35" s="30"/>
      <c r="BXH35" s="30"/>
      <c r="BXI35" s="30"/>
      <c r="BXJ35" s="30"/>
      <c r="BXK35" s="30"/>
      <c r="BXL35" s="30"/>
      <c r="BXM35" s="30"/>
      <c r="BXN35" s="30"/>
      <c r="BXO35" s="30"/>
      <c r="BXP35" s="30"/>
      <c r="BXQ35" s="30"/>
      <c r="BXR35" s="30"/>
      <c r="BXS35" s="30"/>
      <c r="BXT35" s="30"/>
      <c r="BXU35" s="30"/>
      <c r="BXV35" s="30"/>
      <c r="BXW35" s="30"/>
      <c r="BXX35" s="30"/>
      <c r="BXY35" s="30"/>
      <c r="BXZ35" s="30"/>
      <c r="BYA35" s="30"/>
      <c r="BYB35" s="30"/>
      <c r="BYC35" s="30"/>
      <c r="BYD35" s="30"/>
      <c r="BYE35" s="30"/>
      <c r="BYF35" s="30"/>
      <c r="BYG35" s="30"/>
      <c r="BYH35" s="30"/>
      <c r="BYI35" s="30"/>
      <c r="BYJ35" s="30"/>
      <c r="BYK35" s="30"/>
      <c r="BYL35" s="30"/>
      <c r="BYM35" s="30"/>
      <c r="BYN35" s="30"/>
      <c r="BYO35" s="30"/>
      <c r="BYP35" s="30"/>
      <c r="BYQ35" s="30"/>
      <c r="BYR35" s="30"/>
      <c r="BYS35" s="30"/>
      <c r="BYT35" s="30"/>
      <c r="BYU35" s="30"/>
      <c r="BYV35" s="30"/>
      <c r="BYW35" s="30"/>
      <c r="BYX35" s="30"/>
      <c r="BYY35" s="30"/>
      <c r="BYZ35" s="30"/>
      <c r="BZA35" s="30"/>
      <c r="BZB35" s="30"/>
      <c r="BZC35" s="30"/>
      <c r="BZD35" s="30"/>
      <c r="BZE35" s="30"/>
      <c r="BZF35" s="30"/>
      <c r="BZG35" s="30"/>
      <c r="BZH35" s="30"/>
      <c r="BZI35" s="30"/>
      <c r="BZJ35" s="30"/>
      <c r="BZK35" s="30"/>
      <c r="BZL35" s="30"/>
      <c r="BZM35" s="30"/>
      <c r="BZN35" s="30"/>
      <c r="BZO35" s="30"/>
      <c r="BZP35" s="30"/>
      <c r="BZQ35" s="30"/>
      <c r="BZR35" s="30"/>
      <c r="BZS35" s="30"/>
      <c r="BZT35" s="30"/>
      <c r="BZU35" s="30"/>
      <c r="BZV35" s="30"/>
      <c r="BZW35" s="30"/>
      <c r="BZX35" s="30"/>
      <c r="BZY35" s="30"/>
      <c r="BZZ35" s="30"/>
      <c r="CAA35" s="30"/>
      <c r="CAB35" s="30"/>
      <c r="CAC35" s="30"/>
      <c r="CAD35" s="30"/>
      <c r="CAE35" s="30"/>
      <c r="CAF35" s="30"/>
      <c r="CAG35" s="30"/>
      <c r="CAH35" s="30"/>
      <c r="CAI35" s="30"/>
      <c r="CAJ35" s="30"/>
      <c r="CAK35" s="30"/>
      <c r="CAL35" s="30"/>
      <c r="CAM35" s="30"/>
      <c r="CAN35" s="30"/>
      <c r="CAO35" s="30"/>
      <c r="CAP35" s="30"/>
      <c r="CAQ35" s="30"/>
      <c r="CAR35" s="30"/>
      <c r="CAS35" s="30"/>
      <c r="CAT35" s="30"/>
      <c r="CAU35" s="30"/>
      <c r="CAV35" s="30"/>
      <c r="CAW35" s="30"/>
      <c r="CAX35" s="30"/>
      <c r="CAY35" s="30"/>
      <c r="CAZ35" s="30"/>
      <c r="CBA35" s="30"/>
      <c r="CBB35" s="30"/>
      <c r="CBC35" s="30"/>
      <c r="CBD35" s="30"/>
      <c r="CBE35" s="30"/>
      <c r="CBF35" s="30"/>
      <c r="CBG35" s="30"/>
      <c r="CBH35" s="30"/>
      <c r="CBI35" s="30"/>
      <c r="CBJ35" s="30"/>
      <c r="CBK35" s="30"/>
      <c r="CBL35" s="30"/>
      <c r="CBM35" s="30"/>
      <c r="CBN35" s="30"/>
      <c r="CBO35" s="30"/>
      <c r="CBP35" s="30"/>
      <c r="CBQ35" s="30"/>
      <c r="CBR35" s="30"/>
      <c r="CBS35" s="30"/>
      <c r="CBT35" s="30"/>
      <c r="CBU35" s="30"/>
      <c r="CBV35" s="30"/>
      <c r="CBW35" s="30"/>
      <c r="CBX35" s="30"/>
      <c r="CBY35" s="30"/>
      <c r="CBZ35" s="30"/>
      <c r="CCA35" s="30"/>
      <c r="CCB35" s="30"/>
      <c r="CCC35" s="30"/>
      <c r="CCD35" s="30"/>
      <c r="CCE35" s="30"/>
      <c r="CCF35" s="30"/>
      <c r="CCG35" s="30"/>
      <c r="CCH35" s="30"/>
      <c r="CCI35" s="30"/>
      <c r="CCJ35" s="30"/>
      <c r="CCK35" s="30"/>
      <c r="CCL35" s="30"/>
      <c r="CCM35" s="30"/>
      <c r="CCN35" s="30"/>
      <c r="CCO35" s="30"/>
      <c r="CCP35" s="30"/>
      <c r="CCQ35" s="30"/>
      <c r="CCR35" s="30"/>
      <c r="CCS35" s="30"/>
      <c r="CCT35" s="30"/>
      <c r="CCU35" s="30"/>
      <c r="CCV35" s="30"/>
      <c r="CCW35" s="30"/>
      <c r="CCX35" s="30"/>
      <c r="CCY35" s="30"/>
      <c r="CCZ35" s="30"/>
      <c r="CDA35" s="30"/>
      <c r="CDB35" s="30"/>
      <c r="CDC35" s="30"/>
      <c r="CDD35" s="30"/>
      <c r="CDE35" s="30"/>
      <c r="CDF35" s="30"/>
      <c r="CDG35" s="30"/>
      <c r="CDH35" s="30"/>
      <c r="CDI35" s="30"/>
      <c r="CDJ35" s="30"/>
      <c r="CDK35" s="30"/>
      <c r="CDL35" s="30"/>
      <c r="CDM35" s="30"/>
      <c r="CDN35" s="30"/>
      <c r="CDO35" s="30"/>
      <c r="CDP35" s="30"/>
      <c r="CDQ35" s="30"/>
      <c r="CDR35" s="30"/>
      <c r="CDS35" s="30"/>
      <c r="CDT35" s="30"/>
      <c r="CDU35" s="30"/>
      <c r="CDV35" s="30"/>
      <c r="CDW35" s="30"/>
      <c r="CDX35" s="30"/>
      <c r="CDY35" s="30"/>
      <c r="CDZ35" s="30"/>
      <c r="CEA35" s="30"/>
      <c r="CEB35" s="30"/>
      <c r="CEC35" s="30"/>
      <c r="CED35" s="30"/>
      <c r="CEE35" s="30"/>
      <c r="CEF35" s="30"/>
      <c r="CEG35" s="30"/>
      <c r="CEH35" s="30"/>
      <c r="CEI35" s="30"/>
      <c r="CEJ35" s="30"/>
      <c r="CEK35" s="30"/>
      <c r="CEL35" s="30"/>
      <c r="CEM35" s="30"/>
      <c r="CEN35" s="30"/>
      <c r="CEO35" s="30"/>
      <c r="CEP35" s="30"/>
      <c r="CEQ35" s="30"/>
      <c r="CER35" s="30"/>
      <c r="CES35" s="30"/>
      <c r="CET35" s="30"/>
      <c r="CEU35" s="30"/>
      <c r="CEV35" s="30"/>
      <c r="CEW35" s="30"/>
      <c r="CEX35" s="30"/>
      <c r="CEY35" s="30"/>
      <c r="CEZ35" s="30"/>
      <c r="CFA35" s="30"/>
      <c r="CFB35" s="30"/>
      <c r="CFC35" s="30"/>
      <c r="CFD35" s="30"/>
      <c r="CFE35" s="30"/>
      <c r="CFF35" s="30"/>
      <c r="CFG35" s="30"/>
      <c r="CFH35" s="30"/>
      <c r="CFI35" s="30"/>
      <c r="CFJ35" s="30"/>
      <c r="CFK35" s="30"/>
      <c r="CFL35" s="30"/>
      <c r="CFM35" s="30"/>
      <c r="CFN35" s="30"/>
      <c r="CFO35" s="30"/>
      <c r="CFP35" s="30"/>
      <c r="CFQ35" s="30"/>
      <c r="CFR35" s="30"/>
      <c r="CFS35" s="30"/>
      <c r="CFT35" s="30"/>
      <c r="CFU35" s="30"/>
      <c r="CFV35" s="30"/>
      <c r="CFW35" s="30"/>
      <c r="CFX35" s="30"/>
      <c r="CFY35" s="30"/>
      <c r="CFZ35" s="30"/>
      <c r="CGA35" s="30"/>
      <c r="CGB35" s="30"/>
      <c r="CGC35" s="30"/>
      <c r="CGD35" s="30"/>
      <c r="CGE35" s="30"/>
      <c r="CGF35" s="30"/>
      <c r="CGG35" s="30"/>
      <c r="CGH35" s="30"/>
      <c r="CGI35" s="30"/>
      <c r="CGJ35" s="30"/>
      <c r="CGK35" s="30"/>
      <c r="CGL35" s="30"/>
      <c r="CGM35" s="30"/>
      <c r="CGN35" s="30"/>
      <c r="CGO35" s="30"/>
      <c r="CGP35" s="30"/>
      <c r="CGQ35" s="30"/>
      <c r="CGR35" s="30"/>
      <c r="CGS35" s="30"/>
      <c r="CGT35" s="30"/>
      <c r="CGU35" s="30"/>
      <c r="CGV35" s="30"/>
      <c r="CGW35" s="30"/>
      <c r="CGX35" s="30"/>
      <c r="CGY35" s="30"/>
      <c r="CGZ35" s="30"/>
      <c r="CHA35" s="30"/>
      <c r="CHB35" s="30"/>
      <c r="CHC35" s="30"/>
      <c r="CHD35" s="30"/>
      <c r="CHE35" s="30"/>
      <c r="CHF35" s="30"/>
      <c r="CHG35" s="30"/>
      <c r="CHH35" s="30"/>
      <c r="CHI35" s="30"/>
      <c r="CHJ35" s="30"/>
      <c r="CHK35" s="30"/>
      <c r="CHL35" s="30"/>
      <c r="CHM35" s="30"/>
      <c r="CHN35" s="30"/>
      <c r="CHO35" s="30"/>
      <c r="CHP35" s="30"/>
      <c r="CHQ35" s="30"/>
      <c r="CHR35" s="30"/>
      <c r="CHS35" s="30"/>
      <c r="CHT35" s="30"/>
      <c r="CHU35" s="30"/>
      <c r="CHV35" s="30"/>
      <c r="CHW35" s="30"/>
      <c r="CHX35" s="30"/>
      <c r="CHY35" s="30"/>
      <c r="CHZ35" s="30"/>
      <c r="CIA35" s="30"/>
      <c r="CIB35" s="30"/>
      <c r="CIC35" s="30"/>
      <c r="CID35" s="30"/>
      <c r="CIE35" s="30"/>
      <c r="CIF35" s="30"/>
      <c r="CIG35" s="30"/>
      <c r="CIH35" s="30"/>
      <c r="CII35" s="30"/>
      <c r="CIJ35" s="30"/>
      <c r="CIK35" s="30"/>
      <c r="CIL35" s="30"/>
      <c r="CIM35" s="30"/>
      <c r="CIN35" s="30"/>
      <c r="CIO35" s="30"/>
      <c r="CIP35" s="30"/>
      <c r="CIQ35" s="30"/>
      <c r="CIR35" s="30"/>
      <c r="CIS35" s="30"/>
      <c r="CIT35" s="30"/>
      <c r="CIU35" s="30"/>
      <c r="CIV35" s="30"/>
      <c r="CIW35" s="30"/>
      <c r="CIX35" s="30"/>
      <c r="CIY35" s="30"/>
      <c r="CIZ35" s="30"/>
      <c r="CJA35" s="30"/>
      <c r="CJB35" s="30"/>
      <c r="CJC35" s="30"/>
      <c r="CJD35" s="30"/>
      <c r="CJE35" s="30"/>
      <c r="CJF35" s="30"/>
      <c r="CJG35" s="30"/>
      <c r="CJH35" s="30"/>
      <c r="CJI35" s="30"/>
      <c r="CJJ35" s="30"/>
      <c r="CJK35" s="30"/>
      <c r="CJL35" s="30"/>
      <c r="CJM35" s="30"/>
      <c r="CJN35" s="30"/>
      <c r="CJO35" s="30"/>
      <c r="CJP35" s="30"/>
      <c r="CJQ35" s="30"/>
      <c r="CJR35" s="30"/>
      <c r="CJS35" s="30"/>
      <c r="CJT35" s="30"/>
      <c r="CJU35" s="30"/>
      <c r="CJV35" s="30"/>
      <c r="CJW35" s="30"/>
      <c r="CJX35" s="30"/>
      <c r="CJY35" s="30"/>
      <c r="CJZ35" s="30"/>
      <c r="CKA35" s="30"/>
      <c r="CKB35" s="30"/>
      <c r="CKC35" s="30"/>
      <c r="CKD35" s="30"/>
      <c r="CKE35" s="30"/>
      <c r="CKF35" s="30"/>
      <c r="CKG35" s="30"/>
      <c r="CKH35" s="30"/>
      <c r="CKI35" s="30"/>
      <c r="CKJ35" s="30"/>
      <c r="CKK35" s="30"/>
      <c r="CKL35" s="30"/>
      <c r="CKM35" s="30"/>
      <c r="CKN35" s="30"/>
      <c r="CKO35" s="30"/>
      <c r="CKP35" s="30"/>
      <c r="CKQ35" s="30"/>
      <c r="CKR35" s="30"/>
      <c r="CKS35" s="30"/>
      <c r="CKT35" s="30"/>
      <c r="CKU35" s="30"/>
      <c r="CKV35" s="30"/>
      <c r="CKW35" s="30"/>
      <c r="CKX35" s="30"/>
      <c r="CKY35" s="30"/>
      <c r="CKZ35" s="30"/>
      <c r="CLA35" s="30"/>
      <c r="CLB35" s="30"/>
      <c r="CLC35" s="30"/>
      <c r="CLD35" s="30"/>
      <c r="CLE35" s="30"/>
      <c r="CLF35" s="30"/>
      <c r="CLG35" s="30"/>
      <c r="CLH35" s="30"/>
      <c r="CLI35" s="30"/>
      <c r="CLJ35" s="30"/>
      <c r="CLK35" s="30"/>
      <c r="CLL35" s="30"/>
      <c r="CLM35" s="30"/>
      <c r="CLN35" s="30"/>
      <c r="CLO35" s="30"/>
      <c r="CLP35" s="30"/>
      <c r="CLQ35" s="30"/>
      <c r="CLR35" s="30"/>
      <c r="CLS35" s="30"/>
      <c r="CLT35" s="30"/>
      <c r="CLU35" s="30"/>
      <c r="CLV35" s="30"/>
      <c r="CLW35" s="30"/>
      <c r="CLX35" s="30"/>
      <c r="CLY35" s="30"/>
      <c r="CLZ35" s="30"/>
      <c r="CMA35" s="30"/>
      <c r="CMB35" s="30"/>
      <c r="CMC35" s="30"/>
      <c r="CMD35" s="30"/>
      <c r="CME35" s="30"/>
      <c r="CMF35" s="30"/>
      <c r="CMG35" s="30"/>
      <c r="CMH35" s="30"/>
      <c r="CMI35" s="30"/>
      <c r="CMJ35" s="30"/>
      <c r="CMK35" s="30"/>
      <c r="CML35" s="30"/>
      <c r="CMM35" s="30"/>
      <c r="CMN35" s="30"/>
      <c r="CMO35" s="30"/>
      <c r="CMP35" s="30"/>
      <c r="CMQ35" s="30"/>
      <c r="CMR35" s="30"/>
      <c r="CMS35" s="30"/>
      <c r="CMT35" s="30"/>
      <c r="CMU35" s="30"/>
      <c r="CMV35" s="30"/>
      <c r="CMW35" s="30"/>
      <c r="CMX35" s="30"/>
      <c r="CMY35" s="30"/>
      <c r="CMZ35" s="30"/>
      <c r="CNA35" s="30"/>
      <c r="CNB35" s="30"/>
      <c r="CNC35" s="30"/>
      <c r="CND35" s="30"/>
      <c r="CNE35" s="30"/>
      <c r="CNF35" s="30"/>
      <c r="CNG35" s="30"/>
      <c r="CNH35" s="30"/>
      <c r="CNI35" s="30"/>
      <c r="CNJ35" s="30"/>
      <c r="CNK35" s="30"/>
      <c r="CNL35" s="30"/>
      <c r="CNM35" s="30"/>
      <c r="CNN35" s="30"/>
      <c r="CNO35" s="30"/>
      <c r="CNP35" s="30"/>
      <c r="CNQ35" s="30"/>
      <c r="CNR35" s="30"/>
      <c r="CNS35" s="30"/>
      <c r="CNT35" s="30"/>
      <c r="CNU35" s="30"/>
      <c r="CNV35" s="30"/>
      <c r="CNW35" s="30"/>
      <c r="CNX35" s="30"/>
      <c r="CNY35" s="30"/>
      <c r="CNZ35" s="30"/>
      <c r="COA35" s="30"/>
      <c r="COB35" s="30"/>
      <c r="COC35" s="30"/>
      <c r="COD35" s="30"/>
      <c r="COE35" s="30"/>
      <c r="COF35" s="30"/>
      <c r="COG35" s="30"/>
      <c r="COH35" s="30"/>
      <c r="COI35" s="30"/>
      <c r="COJ35" s="30"/>
      <c r="COK35" s="30"/>
      <c r="COL35" s="30"/>
      <c r="COM35" s="30"/>
      <c r="CON35" s="30"/>
      <c r="COO35" s="30"/>
      <c r="COP35" s="30"/>
      <c r="COQ35" s="30"/>
      <c r="COR35" s="30"/>
      <c r="COS35" s="30"/>
      <c r="COT35" s="30"/>
      <c r="COU35" s="30"/>
      <c r="COV35" s="30"/>
      <c r="COW35" s="30"/>
      <c r="COX35" s="30"/>
      <c r="COY35" s="30"/>
      <c r="COZ35" s="30"/>
      <c r="CPA35" s="30"/>
      <c r="CPB35" s="30"/>
      <c r="CPC35" s="30"/>
      <c r="CPD35" s="30"/>
      <c r="CPE35" s="30"/>
      <c r="CPF35" s="30"/>
      <c r="CPG35" s="30"/>
      <c r="CPH35" s="30"/>
      <c r="CPI35" s="30"/>
      <c r="CPJ35" s="30"/>
      <c r="CPK35" s="30"/>
      <c r="CPL35" s="30"/>
      <c r="CPM35" s="30"/>
      <c r="CPN35" s="30"/>
      <c r="CPO35" s="30"/>
      <c r="CPP35" s="30"/>
      <c r="CPQ35" s="30"/>
      <c r="CPR35" s="30"/>
      <c r="CPS35" s="30"/>
      <c r="CPT35" s="30"/>
      <c r="CPU35" s="30"/>
      <c r="CPV35" s="30"/>
      <c r="CPW35" s="30"/>
      <c r="CPX35" s="30"/>
      <c r="CPY35" s="30"/>
      <c r="CPZ35" s="30"/>
      <c r="CQA35" s="30"/>
      <c r="CQB35" s="30"/>
      <c r="CQC35" s="30"/>
      <c r="CQD35" s="30"/>
      <c r="CQE35" s="30"/>
      <c r="CQF35" s="30"/>
      <c r="CQG35" s="30"/>
      <c r="CQH35" s="30"/>
      <c r="CQI35" s="30"/>
      <c r="CQJ35" s="30"/>
      <c r="CQK35" s="30"/>
      <c r="CQL35" s="30"/>
      <c r="CQM35" s="30"/>
      <c r="CQN35" s="30"/>
      <c r="CQO35" s="30"/>
      <c r="CQP35" s="30"/>
      <c r="CQQ35" s="30"/>
      <c r="CQR35" s="30"/>
      <c r="CQS35" s="30"/>
      <c r="CQT35" s="30"/>
      <c r="CQU35" s="30"/>
      <c r="CQV35" s="30"/>
      <c r="CQW35" s="30"/>
      <c r="CQX35" s="30"/>
      <c r="CQY35" s="30"/>
      <c r="CQZ35" s="30"/>
      <c r="CRA35" s="30"/>
      <c r="CRB35" s="30"/>
      <c r="CRC35" s="30"/>
      <c r="CRD35" s="30"/>
      <c r="CRE35" s="30"/>
      <c r="CRF35" s="30"/>
      <c r="CRG35" s="30"/>
      <c r="CRH35" s="30"/>
      <c r="CRI35" s="30"/>
      <c r="CRJ35" s="30"/>
      <c r="CRK35" s="30"/>
      <c r="CRL35" s="30"/>
      <c r="CRM35" s="30"/>
      <c r="CRN35" s="30"/>
      <c r="CRO35" s="30"/>
      <c r="CRP35" s="30"/>
      <c r="CRQ35" s="30"/>
      <c r="CRR35" s="30"/>
      <c r="CRS35" s="30"/>
      <c r="CRT35" s="30"/>
      <c r="CRU35" s="30"/>
      <c r="CRV35" s="30"/>
      <c r="CRW35" s="30"/>
      <c r="CRX35" s="30"/>
      <c r="CRY35" s="30"/>
      <c r="CRZ35" s="30"/>
      <c r="CSA35" s="30"/>
      <c r="CSB35" s="30"/>
      <c r="CSC35" s="30"/>
      <c r="CSD35" s="30"/>
      <c r="CSE35" s="30"/>
      <c r="CSF35" s="30"/>
      <c r="CSG35" s="30"/>
      <c r="CSH35" s="30"/>
      <c r="CSI35" s="30"/>
      <c r="CSJ35" s="30"/>
      <c r="CSK35" s="30"/>
      <c r="CSL35" s="30"/>
      <c r="CSM35" s="30"/>
      <c r="CSN35" s="30"/>
      <c r="CSO35" s="30"/>
      <c r="CSP35" s="30"/>
      <c r="CSQ35" s="30"/>
      <c r="CSR35" s="30"/>
      <c r="CSS35" s="30"/>
      <c r="CST35" s="30"/>
      <c r="CSU35" s="30"/>
      <c r="CSV35" s="30"/>
      <c r="CSW35" s="30"/>
      <c r="CSX35" s="30"/>
      <c r="CSY35" s="30"/>
      <c r="CSZ35" s="30"/>
      <c r="CTA35" s="30"/>
      <c r="CTB35" s="30"/>
      <c r="CTC35" s="30"/>
      <c r="CTD35" s="30"/>
      <c r="CTE35" s="30"/>
      <c r="CTF35" s="30"/>
      <c r="CTG35" s="30"/>
      <c r="CTH35" s="30"/>
      <c r="CTI35" s="30"/>
      <c r="CTJ35" s="30"/>
      <c r="CTK35" s="30"/>
      <c r="CTL35" s="30"/>
      <c r="CTM35" s="30"/>
      <c r="CTN35" s="30"/>
      <c r="CTO35" s="30"/>
      <c r="CTP35" s="30"/>
      <c r="CTQ35" s="30"/>
      <c r="CTR35" s="30"/>
      <c r="CTS35" s="30"/>
      <c r="CTT35" s="30"/>
      <c r="CTU35" s="30"/>
      <c r="CTV35" s="30"/>
      <c r="CTW35" s="30"/>
      <c r="CTX35" s="30"/>
      <c r="CTY35" s="30"/>
      <c r="CTZ35" s="30"/>
      <c r="CUA35" s="30"/>
      <c r="CUB35" s="30"/>
      <c r="CUC35" s="30"/>
      <c r="CUD35" s="30"/>
      <c r="CUE35" s="30"/>
      <c r="CUF35" s="30"/>
      <c r="CUG35" s="30"/>
      <c r="CUH35" s="30"/>
      <c r="CUI35" s="30"/>
      <c r="CUJ35" s="30"/>
      <c r="CUK35" s="30"/>
      <c r="CUL35" s="30"/>
      <c r="CUM35" s="30"/>
      <c r="CUN35" s="30"/>
      <c r="CUO35" s="30"/>
      <c r="CUP35" s="30"/>
      <c r="CUQ35" s="30"/>
      <c r="CUR35" s="30"/>
      <c r="CUS35" s="30"/>
      <c r="CUT35" s="30"/>
      <c r="CUU35" s="30"/>
      <c r="CUV35" s="30"/>
      <c r="CUW35" s="30"/>
      <c r="CUX35" s="30"/>
      <c r="CUY35" s="30"/>
      <c r="CUZ35" s="30"/>
      <c r="CVA35" s="30"/>
      <c r="CVB35" s="30"/>
      <c r="CVC35" s="30"/>
      <c r="CVD35" s="30"/>
      <c r="CVE35" s="30"/>
      <c r="CVF35" s="30"/>
      <c r="CVG35" s="30"/>
      <c r="CVH35" s="30"/>
      <c r="CVI35" s="30"/>
      <c r="CVJ35" s="30"/>
      <c r="CVK35" s="30"/>
      <c r="CVL35" s="30"/>
      <c r="CVM35" s="30"/>
      <c r="CVN35" s="30"/>
      <c r="CVO35" s="30"/>
      <c r="CVP35" s="30"/>
      <c r="CVQ35" s="30"/>
      <c r="CVR35" s="30"/>
      <c r="CVS35" s="30"/>
      <c r="CVT35" s="30"/>
      <c r="CVU35" s="30"/>
      <c r="CVV35" s="30"/>
      <c r="CVW35" s="30"/>
      <c r="CVX35" s="30"/>
      <c r="CVY35" s="30"/>
      <c r="CVZ35" s="30"/>
      <c r="CWA35" s="30"/>
      <c r="CWB35" s="30"/>
      <c r="CWC35" s="30"/>
      <c r="CWD35" s="30"/>
      <c r="CWE35" s="30"/>
      <c r="CWF35" s="30"/>
      <c r="CWG35" s="30"/>
      <c r="CWH35" s="30"/>
      <c r="CWI35" s="30"/>
      <c r="CWJ35" s="30"/>
      <c r="CWK35" s="30"/>
      <c r="CWL35" s="30"/>
      <c r="CWM35" s="30"/>
      <c r="CWN35" s="30"/>
      <c r="CWO35" s="30"/>
      <c r="CWP35" s="30"/>
      <c r="CWQ35" s="30"/>
      <c r="CWR35" s="30"/>
      <c r="CWS35" s="30"/>
      <c r="CWT35" s="30"/>
      <c r="CWU35" s="30"/>
      <c r="CWV35" s="30"/>
      <c r="CWW35" s="30"/>
      <c r="CWX35" s="30"/>
      <c r="CWY35" s="30"/>
      <c r="CWZ35" s="30"/>
      <c r="CXA35" s="30"/>
      <c r="CXB35" s="30"/>
      <c r="CXC35" s="30"/>
      <c r="CXD35" s="30"/>
      <c r="CXE35" s="30"/>
      <c r="CXF35" s="30"/>
      <c r="CXG35" s="30"/>
      <c r="CXH35" s="30"/>
      <c r="CXI35" s="30"/>
      <c r="CXJ35" s="30"/>
      <c r="CXK35" s="30"/>
      <c r="CXL35" s="30"/>
      <c r="CXM35" s="30"/>
      <c r="CXN35" s="30"/>
      <c r="CXO35" s="30"/>
      <c r="CXP35" s="30"/>
      <c r="CXQ35" s="30"/>
      <c r="CXR35" s="30"/>
      <c r="CXS35" s="30"/>
      <c r="CXT35" s="30"/>
      <c r="CXU35" s="30"/>
      <c r="CXV35" s="30"/>
      <c r="CXW35" s="30"/>
      <c r="CXX35" s="30"/>
      <c r="CXY35" s="30"/>
      <c r="CXZ35" s="30"/>
      <c r="CYA35" s="30"/>
      <c r="CYB35" s="30"/>
      <c r="CYC35" s="30"/>
      <c r="CYD35" s="30"/>
      <c r="CYE35" s="30"/>
      <c r="CYF35" s="30"/>
      <c r="CYG35" s="30"/>
      <c r="CYH35" s="30"/>
      <c r="CYI35" s="30"/>
      <c r="CYJ35" s="30"/>
      <c r="CYK35" s="30"/>
      <c r="CYL35" s="30"/>
      <c r="CYM35" s="30"/>
      <c r="CYN35" s="30"/>
      <c r="CYO35" s="30"/>
      <c r="CYP35" s="30"/>
      <c r="CYQ35" s="30"/>
      <c r="CYR35" s="30"/>
      <c r="CYS35" s="30"/>
      <c r="CYT35" s="30"/>
      <c r="CYU35" s="30"/>
      <c r="CYV35" s="30"/>
      <c r="CYW35" s="30"/>
      <c r="CYX35" s="30"/>
      <c r="CYY35" s="30"/>
      <c r="CYZ35" s="30"/>
      <c r="CZA35" s="30"/>
      <c r="CZB35" s="30"/>
      <c r="CZC35" s="30"/>
      <c r="CZD35" s="30"/>
      <c r="CZE35" s="30"/>
      <c r="CZF35" s="30"/>
      <c r="CZG35" s="30"/>
      <c r="CZH35" s="30"/>
      <c r="CZI35" s="30"/>
      <c r="CZJ35" s="30"/>
      <c r="CZK35" s="30"/>
      <c r="CZL35" s="30"/>
      <c r="CZM35" s="30"/>
      <c r="CZN35" s="30"/>
      <c r="CZO35" s="30"/>
      <c r="CZP35" s="30"/>
      <c r="CZQ35" s="30"/>
      <c r="CZR35" s="30"/>
      <c r="CZS35" s="30"/>
      <c r="CZT35" s="30"/>
      <c r="CZU35" s="30"/>
      <c r="CZV35" s="30"/>
      <c r="CZW35" s="30"/>
      <c r="CZX35" s="30"/>
      <c r="CZY35" s="30"/>
      <c r="CZZ35" s="30"/>
      <c r="DAA35" s="30"/>
      <c r="DAB35" s="30"/>
      <c r="DAC35" s="30"/>
      <c r="DAD35" s="30"/>
      <c r="DAE35" s="30"/>
      <c r="DAF35" s="30"/>
      <c r="DAG35" s="30"/>
      <c r="DAH35" s="30"/>
      <c r="DAI35" s="30"/>
      <c r="DAJ35" s="30"/>
      <c r="DAK35" s="30"/>
      <c r="DAL35" s="30"/>
      <c r="DAM35" s="30"/>
      <c r="DAN35" s="30"/>
      <c r="DAO35" s="30"/>
      <c r="DAP35" s="30"/>
      <c r="DAQ35" s="30"/>
      <c r="DAR35" s="30"/>
      <c r="DAS35" s="30"/>
      <c r="DAT35" s="30"/>
      <c r="DAU35" s="30"/>
      <c r="DAV35" s="30"/>
      <c r="DAW35" s="30"/>
      <c r="DAX35" s="30"/>
      <c r="DAY35" s="30"/>
      <c r="DAZ35" s="30"/>
      <c r="DBA35" s="30"/>
      <c r="DBB35" s="30"/>
      <c r="DBC35" s="30"/>
      <c r="DBD35" s="30"/>
      <c r="DBE35" s="30"/>
      <c r="DBF35" s="30"/>
      <c r="DBG35" s="30"/>
      <c r="DBH35" s="30"/>
      <c r="DBI35" s="30"/>
      <c r="DBJ35" s="30"/>
      <c r="DBK35" s="30"/>
      <c r="DBL35" s="30"/>
      <c r="DBM35" s="30"/>
      <c r="DBN35" s="30"/>
      <c r="DBO35" s="30"/>
      <c r="DBP35" s="30"/>
      <c r="DBQ35" s="30"/>
      <c r="DBR35" s="30"/>
      <c r="DBS35" s="30"/>
      <c r="DBT35" s="30"/>
      <c r="DBU35" s="30"/>
      <c r="DBV35" s="30"/>
      <c r="DBW35" s="30"/>
      <c r="DBX35" s="30"/>
      <c r="DBY35" s="30"/>
      <c r="DBZ35" s="30"/>
      <c r="DCA35" s="30"/>
      <c r="DCB35" s="30"/>
      <c r="DCC35" s="30"/>
      <c r="DCD35" s="30"/>
      <c r="DCE35" s="30"/>
      <c r="DCF35" s="30"/>
      <c r="DCG35" s="30"/>
      <c r="DCH35" s="30"/>
      <c r="DCI35" s="30"/>
      <c r="DCJ35" s="30"/>
      <c r="DCK35" s="30"/>
      <c r="DCL35" s="30"/>
      <c r="DCM35" s="30"/>
      <c r="DCN35" s="30"/>
      <c r="DCO35" s="30"/>
      <c r="DCP35" s="30"/>
      <c r="DCQ35" s="30"/>
      <c r="DCR35" s="30"/>
      <c r="DCS35" s="30"/>
      <c r="DCT35" s="30"/>
      <c r="DCU35" s="30"/>
      <c r="DCV35" s="30"/>
      <c r="DCW35" s="30"/>
      <c r="DCX35" s="30"/>
      <c r="DCY35" s="30"/>
      <c r="DCZ35" s="30"/>
      <c r="DDA35" s="30"/>
      <c r="DDB35" s="30"/>
      <c r="DDC35" s="30"/>
      <c r="DDD35" s="30"/>
      <c r="DDE35" s="30"/>
      <c r="DDF35" s="30"/>
      <c r="DDG35" s="30"/>
      <c r="DDH35" s="30"/>
      <c r="DDI35" s="30"/>
      <c r="DDJ35" s="30"/>
      <c r="DDK35" s="30"/>
      <c r="DDL35" s="30"/>
      <c r="DDM35" s="30"/>
      <c r="DDN35" s="30"/>
      <c r="DDO35" s="30"/>
      <c r="DDP35" s="30"/>
      <c r="DDQ35" s="30"/>
      <c r="DDR35" s="30"/>
      <c r="DDS35" s="30"/>
      <c r="DDT35" s="30"/>
      <c r="DDU35" s="30"/>
      <c r="DDV35" s="30"/>
      <c r="DDW35" s="30"/>
      <c r="DDX35" s="30"/>
      <c r="DDY35" s="30"/>
      <c r="DDZ35" s="30"/>
      <c r="DEA35" s="30"/>
      <c r="DEB35" s="30"/>
      <c r="DEC35" s="30"/>
      <c r="DED35" s="30"/>
      <c r="DEE35" s="30"/>
      <c r="DEF35" s="30"/>
      <c r="DEG35" s="30"/>
      <c r="DEH35" s="30"/>
      <c r="DEI35" s="30"/>
      <c r="DEJ35" s="30"/>
      <c r="DEK35" s="30"/>
      <c r="DEL35" s="30"/>
      <c r="DEM35" s="30"/>
      <c r="DEN35" s="30"/>
      <c r="DEO35" s="30"/>
      <c r="DEP35" s="30"/>
      <c r="DEQ35" s="30"/>
      <c r="DER35" s="30"/>
      <c r="DES35" s="30"/>
      <c r="DET35" s="30"/>
      <c r="DEU35" s="30"/>
      <c r="DEV35" s="30"/>
      <c r="DEW35" s="30"/>
      <c r="DEX35" s="30"/>
      <c r="DEY35" s="30"/>
      <c r="DEZ35" s="30"/>
      <c r="DFA35" s="30"/>
      <c r="DFB35" s="30"/>
      <c r="DFC35" s="30"/>
      <c r="DFD35" s="30"/>
      <c r="DFE35" s="30"/>
      <c r="DFF35" s="30"/>
      <c r="DFG35" s="30"/>
      <c r="DFH35" s="30"/>
      <c r="DFI35" s="30"/>
      <c r="DFJ35" s="30"/>
      <c r="DFK35" s="30"/>
      <c r="DFL35" s="30"/>
      <c r="DFM35" s="30"/>
      <c r="DFN35" s="30"/>
      <c r="DFO35" s="30"/>
      <c r="DFP35" s="30"/>
      <c r="DFQ35" s="30"/>
      <c r="DFR35" s="30"/>
      <c r="DFS35" s="30"/>
      <c r="DFT35" s="30"/>
      <c r="DFU35" s="30"/>
      <c r="DFV35" s="30"/>
      <c r="DFW35" s="30"/>
      <c r="DFX35" s="30"/>
      <c r="DFY35" s="30"/>
      <c r="DFZ35" s="30"/>
      <c r="DGA35" s="30"/>
      <c r="DGB35" s="30"/>
      <c r="DGC35" s="30"/>
      <c r="DGD35" s="30"/>
      <c r="DGE35" s="30"/>
      <c r="DGF35" s="30"/>
      <c r="DGG35" s="30"/>
      <c r="DGH35" s="30"/>
      <c r="DGI35" s="30"/>
      <c r="DGJ35" s="30"/>
      <c r="DGK35" s="30"/>
      <c r="DGL35" s="30"/>
      <c r="DGM35" s="30"/>
      <c r="DGN35" s="30"/>
      <c r="DGO35" s="30"/>
      <c r="DGP35" s="30"/>
      <c r="DGQ35" s="30"/>
      <c r="DGR35" s="30"/>
      <c r="DGS35" s="30"/>
      <c r="DGT35" s="30"/>
      <c r="DGU35" s="30"/>
      <c r="DGV35" s="30"/>
      <c r="DGW35" s="30"/>
      <c r="DGX35" s="30"/>
      <c r="DGY35" s="30"/>
      <c r="DGZ35" s="30"/>
      <c r="DHA35" s="30"/>
      <c r="DHB35" s="30"/>
      <c r="DHC35" s="30"/>
      <c r="DHD35" s="30"/>
      <c r="DHE35" s="30"/>
      <c r="DHF35" s="30"/>
      <c r="DHG35" s="30"/>
      <c r="DHH35" s="30"/>
      <c r="DHI35" s="30"/>
      <c r="DHJ35" s="30"/>
      <c r="DHK35" s="30"/>
      <c r="DHL35" s="30"/>
      <c r="DHM35" s="30"/>
      <c r="DHN35" s="30"/>
      <c r="DHO35" s="30"/>
      <c r="DHP35" s="30"/>
      <c r="DHQ35" s="30"/>
      <c r="DHR35" s="30"/>
      <c r="DHS35" s="30"/>
      <c r="DHT35" s="30"/>
      <c r="DHU35" s="30"/>
      <c r="DHV35" s="30"/>
      <c r="DHW35" s="30"/>
      <c r="DHX35" s="30"/>
      <c r="DHY35" s="30"/>
      <c r="DHZ35" s="30"/>
      <c r="DIA35" s="30"/>
      <c r="DIB35" s="30"/>
      <c r="DIC35" s="30"/>
      <c r="DID35" s="30"/>
      <c r="DIE35" s="30"/>
      <c r="DIF35" s="30"/>
      <c r="DIG35" s="30"/>
      <c r="DIH35" s="30"/>
      <c r="DII35" s="30"/>
      <c r="DIJ35" s="30"/>
      <c r="DIK35" s="30"/>
      <c r="DIL35" s="30"/>
      <c r="DIM35" s="30"/>
      <c r="DIN35" s="30"/>
      <c r="DIO35" s="30"/>
      <c r="DIP35" s="30"/>
      <c r="DIQ35" s="30"/>
      <c r="DIR35" s="30"/>
      <c r="DIS35" s="30"/>
      <c r="DIT35" s="30"/>
      <c r="DIU35" s="30"/>
      <c r="DIV35" s="30"/>
      <c r="DIW35" s="30"/>
      <c r="DIX35" s="30"/>
      <c r="DIY35" s="30"/>
      <c r="DIZ35" s="30"/>
      <c r="DJA35" s="30"/>
      <c r="DJB35" s="30"/>
      <c r="DJC35" s="30"/>
      <c r="DJD35" s="30"/>
      <c r="DJE35" s="30"/>
      <c r="DJF35" s="30"/>
      <c r="DJG35" s="30"/>
      <c r="DJH35" s="30"/>
      <c r="DJI35" s="30"/>
      <c r="DJJ35" s="30"/>
      <c r="DJK35" s="30"/>
      <c r="DJL35" s="30"/>
      <c r="DJM35" s="30"/>
      <c r="DJN35" s="30"/>
      <c r="DJO35" s="30"/>
      <c r="DJP35" s="30"/>
      <c r="DJQ35" s="30"/>
      <c r="DJR35" s="30"/>
      <c r="DJS35" s="30"/>
      <c r="DJT35" s="30"/>
      <c r="DJU35" s="30"/>
      <c r="DJV35" s="30"/>
      <c r="DJW35" s="30"/>
      <c r="DJX35" s="30"/>
      <c r="DJY35" s="30"/>
      <c r="DJZ35" s="30"/>
      <c r="DKA35" s="30"/>
      <c r="DKB35" s="30"/>
      <c r="DKC35" s="30"/>
      <c r="DKD35" s="30"/>
      <c r="DKE35" s="30"/>
      <c r="DKF35" s="30"/>
      <c r="DKG35" s="30"/>
      <c r="DKH35" s="30"/>
      <c r="DKI35" s="30"/>
      <c r="DKJ35" s="30"/>
      <c r="DKK35" s="30"/>
      <c r="DKL35" s="30"/>
      <c r="DKM35" s="30"/>
      <c r="DKN35" s="30"/>
      <c r="DKO35" s="30"/>
      <c r="DKP35" s="30"/>
      <c r="DKQ35" s="30"/>
      <c r="DKR35" s="30"/>
      <c r="DKS35" s="30"/>
      <c r="DKT35" s="30"/>
      <c r="DKU35" s="30"/>
      <c r="DKV35" s="30"/>
      <c r="DKW35" s="30"/>
      <c r="DKX35" s="30"/>
      <c r="DKY35" s="30"/>
      <c r="DKZ35" s="30"/>
      <c r="DLA35" s="30"/>
      <c r="DLB35" s="30"/>
      <c r="DLC35" s="30"/>
      <c r="DLD35" s="30"/>
      <c r="DLE35" s="30"/>
      <c r="DLF35" s="30"/>
      <c r="DLG35" s="30"/>
      <c r="DLH35" s="30"/>
      <c r="DLI35" s="30"/>
      <c r="DLJ35" s="30"/>
      <c r="DLK35" s="30"/>
      <c r="DLL35" s="30"/>
      <c r="DLM35" s="30"/>
      <c r="DLN35" s="30"/>
      <c r="DLO35" s="30"/>
      <c r="DLP35" s="30"/>
      <c r="DLQ35" s="30"/>
      <c r="DLR35" s="30"/>
      <c r="DLS35" s="30"/>
      <c r="DLT35" s="30"/>
      <c r="DLU35" s="30"/>
      <c r="DLV35" s="30"/>
      <c r="DLW35" s="30"/>
      <c r="DLX35" s="30"/>
      <c r="DLY35" s="30"/>
      <c r="DLZ35" s="30"/>
      <c r="DMA35" s="30"/>
      <c r="DMB35" s="30"/>
      <c r="DMC35" s="30"/>
      <c r="DMD35" s="30"/>
      <c r="DME35" s="30"/>
      <c r="DMF35" s="30"/>
      <c r="DMG35" s="30"/>
      <c r="DMH35" s="30"/>
      <c r="DMI35" s="30"/>
      <c r="DMJ35" s="30"/>
      <c r="DMK35" s="30"/>
      <c r="DML35" s="30"/>
      <c r="DMM35" s="30"/>
      <c r="DMN35" s="30"/>
      <c r="DMO35" s="30"/>
      <c r="DMP35" s="30"/>
      <c r="DMQ35" s="30"/>
      <c r="DMR35" s="30"/>
      <c r="DMS35" s="30"/>
      <c r="DMT35" s="30"/>
      <c r="DMU35" s="30"/>
      <c r="DMV35" s="30"/>
      <c r="DMW35" s="30"/>
      <c r="DMX35" s="30"/>
      <c r="DMY35" s="30"/>
      <c r="DMZ35" s="30"/>
      <c r="DNA35" s="30"/>
      <c r="DNB35" s="30"/>
      <c r="DNC35" s="30"/>
      <c r="DND35" s="30"/>
      <c r="DNE35" s="30"/>
      <c r="DNF35" s="30"/>
      <c r="DNG35" s="30"/>
      <c r="DNH35" s="30"/>
      <c r="DNI35" s="30"/>
      <c r="DNJ35" s="30"/>
      <c r="DNK35" s="30"/>
      <c r="DNL35" s="30"/>
      <c r="DNM35" s="30"/>
      <c r="DNN35" s="30"/>
      <c r="DNO35" s="30"/>
      <c r="DNP35" s="30"/>
      <c r="DNQ35" s="30"/>
      <c r="DNR35" s="30"/>
      <c r="DNS35" s="30"/>
      <c r="DNT35" s="30"/>
      <c r="DNU35" s="30"/>
      <c r="DNV35" s="30"/>
      <c r="DNW35" s="30"/>
      <c r="DNX35" s="30"/>
      <c r="DNY35" s="30"/>
      <c r="DNZ35" s="30"/>
      <c r="DOA35" s="30"/>
      <c r="DOB35" s="30"/>
      <c r="DOC35" s="30"/>
      <c r="DOD35" s="30"/>
      <c r="DOE35" s="30"/>
      <c r="DOF35" s="30"/>
      <c r="DOG35" s="30"/>
      <c r="DOH35" s="30"/>
      <c r="DOI35" s="30"/>
      <c r="DOJ35" s="30"/>
      <c r="DOK35" s="30"/>
      <c r="DOL35" s="30"/>
      <c r="DOM35" s="30"/>
      <c r="DON35" s="30"/>
      <c r="DOO35" s="30"/>
      <c r="DOP35" s="30"/>
      <c r="DOQ35" s="30"/>
      <c r="DOR35" s="30"/>
      <c r="DOS35" s="30"/>
      <c r="DOT35" s="30"/>
      <c r="DOU35" s="30"/>
      <c r="DOV35" s="30"/>
      <c r="DOW35" s="30"/>
      <c r="DOX35" s="30"/>
      <c r="DOY35" s="30"/>
      <c r="DOZ35" s="30"/>
      <c r="DPA35" s="30"/>
      <c r="DPB35" s="30"/>
      <c r="DPC35" s="30"/>
      <c r="DPD35" s="30"/>
      <c r="DPE35" s="30"/>
      <c r="DPF35" s="30"/>
      <c r="DPG35" s="30"/>
      <c r="DPH35" s="30"/>
      <c r="DPI35" s="30"/>
      <c r="DPJ35" s="30"/>
      <c r="DPK35" s="30"/>
      <c r="DPL35" s="30"/>
      <c r="DPM35" s="30"/>
      <c r="DPN35" s="30"/>
      <c r="DPO35" s="30"/>
      <c r="DPP35" s="30"/>
      <c r="DPQ35" s="30"/>
      <c r="DPR35" s="30"/>
      <c r="DPS35" s="30"/>
      <c r="DPT35" s="30"/>
      <c r="DPU35" s="30"/>
      <c r="DPV35" s="30"/>
      <c r="DPW35" s="30"/>
      <c r="DPX35" s="30"/>
      <c r="DPY35" s="30"/>
      <c r="DPZ35" s="30"/>
      <c r="DQA35" s="30"/>
      <c r="DQB35" s="30"/>
      <c r="DQC35" s="30"/>
      <c r="DQD35" s="30"/>
      <c r="DQE35" s="30"/>
      <c r="DQF35" s="30"/>
      <c r="DQG35" s="30"/>
      <c r="DQH35" s="30"/>
      <c r="DQI35" s="30"/>
      <c r="DQJ35" s="30"/>
      <c r="DQK35" s="30"/>
      <c r="DQL35" s="30"/>
      <c r="DQM35" s="30"/>
      <c r="DQN35" s="30"/>
      <c r="DQO35" s="30"/>
      <c r="DQP35" s="30"/>
      <c r="DQQ35" s="30"/>
      <c r="DQR35" s="30"/>
      <c r="DQS35" s="30"/>
      <c r="DQT35" s="30"/>
      <c r="DQU35" s="30"/>
      <c r="DQV35" s="30"/>
      <c r="DQW35" s="30"/>
      <c r="DQX35" s="30"/>
      <c r="DQY35" s="30"/>
      <c r="DQZ35" s="30"/>
      <c r="DRA35" s="30"/>
      <c r="DRB35" s="30"/>
      <c r="DRC35" s="30"/>
      <c r="DRD35" s="30"/>
      <c r="DRE35" s="30"/>
      <c r="DRF35" s="30"/>
      <c r="DRG35" s="30"/>
      <c r="DRH35" s="30"/>
      <c r="DRI35" s="30"/>
      <c r="DRJ35" s="30"/>
      <c r="DRK35" s="30"/>
      <c r="DRL35" s="30"/>
      <c r="DRM35" s="30"/>
      <c r="DRN35" s="30"/>
      <c r="DRO35" s="30"/>
      <c r="DRP35" s="30"/>
      <c r="DRQ35" s="30"/>
      <c r="DRR35" s="30"/>
      <c r="DRS35" s="30"/>
      <c r="DRT35" s="30"/>
      <c r="DRU35" s="30"/>
      <c r="DRV35" s="30"/>
      <c r="DRW35" s="30"/>
      <c r="DRX35" s="30"/>
      <c r="DRY35" s="30"/>
      <c r="DRZ35" s="30"/>
      <c r="DSA35" s="30"/>
      <c r="DSB35" s="30"/>
      <c r="DSC35" s="30"/>
      <c r="DSD35" s="30"/>
      <c r="DSE35" s="30"/>
      <c r="DSF35" s="30"/>
      <c r="DSG35" s="30"/>
      <c r="DSH35" s="30"/>
      <c r="DSI35" s="30"/>
      <c r="DSJ35" s="30"/>
      <c r="DSK35" s="30"/>
      <c r="DSL35" s="30"/>
      <c r="DSM35" s="30"/>
      <c r="DSN35" s="30"/>
      <c r="DSO35" s="30"/>
      <c r="DSP35" s="30"/>
      <c r="DSQ35" s="30"/>
      <c r="DSR35" s="30"/>
      <c r="DSS35" s="30"/>
      <c r="DST35" s="30"/>
      <c r="DSU35" s="30"/>
      <c r="DSV35" s="30"/>
      <c r="DSW35" s="30"/>
      <c r="DSX35" s="30"/>
      <c r="DSY35" s="30"/>
      <c r="DSZ35" s="30"/>
      <c r="DTA35" s="30"/>
      <c r="DTB35" s="30"/>
      <c r="DTC35" s="30"/>
      <c r="DTD35" s="30"/>
      <c r="DTE35" s="30"/>
      <c r="DTF35" s="30"/>
      <c r="DTG35" s="30"/>
      <c r="DTH35" s="30"/>
      <c r="DTI35" s="30"/>
      <c r="DTJ35" s="30"/>
      <c r="DTK35" s="30"/>
      <c r="DTL35" s="30"/>
      <c r="DTM35" s="30"/>
      <c r="DTN35" s="30"/>
      <c r="DTO35" s="30"/>
      <c r="DTP35" s="30"/>
      <c r="DTQ35" s="30"/>
      <c r="DTR35" s="30"/>
      <c r="DTS35" s="30"/>
      <c r="DTT35" s="30"/>
      <c r="DTU35" s="30"/>
      <c r="DTV35" s="30"/>
      <c r="DTW35" s="30"/>
      <c r="DTX35" s="30"/>
      <c r="DTY35" s="30"/>
      <c r="DTZ35" s="30"/>
      <c r="DUA35" s="30"/>
      <c r="DUB35" s="30"/>
      <c r="DUC35" s="30"/>
      <c r="DUD35" s="30"/>
      <c r="DUE35" s="30"/>
      <c r="DUF35" s="30"/>
      <c r="DUG35" s="30"/>
      <c r="DUH35" s="30"/>
      <c r="DUI35" s="30"/>
      <c r="DUJ35" s="30"/>
      <c r="DUK35" s="30"/>
      <c r="DUL35" s="30"/>
      <c r="DUM35" s="30"/>
      <c r="DUN35" s="30"/>
      <c r="DUO35" s="30"/>
      <c r="DUP35" s="30"/>
      <c r="DUQ35" s="30"/>
      <c r="DUR35" s="30"/>
      <c r="DUS35" s="30"/>
      <c r="DUT35" s="30"/>
      <c r="DUU35" s="30"/>
      <c r="DUV35" s="30"/>
      <c r="DUW35" s="30"/>
      <c r="DUX35" s="30"/>
      <c r="DUY35" s="30"/>
      <c r="DUZ35" s="30"/>
      <c r="DVA35" s="30"/>
      <c r="DVB35" s="30"/>
      <c r="DVC35" s="30"/>
      <c r="DVD35" s="30"/>
      <c r="DVE35" s="30"/>
      <c r="DVF35" s="30"/>
      <c r="DVG35" s="30"/>
      <c r="DVH35" s="30"/>
      <c r="DVI35" s="30"/>
      <c r="DVJ35" s="30"/>
      <c r="DVK35" s="30"/>
      <c r="DVL35" s="30"/>
      <c r="DVM35" s="30"/>
      <c r="DVN35" s="30"/>
      <c r="DVO35" s="30"/>
      <c r="DVP35" s="30"/>
      <c r="DVQ35" s="30"/>
      <c r="DVR35" s="30"/>
      <c r="DVS35" s="30"/>
      <c r="DVT35" s="30"/>
      <c r="DVU35" s="30"/>
      <c r="DVV35" s="30"/>
      <c r="DVW35" s="30"/>
      <c r="DVX35" s="30"/>
      <c r="DVY35" s="30"/>
      <c r="DVZ35" s="30"/>
      <c r="DWA35" s="30"/>
      <c r="DWB35" s="30"/>
      <c r="DWC35" s="30"/>
      <c r="DWD35" s="30"/>
      <c r="DWE35" s="30"/>
      <c r="DWF35" s="30"/>
      <c r="DWG35" s="30"/>
      <c r="DWH35" s="30"/>
      <c r="DWI35" s="30"/>
      <c r="DWJ35" s="30"/>
      <c r="DWK35" s="30"/>
      <c r="DWL35" s="30"/>
      <c r="DWM35" s="30"/>
      <c r="DWN35" s="30"/>
      <c r="DWO35" s="30"/>
      <c r="DWP35" s="30"/>
      <c r="DWQ35" s="30"/>
      <c r="DWR35" s="30"/>
      <c r="DWS35" s="30"/>
      <c r="DWT35" s="30"/>
      <c r="DWU35" s="30"/>
      <c r="DWV35" s="30"/>
      <c r="DWW35" s="30"/>
      <c r="DWX35" s="30"/>
      <c r="DWY35" s="30"/>
      <c r="DWZ35" s="30"/>
      <c r="DXA35" s="30"/>
      <c r="DXB35" s="30"/>
      <c r="DXC35" s="30"/>
      <c r="DXD35" s="30"/>
      <c r="DXE35" s="30"/>
      <c r="DXF35" s="30"/>
      <c r="DXG35" s="30"/>
      <c r="DXH35" s="30"/>
      <c r="DXI35" s="30"/>
      <c r="DXJ35" s="30"/>
      <c r="DXK35" s="30"/>
      <c r="DXL35" s="30"/>
      <c r="DXM35" s="30"/>
      <c r="DXN35" s="30"/>
      <c r="DXO35" s="30"/>
      <c r="DXP35" s="30"/>
      <c r="DXQ35" s="30"/>
      <c r="DXR35" s="30"/>
      <c r="DXS35" s="30"/>
      <c r="DXT35" s="30"/>
      <c r="DXU35" s="30"/>
      <c r="DXV35" s="30"/>
      <c r="DXW35" s="30"/>
      <c r="DXX35" s="30"/>
      <c r="DXY35" s="30"/>
      <c r="DXZ35" s="30"/>
      <c r="DYA35" s="30"/>
      <c r="DYB35" s="30"/>
      <c r="DYC35" s="30"/>
      <c r="DYD35" s="30"/>
      <c r="DYE35" s="30"/>
      <c r="DYF35" s="30"/>
      <c r="DYG35" s="30"/>
      <c r="DYH35" s="30"/>
      <c r="DYI35" s="30"/>
      <c r="DYJ35" s="30"/>
      <c r="DYK35" s="30"/>
      <c r="DYL35" s="30"/>
      <c r="DYM35" s="30"/>
      <c r="DYN35" s="30"/>
      <c r="DYO35" s="30"/>
      <c r="DYP35" s="30"/>
      <c r="DYQ35" s="30"/>
      <c r="DYR35" s="30"/>
      <c r="DYS35" s="30"/>
      <c r="DYT35" s="30"/>
      <c r="DYU35" s="30"/>
      <c r="DYV35" s="30"/>
      <c r="DYW35" s="30"/>
      <c r="DYX35" s="30"/>
      <c r="DYY35" s="30"/>
      <c r="DYZ35" s="30"/>
      <c r="DZA35" s="30"/>
      <c r="DZB35" s="30"/>
      <c r="DZC35" s="30"/>
      <c r="DZD35" s="30"/>
      <c r="DZE35" s="30"/>
      <c r="DZF35" s="30"/>
      <c r="DZG35" s="30"/>
      <c r="DZH35" s="30"/>
      <c r="DZI35" s="30"/>
      <c r="DZJ35" s="30"/>
      <c r="DZK35" s="30"/>
      <c r="DZL35" s="30"/>
      <c r="DZM35" s="30"/>
      <c r="DZN35" s="30"/>
      <c r="DZO35" s="30"/>
      <c r="DZP35" s="30"/>
      <c r="DZQ35" s="30"/>
      <c r="DZR35" s="30"/>
      <c r="DZS35" s="30"/>
      <c r="DZT35" s="30"/>
      <c r="DZU35" s="30"/>
      <c r="DZV35" s="30"/>
      <c r="DZW35" s="30"/>
      <c r="DZX35" s="30"/>
      <c r="DZY35" s="30"/>
      <c r="DZZ35" s="30"/>
      <c r="EAA35" s="30"/>
      <c r="EAB35" s="30"/>
      <c r="EAC35" s="30"/>
      <c r="EAD35" s="30"/>
      <c r="EAE35" s="30"/>
      <c r="EAF35" s="30"/>
      <c r="EAG35" s="30"/>
      <c r="EAH35" s="30"/>
      <c r="EAI35" s="30"/>
      <c r="EAJ35" s="30"/>
      <c r="EAK35" s="30"/>
      <c r="EAL35" s="30"/>
      <c r="EAM35" s="30"/>
      <c r="EAN35" s="30"/>
      <c r="EAO35" s="30"/>
      <c r="EAP35" s="30"/>
      <c r="EAQ35" s="30"/>
      <c r="EAR35" s="30"/>
      <c r="EAS35" s="30"/>
      <c r="EAT35" s="30"/>
      <c r="EAU35" s="30"/>
      <c r="EAV35" s="30"/>
      <c r="EAW35" s="30"/>
      <c r="EAX35" s="30"/>
      <c r="EAY35" s="30"/>
      <c r="EAZ35" s="30"/>
      <c r="EBA35" s="30"/>
      <c r="EBB35" s="30"/>
      <c r="EBC35" s="30"/>
      <c r="EBD35" s="30"/>
      <c r="EBE35" s="30"/>
      <c r="EBF35" s="30"/>
      <c r="EBG35" s="30"/>
      <c r="EBH35" s="30"/>
      <c r="EBI35" s="30"/>
      <c r="EBJ35" s="30"/>
      <c r="EBK35" s="30"/>
      <c r="EBL35" s="30"/>
      <c r="EBM35" s="30"/>
      <c r="EBN35" s="30"/>
      <c r="EBO35" s="30"/>
      <c r="EBP35" s="30"/>
      <c r="EBQ35" s="30"/>
      <c r="EBR35" s="30"/>
      <c r="EBS35" s="30"/>
      <c r="EBT35" s="30"/>
      <c r="EBU35" s="30"/>
      <c r="EBV35" s="30"/>
      <c r="EBW35" s="30"/>
      <c r="EBX35" s="30"/>
      <c r="EBY35" s="30"/>
      <c r="EBZ35" s="30"/>
      <c r="ECA35" s="30"/>
      <c r="ECB35" s="30"/>
      <c r="ECC35" s="30"/>
      <c r="ECD35" s="30"/>
      <c r="ECE35" s="30"/>
      <c r="ECF35" s="30"/>
      <c r="ECG35" s="30"/>
      <c r="ECH35" s="30"/>
      <c r="ECI35" s="30"/>
      <c r="ECJ35" s="30"/>
      <c r="ECK35" s="30"/>
      <c r="ECL35" s="30"/>
      <c r="ECM35" s="30"/>
      <c r="ECN35" s="30"/>
      <c r="ECO35" s="30"/>
      <c r="ECP35" s="30"/>
      <c r="ECQ35" s="30"/>
      <c r="ECR35" s="30"/>
      <c r="ECS35" s="30"/>
      <c r="ECT35" s="30"/>
      <c r="ECU35" s="30"/>
      <c r="ECV35" s="30"/>
      <c r="ECW35" s="30"/>
      <c r="ECX35" s="30"/>
      <c r="ECY35" s="30"/>
      <c r="ECZ35" s="30"/>
      <c r="EDA35" s="30"/>
      <c r="EDB35" s="30"/>
      <c r="EDC35" s="30"/>
      <c r="EDD35" s="30"/>
      <c r="EDE35" s="30"/>
      <c r="EDF35" s="30"/>
      <c r="EDG35" s="30"/>
      <c r="EDH35" s="30"/>
      <c r="EDI35" s="30"/>
      <c r="EDJ35" s="30"/>
      <c r="EDK35" s="30"/>
      <c r="EDL35" s="30"/>
      <c r="EDM35" s="30"/>
      <c r="EDN35" s="30"/>
      <c r="EDO35" s="30"/>
      <c r="EDP35" s="30"/>
      <c r="EDQ35" s="30"/>
      <c r="EDR35" s="30"/>
      <c r="EDS35" s="30"/>
      <c r="EDT35" s="30"/>
      <c r="EDU35" s="30"/>
      <c r="EDV35" s="30"/>
      <c r="EDW35" s="30"/>
      <c r="EDX35" s="30"/>
      <c r="EDY35" s="30"/>
      <c r="EDZ35" s="30"/>
      <c r="EEA35" s="30"/>
      <c r="EEB35" s="30"/>
      <c r="EEC35" s="30"/>
      <c r="EED35" s="30"/>
      <c r="EEE35" s="30"/>
      <c r="EEF35" s="30"/>
      <c r="EEG35" s="30"/>
      <c r="EEH35" s="30"/>
      <c r="EEI35" s="30"/>
      <c r="EEJ35" s="30"/>
      <c r="EEK35" s="30"/>
      <c r="EEL35" s="30"/>
      <c r="EEM35" s="30"/>
      <c r="EEN35" s="30"/>
      <c r="EEO35" s="30"/>
      <c r="EEP35" s="30"/>
      <c r="EEQ35" s="30"/>
      <c r="EER35" s="30"/>
      <c r="EES35" s="30"/>
      <c r="EET35" s="30"/>
      <c r="EEU35" s="30"/>
      <c r="EEV35" s="30"/>
      <c r="EEW35" s="30"/>
      <c r="EEX35" s="30"/>
      <c r="EEY35" s="30"/>
      <c r="EEZ35" s="30"/>
      <c r="EFA35" s="30"/>
      <c r="EFB35" s="30"/>
      <c r="EFC35" s="30"/>
      <c r="EFD35" s="30"/>
      <c r="EFE35" s="30"/>
      <c r="EFF35" s="30"/>
      <c r="EFG35" s="30"/>
      <c r="EFH35" s="30"/>
      <c r="EFI35" s="30"/>
      <c r="EFJ35" s="30"/>
      <c r="EFK35" s="30"/>
      <c r="EFL35" s="30"/>
      <c r="EFM35" s="30"/>
      <c r="EFN35" s="30"/>
      <c r="EFO35" s="30"/>
      <c r="EFP35" s="30"/>
      <c r="EFQ35" s="30"/>
      <c r="EFR35" s="30"/>
      <c r="EFS35" s="30"/>
      <c r="EFT35" s="30"/>
      <c r="EFU35" s="30"/>
      <c r="EFV35" s="30"/>
      <c r="EFW35" s="30"/>
      <c r="EFX35" s="30"/>
      <c r="EFY35" s="30"/>
      <c r="EFZ35" s="30"/>
      <c r="EGA35" s="30"/>
      <c r="EGB35" s="30"/>
      <c r="EGC35" s="30"/>
      <c r="EGD35" s="30"/>
      <c r="EGE35" s="30"/>
      <c r="EGF35" s="30"/>
      <c r="EGG35" s="30"/>
      <c r="EGH35" s="30"/>
      <c r="EGI35" s="30"/>
      <c r="EGJ35" s="30"/>
      <c r="EGK35" s="30"/>
      <c r="EGL35" s="30"/>
      <c r="EGM35" s="30"/>
      <c r="EGN35" s="30"/>
      <c r="EGO35" s="30"/>
      <c r="EGP35" s="30"/>
      <c r="EGQ35" s="30"/>
      <c r="EGR35" s="30"/>
      <c r="EGS35" s="30"/>
      <c r="EGT35" s="30"/>
      <c r="EGU35" s="30"/>
      <c r="EGV35" s="30"/>
      <c r="EGW35" s="30"/>
      <c r="EGX35" s="30"/>
      <c r="EGY35" s="30"/>
      <c r="EGZ35" s="30"/>
      <c r="EHA35" s="30"/>
      <c r="EHB35" s="30"/>
      <c r="EHC35" s="30"/>
      <c r="EHD35" s="30"/>
      <c r="EHE35" s="30"/>
      <c r="EHF35" s="30"/>
      <c r="EHG35" s="30"/>
      <c r="EHH35" s="30"/>
      <c r="EHI35" s="30"/>
      <c r="EHJ35" s="30"/>
      <c r="EHK35" s="30"/>
      <c r="EHL35" s="30"/>
      <c r="EHM35" s="30"/>
      <c r="EHN35" s="30"/>
      <c r="EHO35" s="30"/>
      <c r="EHP35" s="30"/>
      <c r="EHQ35" s="30"/>
      <c r="EHR35" s="30"/>
      <c r="EHS35" s="30"/>
      <c r="EHT35" s="30"/>
      <c r="EHU35" s="30"/>
      <c r="EHV35" s="30"/>
      <c r="EHW35" s="30"/>
      <c r="EHX35" s="30"/>
      <c r="EHY35" s="30"/>
      <c r="EHZ35" s="30"/>
      <c r="EIA35" s="30"/>
      <c r="EIB35" s="30"/>
      <c r="EIC35" s="30"/>
      <c r="EID35" s="30"/>
      <c r="EIE35" s="30"/>
      <c r="EIF35" s="30"/>
      <c r="EIG35" s="30"/>
      <c r="EIH35" s="30"/>
      <c r="EII35" s="30"/>
      <c r="EIJ35" s="30"/>
      <c r="EIK35" s="30"/>
      <c r="EIL35" s="30"/>
      <c r="EIM35" s="30"/>
      <c r="EIN35" s="30"/>
      <c r="EIO35" s="30"/>
      <c r="EIP35" s="30"/>
      <c r="EIQ35" s="30"/>
      <c r="EIR35" s="30"/>
      <c r="EIS35" s="30"/>
      <c r="EIT35" s="30"/>
      <c r="EIU35" s="30"/>
      <c r="EIV35" s="30"/>
      <c r="EIW35" s="30"/>
      <c r="EIX35" s="30"/>
      <c r="EIY35" s="30"/>
      <c r="EIZ35" s="30"/>
      <c r="EJA35" s="30"/>
      <c r="EJB35" s="30"/>
      <c r="EJC35" s="30"/>
      <c r="EJD35" s="30"/>
      <c r="EJE35" s="30"/>
      <c r="EJF35" s="30"/>
      <c r="EJG35" s="30"/>
      <c r="EJH35" s="30"/>
      <c r="EJI35" s="30"/>
      <c r="EJJ35" s="30"/>
      <c r="EJK35" s="30"/>
      <c r="EJL35" s="30"/>
      <c r="EJM35" s="30"/>
      <c r="EJN35" s="30"/>
      <c r="EJO35" s="30"/>
      <c r="EJP35" s="30"/>
      <c r="EJQ35" s="30"/>
      <c r="EJR35" s="30"/>
      <c r="EJS35" s="30"/>
      <c r="EJT35" s="30"/>
      <c r="EJU35" s="30"/>
      <c r="EJV35" s="30"/>
      <c r="EJW35" s="30"/>
      <c r="EJX35" s="30"/>
      <c r="EJY35" s="30"/>
      <c r="EJZ35" s="30"/>
      <c r="EKA35" s="30"/>
      <c r="EKB35" s="30"/>
      <c r="EKC35" s="30"/>
      <c r="EKD35" s="30"/>
      <c r="EKE35" s="30"/>
      <c r="EKF35" s="30"/>
      <c r="EKG35" s="30"/>
      <c r="EKH35" s="30"/>
      <c r="EKI35" s="30"/>
      <c r="EKJ35" s="30"/>
      <c r="EKK35" s="30"/>
      <c r="EKL35" s="30"/>
      <c r="EKM35" s="30"/>
      <c r="EKN35" s="30"/>
      <c r="EKO35" s="30"/>
      <c r="EKP35" s="30"/>
      <c r="EKQ35" s="30"/>
      <c r="EKR35" s="30"/>
      <c r="EKS35" s="30"/>
      <c r="EKT35" s="30"/>
      <c r="EKU35" s="30"/>
      <c r="EKV35" s="30"/>
      <c r="EKW35" s="30"/>
      <c r="EKX35" s="30"/>
      <c r="EKY35" s="30"/>
      <c r="EKZ35" s="30"/>
      <c r="ELA35" s="30"/>
      <c r="ELB35" s="30"/>
      <c r="ELC35" s="30"/>
      <c r="ELD35" s="30"/>
      <c r="ELE35" s="30"/>
      <c r="ELF35" s="30"/>
      <c r="ELG35" s="30"/>
      <c r="ELH35" s="30"/>
      <c r="ELI35" s="30"/>
      <c r="ELJ35" s="30"/>
      <c r="ELK35" s="30"/>
      <c r="ELL35" s="30"/>
      <c r="ELM35" s="30"/>
      <c r="ELN35" s="30"/>
      <c r="ELO35" s="30"/>
      <c r="ELP35" s="30"/>
      <c r="ELQ35" s="30"/>
      <c r="ELR35" s="30"/>
      <c r="ELS35" s="30"/>
      <c r="ELT35" s="30"/>
      <c r="ELU35" s="30"/>
      <c r="ELV35" s="30"/>
      <c r="ELW35" s="30"/>
      <c r="ELX35" s="30"/>
      <c r="ELY35" s="30"/>
      <c r="ELZ35" s="30"/>
      <c r="EMA35" s="30"/>
      <c r="EMB35" s="30"/>
      <c r="EMC35" s="30"/>
      <c r="EMD35" s="30"/>
      <c r="EME35" s="30"/>
      <c r="EMF35" s="30"/>
      <c r="EMG35" s="30"/>
      <c r="EMH35" s="30"/>
      <c r="EMI35" s="30"/>
      <c r="EMJ35" s="30"/>
      <c r="EMK35" s="30"/>
      <c r="EML35" s="30"/>
      <c r="EMM35" s="30"/>
      <c r="EMN35" s="30"/>
      <c r="EMO35" s="30"/>
      <c r="EMP35" s="30"/>
      <c r="EMQ35" s="30"/>
      <c r="EMR35" s="30"/>
      <c r="EMS35" s="30"/>
      <c r="EMT35" s="30"/>
      <c r="EMU35" s="30"/>
      <c r="EMV35" s="30"/>
      <c r="EMW35" s="30"/>
      <c r="EMX35" s="30"/>
      <c r="EMY35" s="30"/>
      <c r="EMZ35" s="30"/>
      <c r="ENA35" s="30"/>
      <c r="ENB35" s="30"/>
      <c r="ENC35" s="30"/>
      <c r="END35" s="30"/>
      <c r="ENE35" s="30"/>
      <c r="ENF35" s="30"/>
      <c r="ENG35" s="30"/>
      <c r="ENH35" s="30"/>
      <c r="ENI35" s="30"/>
      <c r="ENJ35" s="30"/>
      <c r="ENK35" s="30"/>
      <c r="ENL35" s="30"/>
      <c r="ENM35" s="30"/>
      <c r="ENN35" s="30"/>
      <c r="ENO35" s="30"/>
      <c r="ENP35" s="30"/>
      <c r="ENQ35" s="30"/>
      <c r="ENR35" s="30"/>
      <c r="ENS35" s="30"/>
      <c r="ENT35" s="30"/>
      <c r="ENU35" s="30"/>
      <c r="ENV35" s="30"/>
      <c r="ENW35" s="30"/>
      <c r="ENX35" s="30"/>
      <c r="ENY35" s="30"/>
      <c r="ENZ35" s="30"/>
      <c r="EOA35" s="30"/>
      <c r="EOB35" s="30"/>
      <c r="EOC35" s="30"/>
      <c r="EOD35" s="30"/>
      <c r="EOE35" s="30"/>
      <c r="EOF35" s="30"/>
      <c r="EOG35" s="30"/>
      <c r="EOH35" s="30"/>
      <c r="EOI35" s="30"/>
      <c r="EOJ35" s="30"/>
      <c r="EOK35" s="30"/>
      <c r="EOL35" s="30"/>
      <c r="EOM35" s="30"/>
      <c r="EON35" s="30"/>
      <c r="EOO35" s="30"/>
      <c r="EOP35" s="30"/>
      <c r="EOQ35" s="30"/>
      <c r="EOR35" s="30"/>
      <c r="EOS35" s="30"/>
      <c r="EOT35" s="30"/>
      <c r="EOU35" s="30"/>
      <c r="EOV35" s="30"/>
      <c r="EOW35" s="30"/>
      <c r="EOX35" s="30"/>
      <c r="EOY35" s="30"/>
      <c r="EOZ35" s="30"/>
      <c r="EPA35" s="30"/>
      <c r="EPB35" s="30"/>
      <c r="EPC35" s="30"/>
      <c r="EPD35" s="30"/>
      <c r="EPE35" s="30"/>
      <c r="EPF35" s="30"/>
      <c r="EPG35" s="30"/>
      <c r="EPH35" s="30"/>
      <c r="EPI35" s="30"/>
      <c r="EPJ35" s="30"/>
      <c r="EPK35" s="30"/>
      <c r="EPL35" s="30"/>
      <c r="EPM35" s="30"/>
      <c r="EPN35" s="30"/>
      <c r="EPO35" s="30"/>
      <c r="EPP35" s="30"/>
      <c r="EPQ35" s="30"/>
      <c r="EPR35" s="30"/>
      <c r="EPS35" s="30"/>
      <c r="EPT35" s="30"/>
      <c r="EPU35" s="30"/>
      <c r="EPV35" s="30"/>
      <c r="EPW35" s="30"/>
      <c r="EPX35" s="30"/>
      <c r="EPY35" s="30"/>
      <c r="EPZ35" s="30"/>
      <c r="EQA35" s="30"/>
      <c r="EQB35" s="30"/>
      <c r="EQC35" s="30"/>
      <c r="EQD35" s="30"/>
      <c r="EQE35" s="30"/>
      <c r="EQF35" s="30"/>
      <c r="EQG35" s="30"/>
      <c r="EQH35" s="30"/>
      <c r="EQI35" s="30"/>
      <c r="EQJ35" s="30"/>
      <c r="EQK35" s="30"/>
      <c r="EQL35" s="30"/>
      <c r="EQM35" s="30"/>
      <c r="EQN35" s="30"/>
      <c r="EQO35" s="30"/>
      <c r="EQP35" s="30"/>
      <c r="EQQ35" s="30"/>
      <c r="EQR35" s="30"/>
      <c r="EQS35" s="30"/>
      <c r="EQT35" s="30"/>
      <c r="EQU35" s="30"/>
      <c r="EQV35" s="30"/>
      <c r="EQW35" s="30"/>
      <c r="EQX35" s="30"/>
      <c r="EQY35" s="30"/>
      <c r="EQZ35" s="30"/>
      <c r="ERA35" s="30"/>
      <c r="ERB35" s="30"/>
      <c r="ERC35" s="30"/>
      <c r="ERD35" s="30"/>
      <c r="ERE35" s="30"/>
      <c r="ERF35" s="30"/>
      <c r="ERG35" s="30"/>
      <c r="ERH35" s="30"/>
      <c r="ERI35" s="30"/>
      <c r="ERJ35" s="30"/>
      <c r="ERK35" s="30"/>
      <c r="ERL35" s="30"/>
      <c r="ERM35" s="30"/>
      <c r="ERN35" s="30"/>
      <c r="ERO35" s="30"/>
      <c r="ERP35" s="30"/>
      <c r="ERQ35" s="30"/>
      <c r="ERR35" s="30"/>
      <c r="ERS35" s="30"/>
      <c r="ERT35" s="30"/>
      <c r="ERU35" s="30"/>
      <c r="ERV35" s="30"/>
      <c r="ERW35" s="30"/>
      <c r="ERX35" s="30"/>
      <c r="ERY35" s="30"/>
      <c r="ERZ35" s="30"/>
      <c r="ESA35" s="30"/>
      <c r="ESB35" s="30"/>
      <c r="ESC35" s="30"/>
      <c r="ESD35" s="30"/>
      <c r="ESE35" s="30"/>
      <c r="ESF35" s="30"/>
      <c r="ESG35" s="30"/>
      <c r="ESH35" s="30"/>
      <c r="ESI35" s="30"/>
      <c r="ESJ35" s="30"/>
      <c r="ESK35" s="30"/>
      <c r="ESL35" s="30"/>
      <c r="ESM35" s="30"/>
      <c r="ESN35" s="30"/>
      <c r="ESO35" s="30"/>
      <c r="ESP35" s="30"/>
      <c r="ESQ35" s="30"/>
      <c r="ESR35" s="30"/>
      <c r="ESS35" s="30"/>
      <c r="EST35" s="30"/>
      <c r="ESU35" s="30"/>
      <c r="ESV35" s="30"/>
      <c r="ESW35" s="30"/>
      <c r="ESX35" s="30"/>
      <c r="ESY35" s="30"/>
      <c r="ESZ35" s="30"/>
      <c r="ETA35" s="30"/>
      <c r="ETB35" s="30"/>
      <c r="ETC35" s="30"/>
      <c r="ETD35" s="30"/>
      <c r="ETE35" s="30"/>
      <c r="ETF35" s="30"/>
      <c r="ETG35" s="30"/>
      <c r="ETH35" s="30"/>
      <c r="ETI35" s="30"/>
      <c r="ETJ35" s="30"/>
      <c r="ETK35" s="30"/>
      <c r="ETL35" s="30"/>
      <c r="ETM35" s="30"/>
      <c r="ETN35" s="30"/>
      <c r="ETO35" s="30"/>
      <c r="ETP35" s="30"/>
      <c r="ETQ35" s="30"/>
      <c r="ETR35" s="30"/>
      <c r="ETS35" s="30"/>
      <c r="ETT35" s="30"/>
      <c r="ETU35" s="30"/>
      <c r="ETV35" s="30"/>
      <c r="ETW35" s="30"/>
      <c r="ETX35" s="30"/>
      <c r="ETY35" s="30"/>
      <c r="ETZ35" s="30"/>
      <c r="EUA35" s="30"/>
      <c r="EUB35" s="30"/>
      <c r="EUC35" s="30"/>
      <c r="EUD35" s="30"/>
      <c r="EUE35" s="30"/>
      <c r="EUF35" s="30"/>
      <c r="EUG35" s="30"/>
      <c r="EUH35" s="30"/>
      <c r="EUI35" s="30"/>
      <c r="EUJ35" s="30"/>
      <c r="EUK35" s="30"/>
      <c r="EUL35" s="30"/>
      <c r="EUM35" s="30"/>
      <c r="EUN35" s="30"/>
      <c r="EUO35" s="30"/>
      <c r="EUP35" s="30"/>
      <c r="EUQ35" s="30"/>
      <c r="EUR35" s="30"/>
      <c r="EUS35" s="30"/>
      <c r="EUT35" s="30"/>
      <c r="EUU35" s="30"/>
      <c r="EUV35" s="30"/>
      <c r="EUW35" s="30"/>
      <c r="EUX35" s="30"/>
      <c r="EUY35" s="30"/>
      <c r="EUZ35" s="30"/>
      <c r="EVA35" s="30"/>
      <c r="EVB35" s="30"/>
      <c r="EVC35" s="30"/>
      <c r="EVD35" s="30"/>
      <c r="EVE35" s="30"/>
      <c r="EVF35" s="30"/>
      <c r="EVG35" s="30"/>
      <c r="EVH35" s="30"/>
      <c r="EVI35" s="30"/>
      <c r="EVJ35" s="30"/>
      <c r="EVK35" s="30"/>
      <c r="EVL35" s="30"/>
      <c r="EVM35" s="30"/>
      <c r="EVN35" s="30"/>
      <c r="EVO35" s="30"/>
      <c r="EVP35" s="30"/>
      <c r="EVQ35" s="30"/>
      <c r="EVR35" s="30"/>
      <c r="EVS35" s="30"/>
      <c r="EVT35" s="30"/>
      <c r="EVU35" s="30"/>
      <c r="EVV35" s="30"/>
      <c r="EVW35" s="30"/>
      <c r="EVX35" s="30"/>
      <c r="EVY35" s="30"/>
      <c r="EVZ35" s="30"/>
      <c r="EWA35" s="30"/>
      <c r="EWB35" s="30"/>
      <c r="EWC35" s="30"/>
      <c r="EWD35" s="30"/>
      <c r="EWE35" s="30"/>
      <c r="EWF35" s="30"/>
      <c r="EWG35" s="30"/>
      <c r="EWH35" s="30"/>
      <c r="EWI35" s="30"/>
      <c r="EWJ35" s="30"/>
      <c r="EWK35" s="30"/>
      <c r="EWL35" s="30"/>
      <c r="EWM35" s="30"/>
      <c r="EWN35" s="30"/>
      <c r="EWO35" s="30"/>
      <c r="EWP35" s="30"/>
      <c r="EWQ35" s="30"/>
      <c r="EWR35" s="30"/>
      <c r="EWS35" s="30"/>
      <c r="EWT35" s="30"/>
      <c r="EWU35" s="30"/>
      <c r="EWV35" s="30"/>
      <c r="EWW35" s="30"/>
      <c r="EWX35" s="30"/>
      <c r="EWY35" s="30"/>
      <c r="EWZ35" s="30"/>
      <c r="EXA35" s="30"/>
      <c r="EXB35" s="30"/>
      <c r="EXC35" s="30"/>
      <c r="EXD35" s="30"/>
      <c r="EXE35" s="30"/>
      <c r="EXF35" s="30"/>
      <c r="EXG35" s="30"/>
      <c r="EXH35" s="30"/>
      <c r="EXI35" s="30"/>
      <c r="EXJ35" s="30"/>
      <c r="EXK35" s="30"/>
      <c r="EXL35" s="30"/>
      <c r="EXM35" s="30"/>
      <c r="EXN35" s="30"/>
      <c r="EXO35" s="30"/>
      <c r="EXP35" s="30"/>
      <c r="EXQ35" s="30"/>
      <c r="EXR35" s="30"/>
      <c r="EXS35" s="30"/>
      <c r="EXT35" s="30"/>
      <c r="EXU35" s="30"/>
      <c r="EXV35" s="30"/>
      <c r="EXW35" s="30"/>
      <c r="EXX35" s="30"/>
      <c r="EXY35" s="30"/>
      <c r="EXZ35" s="30"/>
      <c r="EYA35" s="30"/>
      <c r="EYB35" s="30"/>
      <c r="EYC35" s="30"/>
      <c r="EYD35" s="30"/>
      <c r="EYE35" s="30"/>
      <c r="EYF35" s="30"/>
      <c r="EYG35" s="30"/>
      <c r="EYH35" s="30"/>
      <c r="EYI35" s="30"/>
      <c r="EYJ35" s="30"/>
      <c r="EYK35" s="30"/>
      <c r="EYL35" s="30"/>
      <c r="EYM35" s="30"/>
      <c r="EYN35" s="30"/>
      <c r="EYO35" s="30"/>
      <c r="EYP35" s="30"/>
      <c r="EYQ35" s="30"/>
      <c r="EYR35" s="30"/>
      <c r="EYS35" s="30"/>
      <c r="EYT35" s="30"/>
      <c r="EYU35" s="30"/>
      <c r="EYV35" s="30"/>
      <c r="EYW35" s="30"/>
      <c r="EYX35" s="30"/>
      <c r="EYY35" s="30"/>
      <c r="EYZ35" s="30"/>
      <c r="EZA35" s="30"/>
      <c r="EZB35" s="30"/>
      <c r="EZC35" s="30"/>
      <c r="EZD35" s="30"/>
      <c r="EZE35" s="30"/>
      <c r="EZF35" s="30"/>
      <c r="EZG35" s="30"/>
      <c r="EZH35" s="30"/>
      <c r="EZI35" s="30"/>
      <c r="EZJ35" s="30"/>
      <c r="EZK35" s="30"/>
      <c r="EZL35" s="30"/>
      <c r="EZM35" s="30"/>
      <c r="EZN35" s="30"/>
      <c r="EZO35" s="30"/>
      <c r="EZP35" s="30"/>
      <c r="EZQ35" s="30"/>
      <c r="EZR35" s="30"/>
      <c r="EZS35" s="30"/>
      <c r="EZT35" s="30"/>
      <c r="EZU35" s="30"/>
      <c r="EZV35" s="30"/>
      <c r="EZW35" s="30"/>
      <c r="EZX35" s="30"/>
      <c r="EZY35" s="30"/>
      <c r="EZZ35" s="30"/>
      <c r="FAA35" s="30"/>
      <c r="FAB35" s="30"/>
      <c r="FAC35" s="30"/>
      <c r="FAD35" s="30"/>
      <c r="FAE35" s="30"/>
      <c r="FAF35" s="30"/>
      <c r="FAG35" s="30"/>
      <c r="FAH35" s="30"/>
      <c r="FAI35" s="30"/>
      <c r="FAJ35" s="30"/>
      <c r="FAK35" s="30"/>
      <c r="FAL35" s="30"/>
      <c r="FAM35" s="30"/>
      <c r="FAN35" s="30"/>
      <c r="FAO35" s="30"/>
      <c r="FAP35" s="30"/>
      <c r="FAQ35" s="30"/>
      <c r="FAR35" s="30"/>
      <c r="FAS35" s="30"/>
      <c r="FAT35" s="30"/>
      <c r="FAU35" s="30"/>
      <c r="FAV35" s="30"/>
      <c r="FAW35" s="30"/>
      <c r="FAX35" s="30"/>
      <c r="FAY35" s="30"/>
      <c r="FAZ35" s="30"/>
      <c r="FBA35" s="30"/>
      <c r="FBB35" s="30"/>
      <c r="FBC35" s="30"/>
      <c r="FBD35" s="30"/>
      <c r="FBE35" s="30"/>
      <c r="FBF35" s="30"/>
      <c r="FBG35" s="30"/>
      <c r="FBH35" s="30"/>
      <c r="FBI35" s="30"/>
      <c r="FBJ35" s="30"/>
      <c r="FBK35" s="30"/>
      <c r="FBL35" s="30"/>
      <c r="FBM35" s="30"/>
      <c r="FBN35" s="30"/>
      <c r="FBO35" s="30"/>
      <c r="FBP35" s="30"/>
      <c r="FBQ35" s="30"/>
      <c r="FBR35" s="30"/>
      <c r="FBS35" s="30"/>
      <c r="FBT35" s="30"/>
      <c r="FBU35" s="30"/>
      <c r="FBV35" s="30"/>
      <c r="FBW35" s="30"/>
      <c r="FBX35" s="30"/>
      <c r="FBY35" s="30"/>
      <c r="FBZ35" s="30"/>
      <c r="FCA35" s="30"/>
      <c r="FCB35" s="30"/>
      <c r="FCC35" s="30"/>
      <c r="FCD35" s="30"/>
      <c r="FCE35" s="30"/>
      <c r="FCF35" s="30"/>
      <c r="FCG35" s="30"/>
      <c r="FCH35" s="30"/>
      <c r="FCI35" s="30"/>
      <c r="FCJ35" s="30"/>
      <c r="FCK35" s="30"/>
      <c r="FCL35" s="30"/>
      <c r="FCM35" s="30"/>
      <c r="FCN35" s="30"/>
      <c r="FCO35" s="30"/>
      <c r="FCP35" s="30"/>
      <c r="FCQ35" s="30"/>
      <c r="FCR35" s="30"/>
      <c r="FCS35" s="30"/>
      <c r="FCT35" s="30"/>
      <c r="FCU35" s="30"/>
      <c r="FCV35" s="30"/>
      <c r="FCW35" s="30"/>
      <c r="FCX35" s="30"/>
      <c r="FCY35" s="30"/>
      <c r="FCZ35" s="30"/>
      <c r="FDA35" s="30"/>
      <c r="FDB35" s="30"/>
      <c r="FDC35" s="30"/>
      <c r="FDD35" s="30"/>
      <c r="FDE35" s="30"/>
      <c r="FDF35" s="30"/>
      <c r="FDG35" s="30"/>
      <c r="FDH35" s="30"/>
      <c r="FDI35" s="30"/>
      <c r="FDJ35" s="30"/>
      <c r="FDK35" s="30"/>
      <c r="FDL35" s="30"/>
      <c r="FDM35" s="30"/>
      <c r="FDN35" s="30"/>
      <c r="FDO35" s="30"/>
      <c r="FDP35" s="30"/>
      <c r="FDQ35" s="30"/>
      <c r="FDR35" s="30"/>
      <c r="FDS35" s="30"/>
      <c r="FDT35" s="30"/>
      <c r="FDU35" s="30"/>
      <c r="FDV35" s="30"/>
      <c r="FDW35" s="30"/>
      <c r="FDX35" s="30"/>
      <c r="FDY35" s="30"/>
      <c r="FDZ35" s="30"/>
      <c r="FEA35" s="30"/>
      <c r="FEB35" s="30"/>
      <c r="FEC35" s="30"/>
      <c r="FED35" s="30"/>
      <c r="FEE35" s="30"/>
      <c r="FEF35" s="30"/>
      <c r="FEG35" s="30"/>
      <c r="FEH35" s="30"/>
      <c r="FEI35" s="30"/>
      <c r="FEJ35" s="30"/>
      <c r="FEK35" s="30"/>
      <c r="FEL35" s="30"/>
      <c r="FEM35" s="30"/>
      <c r="FEN35" s="30"/>
      <c r="FEO35" s="30"/>
      <c r="FEP35" s="30"/>
      <c r="FEQ35" s="30"/>
      <c r="FER35" s="30"/>
      <c r="FES35" s="30"/>
      <c r="FET35" s="30"/>
      <c r="FEU35" s="30"/>
      <c r="FEV35" s="30"/>
      <c r="FEW35" s="30"/>
      <c r="FEX35" s="30"/>
      <c r="FEY35" s="30"/>
      <c r="FEZ35" s="30"/>
      <c r="FFA35" s="30"/>
      <c r="FFB35" s="30"/>
      <c r="FFC35" s="30"/>
      <c r="FFD35" s="30"/>
      <c r="FFE35" s="30"/>
      <c r="FFF35" s="30"/>
      <c r="FFG35" s="30"/>
      <c r="FFH35" s="30"/>
      <c r="FFI35" s="30"/>
      <c r="FFJ35" s="30"/>
      <c r="FFK35" s="30"/>
      <c r="FFL35" s="30"/>
      <c r="FFM35" s="30"/>
      <c r="FFN35" s="30"/>
      <c r="FFO35" s="30"/>
      <c r="FFP35" s="30"/>
      <c r="FFQ35" s="30"/>
      <c r="FFR35" s="30"/>
      <c r="FFS35" s="30"/>
      <c r="FFT35" s="30"/>
      <c r="FFU35" s="30"/>
      <c r="FFV35" s="30"/>
      <c r="FFW35" s="30"/>
      <c r="FFX35" s="30"/>
      <c r="FFY35" s="30"/>
      <c r="FFZ35" s="30"/>
      <c r="FGA35" s="30"/>
      <c r="FGB35" s="30"/>
      <c r="FGC35" s="30"/>
      <c r="FGD35" s="30"/>
      <c r="FGE35" s="30"/>
      <c r="FGF35" s="30"/>
      <c r="FGG35" s="30"/>
      <c r="FGH35" s="30"/>
      <c r="FGI35" s="30"/>
      <c r="FGJ35" s="30"/>
      <c r="FGK35" s="30"/>
      <c r="FGL35" s="30"/>
      <c r="FGM35" s="30"/>
      <c r="FGN35" s="30"/>
      <c r="FGO35" s="30"/>
      <c r="FGP35" s="30"/>
      <c r="FGQ35" s="30"/>
      <c r="FGR35" s="30"/>
      <c r="FGS35" s="30"/>
      <c r="FGT35" s="30"/>
      <c r="FGU35" s="30"/>
      <c r="FGV35" s="30"/>
      <c r="FGW35" s="30"/>
      <c r="FGX35" s="30"/>
      <c r="FGY35" s="30"/>
      <c r="FGZ35" s="30"/>
      <c r="FHA35" s="30"/>
      <c r="FHB35" s="30"/>
      <c r="FHC35" s="30"/>
      <c r="FHD35" s="30"/>
      <c r="FHE35" s="30"/>
      <c r="FHF35" s="30"/>
      <c r="FHG35" s="30"/>
      <c r="FHH35" s="30"/>
      <c r="FHI35" s="30"/>
      <c r="FHJ35" s="30"/>
      <c r="FHK35" s="30"/>
      <c r="FHL35" s="30"/>
      <c r="FHM35" s="30"/>
      <c r="FHN35" s="30"/>
      <c r="FHO35" s="30"/>
      <c r="FHP35" s="30"/>
      <c r="FHQ35" s="30"/>
      <c r="FHR35" s="30"/>
      <c r="FHS35" s="30"/>
      <c r="FHT35" s="30"/>
      <c r="FHU35" s="30"/>
      <c r="FHV35" s="30"/>
      <c r="FHW35" s="30"/>
      <c r="FHX35" s="30"/>
      <c r="FHY35" s="30"/>
      <c r="FHZ35" s="30"/>
      <c r="FIA35" s="30"/>
      <c r="FIB35" s="30"/>
      <c r="FIC35" s="30"/>
      <c r="FID35" s="30"/>
      <c r="FIE35" s="30"/>
      <c r="FIF35" s="30"/>
      <c r="FIG35" s="30"/>
      <c r="FIH35" s="30"/>
      <c r="FII35" s="30"/>
      <c r="FIJ35" s="30"/>
      <c r="FIK35" s="30"/>
      <c r="FIL35" s="30"/>
      <c r="FIM35" s="30"/>
      <c r="FIN35" s="30"/>
      <c r="FIO35" s="30"/>
      <c r="FIP35" s="30"/>
      <c r="FIQ35" s="30"/>
      <c r="FIR35" s="30"/>
      <c r="FIS35" s="30"/>
      <c r="FIT35" s="30"/>
      <c r="FIU35" s="30"/>
      <c r="FIV35" s="30"/>
      <c r="FIW35" s="30"/>
      <c r="FIX35" s="30"/>
      <c r="FIY35" s="30"/>
      <c r="FIZ35" s="30"/>
      <c r="FJA35" s="30"/>
      <c r="FJB35" s="30"/>
      <c r="FJC35" s="30"/>
      <c r="FJD35" s="30"/>
      <c r="FJE35" s="30"/>
      <c r="FJF35" s="30"/>
      <c r="FJG35" s="30"/>
      <c r="FJH35" s="30"/>
      <c r="FJI35" s="30"/>
      <c r="FJJ35" s="30"/>
      <c r="FJK35" s="30"/>
      <c r="FJL35" s="30"/>
      <c r="FJM35" s="30"/>
      <c r="FJN35" s="30"/>
      <c r="FJO35" s="30"/>
      <c r="FJP35" s="30"/>
      <c r="FJQ35" s="30"/>
      <c r="FJR35" s="30"/>
      <c r="FJS35" s="30"/>
      <c r="FJT35" s="30"/>
      <c r="FJU35" s="30"/>
      <c r="FJV35" s="30"/>
      <c r="FJW35" s="30"/>
      <c r="FJX35" s="30"/>
      <c r="FJY35" s="30"/>
      <c r="FJZ35" s="30"/>
      <c r="FKA35" s="30"/>
      <c r="FKB35" s="30"/>
      <c r="FKC35" s="30"/>
      <c r="FKD35" s="30"/>
      <c r="FKE35" s="30"/>
      <c r="FKF35" s="30"/>
      <c r="FKG35" s="30"/>
      <c r="FKH35" s="30"/>
      <c r="FKI35" s="30"/>
      <c r="FKJ35" s="30"/>
      <c r="FKK35" s="30"/>
      <c r="FKL35" s="30"/>
      <c r="FKM35" s="30"/>
      <c r="FKN35" s="30"/>
      <c r="FKO35" s="30"/>
      <c r="FKP35" s="30"/>
      <c r="FKQ35" s="30"/>
      <c r="FKR35" s="30"/>
      <c r="FKS35" s="30"/>
      <c r="FKT35" s="30"/>
      <c r="FKU35" s="30"/>
      <c r="FKV35" s="30"/>
      <c r="FKW35" s="30"/>
      <c r="FKX35" s="30"/>
      <c r="FKY35" s="30"/>
      <c r="FKZ35" s="30"/>
      <c r="FLA35" s="30"/>
      <c r="FLB35" s="30"/>
      <c r="FLC35" s="30"/>
      <c r="FLD35" s="30"/>
      <c r="FLE35" s="30"/>
      <c r="FLF35" s="30"/>
      <c r="FLG35" s="30"/>
      <c r="FLH35" s="30"/>
      <c r="FLI35" s="30"/>
      <c r="FLJ35" s="30"/>
      <c r="FLK35" s="30"/>
      <c r="FLL35" s="30"/>
      <c r="FLM35" s="30"/>
      <c r="FLN35" s="30"/>
      <c r="FLO35" s="30"/>
      <c r="FLP35" s="30"/>
      <c r="FLQ35" s="30"/>
      <c r="FLR35" s="30"/>
      <c r="FLS35" s="30"/>
      <c r="FLT35" s="30"/>
      <c r="FLU35" s="30"/>
      <c r="FLV35" s="30"/>
      <c r="FLW35" s="30"/>
      <c r="FLX35" s="30"/>
      <c r="FLY35" s="30"/>
      <c r="FLZ35" s="30"/>
      <c r="FMA35" s="30"/>
      <c r="FMB35" s="30"/>
      <c r="FMC35" s="30"/>
      <c r="FMD35" s="30"/>
      <c r="FME35" s="30"/>
      <c r="FMF35" s="30"/>
      <c r="FMG35" s="30"/>
      <c r="FMH35" s="30"/>
      <c r="FMI35" s="30"/>
      <c r="FMJ35" s="30"/>
      <c r="FMK35" s="30"/>
      <c r="FML35" s="30"/>
      <c r="FMM35" s="30"/>
      <c r="FMN35" s="30"/>
      <c r="FMO35" s="30"/>
      <c r="FMP35" s="30"/>
      <c r="FMQ35" s="30"/>
      <c r="FMR35" s="30"/>
      <c r="FMS35" s="30"/>
      <c r="FMT35" s="30"/>
      <c r="FMU35" s="30"/>
      <c r="FMV35" s="30"/>
      <c r="FMW35" s="30"/>
      <c r="FMX35" s="30"/>
      <c r="FMY35" s="30"/>
      <c r="FMZ35" s="30"/>
      <c r="FNA35" s="30"/>
      <c r="FNB35" s="30"/>
      <c r="FNC35" s="30"/>
      <c r="FND35" s="30"/>
      <c r="FNE35" s="30"/>
      <c r="FNF35" s="30"/>
      <c r="FNG35" s="30"/>
      <c r="FNH35" s="30"/>
      <c r="FNI35" s="30"/>
      <c r="FNJ35" s="30"/>
      <c r="FNK35" s="30"/>
      <c r="FNL35" s="30"/>
      <c r="FNM35" s="30"/>
      <c r="FNN35" s="30"/>
      <c r="FNO35" s="30"/>
      <c r="FNP35" s="30"/>
      <c r="FNQ35" s="30"/>
      <c r="FNR35" s="30"/>
      <c r="FNS35" s="30"/>
      <c r="FNT35" s="30"/>
      <c r="FNU35" s="30"/>
      <c r="FNV35" s="30"/>
      <c r="FNW35" s="30"/>
      <c r="FNX35" s="30"/>
      <c r="FNY35" s="30"/>
      <c r="FNZ35" s="30"/>
      <c r="FOA35" s="30"/>
      <c r="FOB35" s="30"/>
      <c r="FOC35" s="30"/>
      <c r="FOD35" s="30"/>
      <c r="FOE35" s="30"/>
      <c r="FOF35" s="30"/>
      <c r="FOG35" s="30"/>
      <c r="FOH35" s="30"/>
      <c r="FOI35" s="30"/>
      <c r="FOJ35" s="30"/>
      <c r="FOK35" s="30"/>
      <c r="FOL35" s="30"/>
      <c r="FOM35" s="30"/>
      <c r="FON35" s="30"/>
      <c r="FOO35" s="30"/>
      <c r="FOP35" s="30"/>
      <c r="FOQ35" s="30"/>
      <c r="FOR35" s="30"/>
      <c r="FOS35" s="30"/>
      <c r="FOT35" s="30"/>
      <c r="FOU35" s="30"/>
      <c r="FOV35" s="30"/>
      <c r="FOW35" s="30"/>
      <c r="FOX35" s="30"/>
      <c r="FOY35" s="30"/>
      <c r="FOZ35" s="30"/>
      <c r="FPA35" s="30"/>
      <c r="FPB35" s="30"/>
      <c r="FPC35" s="30"/>
      <c r="FPD35" s="30"/>
      <c r="FPE35" s="30"/>
      <c r="FPF35" s="30"/>
      <c r="FPG35" s="30"/>
      <c r="FPH35" s="30"/>
      <c r="FPI35" s="30"/>
      <c r="FPJ35" s="30"/>
      <c r="FPK35" s="30"/>
      <c r="FPL35" s="30"/>
      <c r="FPM35" s="30"/>
      <c r="FPN35" s="30"/>
      <c r="FPO35" s="30"/>
      <c r="FPP35" s="30"/>
      <c r="FPQ35" s="30"/>
      <c r="FPR35" s="30"/>
      <c r="FPS35" s="30"/>
      <c r="FPT35" s="30"/>
      <c r="FPU35" s="30"/>
      <c r="FPV35" s="30"/>
      <c r="FPW35" s="30"/>
      <c r="FPX35" s="30"/>
      <c r="FPY35" s="30"/>
      <c r="FPZ35" s="30"/>
      <c r="FQA35" s="30"/>
      <c r="FQB35" s="30"/>
      <c r="FQC35" s="30"/>
      <c r="FQD35" s="30"/>
      <c r="FQE35" s="30"/>
      <c r="FQF35" s="30"/>
      <c r="FQG35" s="30"/>
      <c r="FQH35" s="30"/>
      <c r="FQI35" s="30"/>
      <c r="FQJ35" s="30"/>
      <c r="FQK35" s="30"/>
      <c r="FQL35" s="30"/>
      <c r="FQM35" s="30"/>
      <c r="FQN35" s="30"/>
      <c r="FQO35" s="30"/>
      <c r="FQP35" s="30"/>
      <c r="FQQ35" s="30"/>
      <c r="FQR35" s="30"/>
      <c r="FQS35" s="30"/>
      <c r="FQT35" s="30"/>
      <c r="FQU35" s="30"/>
      <c r="FQV35" s="30"/>
      <c r="FQW35" s="30"/>
      <c r="FQX35" s="30"/>
      <c r="FQY35" s="30"/>
      <c r="FQZ35" s="30"/>
      <c r="FRA35" s="30"/>
      <c r="FRB35" s="30"/>
      <c r="FRC35" s="30"/>
      <c r="FRD35" s="30"/>
      <c r="FRE35" s="30"/>
      <c r="FRF35" s="30"/>
      <c r="FRG35" s="30"/>
      <c r="FRH35" s="30"/>
      <c r="FRI35" s="30"/>
      <c r="FRJ35" s="30"/>
      <c r="FRK35" s="30"/>
      <c r="FRL35" s="30"/>
      <c r="FRM35" s="30"/>
      <c r="FRN35" s="30"/>
      <c r="FRO35" s="30"/>
      <c r="FRP35" s="30"/>
      <c r="FRQ35" s="30"/>
      <c r="FRR35" s="30"/>
      <c r="FRS35" s="30"/>
      <c r="FRT35" s="30"/>
      <c r="FRU35" s="30"/>
      <c r="FRV35" s="30"/>
      <c r="FRW35" s="30"/>
      <c r="FRX35" s="30"/>
      <c r="FRY35" s="30"/>
      <c r="FRZ35" s="30"/>
      <c r="FSA35" s="30"/>
      <c r="FSB35" s="30"/>
      <c r="FSC35" s="30"/>
      <c r="FSD35" s="30"/>
      <c r="FSE35" s="30"/>
      <c r="FSF35" s="30"/>
      <c r="FSG35" s="30"/>
      <c r="FSH35" s="30"/>
      <c r="FSI35" s="30"/>
      <c r="FSJ35" s="30"/>
      <c r="FSK35" s="30"/>
      <c r="FSL35" s="30"/>
      <c r="FSM35" s="30"/>
      <c r="FSN35" s="30"/>
      <c r="FSO35" s="30"/>
      <c r="FSP35" s="30"/>
      <c r="FSQ35" s="30"/>
      <c r="FSR35" s="30"/>
      <c r="FSS35" s="30"/>
      <c r="FST35" s="30"/>
      <c r="FSU35" s="30"/>
      <c r="FSV35" s="30"/>
      <c r="FSW35" s="30"/>
      <c r="FSX35" s="30"/>
      <c r="FSY35" s="30"/>
      <c r="FSZ35" s="30"/>
      <c r="FTA35" s="30"/>
      <c r="FTB35" s="30"/>
      <c r="FTC35" s="30"/>
      <c r="FTD35" s="30"/>
      <c r="FTE35" s="30"/>
      <c r="FTF35" s="30"/>
      <c r="FTG35" s="30"/>
      <c r="FTH35" s="30"/>
      <c r="FTI35" s="30"/>
      <c r="FTJ35" s="30"/>
      <c r="FTK35" s="30"/>
      <c r="FTL35" s="30"/>
      <c r="FTM35" s="30"/>
      <c r="FTN35" s="30"/>
      <c r="FTO35" s="30"/>
      <c r="FTP35" s="30"/>
      <c r="FTQ35" s="30"/>
      <c r="FTR35" s="30"/>
      <c r="FTS35" s="30"/>
      <c r="FTT35" s="30"/>
      <c r="FTU35" s="30"/>
      <c r="FTV35" s="30"/>
      <c r="FTW35" s="30"/>
      <c r="FTX35" s="30"/>
      <c r="FTY35" s="30"/>
      <c r="FTZ35" s="30"/>
      <c r="FUA35" s="30"/>
      <c r="FUB35" s="30"/>
      <c r="FUC35" s="30"/>
      <c r="FUD35" s="30"/>
      <c r="FUE35" s="30"/>
      <c r="FUF35" s="30"/>
      <c r="FUG35" s="30"/>
      <c r="FUH35" s="30"/>
      <c r="FUI35" s="30"/>
      <c r="FUJ35" s="30"/>
      <c r="FUK35" s="30"/>
      <c r="FUL35" s="30"/>
      <c r="FUM35" s="30"/>
      <c r="FUN35" s="30"/>
      <c r="FUO35" s="30"/>
      <c r="FUP35" s="30"/>
      <c r="FUQ35" s="30"/>
      <c r="FUR35" s="30"/>
      <c r="FUS35" s="30"/>
      <c r="FUT35" s="30"/>
      <c r="FUU35" s="30"/>
      <c r="FUV35" s="30"/>
      <c r="FUW35" s="30"/>
      <c r="FUX35" s="30"/>
      <c r="FUY35" s="30"/>
      <c r="FUZ35" s="30"/>
      <c r="FVA35" s="30"/>
      <c r="FVB35" s="30"/>
      <c r="FVC35" s="30"/>
      <c r="FVD35" s="30"/>
      <c r="FVE35" s="30"/>
      <c r="FVF35" s="30"/>
      <c r="FVG35" s="30"/>
      <c r="FVH35" s="30"/>
      <c r="FVI35" s="30"/>
      <c r="FVJ35" s="30"/>
      <c r="FVK35" s="30"/>
      <c r="FVL35" s="30"/>
      <c r="FVM35" s="30"/>
      <c r="FVN35" s="30"/>
      <c r="FVO35" s="30"/>
      <c r="FVP35" s="30"/>
      <c r="FVQ35" s="30"/>
      <c r="FVR35" s="30"/>
      <c r="FVS35" s="30"/>
      <c r="FVT35" s="30"/>
      <c r="FVU35" s="30"/>
      <c r="FVV35" s="30"/>
      <c r="FVW35" s="30"/>
      <c r="FVX35" s="30"/>
      <c r="FVY35" s="30"/>
      <c r="FVZ35" s="30"/>
      <c r="FWA35" s="30"/>
      <c r="FWB35" s="30"/>
      <c r="FWC35" s="30"/>
      <c r="FWD35" s="30"/>
      <c r="FWE35" s="30"/>
      <c r="FWF35" s="30"/>
      <c r="FWG35" s="30"/>
      <c r="FWH35" s="30"/>
      <c r="FWI35" s="30"/>
      <c r="FWJ35" s="30"/>
      <c r="FWK35" s="30"/>
      <c r="FWL35" s="30"/>
      <c r="FWM35" s="30"/>
      <c r="FWN35" s="30"/>
      <c r="FWO35" s="30"/>
      <c r="FWP35" s="30"/>
      <c r="FWQ35" s="30"/>
      <c r="FWR35" s="30"/>
      <c r="FWS35" s="30"/>
      <c r="FWT35" s="30"/>
      <c r="FWU35" s="30"/>
      <c r="FWV35" s="30"/>
      <c r="FWW35" s="30"/>
      <c r="FWX35" s="30"/>
      <c r="FWY35" s="30"/>
      <c r="FWZ35" s="30"/>
      <c r="FXA35" s="30"/>
      <c r="FXB35" s="30"/>
      <c r="FXC35" s="30"/>
      <c r="FXD35" s="30"/>
      <c r="FXE35" s="30"/>
      <c r="FXF35" s="30"/>
      <c r="FXG35" s="30"/>
      <c r="FXH35" s="30"/>
      <c r="FXI35" s="30"/>
      <c r="FXJ35" s="30"/>
      <c r="FXK35" s="30"/>
      <c r="FXL35" s="30"/>
      <c r="FXM35" s="30"/>
      <c r="FXN35" s="30"/>
      <c r="FXO35" s="30"/>
      <c r="FXP35" s="30"/>
      <c r="FXQ35" s="30"/>
      <c r="FXR35" s="30"/>
      <c r="FXS35" s="30"/>
      <c r="FXT35" s="30"/>
      <c r="FXU35" s="30"/>
      <c r="FXV35" s="30"/>
      <c r="FXW35" s="30"/>
      <c r="FXX35" s="30"/>
      <c r="FXY35" s="30"/>
      <c r="FXZ35" s="30"/>
      <c r="FYA35" s="30"/>
      <c r="FYB35" s="30"/>
      <c r="FYC35" s="30"/>
      <c r="FYD35" s="30"/>
      <c r="FYE35" s="30"/>
      <c r="FYF35" s="30"/>
      <c r="FYG35" s="30"/>
      <c r="FYH35" s="30"/>
      <c r="FYI35" s="30"/>
      <c r="FYJ35" s="30"/>
      <c r="FYK35" s="30"/>
      <c r="FYL35" s="30"/>
      <c r="FYM35" s="30"/>
      <c r="FYN35" s="30"/>
      <c r="FYO35" s="30"/>
      <c r="FYP35" s="30"/>
      <c r="FYQ35" s="30"/>
      <c r="FYR35" s="30"/>
      <c r="FYS35" s="30"/>
      <c r="FYT35" s="30"/>
      <c r="FYU35" s="30"/>
      <c r="FYV35" s="30"/>
      <c r="FYW35" s="30"/>
      <c r="FYX35" s="30"/>
      <c r="FYY35" s="30"/>
      <c r="FYZ35" s="30"/>
      <c r="FZA35" s="30"/>
      <c r="FZB35" s="30"/>
      <c r="FZC35" s="30"/>
      <c r="FZD35" s="30"/>
      <c r="FZE35" s="30"/>
      <c r="FZF35" s="30"/>
      <c r="FZG35" s="30"/>
      <c r="FZH35" s="30"/>
      <c r="FZI35" s="30"/>
      <c r="FZJ35" s="30"/>
      <c r="FZK35" s="30"/>
      <c r="FZL35" s="30"/>
      <c r="FZM35" s="30"/>
      <c r="FZN35" s="30"/>
      <c r="FZO35" s="30"/>
      <c r="FZP35" s="30"/>
      <c r="FZQ35" s="30"/>
      <c r="FZR35" s="30"/>
      <c r="FZS35" s="30"/>
      <c r="FZT35" s="30"/>
      <c r="FZU35" s="30"/>
      <c r="FZV35" s="30"/>
      <c r="FZW35" s="30"/>
      <c r="FZX35" s="30"/>
      <c r="FZY35" s="30"/>
      <c r="FZZ35" s="30"/>
      <c r="GAA35" s="30"/>
      <c r="GAB35" s="30"/>
      <c r="GAC35" s="30"/>
      <c r="GAD35" s="30"/>
      <c r="GAE35" s="30"/>
      <c r="GAF35" s="30"/>
      <c r="GAG35" s="30"/>
      <c r="GAH35" s="30"/>
      <c r="GAI35" s="30"/>
      <c r="GAJ35" s="30"/>
      <c r="GAK35" s="30"/>
      <c r="GAL35" s="30"/>
      <c r="GAM35" s="30"/>
      <c r="GAN35" s="30"/>
      <c r="GAO35" s="30"/>
      <c r="GAP35" s="30"/>
      <c r="GAQ35" s="30"/>
      <c r="GAR35" s="30"/>
      <c r="GAS35" s="30"/>
      <c r="GAT35" s="30"/>
      <c r="GAU35" s="30"/>
      <c r="GAV35" s="30"/>
      <c r="GAW35" s="30"/>
      <c r="GAX35" s="30"/>
      <c r="GAY35" s="30"/>
      <c r="GAZ35" s="30"/>
      <c r="GBA35" s="30"/>
      <c r="GBB35" s="30"/>
      <c r="GBC35" s="30"/>
      <c r="GBD35" s="30"/>
      <c r="GBE35" s="30"/>
      <c r="GBF35" s="30"/>
      <c r="GBG35" s="30"/>
      <c r="GBH35" s="30"/>
      <c r="GBI35" s="30"/>
      <c r="GBJ35" s="30"/>
      <c r="GBK35" s="30"/>
      <c r="GBL35" s="30"/>
      <c r="GBM35" s="30"/>
      <c r="GBN35" s="30"/>
      <c r="GBO35" s="30"/>
      <c r="GBP35" s="30"/>
      <c r="GBQ35" s="30"/>
      <c r="GBR35" s="30"/>
      <c r="GBS35" s="30"/>
      <c r="GBT35" s="30"/>
      <c r="GBU35" s="30"/>
      <c r="GBV35" s="30"/>
      <c r="GBW35" s="30"/>
      <c r="GBX35" s="30"/>
      <c r="GBY35" s="30"/>
      <c r="GBZ35" s="30"/>
      <c r="GCA35" s="30"/>
      <c r="GCB35" s="30"/>
      <c r="GCC35" s="30"/>
      <c r="GCD35" s="30"/>
      <c r="GCE35" s="30"/>
      <c r="GCF35" s="30"/>
      <c r="GCG35" s="30"/>
      <c r="GCH35" s="30"/>
      <c r="GCI35" s="30"/>
      <c r="GCJ35" s="30"/>
      <c r="GCK35" s="30"/>
      <c r="GCL35" s="30"/>
      <c r="GCM35" s="30"/>
      <c r="GCN35" s="30"/>
      <c r="GCO35" s="30"/>
      <c r="GCP35" s="30"/>
      <c r="GCQ35" s="30"/>
      <c r="GCR35" s="30"/>
      <c r="GCS35" s="30"/>
      <c r="GCT35" s="30"/>
      <c r="GCU35" s="30"/>
      <c r="GCV35" s="30"/>
      <c r="GCW35" s="30"/>
      <c r="GCX35" s="30"/>
      <c r="GCY35" s="30"/>
      <c r="GCZ35" s="30"/>
      <c r="GDA35" s="30"/>
      <c r="GDB35" s="30"/>
      <c r="GDC35" s="30"/>
      <c r="GDD35" s="30"/>
      <c r="GDE35" s="30"/>
      <c r="GDF35" s="30"/>
      <c r="GDG35" s="30"/>
      <c r="GDH35" s="30"/>
      <c r="GDI35" s="30"/>
      <c r="GDJ35" s="30"/>
      <c r="GDK35" s="30"/>
      <c r="GDL35" s="30"/>
      <c r="GDM35" s="30"/>
      <c r="GDN35" s="30"/>
      <c r="GDO35" s="30"/>
      <c r="GDP35" s="30"/>
      <c r="GDQ35" s="30"/>
      <c r="GDR35" s="30"/>
      <c r="GDS35" s="30"/>
      <c r="GDT35" s="30"/>
      <c r="GDU35" s="30"/>
      <c r="GDV35" s="30"/>
      <c r="GDW35" s="30"/>
      <c r="GDX35" s="30"/>
      <c r="GDY35" s="30"/>
      <c r="GDZ35" s="30"/>
      <c r="GEA35" s="30"/>
      <c r="GEB35" s="30"/>
      <c r="GEC35" s="30"/>
      <c r="GED35" s="30"/>
      <c r="GEE35" s="30"/>
      <c r="GEF35" s="30"/>
      <c r="GEG35" s="30"/>
      <c r="GEH35" s="30"/>
      <c r="GEI35" s="30"/>
      <c r="GEJ35" s="30"/>
      <c r="GEK35" s="30"/>
      <c r="GEL35" s="30"/>
      <c r="GEM35" s="30"/>
      <c r="GEN35" s="30"/>
      <c r="GEO35" s="30"/>
      <c r="GEP35" s="30"/>
      <c r="GEQ35" s="30"/>
      <c r="GER35" s="30"/>
      <c r="GES35" s="30"/>
      <c r="GET35" s="30"/>
      <c r="GEU35" s="30"/>
      <c r="GEV35" s="30"/>
      <c r="GEW35" s="30"/>
      <c r="GEX35" s="30"/>
      <c r="GEY35" s="30"/>
      <c r="GEZ35" s="30"/>
      <c r="GFA35" s="30"/>
      <c r="GFB35" s="30"/>
      <c r="GFC35" s="30"/>
      <c r="GFD35" s="30"/>
      <c r="GFE35" s="30"/>
      <c r="GFF35" s="30"/>
      <c r="GFG35" s="30"/>
      <c r="GFH35" s="30"/>
      <c r="GFI35" s="30"/>
      <c r="GFJ35" s="30"/>
      <c r="GFK35" s="30"/>
      <c r="GFL35" s="30"/>
      <c r="GFM35" s="30"/>
      <c r="GFN35" s="30"/>
      <c r="GFO35" s="30"/>
      <c r="GFP35" s="30"/>
      <c r="GFQ35" s="30"/>
      <c r="GFR35" s="30"/>
      <c r="GFS35" s="30"/>
      <c r="GFT35" s="30"/>
      <c r="GFU35" s="30"/>
      <c r="GFV35" s="30"/>
      <c r="GFW35" s="30"/>
      <c r="GFX35" s="30"/>
      <c r="GFY35" s="30"/>
      <c r="GFZ35" s="30"/>
      <c r="GGA35" s="30"/>
      <c r="GGB35" s="30"/>
      <c r="GGC35" s="30"/>
      <c r="GGD35" s="30"/>
      <c r="GGE35" s="30"/>
      <c r="GGF35" s="30"/>
      <c r="GGG35" s="30"/>
      <c r="GGH35" s="30"/>
      <c r="GGI35" s="30"/>
      <c r="GGJ35" s="30"/>
      <c r="GGK35" s="30"/>
      <c r="GGL35" s="30"/>
      <c r="GGM35" s="30"/>
      <c r="GGN35" s="30"/>
      <c r="GGO35" s="30"/>
      <c r="GGP35" s="30"/>
      <c r="GGQ35" s="30"/>
      <c r="GGR35" s="30"/>
      <c r="GGS35" s="30"/>
      <c r="GGT35" s="30"/>
      <c r="GGU35" s="30"/>
      <c r="GGV35" s="30"/>
      <c r="GGW35" s="30"/>
      <c r="GGX35" s="30"/>
      <c r="GGY35" s="30"/>
      <c r="GGZ35" s="30"/>
      <c r="GHA35" s="30"/>
      <c r="GHB35" s="30"/>
      <c r="GHC35" s="30"/>
      <c r="GHD35" s="30"/>
      <c r="GHE35" s="30"/>
      <c r="GHF35" s="30"/>
      <c r="GHG35" s="30"/>
      <c r="GHH35" s="30"/>
      <c r="GHI35" s="30"/>
      <c r="GHJ35" s="30"/>
      <c r="GHK35" s="30"/>
      <c r="GHL35" s="30"/>
      <c r="GHM35" s="30"/>
      <c r="GHN35" s="30"/>
      <c r="GHO35" s="30"/>
      <c r="GHP35" s="30"/>
      <c r="GHQ35" s="30"/>
      <c r="GHR35" s="30"/>
      <c r="GHS35" s="30"/>
      <c r="GHT35" s="30"/>
      <c r="GHU35" s="30"/>
      <c r="GHV35" s="30"/>
      <c r="GHW35" s="30"/>
      <c r="GHX35" s="30"/>
      <c r="GHY35" s="30"/>
      <c r="GHZ35" s="30"/>
      <c r="GIA35" s="30"/>
      <c r="GIB35" s="30"/>
      <c r="GIC35" s="30"/>
      <c r="GID35" s="30"/>
      <c r="GIE35" s="30"/>
      <c r="GIF35" s="30"/>
      <c r="GIG35" s="30"/>
      <c r="GIH35" s="30"/>
      <c r="GII35" s="30"/>
      <c r="GIJ35" s="30"/>
      <c r="GIK35" s="30"/>
      <c r="GIL35" s="30"/>
      <c r="GIM35" s="30"/>
      <c r="GIN35" s="30"/>
      <c r="GIO35" s="30"/>
      <c r="GIP35" s="30"/>
      <c r="GIQ35" s="30"/>
      <c r="GIR35" s="30"/>
      <c r="GIS35" s="30"/>
      <c r="GIT35" s="30"/>
      <c r="GIU35" s="30"/>
      <c r="GIV35" s="30"/>
      <c r="GIW35" s="30"/>
      <c r="GIX35" s="30"/>
      <c r="GIY35" s="30"/>
      <c r="GIZ35" s="30"/>
      <c r="GJA35" s="30"/>
      <c r="GJB35" s="30"/>
      <c r="GJC35" s="30"/>
      <c r="GJD35" s="30"/>
      <c r="GJE35" s="30"/>
      <c r="GJF35" s="30"/>
      <c r="GJG35" s="30"/>
      <c r="GJH35" s="30"/>
      <c r="GJI35" s="30"/>
      <c r="GJJ35" s="30"/>
      <c r="GJK35" s="30"/>
      <c r="GJL35" s="30"/>
      <c r="GJM35" s="30"/>
      <c r="GJN35" s="30"/>
      <c r="GJO35" s="30"/>
      <c r="GJP35" s="30"/>
      <c r="GJQ35" s="30"/>
      <c r="GJR35" s="30"/>
      <c r="GJS35" s="30"/>
      <c r="GJT35" s="30"/>
      <c r="GJU35" s="30"/>
      <c r="GJV35" s="30"/>
      <c r="GJW35" s="30"/>
      <c r="GJX35" s="30"/>
      <c r="GJY35" s="30"/>
      <c r="GJZ35" s="30"/>
      <c r="GKA35" s="30"/>
      <c r="GKB35" s="30"/>
      <c r="GKC35" s="30"/>
      <c r="GKD35" s="30"/>
      <c r="GKE35" s="30"/>
      <c r="GKF35" s="30"/>
      <c r="GKG35" s="30"/>
      <c r="GKH35" s="30"/>
      <c r="GKI35" s="30"/>
      <c r="GKJ35" s="30"/>
      <c r="GKK35" s="30"/>
      <c r="GKL35" s="30"/>
      <c r="GKM35" s="30"/>
      <c r="GKN35" s="30"/>
      <c r="GKO35" s="30"/>
      <c r="GKP35" s="30"/>
      <c r="GKQ35" s="30"/>
      <c r="GKR35" s="30"/>
      <c r="GKS35" s="30"/>
      <c r="GKT35" s="30"/>
      <c r="GKU35" s="30"/>
      <c r="GKV35" s="30"/>
      <c r="GKW35" s="30"/>
      <c r="GKX35" s="30"/>
      <c r="GKY35" s="30"/>
      <c r="GKZ35" s="30"/>
      <c r="GLA35" s="30"/>
      <c r="GLB35" s="30"/>
      <c r="GLC35" s="30"/>
      <c r="GLD35" s="30"/>
      <c r="GLE35" s="30"/>
      <c r="GLF35" s="30"/>
      <c r="GLG35" s="30"/>
      <c r="GLH35" s="30"/>
      <c r="GLI35" s="30"/>
      <c r="GLJ35" s="30"/>
      <c r="GLK35" s="30"/>
      <c r="GLL35" s="30"/>
      <c r="GLM35" s="30"/>
      <c r="GLN35" s="30"/>
      <c r="GLO35" s="30"/>
      <c r="GLP35" s="30"/>
      <c r="GLQ35" s="30"/>
      <c r="GLR35" s="30"/>
      <c r="GLS35" s="30"/>
      <c r="GLT35" s="30"/>
      <c r="GLU35" s="30"/>
      <c r="GLV35" s="30"/>
      <c r="GLW35" s="30"/>
      <c r="GLX35" s="30"/>
      <c r="GLY35" s="30"/>
      <c r="GLZ35" s="30"/>
      <c r="GMA35" s="30"/>
      <c r="GMB35" s="30"/>
      <c r="GMC35" s="30"/>
      <c r="GMD35" s="30"/>
      <c r="GME35" s="30"/>
      <c r="GMF35" s="30"/>
      <c r="GMG35" s="30"/>
      <c r="GMH35" s="30"/>
      <c r="GMI35" s="30"/>
      <c r="GMJ35" s="30"/>
      <c r="GMK35" s="30"/>
      <c r="GML35" s="30"/>
      <c r="GMM35" s="30"/>
      <c r="GMN35" s="30"/>
      <c r="GMO35" s="30"/>
      <c r="GMP35" s="30"/>
      <c r="GMQ35" s="30"/>
      <c r="GMR35" s="30"/>
      <c r="GMS35" s="30"/>
      <c r="GMT35" s="30"/>
      <c r="GMU35" s="30"/>
      <c r="GMV35" s="30"/>
      <c r="GMW35" s="30"/>
      <c r="GMX35" s="30"/>
      <c r="GMY35" s="30"/>
      <c r="GMZ35" s="30"/>
      <c r="GNA35" s="30"/>
      <c r="GNB35" s="30"/>
      <c r="GNC35" s="30"/>
      <c r="GND35" s="30"/>
      <c r="GNE35" s="30"/>
      <c r="GNF35" s="30"/>
      <c r="GNG35" s="30"/>
      <c r="GNH35" s="30"/>
      <c r="GNI35" s="30"/>
      <c r="GNJ35" s="30"/>
      <c r="GNK35" s="30"/>
      <c r="GNL35" s="30"/>
      <c r="GNM35" s="30"/>
      <c r="GNN35" s="30"/>
      <c r="GNO35" s="30"/>
      <c r="GNP35" s="30"/>
      <c r="GNQ35" s="30"/>
      <c r="GNR35" s="30"/>
      <c r="GNS35" s="30"/>
      <c r="GNT35" s="30"/>
      <c r="GNU35" s="30"/>
      <c r="GNV35" s="30"/>
      <c r="GNW35" s="30"/>
      <c r="GNX35" s="30"/>
      <c r="GNY35" s="30"/>
      <c r="GNZ35" s="30"/>
      <c r="GOA35" s="30"/>
      <c r="GOB35" s="30"/>
      <c r="GOC35" s="30"/>
      <c r="GOD35" s="30"/>
      <c r="GOE35" s="30"/>
      <c r="GOF35" s="30"/>
      <c r="GOG35" s="30"/>
      <c r="GOH35" s="30"/>
      <c r="GOI35" s="30"/>
      <c r="GOJ35" s="30"/>
      <c r="GOK35" s="30"/>
      <c r="GOL35" s="30"/>
      <c r="GOM35" s="30"/>
      <c r="GON35" s="30"/>
      <c r="GOO35" s="30"/>
      <c r="GOP35" s="30"/>
      <c r="GOQ35" s="30"/>
      <c r="GOR35" s="30"/>
      <c r="GOS35" s="30"/>
      <c r="GOT35" s="30"/>
      <c r="GOU35" s="30"/>
      <c r="GOV35" s="30"/>
      <c r="GOW35" s="30"/>
      <c r="GOX35" s="30"/>
      <c r="GOY35" s="30"/>
      <c r="GOZ35" s="30"/>
      <c r="GPA35" s="30"/>
      <c r="GPB35" s="30"/>
      <c r="GPC35" s="30"/>
      <c r="GPD35" s="30"/>
      <c r="GPE35" s="30"/>
      <c r="GPF35" s="30"/>
      <c r="GPG35" s="30"/>
      <c r="GPH35" s="30"/>
      <c r="GPI35" s="30"/>
      <c r="GPJ35" s="30"/>
      <c r="GPK35" s="30"/>
      <c r="GPL35" s="30"/>
      <c r="GPM35" s="30"/>
      <c r="GPN35" s="30"/>
      <c r="GPO35" s="30"/>
      <c r="GPP35" s="30"/>
      <c r="GPQ35" s="30"/>
      <c r="GPR35" s="30"/>
      <c r="GPS35" s="30"/>
      <c r="GPT35" s="30"/>
      <c r="GPU35" s="30"/>
      <c r="GPV35" s="30"/>
      <c r="GPW35" s="30"/>
      <c r="GPX35" s="30"/>
      <c r="GPY35" s="30"/>
      <c r="GPZ35" s="30"/>
      <c r="GQA35" s="30"/>
      <c r="GQB35" s="30"/>
      <c r="GQC35" s="30"/>
      <c r="GQD35" s="30"/>
      <c r="GQE35" s="30"/>
      <c r="GQF35" s="30"/>
      <c r="GQG35" s="30"/>
      <c r="GQH35" s="30"/>
      <c r="GQI35" s="30"/>
      <c r="GQJ35" s="30"/>
      <c r="GQK35" s="30"/>
      <c r="GQL35" s="30"/>
      <c r="GQM35" s="30"/>
      <c r="GQN35" s="30"/>
      <c r="GQO35" s="30"/>
      <c r="GQP35" s="30"/>
      <c r="GQQ35" s="30"/>
      <c r="GQR35" s="30"/>
      <c r="GQS35" s="30"/>
      <c r="GQT35" s="30"/>
      <c r="GQU35" s="30"/>
      <c r="GQV35" s="30"/>
      <c r="GQW35" s="30"/>
      <c r="GQX35" s="30"/>
      <c r="GQY35" s="30"/>
      <c r="GQZ35" s="30"/>
      <c r="GRA35" s="30"/>
      <c r="GRB35" s="30"/>
      <c r="GRC35" s="30"/>
      <c r="GRD35" s="30"/>
      <c r="GRE35" s="30"/>
      <c r="GRF35" s="30"/>
      <c r="GRG35" s="30"/>
      <c r="GRH35" s="30"/>
      <c r="GRI35" s="30"/>
      <c r="GRJ35" s="30"/>
      <c r="GRK35" s="30"/>
      <c r="GRL35" s="30"/>
      <c r="GRM35" s="30"/>
      <c r="GRN35" s="30"/>
      <c r="GRO35" s="30"/>
      <c r="GRP35" s="30"/>
      <c r="GRQ35" s="30"/>
      <c r="GRR35" s="30"/>
      <c r="GRS35" s="30"/>
      <c r="GRT35" s="30"/>
      <c r="GRU35" s="30"/>
      <c r="GRV35" s="30"/>
      <c r="GRW35" s="30"/>
      <c r="GRX35" s="30"/>
      <c r="GRY35" s="30"/>
      <c r="GRZ35" s="30"/>
      <c r="GSA35" s="30"/>
      <c r="GSB35" s="30"/>
      <c r="GSC35" s="30"/>
      <c r="GSD35" s="30"/>
      <c r="GSE35" s="30"/>
      <c r="GSF35" s="30"/>
      <c r="GSG35" s="30"/>
      <c r="GSH35" s="30"/>
      <c r="GSI35" s="30"/>
      <c r="GSJ35" s="30"/>
      <c r="GSK35" s="30"/>
      <c r="GSL35" s="30"/>
      <c r="GSM35" s="30"/>
      <c r="GSN35" s="30"/>
      <c r="GSO35" s="30"/>
      <c r="GSP35" s="30"/>
      <c r="GSQ35" s="30"/>
      <c r="GSR35" s="30"/>
      <c r="GSS35" s="30"/>
      <c r="GST35" s="30"/>
      <c r="GSU35" s="30"/>
      <c r="GSV35" s="30"/>
      <c r="GSW35" s="30"/>
      <c r="GSX35" s="30"/>
      <c r="GSY35" s="30"/>
      <c r="GSZ35" s="30"/>
      <c r="GTA35" s="30"/>
      <c r="GTB35" s="30"/>
      <c r="GTC35" s="30"/>
      <c r="GTD35" s="30"/>
      <c r="GTE35" s="30"/>
      <c r="GTF35" s="30"/>
      <c r="GTG35" s="30"/>
      <c r="GTH35" s="30"/>
      <c r="GTI35" s="30"/>
      <c r="GTJ35" s="30"/>
      <c r="GTK35" s="30"/>
      <c r="GTL35" s="30"/>
      <c r="GTM35" s="30"/>
      <c r="GTN35" s="30"/>
      <c r="GTO35" s="30"/>
      <c r="GTP35" s="30"/>
      <c r="GTQ35" s="30"/>
      <c r="GTR35" s="30"/>
      <c r="GTS35" s="30"/>
      <c r="GTT35" s="30"/>
      <c r="GTU35" s="30"/>
      <c r="GTV35" s="30"/>
      <c r="GTW35" s="30"/>
      <c r="GTX35" s="30"/>
      <c r="GTY35" s="30"/>
      <c r="GTZ35" s="30"/>
      <c r="GUA35" s="30"/>
      <c r="GUB35" s="30"/>
      <c r="GUC35" s="30"/>
      <c r="GUD35" s="30"/>
      <c r="GUE35" s="30"/>
      <c r="GUF35" s="30"/>
      <c r="GUG35" s="30"/>
      <c r="GUH35" s="30"/>
      <c r="GUI35" s="30"/>
      <c r="GUJ35" s="30"/>
      <c r="GUK35" s="30"/>
      <c r="GUL35" s="30"/>
      <c r="GUM35" s="30"/>
      <c r="GUN35" s="30"/>
      <c r="GUO35" s="30"/>
      <c r="GUP35" s="30"/>
      <c r="GUQ35" s="30"/>
      <c r="GUR35" s="30"/>
      <c r="GUS35" s="30"/>
      <c r="GUT35" s="30"/>
      <c r="GUU35" s="30"/>
      <c r="GUV35" s="30"/>
      <c r="GUW35" s="30"/>
      <c r="GUX35" s="30"/>
      <c r="GUY35" s="30"/>
      <c r="GUZ35" s="30"/>
      <c r="GVA35" s="30"/>
      <c r="GVB35" s="30"/>
      <c r="GVC35" s="30"/>
      <c r="GVD35" s="30"/>
      <c r="GVE35" s="30"/>
      <c r="GVF35" s="30"/>
      <c r="GVG35" s="30"/>
      <c r="GVH35" s="30"/>
      <c r="GVI35" s="30"/>
      <c r="GVJ35" s="30"/>
      <c r="GVK35" s="30"/>
      <c r="GVL35" s="30"/>
      <c r="GVM35" s="30"/>
      <c r="GVN35" s="30"/>
      <c r="GVO35" s="30"/>
      <c r="GVP35" s="30"/>
      <c r="GVQ35" s="30"/>
      <c r="GVR35" s="30"/>
      <c r="GVS35" s="30"/>
      <c r="GVT35" s="30"/>
      <c r="GVU35" s="30"/>
      <c r="GVV35" s="30"/>
      <c r="GVW35" s="30"/>
      <c r="GVX35" s="30"/>
      <c r="GVY35" s="30"/>
      <c r="GVZ35" s="30"/>
      <c r="GWA35" s="30"/>
      <c r="GWB35" s="30"/>
      <c r="GWC35" s="30"/>
      <c r="GWD35" s="30"/>
      <c r="GWE35" s="30"/>
      <c r="GWF35" s="30"/>
      <c r="GWG35" s="30"/>
      <c r="GWH35" s="30"/>
      <c r="GWI35" s="30"/>
      <c r="GWJ35" s="30"/>
      <c r="GWK35" s="30"/>
      <c r="GWL35" s="30"/>
      <c r="GWM35" s="30"/>
      <c r="GWN35" s="30"/>
      <c r="GWO35" s="30"/>
      <c r="GWP35" s="30"/>
      <c r="GWQ35" s="30"/>
      <c r="GWR35" s="30"/>
      <c r="GWS35" s="30"/>
      <c r="GWT35" s="30"/>
      <c r="GWU35" s="30"/>
      <c r="GWV35" s="30"/>
      <c r="GWW35" s="30"/>
      <c r="GWX35" s="30"/>
      <c r="GWY35" s="30"/>
      <c r="GWZ35" s="30"/>
      <c r="GXA35" s="30"/>
      <c r="GXB35" s="30"/>
      <c r="GXC35" s="30"/>
      <c r="GXD35" s="30"/>
      <c r="GXE35" s="30"/>
      <c r="GXF35" s="30"/>
      <c r="GXG35" s="30"/>
      <c r="GXH35" s="30"/>
      <c r="GXI35" s="30"/>
      <c r="GXJ35" s="30"/>
      <c r="GXK35" s="30"/>
      <c r="GXL35" s="30"/>
      <c r="GXM35" s="30"/>
      <c r="GXN35" s="30"/>
      <c r="GXO35" s="30"/>
      <c r="GXP35" s="30"/>
      <c r="GXQ35" s="30"/>
      <c r="GXR35" s="30"/>
      <c r="GXS35" s="30"/>
      <c r="GXT35" s="30"/>
      <c r="GXU35" s="30"/>
      <c r="GXV35" s="30"/>
      <c r="GXW35" s="30"/>
      <c r="GXX35" s="30"/>
      <c r="GXY35" s="30"/>
      <c r="GXZ35" s="30"/>
      <c r="GYA35" s="30"/>
      <c r="GYB35" s="30"/>
      <c r="GYC35" s="30"/>
      <c r="GYD35" s="30"/>
      <c r="GYE35" s="30"/>
      <c r="GYF35" s="30"/>
      <c r="GYG35" s="30"/>
      <c r="GYH35" s="30"/>
      <c r="GYI35" s="30"/>
      <c r="GYJ35" s="30"/>
      <c r="GYK35" s="30"/>
      <c r="GYL35" s="30"/>
      <c r="GYM35" s="30"/>
      <c r="GYN35" s="30"/>
      <c r="GYO35" s="30"/>
      <c r="GYP35" s="30"/>
      <c r="GYQ35" s="30"/>
      <c r="GYR35" s="30"/>
      <c r="GYS35" s="30"/>
      <c r="GYT35" s="30"/>
      <c r="GYU35" s="30"/>
      <c r="GYV35" s="30"/>
      <c r="GYW35" s="30"/>
      <c r="GYX35" s="30"/>
      <c r="GYY35" s="30"/>
      <c r="GYZ35" s="30"/>
      <c r="GZA35" s="30"/>
      <c r="GZB35" s="30"/>
      <c r="GZC35" s="30"/>
      <c r="GZD35" s="30"/>
      <c r="GZE35" s="30"/>
      <c r="GZF35" s="30"/>
      <c r="GZG35" s="30"/>
      <c r="GZH35" s="30"/>
      <c r="GZI35" s="30"/>
      <c r="GZJ35" s="30"/>
      <c r="GZK35" s="30"/>
      <c r="GZL35" s="30"/>
      <c r="GZM35" s="30"/>
      <c r="GZN35" s="30"/>
      <c r="GZO35" s="30"/>
      <c r="GZP35" s="30"/>
      <c r="GZQ35" s="30"/>
      <c r="GZR35" s="30"/>
      <c r="GZS35" s="30"/>
      <c r="GZT35" s="30"/>
      <c r="GZU35" s="30"/>
      <c r="GZV35" s="30"/>
      <c r="GZW35" s="30"/>
      <c r="GZX35" s="30"/>
      <c r="GZY35" s="30"/>
      <c r="GZZ35" s="30"/>
      <c r="HAA35" s="30"/>
      <c r="HAB35" s="30"/>
      <c r="HAC35" s="30"/>
      <c r="HAD35" s="30"/>
      <c r="HAE35" s="30"/>
      <c r="HAF35" s="30"/>
      <c r="HAG35" s="30"/>
      <c r="HAH35" s="30"/>
      <c r="HAI35" s="30"/>
      <c r="HAJ35" s="30"/>
      <c r="HAK35" s="30"/>
      <c r="HAL35" s="30"/>
      <c r="HAM35" s="30"/>
      <c r="HAN35" s="30"/>
      <c r="HAO35" s="30"/>
      <c r="HAP35" s="30"/>
      <c r="HAQ35" s="30"/>
      <c r="HAR35" s="30"/>
      <c r="HAS35" s="30"/>
      <c r="HAT35" s="30"/>
      <c r="HAU35" s="30"/>
      <c r="HAV35" s="30"/>
      <c r="HAW35" s="30"/>
      <c r="HAX35" s="30"/>
      <c r="HAY35" s="30"/>
      <c r="HAZ35" s="30"/>
      <c r="HBA35" s="30"/>
      <c r="HBB35" s="30"/>
      <c r="HBC35" s="30"/>
      <c r="HBD35" s="30"/>
      <c r="HBE35" s="30"/>
      <c r="HBF35" s="30"/>
      <c r="HBG35" s="30"/>
      <c r="HBH35" s="30"/>
      <c r="HBI35" s="30"/>
      <c r="HBJ35" s="30"/>
      <c r="HBK35" s="30"/>
      <c r="HBL35" s="30"/>
      <c r="HBM35" s="30"/>
      <c r="HBN35" s="30"/>
      <c r="HBO35" s="30"/>
      <c r="HBP35" s="30"/>
      <c r="HBQ35" s="30"/>
      <c r="HBR35" s="30"/>
      <c r="HBS35" s="30"/>
      <c r="HBT35" s="30"/>
      <c r="HBU35" s="30"/>
      <c r="HBV35" s="30"/>
      <c r="HBW35" s="30"/>
      <c r="HBX35" s="30"/>
      <c r="HBY35" s="30"/>
      <c r="HBZ35" s="30"/>
      <c r="HCA35" s="30"/>
      <c r="HCB35" s="30"/>
      <c r="HCC35" s="30"/>
      <c r="HCD35" s="30"/>
      <c r="HCE35" s="30"/>
      <c r="HCF35" s="30"/>
      <c r="HCG35" s="30"/>
      <c r="HCH35" s="30"/>
      <c r="HCI35" s="30"/>
      <c r="HCJ35" s="30"/>
      <c r="HCK35" s="30"/>
      <c r="HCL35" s="30"/>
      <c r="HCM35" s="30"/>
      <c r="HCN35" s="30"/>
      <c r="HCO35" s="30"/>
      <c r="HCP35" s="30"/>
      <c r="HCQ35" s="30"/>
      <c r="HCR35" s="30"/>
      <c r="HCS35" s="30"/>
      <c r="HCT35" s="30"/>
      <c r="HCU35" s="30"/>
      <c r="HCV35" s="30"/>
      <c r="HCW35" s="30"/>
      <c r="HCX35" s="30"/>
      <c r="HCY35" s="30"/>
      <c r="HCZ35" s="30"/>
      <c r="HDA35" s="30"/>
      <c r="HDB35" s="30"/>
      <c r="HDC35" s="30"/>
      <c r="HDD35" s="30"/>
      <c r="HDE35" s="30"/>
      <c r="HDF35" s="30"/>
      <c r="HDG35" s="30"/>
      <c r="HDH35" s="30"/>
      <c r="HDI35" s="30"/>
      <c r="HDJ35" s="30"/>
      <c r="HDK35" s="30"/>
      <c r="HDL35" s="30"/>
      <c r="HDM35" s="30"/>
      <c r="HDN35" s="30"/>
      <c r="HDO35" s="30"/>
      <c r="HDP35" s="30"/>
      <c r="HDQ35" s="30"/>
      <c r="HDR35" s="30"/>
      <c r="HDS35" s="30"/>
      <c r="HDT35" s="30"/>
      <c r="HDU35" s="30"/>
      <c r="HDV35" s="30"/>
      <c r="HDW35" s="30"/>
      <c r="HDX35" s="30"/>
      <c r="HDY35" s="30"/>
      <c r="HDZ35" s="30"/>
      <c r="HEA35" s="30"/>
      <c r="HEB35" s="30"/>
      <c r="HEC35" s="30"/>
      <c r="HED35" s="30"/>
      <c r="HEE35" s="30"/>
      <c r="HEF35" s="30"/>
      <c r="HEG35" s="30"/>
      <c r="HEH35" s="30"/>
      <c r="HEI35" s="30"/>
      <c r="HEJ35" s="30"/>
      <c r="HEK35" s="30"/>
      <c r="HEL35" s="30"/>
      <c r="HEM35" s="30"/>
      <c r="HEN35" s="30"/>
      <c r="HEO35" s="30"/>
      <c r="HEP35" s="30"/>
      <c r="HEQ35" s="30"/>
      <c r="HER35" s="30"/>
      <c r="HES35" s="30"/>
      <c r="HET35" s="30"/>
      <c r="HEU35" s="30"/>
      <c r="HEV35" s="30"/>
      <c r="HEW35" s="30"/>
      <c r="HEX35" s="30"/>
      <c r="HEY35" s="30"/>
      <c r="HEZ35" s="30"/>
      <c r="HFA35" s="30"/>
      <c r="HFB35" s="30"/>
      <c r="HFC35" s="30"/>
      <c r="HFD35" s="30"/>
      <c r="HFE35" s="30"/>
      <c r="HFF35" s="30"/>
      <c r="HFG35" s="30"/>
      <c r="HFH35" s="30"/>
      <c r="HFI35" s="30"/>
      <c r="HFJ35" s="30"/>
      <c r="HFK35" s="30"/>
      <c r="HFL35" s="30"/>
      <c r="HFM35" s="30"/>
      <c r="HFN35" s="30"/>
      <c r="HFO35" s="30"/>
      <c r="HFP35" s="30"/>
      <c r="HFQ35" s="30"/>
      <c r="HFR35" s="30"/>
      <c r="HFS35" s="30"/>
      <c r="HFT35" s="30"/>
      <c r="HFU35" s="30"/>
      <c r="HFV35" s="30"/>
      <c r="HFW35" s="30"/>
      <c r="HFX35" s="30"/>
      <c r="HFY35" s="30"/>
      <c r="HFZ35" s="30"/>
      <c r="HGA35" s="30"/>
      <c r="HGB35" s="30"/>
      <c r="HGC35" s="30"/>
      <c r="HGD35" s="30"/>
      <c r="HGE35" s="30"/>
      <c r="HGF35" s="30"/>
      <c r="HGG35" s="30"/>
      <c r="HGH35" s="30"/>
      <c r="HGI35" s="30"/>
      <c r="HGJ35" s="30"/>
      <c r="HGK35" s="30"/>
      <c r="HGL35" s="30"/>
      <c r="HGM35" s="30"/>
      <c r="HGN35" s="30"/>
      <c r="HGO35" s="30"/>
      <c r="HGP35" s="30"/>
      <c r="HGQ35" s="30"/>
      <c r="HGR35" s="30"/>
      <c r="HGS35" s="30"/>
      <c r="HGT35" s="30"/>
      <c r="HGU35" s="30"/>
      <c r="HGV35" s="30"/>
      <c r="HGW35" s="30"/>
      <c r="HGX35" s="30"/>
      <c r="HGY35" s="30"/>
      <c r="HGZ35" s="30"/>
      <c r="HHA35" s="30"/>
      <c r="HHB35" s="30"/>
      <c r="HHC35" s="30"/>
      <c r="HHD35" s="30"/>
      <c r="HHE35" s="30"/>
      <c r="HHF35" s="30"/>
      <c r="HHG35" s="30"/>
      <c r="HHH35" s="30"/>
      <c r="HHI35" s="30"/>
      <c r="HHJ35" s="30"/>
      <c r="HHK35" s="30"/>
      <c r="HHL35" s="30"/>
      <c r="HHM35" s="30"/>
      <c r="HHN35" s="30"/>
      <c r="HHO35" s="30"/>
      <c r="HHP35" s="30"/>
      <c r="HHQ35" s="30"/>
      <c r="HHR35" s="30"/>
      <c r="HHS35" s="30"/>
      <c r="HHT35" s="30"/>
      <c r="HHU35" s="30"/>
      <c r="HHV35" s="30"/>
      <c r="HHW35" s="30"/>
      <c r="HHX35" s="30"/>
      <c r="HHY35" s="30"/>
      <c r="HHZ35" s="30"/>
      <c r="HIA35" s="30"/>
      <c r="HIB35" s="30"/>
      <c r="HIC35" s="30"/>
      <c r="HID35" s="30"/>
      <c r="HIE35" s="30"/>
      <c r="HIF35" s="30"/>
      <c r="HIG35" s="30"/>
      <c r="HIH35" s="30"/>
      <c r="HII35" s="30"/>
      <c r="HIJ35" s="30"/>
      <c r="HIK35" s="30"/>
      <c r="HIL35" s="30"/>
      <c r="HIM35" s="30"/>
      <c r="HIN35" s="30"/>
      <c r="HIO35" s="30"/>
      <c r="HIP35" s="30"/>
      <c r="HIQ35" s="30"/>
      <c r="HIR35" s="30"/>
      <c r="HIS35" s="30"/>
      <c r="HIT35" s="30"/>
      <c r="HIU35" s="30"/>
      <c r="HIV35" s="30"/>
      <c r="HIW35" s="30"/>
      <c r="HIX35" s="30"/>
      <c r="HIY35" s="30"/>
      <c r="HIZ35" s="30"/>
      <c r="HJA35" s="30"/>
      <c r="HJB35" s="30"/>
      <c r="HJC35" s="30"/>
      <c r="HJD35" s="30"/>
      <c r="HJE35" s="30"/>
      <c r="HJF35" s="30"/>
      <c r="HJG35" s="30"/>
      <c r="HJH35" s="30"/>
      <c r="HJI35" s="30"/>
      <c r="HJJ35" s="30"/>
      <c r="HJK35" s="30"/>
      <c r="HJL35" s="30"/>
      <c r="HJM35" s="30"/>
      <c r="HJN35" s="30"/>
      <c r="HJO35" s="30"/>
      <c r="HJP35" s="30"/>
      <c r="HJQ35" s="30"/>
      <c r="HJR35" s="30"/>
      <c r="HJS35" s="30"/>
      <c r="HJT35" s="30"/>
      <c r="HJU35" s="30"/>
      <c r="HJV35" s="30"/>
      <c r="HJW35" s="30"/>
      <c r="HJX35" s="30"/>
      <c r="HJY35" s="30"/>
      <c r="HJZ35" s="30"/>
      <c r="HKA35" s="30"/>
      <c r="HKB35" s="30"/>
      <c r="HKC35" s="30"/>
      <c r="HKD35" s="30"/>
      <c r="HKE35" s="30"/>
      <c r="HKF35" s="30"/>
      <c r="HKG35" s="30"/>
      <c r="HKH35" s="30"/>
      <c r="HKI35" s="30"/>
      <c r="HKJ35" s="30"/>
      <c r="HKK35" s="30"/>
      <c r="HKL35" s="30"/>
      <c r="HKM35" s="30"/>
      <c r="HKN35" s="30"/>
      <c r="HKO35" s="30"/>
      <c r="HKP35" s="30"/>
      <c r="HKQ35" s="30"/>
      <c r="HKR35" s="30"/>
      <c r="HKS35" s="30"/>
      <c r="HKT35" s="30"/>
      <c r="HKU35" s="30"/>
      <c r="HKV35" s="30"/>
      <c r="HKW35" s="30"/>
      <c r="HKX35" s="30"/>
      <c r="HKY35" s="30"/>
      <c r="HKZ35" s="30"/>
      <c r="HLA35" s="30"/>
      <c r="HLB35" s="30"/>
      <c r="HLC35" s="30"/>
      <c r="HLD35" s="30"/>
      <c r="HLE35" s="30"/>
      <c r="HLF35" s="30"/>
      <c r="HLG35" s="30"/>
      <c r="HLH35" s="30"/>
      <c r="HLI35" s="30"/>
      <c r="HLJ35" s="30"/>
      <c r="HLK35" s="30"/>
      <c r="HLL35" s="30"/>
      <c r="HLM35" s="30"/>
      <c r="HLN35" s="30"/>
      <c r="HLO35" s="30"/>
      <c r="HLP35" s="30"/>
      <c r="HLQ35" s="30"/>
      <c r="HLR35" s="30"/>
      <c r="HLS35" s="30"/>
      <c r="HLT35" s="30"/>
      <c r="HLU35" s="30"/>
      <c r="HLV35" s="30"/>
      <c r="HLW35" s="30"/>
      <c r="HLX35" s="30"/>
      <c r="HLY35" s="30"/>
      <c r="HLZ35" s="30"/>
      <c r="HMA35" s="30"/>
      <c r="HMB35" s="30"/>
      <c r="HMC35" s="30"/>
      <c r="HMD35" s="30"/>
      <c r="HME35" s="30"/>
      <c r="HMF35" s="30"/>
      <c r="HMG35" s="30"/>
      <c r="HMH35" s="30"/>
      <c r="HMI35" s="30"/>
      <c r="HMJ35" s="30"/>
      <c r="HMK35" s="30"/>
      <c r="HML35" s="30"/>
      <c r="HMM35" s="30"/>
      <c r="HMN35" s="30"/>
      <c r="HMO35" s="30"/>
      <c r="HMP35" s="30"/>
      <c r="HMQ35" s="30"/>
      <c r="HMR35" s="30"/>
      <c r="HMS35" s="30"/>
      <c r="HMT35" s="30"/>
      <c r="HMU35" s="30"/>
      <c r="HMV35" s="30"/>
      <c r="HMW35" s="30"/>
      <c r="HMX35" s="30"/>
      <c r="HMY35" s="30"/>
      <c r="HMZ35" s="30"/>
      <c r="HNA35" s="30"/>
      <c r="HNB35" s="30"/>
      <c r="HNC35" s="30"/>
      <c r="HND35" s="30"/>
      <c r="HNE35" s="30"/>
      <c r="HNF35" s="30"/>
      <c r="HNG35" s="30"/>
      <c r="HNH35" s="30"/>
      <c r="HNI35" s="30"/>
      <c r="HNJ35" s="30"/>
      <c r="HNK35" s="30"/>
      <c r="HNL35" s="30"/>
      <c r="HNM35" s="30"/>
      <c r="HNN35" s="30"/>
      <c r="HNO35" s="30"/>
      <c r="HNP35" s="30"/>
      <c r="HNQ35" s="30"/>
      <c r="HNR35" s="30"/>
      <c r="HNS35" s="30"/>
      <c r="HNT35" s="30"/>
      <c r="HNU35" s="30"/>
      <c r="HNV35" s="30"/>
      <c r="HNW35" s="30"/>
      <c r="HNX35" s="30"/>
      <c r="HNY35" s="30"/>
      <c r="HNZ35" s="30"/>
      <c r="HOA35" s="30"/>
      <c r="HOB35" s="30"/>
      <c r="HOC35" s="30"/>
      <c r="HOD35" s="30"/>
      <c r="HOE35" s="30"/>
      <c r="HOF35" s="30"/>
      <c r="HOG35" s="30"/>
      <c r="HOH35" s="30"/>
      <c r="HOI35" s="30"/>
      <c r="HOJ35" s="30"/>
      <c r="HOK35" s="30"/>
      <c r="HOL35" s="30"/>
      <c r="HOM35" s="30"/>
      <c r="HON35" s="30"/>
      <c r="HOO35" s="30"/>
      <c r="HOP35" s="30"/>
      <c r="HOQ35" s="30"/>
      <c r="HOR35" s="30"/>
      <c r="HOS35" s="30"/>
      <c r="HOT35" s="30"/>
      <c r="HOU35" s="30"/>
      <c r="HOV35" s="30"/>
      <c r="HOW35" s="30"/>
      <c r="HOX35" s="30"/>
      <c r="HOY35" s="30"/>
      <c r="HOZ35" s="30"/>
      <c r="HPA35" s="30"/>
      <c r="HPB35" s="30"/>
      <c r="HPC35" s="30"/>
      <c r="HPD35" s="30"/>
      <c r="HPE35" s="30"/>
      <c r="HPF35" s="30"/>
      <c r="HPG35" s="30"/>
      <c r="HPH35" s="30"/>
      <c r="HPI35" s="30"/>
      <c r="HPJ35" s="30"/>
      <c r="HPK35" s="30"/>
      <c r="HPL35" s="30"/>
      <c r="HPM35" s="30"/>
      <c r="HPN35" s="30"/>
      <c r="HPO35" s="30"/>
      <c r="HPP35" s="30"/>
      <c r="HPQ35" s="30"/>
      <c r="HPR35" s="30"/>
      <c r="HPS35" s="30"/>
      <c r="HPT35" s="30"/>
      <c r="HPU35" s="30"/>
      <c r="HPV35" s="30"/>
      <c r="HPW35" s="30"/>
      <c r="HPX35" s="30"/>
      <c r="HPY35" s="30"/>
      <c r="HPZ35" s="30"/>
      <c r="HQA35" s="30"/>
      <c r="HQB35" s="30"/>
      <c r="HQC35" s="30"/>
      <c r="HQD35" s="30"/>
      <c r="HQE35" s="30"/>
      <c r="HQF35" s="30"/>
      <c r="HQG35" s="30"/>
      <c r="HQH35" s="30"/>
      <c r="HQI35" s="30"/>
      <c r="HQJ35" s="30"/>
      <c r="HQK35" s="30"/>
      <c r="HQL35" s="30"/>
      <c r="HQM35" s="30"/>
      <c r="HQN35" s="30"/>
      <c r="HQO35" s="30"/>
      <c r="HQP35" s="30"/>
      <c r="HQQ35" s="30"/>
      <c r="HQR35" s="30"/>
      <c r="HQS35" s="30"/>
      <c r="HQT35" s="30"/>
      <c r="HQU35" s="30"/>
      <c r="HQV35" s="30"/>
      <c r="HQW35" s="30"/>
      <c r="HQX35" s="30"/>
      <c r="HQY35" s="30"/>
      <c r="HQZ35" s="30"/>
      <c r="HRA35" s="30"/>
      <c r="HRB35" s="30"/>
      <c r="HRC35" s="30"/>
      <c r="HRD35" s="30"/>
      <c r="HRE35" s="30"/>
      <c r="HRF35" s="30"/>
      <c r="HRG35" s="30"/>
      <c r="HRH35" s="30"/>
      <c r="HRI35" s="30"/>
      <c r="HRJ35" s="30"/>
      <c r="HRK35" s="30"/>
      <c r="HRL35" s="30"/>
      <c r="HRM35" s="30"/>
      <c r="HRN35" s="30"/>
      <c r="HRO35" s="30"/>
      <c r="HRP35" s="30"/>
      <c r="HRQ35" s="30"/>
      <c r="HRR35" s="30"/>
      <c r="HRS35" s="30"/>
      <c r="HRT35" s="30"/>
      <c r="HRU35" s="30"/>
      <c r="HRV35" s="30"/>
      <c r="HRW35" s="30"/>
      <c r="HRX35" s="30"/>
      <c r="HRY35" s="30"/>
      <c r="HRZ35" s="30"/>
      <c r="HSA35" s="30"/>
      <c r="HSB35" s="30"/>
      <c r="HSC35" s="30"/>
      <c r="HSD35" s="30"/>
      <c r="HSE35" s="30"/>
      <c r="HSF35" s="30"/>
      <c r="HSG35" s="30"/>
      <c r="HSH35" s="30"/>
      <c r="HSI35" s="30"/>
      <c r="HSJ35" s="30"/>
      <c r="HSK35" s="30"/>
      <c r="HSL35" s="30"/>
      <c r="HSM35" s="30"/>
      <c r="HSN35" s="30"/>
      <c r="HSO35" s="30"/>
      <c r="HSP35" s="30"/>
      <c r="HSQ35" s="30"/>
      <c r="HSR35" s="30"/>
      <c r="HSS35" s="30"/>
      <c r="HST35" s="30"/>
      <c r="HSU35" s="30"/>
      <c r="HSV35" s="30"/>
      <c r="HSW35" s="30"/>
      <c r="HSX35" s="30"/>
      <c r="HSY35" s="30"/>
      <c r="HSZ35" s="30"/>
      <c r="HTA35" s="30"/>
      <c r="HTB35" s="30"/>
      <c r="HTC35" s="30"/>
      <c r="HTD35" s="30"/>
      <c r="HTE35" s="30"/>
      <c r="HTF35" s="30"/>
      <c r="HTG35" s="30"/>
      <c r="HTH35" s="30"/>
      <c r="HTI35" s="30"/>
      <c r="HTJ35" s="30"/>
      <c r="HTK35" s="30"/>
      <c r="HTL35" s="30"/>
      <c r="HTM35" s="30"/>
      <c r="HTN35" s="30"/>
      <c r="HTO35" s="30"/>
      <c r="HTP35" s="30"/>
      <c r="HTQ35" s="30"/>
      <c r="HTR35" s="30"/>
      <c r="HTS35" s="30"/>
      <c r="HTT35" s="30"/>
      <c r="HTU35" s="30"/>
      <c r="HTV35" s="30"/>
      <c r="HTW35" s="30"/>
      <c r="HTX35" s="30"/>
      <c r="HTY35" s="30"/>
      <c r="HTZ35" s="30"/>
      <c r="HUA35" s="30"/>
      <c r="HUB35" s="30"/>
      <c r="HUC35" s="30"/>
      <c r="HUD35" s="30"/>
      <c r="HUE35" s="30"/>
      <c r="HUF35" s="30"/>
      <c r="HUG35" s="30"/>
      <c r="HUH35" s="30"/>
      <c r="HUI35" s="30"/>
      <c r="HUJ35" s="30"/>
      <c r="HUK35" s="30"/>
      <c r="HUL35" s="30"/>
      <c r="HUM35" s="30"/>
      <c r="HUN35" s="30"/>
      <c r="HUO35" s="30"/>
      <c r="HUP35" s="30"/>
      <c r="HUQ35" s="30"/>
      <c r="HUR35" s="30"/>
      <c r="HUS35" s="30"/>
      <c r="HUT35" s="30"/>
      <c r="HUU35" s="30"/>
      <c r="HUV35" s="30"/>
      <c r="HUW35" s="30"/>
      <c r="HUX35" s="30"/>
      <c r="HUY35" s="30"/>
      <c r="HUZ35" s="30"/>
      <c r="HVA35" s="30"/>
      <c r="HVB35" s="30"/>
      <c r="HVC35" s="30"/>
      <c r="HVD35" s="30"/>
      <c r="HVE35" s="30"/>
      <c r="HVF35" s="30"/>
      <c r="HVG35" s="30"/>
      <c r="HVH35" s="30"/>
      <c r="HVI35" s="30"/>
      <c r="HVJ35" s="30"/>
      <c r="HVK35" s="30"/>
      <c r="HVL35" s="30"/>
      <c r="HVM35" s="30"/>
      <c r="HVN35" s="30"/>
      <c r="HVO35" s="30"/>
      <c r="HVP35" s="30"/>
      <c r="HVQ35" s="30"/>
      <c r="HVR35" s="30"/>
      <c r="HVS35" s="30"/>
      <c r="HVT35" s="30"/>
      <c r="HVU35" s="30"/>
      <c r="HVV35" s="30"/>
      <c r="HVW35" s="30"/>
      <c r="HVX35" s="30"/>
      <c r="HVY35" s="30"/>
      <c r="HVZ35" s="30"/>
      <c r="HWA35" s="30"/>
      <c r="HWB35" s="30"/>
      <c r="HWC35" s="30"/>
      <c r="HWD35" s="30"/>
      <c r="HWE35" s="30"/>
      <c r="HWF35" s="30"/>
      <c r="HWG35" s="30"/>
      <c r="HWH35" s="30"/>
      <c r="HWI35" s="30"/>
      <c r="HWJ35" s="30"/>
      <c r="HWK35" s="30"/>
      <c r="HWL35" s="30"/>
      <c r="HWM35" s="30"/>
      <c r="HWN35" s="30"/>
      <c r="HWO35" s="30"/>
      <c r="HWP35" s="30"/>
      <c r="HWQ35" s="30"/>
      <c r="HWR35" s="30"/>
      <c r="HWS35" s="30"/>
      <c r="HWT35" s="30"/>
      <c r="HWU35" s="30"/>
      <c r="HWV35" s="30"/>
      <c r="HWW35" s="30"/>
      <c r="HWX35" s="30"/>
      <c r="HWY35" s="30"/>
      <c r="HWZ35" s="30"/>
      <c r="HXA35" s="30"/>
      <c r="HXB35" s="30"/>
      <c r="HXC35" s="30"/>
      <c r="HXD35" s="30"/>
      <c r="HXE35" s="30"/>
      <c r="HXF35" s="30"/>
      <c r="HXG35" s="30"/>
      <c r="HXH35" s="30"/>
      <c r="HXI35" s="30"/>
      <c r="HXJ35" s="30"/>
      <c r="HXK35" s="30"/>
      <c r="HXL35" s="30"/>
      <c r="HXM35" s="30"/>
      <c r="HXN35" s="30"/>
      <c r="HXO35" s="30"/>
      <c r="HXP35" s="30"/>
      <c r="HXQ35" s="30"/>
      <c r="HXR35" s="30"/>
      <c r="HXS35" s="30"/>
      <c r="HXT35" s="30"/>
      <c r="HXU35" s="30"/>
      <c r="HXV35" s="30"/>
      <c r="HXW35" s="30"/>
      <c r="HXX35" s="30"/>
      <c r="HXY35" s="30"/>
      <c r="HXZ35" s="30"/>
      <c r="HYA35" s="30"/>
      <c r="HYB35" s="30"/>
      <c r="HYC35" s="30"/>
      <c r="HYD35" s="30"/>
      <c r="HYE35" s="30"/>
      <c r="HYF35" s="30"/>
      <c r="HYG35" s="30"/>
      <c r="HYH35" s="30"/>
      <c r="HYI35" s="30"/>
      <c r="HYJ35" s="30"/>
      <c r="HYK35" s="30"/>
      <c r="HYL35" s="30"/>
      <c r="HYM35" s="30"/>
      <c r="HYN35" s="30"/>
      <c r="HYO35" s="30"/>
      <c r="HYP35" s="30"/>
      <c r="HYQ35" s="30"/>
      <c r="HYR35" s="30"/>
      <c r="HYS35" s="30"/>
      <c r="HYT35" s="30"/>
      <c r="HYU35" s="30"/>
      <c r="HYV35" s="30"/>
      <c r="HYW35" s="30"/>
      <c r="HYX35" s="30"/>
      <c r="HYY35" s="30"/>
      <c r="HYZ35" s="30"/>
      <c r="HZA35" s="30"/>
      <c r="HZB35" s="30"/>
      <c r="HZC35" s="30"/>
      <c r="HZD35" s="30"/>
      <c r="HZE35" s="30"/>
      <c r="HZF35" s="30"/>
      <c r="HZG35" s="30"/>
      <c r="HZH35" s="30"/>
      <c r="HZI35" s="30"/>
      <c r="HZJ35" s="30"/>
      <c r="HZK35" s="30"/>
      <c r="HZL35" s="30"/>
      <c r="HZM35" s="30"/>
      <c r="HZN35" s="30"/>
      <c r="HZO35" s="30"/>
      <c r="HZP35" s="30"/>
      <c r="HZQ35" s="30"/>
      <c r="HZR35" s="30"/>
      <c r="HZS35" s="30"/>
      <c r="HZT35" s="30"/>
      <c r="HZU35" s="30"/>
      <c r="HZV35" s="30"/>
      <c r="HZW35" s="30"/>
      <c r="HZX35" s="30"/>
      <c r="HZY35" s="30"/>
      <c r="HZZ35" s="30"/>
      <c r="IAA35" s="30"/>
      <c r="IAB35" s="30"/>
      <c r="IAC35" s="30"/>
      <c r="IAD35" s="30"/>
      <c r="IAE35" s="30"/>
      <c r="IAF35" s="30"/>
      <c r="IAG35" s="30"/>
      <c r="IAH35" s="30"/>
      <c r="IAI35" s="30"/>
      <c r="IAJ35" s="30"/>
      <c r="IAK35" s="30"/>
      <c r="IAL35" s="30"/>
      <c r="IAM35" s="30"/>
      <c r="IAN35" s="30"/>
      <c r="IAO35" s="30"/>
      <c r="IAP35" s="30"/>
      <c r="IAQ35" s="30"/>
      <c r="IAR35" s="30"/>
      <c r="IAS35" s="30"/>
      <c r="IAT35" s="30"/>
      <c r="IAU35" s="30"/>
      <c r="IAV35" s="30"/>
      <c r="IAW35" s="30"/>
      <c r="IAX35" s="30"/>
      <c r="IAY35" s="30"/>
      <c r="IAZ35" s="30"/>
      <c r="IBA35" s="30"/>
      <c r="IBB35" s="30"/>
      <c r="IBC35" s="30"/>
      <c r="IBD35" s="30"/>
      <c r="IBE35" s="30"/>
      <c r="IBF35" s="30"/>
      <c r="IBG35" s="30"/>
      <c r="IBH35" s="30"/>
      <c r="IBI35" s="30"/>
      <c r="IBJ35" s="30"/>
      <c r="IBK35" s="30"/>
      <c r="IBL35" s="30"/>
      <c r="IBM35" s="30"/>
      <c r="IBN35" s="30"/>
      <c r="IBO35" s="30"/>
      <c r="IBP35" s="30"/>
      <c r="IBQ35" s="30"/>
      <c r="IBR35" s="30"/>
      <c r="IBS35" s="30"/>
      <c r="IBT35" s="30"/>
      <c r="IBU35" s="30"/>
      <c r="IBV35" s="30"/>
      <c r="IBW35" s="30"/>
      <c r="IBX35" s="30"/>
      <c r="IBY35" s="30"/>
      <c r="IBZ35" s="30"/>
      <c r="ICA35" s="30"/>
      <c r="ICB35" s="30"/>
      <c r="ICC35" s="30"/>
      <c r="ICD35" s="30"/>
      <c r="ICE35" s="30"/>
      <c r="ICF35" s="30"/>
      <c r="ICG35" s="30"/>
      <c r="ICH35" s="30"/>
      <c r="ICI35" s="30"/>
      <c r="ICJ35" s="30"/>
      <c r="ICK35" s="30"/>
      <c r="ICL35" s="30"/>
      <c r="ICM35" s="30"/>
      <c r="ICN35" s="30"/>
      <c r="ICO35" s="30"/>
      <c r="ICP35" s="30"/>
      <c r="ICQ35" s="30"/>
      <c r="ICR35" s="30"/>
      <c r="ICS35" s="30"/>
      <c r="ICT35" s="30"/>
      <c r="ICU35" s="30"/>
      <c r="ICV35" s="30"/>
      <c r="ICW35" s="30"/>
      <c r="ICX35" s="30"/>
      <c r="ICY35" s="30"/>
      <c r="ICZ35" s="30"/>
      <c r="IDA35" s="30"/>
      <c r="IDB35" s="30"/>
      <c r="IDC35" s="30"/>
      <c r="IDD35" s="30"/>
      <c r="IDE35" s="30"/>
      <c r="IDF35" s="30"/>
      <c r="IDG35" s="30"/>
      <c r="IDH35" s="30"/>
      <c r="IDI35" s="30"/>
      <c r="IDJ35" s="30"/>
      <c r="IDK35" s="30"/>
      <c r="IDL35" s="30"/>
      <c r="IDM35" s="30"/>
      <c r="IDN35" s="30"/>
      <c r="IDO35" s="30"/>
      <c r="IDP35" s="30"/>
      <c r="IDQ35" s="30"/>
      <c r="IDR35" s="30"/>
      <c r="IDS35" s="30"/>
      <c r="IDT35" s="30"/>
      <c r="IDU35" s="30"/>
      <c r="IDV35" s="30"/>
      <c r="IDW35" s="30"/>
      <c r="IDX35" s="30"/>
      <c r="IDY35" s="30"/>
      <c r="IDZ35" s="30"/>
      <c r="IEA35" s="30"/>
      <c r="IEB35" s="30"/>
      <c r="IEC35" s="30"/>
      <c r="IED35" s="30"/>
      <c r="IEE35" s="30"/>
      <c r="IEF35" s="30"/>
      <c r="IEG35" s="30"/>
      <c r="IEH35" s="30"/>
      <c r="IEI35" s="30"/>
      <c r="IEJ35" s="30"/>
      <c r="IEK35" s="30"/>
      <c r="IEL35" s="30"/>
      <c r="IEM35" s="30"/>
      <c r="IEN35" s="30"/>
      <c r="IEO35" s="30"/>
      <c r="IEP35" s="30"/>
      <c r="IEQ35" s="30"/>
      <c r="IER35" s="30"/>
      <c r="IES35" s="30"/>
      <c r="IET35" s="30"/>
      <c r="IEU35" s="30"/>
      <c r="IEV35" s="30"/>
      <c r="IEW35" s="30"/>
      <c r="IEX35" s="30"/>
      <c r="IEY35" s="30"/>
      <c r="IEZ35" s="30"/>
      <c r="IFA35" s="30"/>
      <c r="IFB35" s="30"/>
      <c r="IFC35" s="30"/>
      <c r="IFD35" s="30"/>
      <c r="IFE35" s="30"/>
      <c r="IFF35" s="30"/>
      <c r="IFG35" s="30"/>
      <c r="IFH35" s="30"/>
      <c r="IFI35" s="30"/>
      <c r="IFJ35" s="30"/>
      <c r="IFK35" s="30"/>
      <c r="IFL35" s="30"/>
      <c r="IFM35" s="30"/>
      <c r="IFN35" s="30"/>
      <c r="IFO35" s="30"/>
      <c r="IFP35" s="30"/>
      <c r="IFQ35" s="30"/>
      <c r="IFR35" s="30"/>
      <c r="IFS35" s="30"/>
      <c r="IFT35" s="30"/>
      <c r="IFU35" s="30"/>
      <c r="IFV35" s="30"/>
      <c r="IFW35" s="30"/>
      <c r="IFX35" s="30"/>
      <c r="IFY35" s="30"/>
      <c r="IFZ35" s="30"/>
      <c r="IGA35" s="30"/>
      <c r="IGB35" s="30"/>
      <c r="IGC35" s="30"/>
      <c r="IGD35" s="30"/>
      <c r="IGE35" s="30"/>
      <c r="IGF35" s="30"/>
      <c r="IGG35" s="30"/>
      <c r="IGH35" s="30"/>
      <c r="IGI35" s="30"/>
      <c r="IGJ35" s="30"/>
      <c r="IGK35" s="30"/>
      <c r="IGL35" s="30"/>
      <c r="IGM35" s="30"/>
      <c r="IGN35" s="30"/>
      <c r="IGO35" s="30"/>
      <c r="IGP35" s="30"/>
      <c r="IGQ35" s="30"/>
      <c r="IGR35" s="30"/>
      <c r="IGS35" s="30"/>
      <c r="IGT35" s="30"/>
      <c r="IGU35" s="30"/>
      <c r="IGV35" s="30"/>
      <c r="IGW35" s="30"/>
      <c r="IGX35" s="30"/>
      <c r="IGY35" s="30"/>
      <c r="IGZ35" s="30"/>
      <c r="IHA35" s="30"/>
      <c r="IHB35" s="30"/>
      <c r="IHC35" s="30"/>
      <c r="IHD35" s="30"/>
      <c r="IHE35" s="30"/>
      <c r="IHF35" s="30"/>
      <c r="IHG35" s="30"/>
      <c r="IHH35" s="30"/>
      <c r="IHI35" s="30"/>
      <c r="IHJ35" s="30"/>
      <c r="IHK35" s="30"/>
      <c r="IHL35" s="30"/>
      <c r="IHM35" s="30"/>
      <c r="IHN35" s="30"/>
      <c r="IHO35" s="30"/>
      <c r="IHP35" s="30"/>
      <c r="IHQ35" s="30"/>
      <c r="IHR35" s="30"/>
      <c r="IHS35" s="30"/>
      <c r="IHT35" s="30"/>
      <c r="IHU35" s="30"/>
      <c r="IHV35" s="30"/>
      <c r="IHW35" s="30"/>
      <c r="IHX35" s="30"/>
      <c r="IHY35" s="30"/>
      <c r="IHZ35" s="30"/>
      <c r="IIA35" s="30"/>
      <c r="IIB35" s="30"/>
      <c r="IIC35" s="30"/>
      <c r="IID35" s="30"/>
      <c r="IIE35" s="30"/>
      <c r="IIF35" s="30"/>
      <c r="IIG35" s="30"/>
      <c r="IIH35" s="30"/>
      <c r="III35" s="30"/>
      <c r="IIJ35" s="30"/>
      <c r="IIK35" s="30"/>
      <c r="IIL35" s="30"/>
      <c r="IIM35" s="30"/>
      <c r="IIN35" s="30"/>
      <c r="IIO35" s="30"/>
      <c r="IIP35" s="30"/>
      <c r="IIQ35" s="30"/>
      <c r="IIR35" s="30"/>
      <c r="IIS35" s="30"/>
      <c r="IIT35" s="30"/>
      <c r="IIU35" s="30"/>
      <c r="IIV35" s="30"/>
      <c r="IIW35" s="30"/>
      <c r="IIX35" s="30"/>
      <c r="IIY35" s="30"/>
      <c r="IIZ35" s="30"/>
      <c r="IJA35" s="30"/>
      <c r="IJB35" s="30"/>
      <c r="IJC35" s="30"/>
      <c r="IJD35" s="30"/>
      <c r="IJE35" s="30"/>
      <c r="IJF35" s="30"/>
      <c r="IJG35" s="30"/>
      <c r="IJH35" s="30"/>
      <c r="IJI35" s="30"/>
      <c r="IJJ35" s="30"/>
      <c r="IJK35" s="30"/>
      <c r="IJL35" s="30"/>
      <c r="IJM35" s="30"/>
      <c r="IJN35" s="30"/>
      <c r="IJO35" s="30"/>
      <c r="IJP35" s="30"/>
      <c r="IJQ35" s="30"/>
      <c r="IJR35" s="30"/>
      <c r="IJS35" s="30"/>
      <c r="IJT35" s="30"/>
      <c r="IJU35" s="30"/>
      <c r="IJV35" s="30"/>
      <c r="IJW35" s="30"/>
      <c r="IJX35" s="30"/>
      <c r="IJY35" s="30"/>
      <c r="IJZ35" s="30"/>
      <c r="IKA35" s="30"/>
      <c r="IKB35" s="30"/>
      <c r="IKC35" s="30"/>
      <c r="IKD35" s="30"/>
      <c r="IKE35" s="30"/>
      <c r="IKF35" s="30"/>
      <c r="IKG35" s="30"/>
      <c r="IKH35" s="30"/>
      <c r="IKI35" s="30"/>
      <c r="IKJ35" s="30"/>
      <c r="IKK35" s="30"/>
      <c r="IKL35" s="30"/>
      <c r="IKM35" s="30"/>
      <c r="IKN35" s="30"/>
      <c r="IKO35" s="30"/>
      <c r="IKP35" s="30"/>
      <c r="IKQ35" s="30"/>
      <c r="IKR35" s="30"/>
      <c r="IKS35" s="30"/>
      <c r="IKT35" s="30"/>
      <c r="IKU35" s="30"/>
      <c r="IKV35" s="30"/>
      <c r="IKW35" s="30"/>
      <c r="IKX35" s="30"/>
      <c r="IKY35" s="30"/>
      <c r="IKZ35" s="30"/>
      <c r="ILA35" s="30"/>
      <c r="ILB35" s="30"/>
      <c r="ILC35" s="30"/>
      <c r="ILD35" s="30"/>
      <c r="ILE35" s="30"/>
      <c r="ILF35" s="30"/>
      <c r="ILG35" s="30"/>
      <c r="ILH35" s="30"/>
      <c r="ILI35" s="30"/>
      <c r="ILJ35" s="30"/>
      <c r="ILK35" s="30"/>
      <c r="ILL35" s="30"/>
      <c r="ILM35" s="30"/>
      <c r="ILN35" s="30"/>
      <c r="ILO35" s="30"/>
      <c r="ILP35" s="30"/>
      <c r="ILQ35" s="30"/>
      <c r="ILR35" s="30"/>
      <c r="ILS35" s="30"/>
      <c r="ILT35" s="30"/>
      <c r="ILU35" s="30"/>
      <c r="ILV35" s="30"/>
      <c r="ILW35" s="30"/>
      <c r="ILX35" s="30"/>
      <c r="ILY35" s="30"/>
      <c r="ILZ35" s="30"/>
      <c r="IMA35" s="30"/>
      <c r="IMB35" s="30"/>
      <c r="IMC35" s="30"/>
      <c r="IMD35" s="30"/>
      <c r="IME35" s="30"/>
      <c r="IMF35" s="30"/>
      <c r="IMG35" s="30"/>
      <c r="IMH35" s="30"/>
      <c r="IMI35" s="30"/>
      <c r="IMJ35" s="30"/>
      <c r="IMK35" s="30"/>
      <c r="IML35" s="30"/>
      <c r="IMM35" s="30"/>
      <c r="IMN35" s="30"/>
      <c r="IMO35" s="30"/>
      <c r="IMP35" s="30"/>
      <c r="IMQ35" s="30"/>
      <c r="IMR35" s="30"/>
      <c r="IMS35" s="30"/>
      <c r="IMT35" s="30"/>
      <c r="IMU35" s="30"/>
      <c r="IMV35" s="30"/>
      <c r="IMW35" s="30"/>
      <c r="IMX35" s="30"/>
      <c r="IMY35" s="30"/>
      <c r="IMZ35" s="30"/>
      <c r="INA35" s="30"/>
      <c r="INB35" s="30"/>
      <c r="INC35" s="30"/>
      <c r="IND35" s="30"/>
      <c r="INE35" s="30"/>
      <c r="INF35" s="30"/>
      <c r="ING35" s="30"/>
      <c r="INH35" s="30"/>
      <c r="INI35" s="30"/>
      <c r="INJ35" s="30"/>
      <c r="INK35" s="30"/>
      <c r="INL35" s="30"/>
      <c r="INM35" s="30"/>
      <c r="INN35" s="30"/>
      <c r="INO35" s="30"/>
      <c r="INP35" s="30"/>
      <c r="INQ35" s="30"/>
      <c r="INR35" s="30"/>
      <c r="INS35" s="30"/>
      <c r="INT35" s="30"/>
      <c r="INU35" s="30"/>
      <c r="INV35" s="30"/>
      <c r="INW35" s="30"/>
      <c r="INX35" s="30"/>
      <c r="INY35" s="30"/>
      <c r="INZ35" s="30"/>
      <c r="IOA35" s="30"/>
      <c r="IOB35" s="30"/>
      <c r="IOC35" s="30"/>
      <c r="IOD35" s="30"/>
      <c r="IOE35" s="30"/>
      <c r="IOF35" s="30"/>
      <c r="IOG35" s="30"/>
      <c r="IOH35" s="30"/>
      <c r="IOI35" s="30"/>
      <c r="IOJ35" s="30"/>
      <c r="IOK35" s="30"/>
      <c r="IOL35" s="30"/>
      <c r="IOM35" s="30"/>
      <c r="ION35" s="30"/>
      <c r="IOO35" s="30"/>
      <c r="IOP35" s="30"/>
      <c r="IOQ35" s="30"/>
      <c r="IOR35" s="30"/>
      <c r="IOS35" s="30"/>
      <c r="IOT35" s="30"/>
      <c r="IOU35" s="30"/>
      <c r="IOV35" s="30"/>
      <c r="IOW35" s="30"/>
      <c r="IOX35" s="30"/>
      <c r="IOY35" s="30"/>
      <c r="IOZ35" s="30"/>
      <c r="IPA35" s="30"/>
      <c r="IPB35" s="30"/>
      <c r="IPC35" s="30"/>
      <c r="IPD35" s="30"/>
      <c r="IPE35" s="30"/>
      <c r="IPF35" s="30"/>
      <c r="IPG35" s="30"/>
      <c r="IPH35" s="30"/>
      <c r="IPI35" s="30"/>
      <c r="IPJ35" s="30"/>
      <c r="IPK35" s="30"/>
      <c r="IPL35" s="30"/>
      <c r="IPM35" s="30"/>
      <c r="IPN35" s="30"/>
      <c r="IPO35" s="30"/>
      <c r="IPP35" s="30"/>
      <c r="IPQ35" s="30"/>
      <c r="IPR35" s="30"/>
      <c r="IPS35" s="30"/>
      <c r="IPT35" s="30"/>
      <c r="IPU35" s="30"/>
      <c r="IPV35" s="30"/>
      <c r="IPW35" s="30"/>
      <c r="IPX35" s="30"/>
      <c r="IPY35" s="30"/>
      <c r="IPZ35" s="30"/>
      <c r="IQA35" s="30"/>
      <c r="IQB35" s="30"/>
      <c r="IQC35" s="30"/>
      <c r="IQD35" s="30"/>
      <c r="IQE35" s="30"/>
      <c r="IQF35" s="30"/>
      <c r="IQG35" s="30"/>
      <c r="IQH35" s="30"/>
      <c r="IQI35" s="30"/>
      <c r="IQJ35" s="30"/>
      <c r="IQK35" s="30"/>
      <c r="IQL35" s="30"/>
      <c r="IQM35" s="30"/>
      <c r="IQN35" s="30"/>
      <c r="IQO35" s="30"/>
      <c r="IQP35" s="30"/>
      <c r="IQQ35" s="30"/>
      <c r="IQR35" s="30"/>
      <c r="IQS35" s="30"/>
      <c r="IQT35" s="30"/>
      <c r="IQU35" s="30"/>
      <c r="IQV35" s="30"/>
      <c r="IQW35" s="30"/>
      <c r="IQX35" s="30"/>
      <c r="IQY35" s="30"/>
      <c r="IQZ35" s="30"/>
      <c r="IRA35" s="30"/>
      <c r="IRB35" s="30"/>
      <c r="IRC35" s="30"/>
      <c r="IRD35" s="30"/>
      <c r="IRE35" s="30"/>
      <c r="IRF35" s="30"/>
      <c r="IRG35" s="30"/>
      <c r="IRH35" s="30"/>
      <c r="IRI35" s="30"/>
      <c r="IRJ35" s="30"/>
      <c r="IRK35" s="30"/>
      <c r="IRL35" s="30"/>
      <c r="IRM35" s="30"/>
      <c r="IRN35" s="30"/>
      <c r="IRO35" s="30"/>
      <c r="IRP35" s="30"/>
      <c r="IRQ35" s="30"/>
      <c r="IRR35" s="30"/>
      <c r="IRS35" s="30"/>
      <c r="IRT35" s="30"/>
      <c r="IRU35" s="30"/>
      <c r="IRV35" s="30"/>
      <c r="IRW35" s="30"/>
      <c r="IRX35" s="30"/>
      <c r="IRY35" s="30"/>
      <c r="IRZ35" s="30"/>
      <c r="ISA35" s="30"/>
      <c r="ISB35" s="30"/>
      <c r="ISC35" s="30"/>
      <c r="ISD35" s="30"/>
      <c r="ISE35" s="30"/>
      <c r="ISF35" s="30"/>
      <c r="ISG35" s="30"/>
      <c r="ISH35" s="30"/>
      <c r="ISI35" s="30"/>
      <c r="ISJ35" s="30"/>
      <c r="ISK35" s="30"/>
      <c r="ISL35" s="30"/>
      <c r="ISM35" s="30"/>
      <c r="ISN35" s="30"/>
      <c r="ISO35" s="30"/>
      <c r="ISP35" s="30"/>
      <c r="ISQ35" s="30"/>
      <c r="ISR35" s="30"/>
      <c r="ISS35" s="30"/>
      <c r="IST35" s="30"/>
      <c r="ISU35" s="30"/>
      <c r="ISV35" s="30"/>
      <c r="ISW35" s="30"/>
      <c r="ISX35" s="30"/>
      <c r="ISY35" s="30"/>
      <c r="ISZ35" s="30"/>
      <c r="ITA35" s="30"/>
      <c r="ITB35" s="30"/>
      <c r="ITC35" s="30"/>
      <c r="ITD35" s="30"/>
      <c r="ITE35" s="30"/>
      <c r="ITF35" s="30"/>
      <c r="ITG35" s="30"/>
      <c r="ITH35" s="30"/>
      <c r="ITI35" s="30"/>
      <c r="ITJ35" s="30"/>
      <c r="ITK35" s="30"/>
      <c r="ITL35" s="30"/>
      <c r="ITM35" s="30"/>
      <c r="ITN35" s="30"/>
      <c r="ITO35" s="30"/>
      <c r="ITP35" s="30"/>
      <c r="ITQ35" s="30"/>
      <c r="ITR35" s="30"/>
      <c r="ITS35" s="30"/>
      <c r="ITT35" s="30"/>
      <c r="ITU35" s="30"/>
      <c r="ITV35" s="30"/>
      <c r="ITW35" s="30"/>
      <c r="ITX35" s="30"/>
      <c r="ITY35" s="30"/>
      <c r="ITZ35" s="30"/>
      <c r="IUA35" s="30"/>
      <c r="IUB35" s="30"/>
      <c r="IUC35" s="30"/>
      <c r="IUD35" s="30"/>
      <c r="IUE35" s="30"/>
      <c r="IUF35" s="30"/>
      <c r="IUG35" s="30"/>
      <c r="IUH35" s="30"/>
      <c r="IUI35" s="30"/>
      <c r="IUJ35" s="30"/>
      <c r="IUK35" s="30"/>
      <c r="IUL35" s="30"/>
      <c r="IUM35" s="30"/>
      <c r="IUN35" s="30"/>
      <c r="IUO35" s="30"/>
      <c r="IUP35" s="30"/>
      <c r="IUQ35" s="30"/>
      <c r="IUR35" s="30"/>
      <c r="IUS35" s="30"/>
      <c r="IUT35" s="30"/>
      <c r="IUU35" s="30"/>
      <c r="IUV35" s="30"/>
      <c r="IUW35" s="30"/>
      <c r="IUX35" s="30"/>
      <c r="IUY35" s="30"/>
      <c r="IUZ35" s="30"/>
      <c r="IVA35" s="30"/>
      <c r="IVB35" s="30"/>
      <c r="IVC35" s="30"/>
      <c r="IVD35" s="30"/>
      <c r="IVE35" s="30"/>
      <c r="IVF35" s="30"/>
      <c r="IVG35" s="30"/>
      <c r="IVH35" s="30"/>
      <c r="IVI35" s="30"/>
      <c r="IVJ35" s="30"/>
      <c r="IVK35" s="30"/>
      <c r="IVL35" s="30"/>
      <c r="IVM35" s="30"/>
      <c r="IVN35" s="30"/>
      <c r="IVO35" s="30"/>
      <c r="IVP35" s="30"/>
      <c r="IVQ35" s="30"/>
      <c r="IVR35" s="30"/>
      <c r="IVS35" s="30"/>
      <c r="IVT35" s="30"/>
      <c r="IVU35" s="30"/>
      <c r="IVV35" s="30"/>
      <c r="IVW35" s="30"/>
      <c r="IVX35" s="30"/>
      <c r="IVY35" s="30"/>
      <c r="IVZ35" s="30"/>
      <c r="IWA35" s="30"/>
      <c r="IWB35" s="30"/>
      <c r="IWC35" s="30"/>
      <c r="IWD35" s="30"/>
      <c r="IWE35" s="30"/>
      <c r="IWF35" s="30"/>
      <c r="IWG35" s="30"/>
      <c r="IWH35" s="30"/>
      <c r="IWI35" s="30"/>
      <c r="IWJ35" s="30"/>
      <c r="IWK35" s="30"/>
      <c r="IWL35" s="30"/>
      <c r="IWM35" s="30"/>
      <c r="IWN35" s="30"/>
      <c r="IWO35" s="30"/>
      <c r="IWP35" s="30"/>
      <c r="IWQ35" s="30"/>
      <c r="IWR35" s="30"/>
      <c r="IWS35" s="30"/>
      <c r="IWT35" s="30"/>
      <c r="IWU35" s="30"/>
      <c r="IWV35" s="30"/>
      <c r="IWW35" s="30"/>
      <c r="IWX35" s="30"/>
      <c r="IWY35" s="30"/>
      <c r="IWZ35" s="30"/>
      <c r="IXA35" s="30"/>
      <c r="IXB35" s="30"/>
      <c r="IXC35" s="30"/>
      <c r="IXD35" s="30"/>
      <c r="IXE35" s="30"/>
      <c r="IXF35" s="30"/>
      <c r="IXG35" s="30"/>
      <c r="IXH35" s="30"/>
      <c r="IXI35" s="30"/>
      <c r="IXJ35" s="30"/>
      <c r="IXK35" s="30"/>
      <c r="IXL35" s="30"/>
      <c r="IXM35" s="30"/>
      <c r="IXN35" s="30"/>
      <c r="IXO35" s="30"/>
      <c r="IXP35" s="30"/>
      <c r="IXQ35" s="30"/>
      <c r="IXR35" s="30"/>
      <c r="IXS35" s="30"/>
      <c r="IXT35" s="30"/>
      <c r="IXU35" s="30"/>
      <c r="IXV35" s="30"/>
      <c r="IXW35" s="30"/>
      <c r="IXX35" s="30"/>
      <c r="IXY35" s="30"/>
      <c r="IXZ35" s="30"/>
      <c r="IYA35" s="30"/>
      <c r="IYB35" s="30"/>
      <c r="IYC35" s="30"/>
      <c r="IYD35" s="30"/>
      <c r="IYE35" s="30"/>
      <c r="IYF35" s="30"/>
      <c r="IYG35" s="30"/>
      <c r="IYH35" s="30"/>
      <c r="IYI35" s="30"/>
      <c r="IYJ35" s="30"/>
      <c r="IYK35" s="30"/>
      <c r="IYL35" s="30"/>
      <c r="IYM35" s="30"/>
      <c r="IYN35" s="30"/>
      <c r="IYO35" s="30"/>
      <c r="IYP35" s="30"/>
      <c r="IYQ35" s="30"/>
      <c r="IYR35" s="30"/>
      <c r="IYS35" s="30"/>
      <c r="IYT35" s="30"/>
      <c r="IYU35" s="30"/>
      <c r="IYV35" s="30"/>
      <c r="IYW35" s="30"/>
      <c r="IYX35" s="30"/>
      <c r="IYY35" s="30"/>
      <c r="IYZ35" s="30"/>
      <c r="IZA35" s="30"/>
      <c r="IZB35" s="30"/>
      <c r="IZC35" s="30"/>
      <c r="IZD35" s="30"/>
      <c r="IZE35" s="30"/>
      <c r="IZF35" s="30"/>
      <c r="IZG35" s="30"/>
      <c r="IZH35" s="30"/>
      <c r="IZI35" s="30"/>
      <c r="IZJ35" s="30"/>
      <c r="IZK35" s="30"/>
      <c r="IZL35" s="30"/>
      <c r="IZM35" s="30"/>
      <c r="IZN35" s="30"/>
      <c r="IZO35" s="30"/>
      <c r="IZP35" s="30"/>
      <c r="IZQ35" s="30"/>
      <c r="IZR35" s="30"/>
      <c r="IZS35" s="30"/>
      <c r="IZT35" s="30"/>
      <c r="IZU35" s="30"/>
      <c r="IZV35" s="30"/>
      <c r="IZW35" s="30"/>
      <c r="IZX35" s="30"/>
      <c r="IZY35" s="30"/>
      <c r="IZZ35" s="30"/>
      <c r="JAA35" s="30"/>
      <c r="JAB35" s="30"/>
      <c r="JAC35" s="30"/>
      <c r="JAD35" s="30"/>
      <c r="JAE35" s="30"/>
      <c r="JAF35" s="30"/>
      <c r="JAG35" s="30"/>
      <c r="JAH35" s="30"/>
      <c r="JAI35" s="30"/>
      <c r="JAJ35" s="30"/>
      <c r="JAK35" s="30"/>
      <c r="JAL35" s="30"/>
      <c r="JAM35" s="30"/>
      <c r="JAN35" s="30"/>
      <c r="JAO35" s="30"/>
      <c r="JAP35" s="30"/>
      <c r="JAQ35" s="30"/>
      <c r="JAR35" s="30"/>
      <c r="JAS35" s="30"/>
      <c r="JAT35" s="30"/>
      <c r="JAU35" s="30"/>
      <c r="JAV35" s="30"/>
      <c r="JAW35" s="30"/>
      <c r="JAX35" s="30"/>
      <c r="JAY35" s="30"/>
      <c r="JAZ35" s="30"/>
      <c r="JBA35" s="30"/>
      <c r="JBB35" s="30"/>
      <c r="JBC35" s="30"/>
      <c r="JBD35" s="30"/>
      <c r="JBE35" s="30"/>
      <c r="JBF35" s="30"/>
      <c r="JBG35" s="30"/>
      <c r="JBH35" s="30"/>
      <c r="JBI35" s="30"/>
      <c r="JBJ35" s="30"/>
      <c r="JBK35" s="30"/>
      <c r="JBL35" s="30"/>
      <c r="JBM35" s="30"/>
      <c r="JBN35" s="30"/>
      <c r="JBO35" s="30"/>
      <c r="JBP35" s="30"/>
      <c r="JBQ35" s="30"/>
      <c r="JBR35" s="30"/>
      <c r="JBS35" s="30"/>
      <c r="JBT35" s="30"/>
      <c r="JBU35" s="30"/>
      <c r="JBV35" s="30"/>
      <c r="JBW35" s="30"/>
      <c r="JBX35" s="30"/>
      <c r="JBY35" s="30"/>
      <c r="JBZ35" s="30"/>
      <c r="JCA35" s="30"/>
      <c r="JCB35" s="30"/>
      <c r="JCC35" s="30"/>
      <c r="JCD35" s="30"/>
      <c r="JCE35" s="30"/>
      <c r="JCF35" s="30"/>
      <c r="JCG35" s="30"/>
      <c r="JCH35" s="30"/>
      <c r="JCI35" s="30"/>
      <c r="JCJ35" s="30"/>
      <c r="JCK35" s="30"/>
      <c r="JCL35" s="30"/>
      <c r="JCM35" s="30"/>
      <c r="JCN35" s="30"/>
      <c r="JCO35" s="30"/>
      <c r="JCP35" s="30"/>
      <c r="JCQ35" s="30"/>
      <c r="JCR35" s="30"/>
      <c r="JCS35" s="30"/>
      <c r="JCT35" s="30"/>
      <c r="JCU35" s="30"/>
      <c r="JCV35" s="30"/>
      <c r="JCW35" s="30"/>
      <c r="JCX35" s="30"/>
      <c r="JCY35" s="30"/>
      <c r="JCZ35" s="30"/>
      <c r="JDA35" s="30"/>
      <c r="JDB35" s="30"/>
      <c r="JDC35" s="30"/>
      <c r="JDD35" s="30"/>
      <c r="JDE35" s="30"/>
      <c r="JDF35" s="30"/>
      <c r="JDG35" s="30"/>
      <c r="JDH35" s="30"/>
      <c r="JDI35" s="30"/>
      <c r="JDJ35" s="30"/>
      <c r="JDK35" s="30"/>
      <c r="JDL35" s="30"/>
      <c r="JDM35" s="30"/>
      <c r="JDN35" s="30"/>
      <c r="JDO35" s="30"/>
      <c r="JDP35" s="30"/>
      <c r="JDQ35" s="30"/>
      <c r="JDR35" s="30"/>
      <c r="JDS35" s="30"/>
      <c r="JDT35" s="30"/>
      <c r="JDU35" s="30"/>
      <c r="JDV35" s="30"/>
      <c r="JDW35" s="30"/>
      <c r="JDX35" s="30"/>
      <c r="JDY35" s="30"/>
      <c r="JDZ35" s="30"/>
      <c r="JEA35" s="30"/>
      <c r="JEB35" s="30"/>
      <c r="JEC35" s="30"/>
      <c r="JED35" s="30"/>
      <c r="JEE35" s="30"/>
      <c r="JEF35" s="30"/>
      <c r="JEG35" s="30"/>
      <c r="JEH35" s="30"/>
      <c r="JEI35" s="30"/>
      <c r="JEJ35" s="30"/>
      <c r="JEK35" s="30"/>
      <c r="JEL35" s="30"/>
      <c r="JEM35" s="30"/>
      <c r="JEN35" s="30"/>
      <c r="JEO35" s="30"/>
      <c r="JEP35" s="30"/>
      <c r="JEQ35" s="30"/>
      <c r="JER35" s="30"/>
      <c r="JES35" s="30"/>
      <c r="JET35" s="30"/>
      <c r="JEU35" s="30"/>
      <c r="JEV35" s="30"/>
      <c r="JEW35" s="30"/>
      <c r="JEX35" s="30"/>
      <c r="JEY35" s="30"/>
      <c r="JEZ35" s="30"/>
      <c r="JFA35" s="30"/>
      <c r="JFB35" s="30"/>
      <c r="JFC35" s="30"/>
      <c r="JFD35" s="30"/>
      <c r="JFE35" s="30"/>
      <c r="JFF35" s="30"/>
      <c r="JFG35" s="30"/>
      <c r="JFH35" s="30"/>
      <c r="JFI35" s="30"/>
      <c r="JFJ35" s="30"/>
      <c r="JFK35" s="30"/>
      <c r="JFL35" s="30"/>
      <c r="JFM35" s="30"/>
      <c r="JFN35" s="30"/>
      <c r="JFO35" s="30"/>
      <c r="JFP35" s="30"/>
      <c r="JFQ35" s="30"/>
      <c r="JFR35" s="30"/>
      <c r="JFS35" s="30"/>
      <c r="JFT35" s="30"/>
      <c r="JFU35" s="30"/>
      <c r="JFV35" s="30"/>
      <c r="JFW35" s="30"/>
      <c r="JFX35" s="30"/>
      <c r="JFY35" s="30"/>
      <c r="JFZ35" s="30"/>
      <c r="JGA35" s="30"/>
      <c r="JGB35" s="30"/>
      <c r="JGC35" s="30"/>
      <c r="JGD35" s="30"/>
      <c r="JGE35" s="30"/>
      <c r="JGF35" s="30"/>
      <c r="JGG35" s="30"/>
      <c r="JGH35" s="30"/>
      <c r="JGI35" s="30"/>
      <c r="JGJ35" s="30"/>
      <c r="JGK35" s="30"/>
      <c r="JGL35" s="30"/>
      <c r="JGM35" s="30"/>
      <c r="JGN35" s="30"/>
      <c r="JGO35" s="30"/>
      <c r="JGP35" s="30"/>
      <c r="JGQ35" s="30"/>
      <c r="JGR35" s="30"/>
      <c r="JGS35" s="30"/>
      <c r="JGT35" s="30"/>
      <c r="JGU35" s="30"/>
      <c r="JGV35" s="30"/>
      <c r="JGW35" s="30"/>
      <c r="JGX35" s="30"/>
      <c r="JGY35" s="30"/>
      <c r="JGZ35" s="30"/>
      <c r="JHA35" s="30"/>
      <c r="JHB35" s="30"/>
      <c r="JHC35" s="30"/>
      <c r="JHD35" s="30"/>
      <c r="JHE35" s="30"/>
      <c r="JHF35" s="30"/>
      <c r="JHG35" s="30"/>
      <c r="JHH35" s="30"/>
      <c r="JHI35" s="30"/>
      <c r="JHJ35" s="30"/>
      <c r="JHK35" s="30"/>
      <c r="JHL35" s="30"/>
      <c r="JHM35" s="30"/>
      <c r="JHN35" s="30"/>
      <c r="JHO35" s="30"/>
      <c r="JHP35" s="30"/>
      <c r="JHQ35" s="30"/>
      <c r="JHR35" s="30"/>
      <c r="JHS35" s="30"/>
      <c r="JHT35" s="30"/>
      <c r="JHU35" s="30"/>
      <c r="JHV35" s="30"/>
      <c r="JHW35" s="30"/>
      <c r="JHX35" s="30"/>
      <c r="JHY35" s="30"/>
      <c r="JHZ35" s="30"/>
      <c r="JIA35" s="30"/>
      <c r="JIB35" s="30"/>
      <c r="JIC35" s="30"/>
      <c r="JID35" s="30"/>
      <c r="JIE35" s="30"/>
      <c r="JIF35" s="30"/>
      <c r="JIG35" s="30"/>
      <c r="JIH35" s="30"/>
      <c r="JII35" s="30"/>
      <c r="JIJ35" s="30"/>
      <c r="JIK35" s="30"/>
      <c r="JIL35" s="30"/>
      <c r="JIM35" s="30"/>
      <c r="JIN35" s="30"/>
      <c r="JIO35" s="30"/>
      <c r="JIP35" s="30"/>
      <c r="JIQ35" s="30"/>
      <c r="JIR35" s="30"/>
      <c r="JIS35" s="30"/>
      <c r="JIT35" s="30"/>
      <c r="JIU35" s="30"/>
      <c r="JIV35" s="30"/>
      <c r="JIW35" s="30"/>
      <c r="JIX35" s="30"/>
      <c r="JIY35" s="30"/>
      <c r="JIZ35" s="30"/>
      <c r="JJA35" s="30"/>
      <c r="JJB35" s="30"/>
      <c r="JJC35" s="30"/>
      <c r="JJD35" s="30"/>
      <c r="JJE35" s="30"/>
      <c r="JJF35" s="30"/>
      <c r="JJG35" s="30"/>
      <c r="JJH35" s="30"/>
      <c r="JJI35" s="30"/>
      <c r="JJJ35" s="30"/>
      <c r="JJK35" s="30"/>
      <c r="JJL35" s="30"/>
      <c r="JJM35" s="30"/>
      <c r="JJN35" s="30"/>
      <c r="JJO35" s="30"/>
      <c r="JJP35" s="30"/>
      <c r="JJQ35" s="30"/>
      <c r="JJR35" s="30"/>
      <c r="JJS35" s="30"/>
      <c r="JJT35" s="30"/>
      <c r="JJU35" s="30"/>
      <c r="JJV35" s="30"/>
      <c r="JJW35" s="30"/>
      <c r="JJX35" s="30"/>
      <c r="JJY35" s="30"/>
      <c r="JJZ35" s="30"/>
      <c r="JKA35" s="30"/>
      <c r="JKB35" s="30"/>
      <c r="JKC35" s="30"/>
      <c r="JKD35" s="30"/>
      <c r="JKE35" s="30"/>
      <c r="JKF35" s="30"/>
      <c r="JKG35" s="30"/>
      <c r="JKH35" s="30"/>
      <c r="JKI35" s="30"/>
      <c r="JKJ35" s="30"/>
      <c r="JKK35" s="30"/>
      <c r="JKL35" s="30"/>
      <c r="JKM35" s="30"/>
      <c r="JKN35" s="30"/>
      <c r="JKO35" s="30"/>
      <c r="JKP35" s="30"/>
      <c r="JKQ35" s="30"/>
      <c r="JKR35" s="30"/>
      <c r="JKS35" s="30"/>
      <c r="JKT35" s="30"/>
      <c r="JKU35" s="30"/>
      <c r="JKV35" s="30"/>
      <c r="JKW35" s="30"/>
      <c r="JKX35" s="30"/>
      <c r="JKY35" s="30"/>
      <c r="JKZ35" s="30"/>
      <c r="JLA35" s="30"/>
      <c r="JLB35" s="30"/>
      <c r="JLC35" s="30"/>
      <c r="JLD35" s="30"/>
      <c r="JLE35" s="30"/>
      <c r="JLF35" s="30"/>
      <c r="JLG35" s="30"/>
      <c r="JLH35" s="30"/>
      <c r="JLI35" s="30"/>
      <c r="JLJ35" s="30"/>
      <c r="JLK35" s="30"/>
      <c r="JLL35" s="30"/>
      <c r="JLM35" s="30"/>
      <c r="JLN35" s="30"/>
      <c r="JLO35" s="30"/>
      <c r="JLP35" s="30"/>
      <c r="JLQ35" s="30"/>
      <c r="JLR35" s="30"/>
      <c r="JLS35" s="30"/>
      <c r="JLT35" s="30"/>
      <c r="JLU35" s="30"/>
      <c r="JLV35" s="30"/>
      <c r="JLW35" s="30"/>
      <c r="JLX35" s="30"/>
      <c r="JLY35" s="30"/>
      <c r="JLZ35" s="30"/>
      <c r="JMA35" s="30"/>
      <c r="JMB35" s="30"/>
      <c r="JMC35" s="30"/>
      <c r="JMD35" s="30"/>
      <c r="JME35" s="30"/>
      <c r="JMF35" s="30"/>
      <c r="JMG35" s="30"/>
      <c r="JMH35" s="30"/>
      <c r="JMI35" s="30"/>
      <c r="JMJ35" s="30"/>
      <c r="JMK35" s="30"/>
      <c r="JML35" s="30"/>
      <c r="JMM35" s="30"/>
      <c r="JMN35" s="30"/>
      <c r="JMO35" s="30"/>
      <c r="JMP35" s="30"/>
      <c r="JMQ35" s="30"/>
      <c r="JMR35" s="30"/>
      <c r="JMS35" s="30"/>
      <c r="JMT35" s="30"/>
      <c r="JMU35" s="30"/>
      <c r="JMV35" s="30"/>
      <c r="JMW35" s="30"/>
      <c r="JMX35" s="30"/>
      <c r="JMY35" s="30"/>
      <c r="JMZ35" s="30"/>
      <c r="JNA35" s="30"/>
      <c r="JNB35" s="30"/>
      <c r="JNC35" s="30"/>
      <c r="JND35" s="30"/>
      <c r="JNE35" s="30"/>
      <c r="JNF35" s="30"/>
      <c r="JNG35" s="30"/>
      <c r="JNH35" s="30"/>
      <c r="JNI35" s="30"/>
      <c r="JNJ35" s="30"/>
      <c r="JNK35" s="30"/>
      <c r="JNL35" s="30"/>
      <c r="JNM35" s="30"/>
      <c r="JNN35" s="30"/>
      <c r="JNO35" s="30"/>
      <c r="JNP35" s="30"/>
      <c r="JNQ35" s="30"/>
      <c r="JNR35" s="30"/>
      <c r="JNS35" s="30"/>
      <c r="JNT35" s="30"/>
      <c r="JNU35" s="30"/>
      <c r="JNV35" s="30"/>
      <c r="JNW35" s="30"/>
      <c r="JNX35" s="30"/>
      <c r="JNY35" s="30"/>
      <c r="JNZ35" s="30"/>
      <c r="JOA35" s="30"/>
      <c r="JOB35" s="30"/>
      <c r="JOC35" s="30"/>
      <c r="JOD35" s="30"/>
      <c r="JOE35" s="30"/>
      <c r="JOF35" s="30"/>
      <c r="JOG35" s="30"/>
      <c r="JOH35" s="30"/>
      <c r="JOI35" s="30"/>
      <c r="JOJ35" s="30"/>
      <c r="JOK35" s="30"/>
      <c r="JOL35" s="30"/>
      <c r="JOM35" s="30"/>
      <c r="JON35" s="30"/>
      <c r="JOO35" s="30"/>
      <c r="JOP35" s="30"/>
      <c r="JOQ35" s="30"/>
      <c r="JOR35" s="30"/>
      <c r="JOS35" s="30"/>
      <c r="JOT35" s="30"/>
      <c r="JOU35" s="30"/>
      <c r="JOV35" s="30"/>
      <c r="JOW35" s="30"/>
      <c r="JOX35" s="30"/>
      <c r="JOY35" s="30"/>
      <c r="JOZ35" s="30"/>
      <c r="JPA35" s="30"/>
      <c r="JPB35" s="30"/>
      <c r="JPC35" s="30"/>
      <c r="JPD35" s="30"/>
      <c r="JPE35" s="30"/>
      <c r="JPF35" s="30"/>
      <c r="JPG35" s="30"/>
      <c r="JPH35" s="30"/>
      <c r="JPI35" s="30"/>
      <c r="JPJ35" s="30"/>
      <c r="JPK35" s="30"/>
      <c r="JPL35" s="30"/>
      <c r="JPM35" s="30"/>
      <c r="JPN35" s="30"/>
      <c r="JPO35" s="30"/>
      <c r="JPP35" s="30"/>
      <c r="JPQ35" s="30"/>
      <c r="JPR35" s="30"/>
      <c r="JPS35" s="30"/>
      <c r="JPT35" s="30"/>
      <c r="JPU35" s="30"/>
      <c r="JPV35" s="30"/>
      <c r="JPW35" s="30"/>
      <c r="JPX35" s="30"/>
      <c r="JPY35" s="30"/>
      <c r="JPZ35" s="30"/>
      <c r="JQA35" s="30"/>
      <c r="JQB35" s="30"/>
      <c r="JQC35" s="30"/>
      <c r="JQD35" s="30"/>
      <c r="JQE35" s="30"/>
      <c r="JQF35" s="30"/>
      <c r="JQG35" s="30"/>
      <c r="JQH35" s="30"/>
      <c r="JQI35" s="30"/>
      <c r="JQJ35" s="30"/>
      <c r="JQK35" s="30"/>
      <c r="JQL35" s="30"/>
      <c r="JQM35" s="30"/>
      <c r="JQN35" s="30"/>
      <c r="JQO35" s="30"/>
      <c r="JQP35" s="30"/>
      <c r="JQQ35" s="30"/>
      <c r="JQR35" s="30"/>
      <c r="JQS35" s="30"/>
      <c r="JQT35" s="30"/>
      <c r="JQU35" s="30"/>
      <c r="JQV35" s="30"/>
      <c r="JQW35" s="30"/>
      <c r="JQX35" s="30"/>
      <c r="JQY35" s="30"/>
      <c r="JQZ35" s="30"/>
      <c r="JRA35" s="30"/>
      <c r="JRB35" s="30"/>
      <c r="JRC35" s="30"/>
      <c r="JRD35" s="30"/>
      <c r="JRE35" s="30"/>
      <c r="JRF35" s="30"/>
      <c r="JRG35" s="30"/>
      <c r="JRH35" s="30"/>
      <c r="JRI35" s="30"/>
      <c r="JRJ35" s="30"/>
      <c r="JRK35" s="30"/>
      <c r="JRL35" s="30"/>
      <c r="JRM35" s="30"/>
      <c r="JRN35" s="30"/>
      <c r="JRO35" s="30"/>
      <c r="JRP35" s="30"/>
      <c r="JRQ35" s="30"/>
      <c r="JRR35" s="30"/>
      <c r="JRS35" s="30"/>
      <c r="JRT35" s="30"/>
      <c r="JRU35" s="30"/>
      <c r="JRV35" s="30"/>
      <c r="JRW35" s="30"/>
      <c r="JRX35" s="30"/>
      <c r="JRY35" s="30"/>
      <c r="JRZ35" s="30"/>
      <c r="JSA35" s="30"/>
      <c r="JSB35" s="30"/>
      <c r="JSC35" s="30"/>
      <c r="JSD35" s="30"/>
      <c r="JSE35" s="30"/>
      <c r="JSF35" s="30"/>
      <c r="JSG35" s="30"/>
      <c r="JSH35" s="30"/>
      <c r="JSI35" s="30"/>
      <c r="JSJ35" s="30"/>
      <c r="JSK35" s="30"/>
      <c r="JSL35" s="30"/>
      <c r="JSM35" s="30"/>
      <c r="JSN35" s="30"/>
      <c r="JSO35" s="30"/>
      <c r="JSP35" s="30"/>
      <c r="JSQ35" s="30"/>
      <c r="JSR35" s="30"/>
      <c r="JSS35" s="30"/>
      <c r="JST35" s="30"/>
      <c r="JSU35" s="30"/>
      <c r="JSV35" s="30"/>
      <c r="JSW35" s="30"/>
      <c r="JSX35" s="30"/>
      <c r="JSY35" s="30"/>
      <c r="JSZ35" s="30"/>
      <c r="JTA35" s="30"/>
      <c r="JTB35" s="30"/>
      <c r="JTC35" s="30"/>
      <c r="JTD35" s="30"/>
      <c r="JTE35" s="30"/>
      <c r="JTF35" s="30"/>
      <c r="JTG35" s="30"/>
      <c r="JTH35" s="30"/>
      <c r="JTI35" s="30"/>
      <c r="JTJ35" s="30"/>
      <c r="JTK35" s="30"/>
      <c r="JTL35" s="30"/>
      <c r="JTM35" s="30"/>
      <c r="JTN35" s="30"/>
      <c r="JTO35" s="30"/>
      <c r="JTP35" s="30"/>
      <c r="JTQ35" s="30"/>
      <c r="JTR35" s="30"/>
      <c r="JTS35" s="30"/>
      <c r="JTT35" s="30"/>
      <c r="JTU35" s="30"/>
      <c r="JTV35" s="30"/>
      <c r="JTW35" s="30"/>
      <c r="JTX35" s="30"/>
      <c r="JTY35" s="30"/>
      <c r="JTZ35" s="30"/>
      <c r="JUA35" s="30"/>
      <c r="JUB35" s="30"/>
      <c r="JUC35" s="30"/>
      <c r="JUD35" s="30"/>
      <c r="JUE35" s="30"/>
      <c r="JUF35" s="30"/>
      <c r="JUG35" s="30"/>
      <c r="JUH35" s="30"/>
      <c r="JUI35" s="30"/>
      <c r="JUJ35" s="30"/>
      <c r="JUK35" s="30"/>
      <c r="JUL35" s="30"/>
      <c r="JUM35" s="30"/>
      <c r="JUN35" s="30"/>
      <c r="JUO35" s="30"/>
      <c r="JUP35" s="30"/>
      <c r="JUQ35" s="30"/>
      <c r="JUR35" s="30"/>
      <c r="JUS35" s="30"/>
      <c r="JUT35" s="30"/>
      <c r="JUU35" s="30"/>
      <c r="JUV35" s="30"/>
      <c r="JUW35" s="30"/>
      <c r="JUX35" s="30"/>
      <c r="JUY35" s="30"/>
      <c r="JUZ35" s="30"/>
      <c r="JVA35" s="30"/>
      <c r="JVB35" s="30"/>
      <c r="JVC35" s="30"/>
      <c r="JVD35" s="30"/>
      <c r="JVE35" s="30"/>
      <c r="JVF35" s="30"/>
      <c r="JVG35" s="30"/>
      <c r="JVH35" s="30"/>
      <c r="JVI35" s="30"/>
      <c r="JVJ35" s="30"/>
      <c r="JVK35" s="30"/>
      <c r="JVL35" s="30"/>
      <c r="JVM35" s="30"/>
      <c r="JVN35" s="30"/>
      <c r="JVO35" s="30"/>
      <c r="JVP35" s="30"/>
      <c r="JVQ35" s="30"/>
      <c r="JVR35" s="30"/>
      <c r="JVS35" s="30"/>
      <c r="JVT35" s="30"/>
      <c r="JVU35" s="30"/>
      <c r="JVV35" s="30"/>
      <c r="JVW35" s="30"/>
      <c r="JVX35" s="30"/>
      <c r="JVY35" s="30"/>
      <c r="JVZ35" s="30"/>
      <c r="JWA35" s="30"/>
      <c r="JWB35" s="30"/>
      <c r="JWC35" s="30"/>
      <c r="JWD35" s="30"/>
      <c r="JWE35" s="30"/>
      <c r="JWF35" s="30"/>
      <c r="JWG35" s="30"/>
      <c r="JWH35" s="30"/>
      <c r="JWI35" s="30"/>
      <c r="JWJ35" s="30"/>
      <c r="JWK35" s="30"/>
      <c r="JWL35" s="30"/>
      <c r="JWM35" s="30"/>
      <c r="JWN35" s="30"/>
      <c r="JWO35" s="30"/>
      <c r="JWP35" s="30"/>
      <c r="JWQ35" s="30"/>
      <c r="JWR35" s="30"/>
      <c r="JWS35" s="30"/>
      <c r="JWT35" s="30"/>
      <c r="JWU35" s="30"/>
      <c r="JWV35" s="30"/>
      <c r="JWW35" s="30"/>
      <c r="JWX35" s="30"/>
      <c r="JWY35" s="30"/>
      <c r="JWZ35" s="30"/>
      <c r="JXA35" s="30"/>
      <c r="JXB35" s="30"/>
      <c r="JXC35" s="30"/>
      <c r="JXD35" s="30"/>
      <c r="JXE35" s="30"/>
      <c r="JXF35" s="30"/>
      <c r="JXG35" s="30"/>
      <c r="JXH35" s="30"/>
      <c r="JXI35" s="30"/>
      <c r="JXJ35" s="30"/>
      <c r="JXK35" s="30"/>
      <c r="JXL35" s="30"/>
      <c r="JXM35" s="30"/>
      <c r="JXN35" s="30"/>
      <c r="JXO35" s="30"/>
      <c r="JXP35" s="30"/>
      <c r="JXQ35" s="30"/>
      <c r="JXR35" s="30"/>
      <c r="JXS35" s="30"/>
      <c r="JXT35" s="30"/>
      <c r="JXU35" s="30"/>
      <c r="JXV35" s="30"/>
      <c r="JXW35" s="30"/>
      <c r="JXX35" s="30"/>
      <c r="JXY35" s="30"/>
      <c r="JXZ35" s="30"/>
      <c r="JYA35" s="30"/>
      <c r="JYB35" s="30"/>
      <c r="JYC35" s="30"/>
      <c r="JYD35" s="30"/>
      <c r="JYE35" s="30"/>
      <c r="JYF35" s="30"/>
      <c r="JYG35" s="30"/>
      <c r="JYH35" s="30"/>
      <c r="JYI35" s="30"/>
      <c r="JYJ35" s="30"/>
      <c r="JYK35" s="30"/>
      <c r="JYL35" s="30"/>
      <c r="JYM35" s="30"/>
      <c r="JYN35" s="30"/>
      <c r="JYO35" s="30"/>
      <c r="JYP35" s="30"/>
      <c r="JYQ35" s="30"/>
      <c r="JYR35" s="30"/>
      <c r="JYS35" s="30"/>
      <c r="JYT35" s="30"/>
      <c r="JYU35" s="30"/>
      <c r="JYV35" s="30"/>
      <c r="JYW35" s="30"/>
      <c r="JYX35" s="30"/>
      <c r="JYY35" s="30"/>
      <c r="JYZ35" s="30"/>
      <c r="JZA35" s="30"/>
      <c r="JZB35" s="30"/>
      <c r="JZC35" s="30"/>
      <c r="JZD35" s="30"/>
      <c r="JZE35" s="30"/>
      <c r="JZF35" s="30"/>
      <c r="JZG35" s="30"/>
      <c r="JZH35" s="30"/>
      <c r="JZI35" s="30"/>
      <c r="JZJ35" s="30"/>
      <c r="JZK35" s="30"/>
      <c r="JZL35" s="30"/>
      <c r="JZM35" s="30"/>
      <c r="JZN35" s="30"/>
      <c r="JZO35" s="30"/>
      <c r="JZP35" s="30"/>
      <c r="JZQ35" s="30"/>
      <c r="JZR35" s="30"/>
      <c r="JZS35" s="30"/>
      <c r="JZT35" s="30"/>
      <c r="JZU35" s="30"/>
      <c r="JZV35" s="30"/>
      <c r="JZW35" s="30"/>
      <c r="JZX35" s="30"/>
      <c r="JZY35" s="30"/>
      <c r="JZZ35" s="30"/>
      <c r="KAA35" s="30"/>
      <c r="KAB35" s="30"/>
      <c r="KAC35" s="30"/>
      <c r="KAD35" s="30"/>
      <c r="KAE35" s="30"/>
      <c r="KAF35" s="30"/>
      <c r="KAG35" s="30"/>
      <c r="KAH35" s="30"/>
      <c r="KAI35" s="30"/>
      <c r="KAJ35" s="30"/>
      <c r="KAK35" s="30"/>
      <c r="KAL35" s="30"/>
      <c r="KAM35" s="30"/>
      <c r="KAN35" s="30"/>
      <c r="KAO35" s="30"/>
      <c r="KAP35" s="30"/>
      <c r="KAQ35" s="30"/>
      <c r="KAR35" s="30"/>
      <c r="KAS35" s="30"/>
      <c r="KAT35" s="30"/>
      <c r="KAU35" s="30"/>
      <c r="KAV35" s="30"/>
      <c r="KAW35" s="30"/>
      <c r="KAX35" s="30"/>
      <c r="KAY35" s="30"/>
      <c r="KAZ35" s="30"/>
      <c r="KBA35" s="30"/>
      <c r="KBB35" s="30"/>
      <c r="KBC35" s="30"/>
      <c r="KBD35" s="30"/>
      <c r="KBE35" s="30"/>
      <c r="KBF35" s="30"/>
      <c r="KBG35" s="30"/>
      <c r="KBH35" s="30"/>
      <c r="KBI35" s="30"/>
      <c r="KBJ35" s="30"/>
      <c r="KBK35" s="30"/>
      <c r="KBL35" s="30"/>
      <c r="KBM35" s="30"/>
      <c r="KBN35" s="30"/>
      <c r="KBO35" s="30"/>
      <c r="KBP35" s="30"/>
      <c r="KBQ35" s="30"/>
      <c r="KBR35" s="30"/>
      <c r="KBS35" s="30"/>
      <c r="KBT35" s="30"/>
      <c r="KBU35" s="30"/>
      <c r="KBV35" s="30"/>
      <c r="KBW35" s="30"/>
      <c r="KBX35" s="30"/>
      <c r="KBY35" s="30"/>
      <c r="KBZ35" s="30"/>
      <c r="KCA35" s="30"/>
      <c r="KCB35" s="30"/>
      <c r="KCC35" s="30"/>
      <c r="KCD35" s="30"/>
      <c r="KCE35" s="30"/>
      <c r="KCF35" s="30"/>
      <c r="KCG35" s="30"/>
      <c r="KCH35" s="30"/>
      <c r="KCI35" s="30"/>
      <c r="KCJ35" s="30"/>
      <c r="KCK35" s="30"/>
      <c r="KCL35" s="30"/>
      <c r="KCM35" s="30"/>
      <c r="KCN35" s="30"/>
      <c r="KCO35" s="30"/>
      <c r="KCP35" s="30"/>
      <c r="KCQ35" s="30"/>
      <c r="KCR35" s="30"/>
      <c r="KCS35" s="30"/>
      <c r="KCT35" s="30"/>
      <c r="KCU35" s="30"/>
      <c r="KCV35" s="30"/>
      <c r="KCW35" s="30"/>
      <c r="KCX35" s="30"/>
      <c r="KCY35" s="30"/>
      <c r="KCZ35" s="30"/>
      <c r="KDA35" s="30"/>
      <c r="KDB35" s="30"/>
      <c r="KDC35" s="30"/>
      <c r="KDD35" s="30"/>
      <c r="KDE35" s="30"/>
      <c r="KDF35" s="30"/>
      <c r="KDG35" s="30"/>
      <c r="KDH35" s="30"/>
      <c r="KDI35" s="30"/>
      <c r="KDJ35" s="30"/>
      <c r="KDK35" s="30"/>
      <c r="KDL35" s="30"/>
      <c r="KDM35" s="30"/>
      <c r="KDN35" s="30"/>
      <c r="KDO35" s="30"/>
      <c r="KDP35" s="30"/>
      <c r="KDQ35" s="30"/>
      <c r="KDR35" s="30"/>
      <c r="KDS35" s="30"/>
      <c r="KDT35" s="30"/>
      <c r="KDU35" s="30"/>
      <c r="KDV35" s="30"/>
      <c r="KDW35" s="30"/>
      <c r="KDX35" s="30"/>
      <c r="KDY35" s="30"/>
      <c r="KDZ35" s="30"/>
      <c r="KEA35" s="30"/>
      <c r="KEB35" s="30"/>
      <c r="KEC35" s="30"/>
      <c r="KED35" s="30"/>
      <c r="KEE35" s="30"/>
      <c r="KEF35" s="30"/>
      <c r="KEG35" s="30"/>
      <c r="KEH35" s="30"/>
      <c r="KEI35" s="30"/>
      <c r="KEJ35" s="30"/>
      <c r="KEK35" s="30"/>
      <c r="KEL35" s="30"/>
      <c r="KEM35" s="30"/>
      <c r="KEN35" s="30"/>
      <c r="KEO35" s="30"/>
      <c r="KEP35" s="30"/>
      <c r="KEQ35" s="30"/>
      <c r="KER35" s="30"/>
      <c r="KES35" s="30"/>
      <c r="KET35" s="30"/>
      <c r="KEU35" s="30"/>
      <c r="KEV35" s="30"/>
      <c r="KEW35" s="30"/>
      <c r="KEX35" s="30"/>
      <c r="KEY35" s="30"/>
      <c r="KEZ35" s="30"/>
      <c r="KFA35" s="30"/>
      <c r="KFB35" s="30"/>
      <c r="KFC35" s="30"/>
      <c r="KFD35" s="30"/>
      <c r="KFE35" s="30"/>
      <c r="KFF35" s="30"/>
      <c r="KFG35" s="30"/>
      <c r="KFH35" s="30"/>
      <c r="KFI35" s="30"/>
      <c r="KFJ35" s="30"/>
      <c r="KFK35" s="30"/>
      <c r="KFL35" s="30"/>
      <c r="KFM35" s="30"/>
      <c r="KFN35" s="30"/>
      <c r="KFO35" s="30"/>
      <c r="KFP35" s="30"/>
      <c r="KFQ35" s="30"/>
      <c r="KFR35" s="30"/>
      <c r="KFS35" s="30"/>
      <c r="KFT35" s="30"/>
      <c r="KFU35" s="30"/>
      <c r="KFV35" s="30"/>
      <c r="KFW35" s="30"/>
      <c r="KFX35" s="30"/>
      <c r="KFY35" s="30"/>
      <c r="KFZ35" s="30"/>
      <c r="KGA35" s="30"/>
      <c r="KGB35" s="30"/>
      <c r="KGC35" s="30"/>
      <c r="KGD35" s="30"/>
      <c r="KGE35" s="30"/>
      <c r="KGF35" s="30"/>
      <c r="KGG35" s="30"/>
      <c r="KGH35" s="30"/>
      <c r="KGI35" s="30"/>
      <c r="KGJ35" s="30"/>
      <c r="KGK35" s="30"/>
      <c r="KGL35" s="30"/>
      <c r="KGM35" s="30"/>
      <c r="KGN35" s="30"/>
      <c r="KGO35" s="30"/>
      <c r="KGP35" s="30"/>
      <c r="KGQ35" s="30"/>
      <c r="KGR35" s="30"/>
      <c r="KGS35" s="30"/>
      <c r="KGT35" s="30"/>
      <c r="KGU35" s="30"/>
      <c r="KGV35" s="30"/>
      <c r="KGW35" s="30"/>
      <c r="KGX35" s="30"/>
      <c r="KGY35" s="30"/>
      <c r="KGZ35" s="30"/>
      <c r="KHA35" s="30"/>
      <c r="KHB35" s="30"/>
      <c r="KHC35" s="30"/>
      <c r="KHD35" s="30"/>
      <c r="KHE35" s="30"/>
      <c r="KHF35" s="30"/>
      <c r="KHG35" s="30"/>
      <c r="KHH35" s="30"/>
      <c r="KHI35" s="30"/>
      <c r="KHJ35" s="30"/>
      <c r="KHK35" s="30"/>
      <c r="KHL35" s="30"/>
      <c r="KHM35" s="30"/>
      <c r="KHN35" s="30"/>
      <c r="KHO35" s="30"/>
      <c r="KHP35" s="30"/>
      <c r="KHQ35" s="30"/>
      <c r="KHR35" s="30"/>
      <c r="KHS35" s="30"/>
      <c r="KHT35" s="30"/>
      <c r="KHU35" s="30"/>
      <c r="KHV35" s="30"/>
      <c r="KHW35" s="30"/>
      <c r="KHX35" s="30"/>
      <c r="KHY35" s="30"/>
      <c r="KHZ35" s="30"/>
      <c r="KIA35" s="30"/>
      <c r="KIB35" s="30"/>
      <c r="KIC35" s="30"/>
      <c r="KID35" s="30"/>
      <c r="KIE35" s="30"/>
      <c r="KIF35" s="30"/>
      <c r="KIG35" s="30"/>
      <c r="KIH35" s="30"/>
      <c r="KII35" s="30"/>
      <c r="KIJ35" s="30"/>
      <c r="KIK35" s="30"/>
      <c r="KIL35" s="30"/>
      <c r="KIM35" s="30"/>
      <c r="KIN35" s="30"/>
      <c r="KIO35" s="30"/>
      <c r="KIP35" s="30"/>
      <c r="KIQ35" s="30"/>
      <c r="KIR35" s="30"/>
      <c r="KIS35" s="30"/>
      <c r="KIT35" s="30"/>
      <c r="KIU35" s="30"/>
      <c r="KIV35" s="30"/>
      <c r="KIW35" s="30"/>
      <c r="KIX35" s="30"/>
      <c r="KIY35" s="30"/>
      <c r="KIZ35" s="30"/>
      <c r="KJA35" s="30"/>
      <c r="KJB35" s="30"/>
      <c r="KJC35" s="30"/>
      <c r="KJD35" s="30"/>
      <c r="KJE35" s="30"/>
      <c r="KJF35" s="30"/>
      <c r="KJG35" s="30"/>
      <c r="KJH35" s="30"/>
      <c r="KJI35" s="30"/>
      <c r="KJJ35" s="30"/>
      <c r="KJK35" s="30"/>
      <c r="KJL35" s="30"/>
      <c r="KJM35" s="30"/>
      <c r="KJN35" s="30"/>
      <c r="KJO35" s="30"/>
      <c r="KJP35" s="30"/>
      <c r="KJQ35" s="30"/>
      <c r="KJR35" s="30"/>
      <c r="KJS35" s="30"/>
      <c r="KJT35" s="30"/>
      <c r="KJU35" s="30"/>
      <c r="KJV35" s="30"/>
      <c r="KJW35" s="30"/>
      <c r="KJX35" s="30"/>
      <c r="KJY35" s="30"/>
      <c r="KJZ35" s="30"/>
      <c r="KKA35" s="30"/>
      <c r="KKB35" s="30"/>
      <c r="KKC35" s="30"/>
      <c r="KKD35" s="30"/>
      <c r="KKE35" s="30"/>
      <c r="KKF35" s="30"/>
      <c r="KKG35" s="30"/>
      <c r="KKH35" s="30"/>
      <c r="KKI35" s="30"/>
      <c r="KKJ35" s="30"/>
      <c r="KKK35" s="30"/>
      <c r="KKL35" s="30"/>
      <c r="KKM35" s="30"/>
      <c r="KKN35" s="30"/>
      <c r="KKO35" s="30"/>
      <c r="KKP35" s="30"/>
      <c r="KKQ35" s="30"/>
      <c r="KKR35" s="30"/>
      <c r="KKS35" s="30"/>
      <c r="KKT35" s="30"/>
      <c r="KKU35" s="30"/>
      <c r="KKV35" s="30"/>
      <c r="KKW35" s="30"/>
      <c r="KKX35" s="30"/>
      <c r="KKY35" s="30"/>
      <c r="KKZ35" s="30"/>
      <c r="KLA35" s="30"/>
      <c r="KLB35" s="30"/>
      <c r="KLC35" s="30"/>
      <c r="KLD35" s="30"/>
      <c r="KLE35" s="30"/>
      <c r="KLF35" s="30"/>
      <c r="KLG35" s="30"/>
      <c r="KLH35" s="30"/>
      <c r="KLI35" s="30"/>
      <c r="KLJ35" s="30"/>
      <c r="KLK35" s="30"/>
      <c r="KLL35" s="30"/>
      <c r="KLM35" s="30"/>
      <c r="KLN35" s="30"/>
      <c r="KLO35" s="30"/>
      <c r="KLP35" s="30"/>
      <c r="KLQ35" s="30"/>
      <c r="KLR35" s="30"/>
      <c r="KLS35" s="30"/>
      <c r="KLT35" s="30"/>
      <c r="KLU35" s="30"/>
      <c r="KLV35" s="30"/>
      <c r="KLW35" s="30"/>
      <c r="KLX35" s="30"/>
      <c r="KLY35" s="30"/>
      <c r="KLZ35" s="30"/>
      <c r="KMA35" s="30"/>
      <c r="KMB35" s="30"/>
      <c r="KMC35" s="30"/>
      <c r="KMD35" s="30"/>
      <c r="KME35" s="30"/>
      <c r="KMF35" s="30"/>
      <c r="KMG35" s="30"/>
      <c r="KMH35" s="30"/>
      <c r="KMI35" s="30"/>
      <c r="KMJ35" s="30"/>
      <c r="KMK35" s="30"/>
      <c r="KML35" s="30"/>
      <c r="KMM35" s="30"/>
      <c r="KMN35" s="30"/>
      <c r="KMO35" s="30"/>
      <c r="KMP35" s="30"/>
      <c r="KMQ35" s="30"/>
      <c r="KMR35" s="30"/>
      <c r="KMS35" s="30"/>
      <c r="KMT35" s="30"/>
      <c r="KMU35" s="30"/>
      <c r="KMV35" s="30"/>
      <c r="KMW35" s="30"/>
      <c r="KMX35" s="30"/>
      <c r="KMY35" s="30"/>
      <c r="KMZ35" s="30"/>
      <c r="KNA35" s="30"/>
      <c r="KNB35" s="30"/>
      <c r="KNC35" s="30"/>
      <c r="KND35" s="30"/>
      <c r="KNE35" s="30"/>
      <c r="KNF35" s="30"/>
      <c r="KNG35" s="30"/>
      <c r="KNH35" s="30"/>
      <c r="KNI35" s="30"/>
      <c r="KNJ35" s="30"/>
      <c r="KNK35" s="30"/>
      <c r="KNL35" s="30"/>
      <c r="KNM35" s="30"/>
      <c r="KNN35" s="30"/>
      <c r="KNO35" s="30"/>
      <c r="KNP35" s="30"/>
      <c r="KNQ35" s="30"/>
      <c r="KNR35" s="30"/>
      <c r="KNS35" s="30"/>
      <c r="KNT35" s="30"/>
      <c r="KNU35" s="30"/>
      <c r="KNV35" s="30"/>
      <c r="KNW35" s="30"/>
      <c r="KNX35" s="30"/>
      <c r="KNY35" s="30"/>
      <c r="KNZ35" s="30"/>
      <c r="KOA35" s="30"/>
      <c r="KOB35" s="30"/>
      <c r="KOC35" s="30"/>
      <c r="KOD35" s="30"/>
      <c r="KOE35" s="30"/>
      <c r="KOF35" s="30"/>
      <c r="KOG35" s="30"/>
      <c r="KOH35" s="30"/>
      <c r="KOI35" s="30"/>
      <c r="KOJ35" s="30"/>
      <c r="KOK35" s="30"/>
      <c r="KOL35" s="30"/>
      <c r="KOM35" s="30"/>
      <c r="KON35" s="30"/>
      <c r="KOO35" s="30"/>
      <c r="KOP35" s="30"/>
      <c r="KOQ35" s="30"/>
      <c r="KOR35" s="30"/>
      <c r="KOS35" s="30"/>
      <c r="KOT35" s="30"/>
      <c r="KOU35" s="30"/>
      <c r="KOV35" s="30"/>
      <c r="KOW35" s="30"/>
      <c r="KOX35" s="30"/>
      <c r="KOY35" s="30"/>
      <c r="KOZ35" s="30"/>
      <c r="KPA35" s="30"/>
      <c r="KPB35" s="30"/>
      <c r="KPC35" s="30"/>
      <c r="KPD35" s="30"/>
      <c r="KPE35" s="30"/>
      <c r="KPF35" s="30"/>
      <c r="KPG35" s="30"/>
      <c r="KPH35" s="30"/>
      <c r="KPI35" s="30"/>
      <c r="KPJ35" s="30"/>
      <c r="KPK35" s="30"/>
      <c r="KPL35" s="30"/>
      <c r="KPM35" s="30"/>
      <c r="KPN35" s="30"/>
      <c r="KPO35" s="30"/>
      <c r="KPP35" s="30"/>
      <c r="KPQ35" s="30"/>
      <c r="KPR35" s="30"/>
      <c r="KPS35" s="30"/>
      <c r="KPT35" s="30"/>
      <c r="KPU35" s="30"/>
      <c r="KPV35" s="30"/>
      <c r="KPW35" s="30"/>
      <c r="KPX35" s="30"/>
      <c r="KPY35" s="30"/>
      <c r="KPZ35" s="30"/>
      <c r="KQA35" s="30"/>
      <c r="KQB35" s="30"/>
      <c r="KQC35" s="30"/>
      <c r="KQD35" s="30"/>
      <c r="KQE35" s="30"/>
      <c r="KQF35" s="30"/>
      <c r="KQG35" s="30"/>
      <c r="KQH35" s="30"/>
      <c r="KQI35" s="30"/>
      <c r="KQJ35" s="30"/>
      <c r="KQK35" s="30"/>
      <c r="KQL35" s="30"/>
      <c r="KQM35" s="30"/>
      <c r="KQN35" s="30"/>
      <c r="KQO35" s="30"/>
      <c r="KQP35" s="30"/>
      <c r="KQQ35" s="30"/>
      <c r="KQR35" s="30"/>
      <c r="KQS35" s="30"/>
      <c r="KQT35" s="30"/>
      <c r="KQU35" s="30"/>
      <c r="KQV35" s="30"/>
      <c r="KQW35" s="30"/>
      <c r="KQX35" s="30"/>
      <c r="KQY35" s="30"/>
      <c r="KQZ35" s="30"/>
      <c r="KRA35" s="30"/>
      <c r="KRB35" s="30"/>
      <c r="KRC35" s="30"/>
      <c r="KRD35" s="30"/>
      <c r="KRE35" s="30"/>
      <c r="KRF35" s="30"/>
      <c r="KRG35" s="30"/>
      <c r="KRH35" s="30"/>
      <c r="KRI35" s="30"/>
      <c r="KRJ35" s="30"/>
      <c r="KRK35" s="30"/>
      <c r="KRL35" s="30"/>
      <c r="KRM35" s="30"/>
      <c r="KRN35" s="30"/>
      <c r="KRO35" s="30"/>
      <c r="KRP35" s="30"/>
      <c r="KRQ35" s="30"/>
      <c r="KRR35" s="30"/>
      <c r="KRS35" s="30"/>
      <c r="KRT35" s="30"/>
      <c r="KRU35" s="30"/>
      <c r="KRV35" s="30"/>
      <c r="KRW35" s="30"/>
      <c r="KRX35" s="30"/>
      <c r="KRY35" s="30"/>
      <c r="KRZ35" s="30"/>
      <c r="KSA35" s="30"/>
      <c r="KSB35" s="30"/>
      <c r="KSC35" s="30"/>
      <c r="KSD35" s="30"/>
      <c r="KSE35" s="30"/>
      <c r="KSF35" s="30"/>
      <c r="KSG35" s="30"/>
      <c r="KSH35" s="30"/>
      <c r="KSI35" s="30"/>
      <c r="KSJ35" s="30"/>
      <c r="KSK35" s="30"/>
      <c r="KSL35" s="30"/>
      <c r="KSM35" s="30"/>
      <c r="KSN35" s="30"/>
      <c r="KSO35" s="30"/>
      <c r="KSP35" s="30"/>
      <c r="KSQ35" s="30"/>
      <c r="KSR35" s="30"/>
      <c r="KSS35" s="30"/>
      <c r="KST35" s="30"/>
      <c r="KSU35" s="30"/>
      <c r="KSV35" s="30"/>
      <c r="KSW35" s="30"/>
      <c r="KSX35" s="30"/>
      <c r="KSY35" s="30"/>
      <c r="KSZ35" s="30"/>
      <c r="KTA35" s="30"/>
      <c r="KTB35" s="30"/>
      <c r="KTC35" s="30"/>
      <c r="KTD35" s="30"/>
      <c r="KTE35" s="30"/>
      <c r="KTF35" s="30"/>
      <c r="KTG35" s="30"/>
      <c r="KTH35" s="30"/>
      <c r="KTI35" s="30"/>
      <c r="KTJ35" s="30"/>
      <c r="KTK35" s="30"/>
      <c r="KTL35" s="30"/>
      <c r="KTM35" s="30"/>
      <c r="KTN35" s="30"/>
      <c r="KTO35" s="30"/>
      <c r="KTP35" s="30"/>
      <c r="KTQ35" s="30"/>
      <c r="KTR35" s="30"/>
      <c r="KTS35" s="30"/>
      <c r="KTT35" s="30"/>
      <c r="KTU35" s="30"/>
      <c r="KTV35" s="30"/>
      <c r="KTW35" s="30"/>
      <c r="KTX35" s="30"/>
      <c r="KTY35" s="30"/>
      <c r="KTZ35" s="30"/>
      <c r="KUA35" s="30"/>
      <c r="KUB35" s="30"/>
      <c r="KUC35" s="30"/>
      <c r="KUD35" s="30"/>
      <c r="KUE35" s="30"/>
      <c r="KUF35" s="30"/>
      <c r="KUG35" s="30"/>
      <c r="KUH35" s="30"/>
      <c r="KUI35" s="30"/>
      <c r="KUJ35" s="30"/>
      <c r="KUK35" s="30"/>
      <c r="KUL35" s="30"/>
      <c r="KUM35" s="30"/>
      <c r="KUN35" s="30"/>
      <c r="KUO35" s="30"/>
      <c r="KUP35" s="30"/>
      <c r="KUQ35" s="30"/>
      <c r="KUR35" s="30"/>
      <c r="KUS35" s="30"/>
      <c r="KUT35" s="30"/>
      <c r="KUU35" s="30"/>
      <c r="KUV35" s="30"/>
      <c r="KUW35" s="30"/>
      <c r="KUX35" s="30"/>
      <c r="KUY35" s="30"/>
      <c r="KUZ35" s="30"/>
      <c r="KVA35" s="30"/>
      <c r="KVB35" s="30"/>
      <c r="KVC35" s="30"/>
      <c r="KVD35" s="30"/>
      <c r="KVE35" s="30"/>
      <c r="KVF35" s="30"/>
      <c r="KVG35" s="30"/>
      <c r="KVH35" s="30"/>
      <c r="KVI35" s="30"/>
      <c r="KVJ35" s="30"/>
      <c r="KVK35" s="30"/>
      <c r="KVL35" s="30"/>
      <c r="KVM35" s="30"/>
      <c r="KVN35" s="30"/>
      <c r="KVO35" s="30"/>
      <c r="KVP35" s="30"/>
      <c r="KVQ35" s="30"/>
      <c r="KVR35" s="30"/>
      <c r="KVS35" s="30"/>
      <c r="KVT35" s="30"/>
      <c r="KVU35" s="30"/>
      <c r="KVV35" s="30"/>
      <c r="KVW35" s="30"/>
      <c r="KVX35" s="30"/>
      <c r="KVY35" s="30"/>
      <c r="KVZ35" s="30"/>
      <c r="KWA35" s="30"/>
      <c r="KWB35" s="30"/>
      <c r="KWC35" s="30"/>
      <c r="KWD35" s="30"/>
      <c r="KWE35" s="30"/>
      <c r="KWF35" s="30"/>
      <c r="KWG35" s="30"/>
      <c r="KWH35" s="30"/>
      <c r="KWI35" s="30"/>
      <c r="KWJ35" s="30"/>
      <c r="KWK35" s="30"/>
      <c r="KWL35" s="30"/>
      <c r="KWM35" s="30"/>
      <c r="KWN35" s="30"/>
      <c r="KWO35" s="30"/>
      <c r="KWP35" s="30"/>
      <c r="KWQ35" s="30"/>
      <c r="KWR35" s="30"/>
      <c r="KWS35" s="30"/>
      <c r="KWT35" s="30"/>
      <c r="KWU35" s="30"/>
      <c r="KWV35" s="30"/>
      <c r="KWW35" s="30"/>
      <c r="KWX35" s="30"/>
      <c r="KWY35" s="30"/>
      <c r="KWZ35" s="30"/>
      <c r="KXA35" s="30"/>
      <c r="KXB35" s="30"/>
      <c r="KXC35" s="30"/>
      <c r="KXD35" s="30"/>
      <c r="KXE35" s="30"/>
      <c r="KXF35" s="30"/>
      <c r="KXG35" s="30"/>
      <c r="KXH35" s="30"/>
      <c r="KXI35" s="30"/>
      <c r="KXJ35" s="30"/>
      <c r="KXK35" s="30"/>
      <c r="KXL35" s="30"/>
      <c r="KXM35" s="30"/>
      <c r="KXN35" s="30"/>
      <c r="KXO35" s="30"/>
      <c r="KXP35" s="30"/>
      <c r="KXQ35" s="30"/>
      <c r="KXR35" s="30"/>
      <c r="KXS35" s="30"/>
      <c r="KXT35" s="30"/>
      <c r="KXU35" s="30"/>
      <c r="KXV35" s="30"/>
      <c r="KXW35" s="30"/>
      <c r="KXX35" s="30"/>
      <c r="KXY35" s="30"/>
      <c r="KXZ35" s="30"/>
      <c r="KYA35" s="30"/>
      <c r="KYB35" s="30"/>
      <c r="KYC35" s="30"/>
      <c r="KYD35" s="30"/>
      <c r="KYE35" s="30"/>
      <c r="KYF35" s="30"/>
      <c r="KYG35" s="30"/>
      <c r="KYH35" s="30"/>
      <c r="KYI35" s="30"/>
      <c r="KYJ35" s="30"/>
      <c r="KYK35" s="30"/>
      <c r="KYL35" s="30"/>
      <c r="KYM35" s="30"/>
      <c r="KYN35" s="30"/>
      <c r="KYO35" s="30"/>
      <c r="KYP35" s="30"/>
      <c r="KYQ35" s="30"/>
      <c r="KYR35" s="30"/>
      <c r="KYS35" s="30"/>
      <c r="KYT35" s="30"/>
      <c r="KYU35" s="30"/>
      <c r="KYV35" s="30"/>
      <c r="KYW35" s="30"/>
      <c r="KYX35" s="30"/>
      <c r="KYY35" s="30"/>
      <c r="KYZ35" s="30"/>
      <c r="KZA35" s="30"/>
      <c r="KZB35" s="30"/>
      <c r="KZC35" s="30"/>
      <c r="KZD35" s="30"/>
      <c r="KZE35" s="30"/>
      <c r="KZF35" s="30"/>
      <c r="KZG35" s="30"/>
      <c r="KZH35" s="30"/>
      <c r="KZI35" s="30"/>
      <c r="KZJ35" s="30"/>
      <c r="KZK35" s="30"/>
      <c r="KZL35" s="30"/>
      <c r="KZM35" s="30"/>
      <c r="KZN35" s="30"/>
      <c r="KZO35" s="30"/>
      <c r="KZP35" s="30"/>
      <c r="KZQ35" s="30"/>
      <c r="KZR35" s="30"/>
      <c r="KZS35" s="30"/>
      <c r="KZT35" s="30"/>
      <c r="KZU35" s="30"/>
      <c r="KZV35" s="30"/>
      <c r="KZW35" s="30"/>
      <c r="KZX35" s="30"/>
      <c r="KZY35" s="30"/>
      <c r="KZZ35" s="30"/>
      <c r="LAA35" s="30"/>
      <c r="LAB35" s="30"/>
      <c r="LAC35" s="30"/>
      <c r="LAD35" s="30"/>
      <c r="LAE35" s="30"/>
      <c r="LAF35" s="30"/>
      <c r="LAG35" s="30"/>
      <c r="LAH35" s="30"/>
      <c r="LAI35" s="30"/>
      <c r="LAJ35" s="30"/>
      <c r="LAK35" s="30"/>
      <c r="LAL35" s="30"/>
      <c r="LAM35" s="30"/>
      <c r="LAN35" s="30"/>
      <c r="LAO35" s="30"/>
      <c r="LAP35" s="30"/>
      <c r="LAQ35" s="30"/>
      <c r="LAR35" s="30"/>
      <c r="LAS35" s="30"/>
      <c r="LAT35" s="30"/>
      <c r="LAU35" s="30"/>
      <c r="LAV35" s="30"/>
      <c r="LAW35" s="30"/>
      <c r="LAX35" s="30"/>
      <c r="LAY35" s="30"/>
      <c r="LAZ35" s="30"/>
      <c r="LBA35" s="30"/>
      <c r="LBB35" s="30"/>
      <c r="LBC35" s="30"/>
      <c r="LBD35" s="30"/>
      <c r="LBE35" s="30"/>
      <c r="LBF35" s="30"/>
      <c r="LBG35" s="30"/>
      <c r="LBH35" s="30"/>
      <c r="LBI35" s="30"/>
      <c r="LBJ35" s="30"/>
      <c r="LBK35" s="30"/>
      <c r="LBL35" s="30"/>
      <c r="LBM35" s="30"/>
      <c r="LBN35" s="30"/>
      <c r="LBO35" s="30"/>
      <c r="LBP35" s="30"/>
      <c r="LBQ35" s="30"/>
      <c r="LBR35" s="30"/>
      <c r="LBS35" s="30"/>
      <c r="LBT35" s="30"/>
      <c r="LBU35" s="30"/>
      <c r="LBV35" s="30"/>
      <c r="LBW35" s="30"/>
      <c r="LBX35" s="30"/>
      <c r="LBY35" s="30"/>
      <c r="LBZ35" s="30"/>
      <c r="LCA35" s="30"/>
      <c r="LCB35" s="30"/>
      <c r="LCC35" s="30"/>
      <c r="LCD35" s="30"/>
      <c r="LCE35" s="30"/>
      <c r="LCF35" s="30"/>
      <c r="LCG35" s="30"/>
      <c r="LCH35" s="30"/>
      <c r="LCI35" s="30"/>
      <c r="LCJ35" s="30"/>
      <c r="LCK35" s="30"/>
      <c r="LCL35" s="30"/>
      <c r="LCM35" s="30"/>
      <c r="LCN35" s="30"/>
      <c r="LCO35" s="30"/>
      <c r="LCP35" s="30"/>
      <c r="LCQ35" s="30"/>
      <c r="LCR35" s="30"/>
      <c r="LCS35" s="30"/>
      <c r="LCT35" s="30"/>
      <c r="LCU35" s="30"/>
      <c r="LCV35" s="30"/>
      <c r="LCW35" s="30"/>
      <c r="LCX35" s="30"/>
      <c r="LCY35" s="30"/>
      <c r="LCZ35" s="30"/>
      <c r="LDA35" s="30"/>
      <c r="LDB35" s="30"/>
      <c r="LDC35" s="30"/>
      <c r="LDD35" s="30"/>
      <c r="LDE35" s="30"/>
      <c r="LDF35" s="30"/>
      <c r="LDG35" s="30"/>
      <c r="LDH35" s="30"/>
      <c r="LDI35" s="30"/>
      <c r="LDJ35" s="30"/>
      <c r="LDK35" s="30"/>
      <c r="LDL35" s="30"/>
      <c r="LDM35" s="30"/>
      <c r="LDN35" s="30"/>
      <c r="LDO35" s="30"/>
      <c r="LDP35" s="30"/>
      <c r="LDQ35" s="30"/>
      <c r="LDR35" s="30"/>
      <c r="LDS35" s="30"/>
      <c r="LDT35" s="30"/>
      <c r="LDU35" s="30"/>
      <c r="LDV35" s="30"/>
      <c r="LDW35" s="30"/>
      <c r="LDX35" s="30"/>
      <c r="LDY35" s="30"/>
      <c r="LDZ35" s="30"/>
      <c r="LEA35" s="30"/>
      <c r="LEB35" s="30"/>
      <c r="LEC35" s="30"/>
      <c r="LED35" s="30"/>
      <c r="LEE35" s="30"/>
      <c r="LEF35" s="30"/>
      <c r="LEG35" s="30"/>
      <c r="LEH35" s="30"/>
      <c r="LEI35" s="30"/>
      <c r="LEJ35" s="30"/>
      <c r="LEK35" s="30"/>
      <c r="LEL35" s="30"/>
      <c r="LEM35" s="30"/>
      <c r="LEN35" s="30"/>
      <c r="LEO35" s="30"/>
      <c r="LEP35" s="30"/>
      <c r="LEQ35" s="30"/>
      <c r="LER35" s="30"/>
      <c r="LES35" s="30"/>
      <c r="LET35" s="30"/>
      <c r="LEU35" s="30"/>
      <c r="LEV35" s="30"/>
      <c r="LEW35" s="30"/>
      <c r="LEX35" s="30"/>
      <c r="LEY35" s="30"/>
      <c r="LEZ35" s="30"/>
      <c r="LFA35" s="30"/>
      <c r="LFB35" s="30"/>
      <c r="LFC35" s="30"/>
      <c r="LFD35" s="30"/>
      <c r="LFE35" s="30"/>
      <c r="LFF35" s="30"/>
      <c r="LFG35" s="30"/>
      <c r="LFH35" s="30"/>
      <c r="LFI35" s="30"/>
      <c r="LFJ35" s="30"/>
      <c r="LFK35" s="30"/>
      <c r="LFL35" s="30"/>
      <c r="LFM35" s="30"/>
      <c r="LFN35" s="30"/>
      <c r="LFO35" s="30"/>
      <c r="LFP35" s="30"/>
      <c r="LFQ35" s="30"/>
      <c r="LFR35" s="30"/>
      <c r="LFS35" s="30"/>
      <c r="LFT35" s="30"/>
      <c r="LFU35" s="30"/>
      <c r="LFV35" s="30"/>
      <c r="LFW35" s="30"/>
      <c r="LFX35" s="30"/>
      <c r="LFY35" s="30"/>
      <c r="LFZ35" s="30"/>
      <c r="LGA35" s="30"/>
      <c r="LGB35" s="30"/>
      <c r="LGC35" s="30"/>
      <c r="LGD35" s="30"/>
      <c r="LGE35" s="30"/>
      <c r="LGF35" s="30"/>
      <c r="LGG35" s="30"/>
      <c r="LGH35" s="30"/>
      <c r="LGI35" s="30"/>
      <c r="LGJ35" s="30"/>
      <c r="LGK35" s="30"/>
      <c r="LGL35" s="30"/>
      <c r="LGM35" s="30"/>
      <c r="LGN35" s="30"/>
      <c r="LGO35" s="30"/>
      <c r="LGP35" s="30"/>
      <c r="LGQ35" s="30"/>
      <c r="LGR35" s="30"/>
      <c r="LGS35" s="30"/>
      <c r="LGT35" s="30"/>
      <c r="LGU35" s="30"/>
      <c r="LGV35" s="30"/>
      <c r="LGW35" s="30"/>
      <c r="LGX35" s="30"/>
      <c r="LGY35" s="30"/>
      <c r="LGZ35" s="30"/>
      <c r="LHA35" s="30"/>
      <c r="LHB35" s="30"/>
      <c r="LHC35" s="30"/>
      <c r="LHD35" s="30"/>
      <c r="LHE35" s="30"/>
      <c r="LHF35" s="30"/>
      <c r="LHG35" s="30"/>
      <c r="LHH35" s="30"/>
      <c r="LHI35" s="30"/>
      <c r="LHJ35" s="30"/>
      <c r="LHK35" s="30"/>
      <c r="LHL35" s="30"/>
      <c r="LHM35" s="30"/>
      <c r="LHN35" s="30"/>
      <c r="LHO35" s="30"/>
      <c r="LHP35" s="30"/>
      <c r="LHQ35" s="30"/>
      <c r="LHR35" s="30"/>
      <c r="LHS35" s="30"/>
      <c r="LHT35" s="30"/>
      <c r="LHU35" s="30"/>
      <c r="LHV35" s="30"/>
      <c r="LHW35" s="30"/>
      <c r="LHX35" s="30"/>
      <c r="LHY35" s="30"/>
      <c r="LHZ35" s="30"/>
      <c r="LIA35" s="30"/>
      <c r="LIB35" s="30"/>
      <c r="LIC35" s="30"/>
      <c r="LID35" s="30"/>
      <c r="LIE35" s="30"/>
      <c r="LIF35" s="30"/>
      <c r="LIG35" s="30"/>
      <c r="LIH35" s="30"/>
      <c r="LII35" s="30"/>
      <c r="LIJ35" s="30"/>
      <c r="LIK35" s="30"/>
      <c r="LIL35" s="30"/>
      <c r="LIM35" s="30"/>
      <c r="LIN35" s="30"/>
      <c r="LIO35" s="30"/>
      <c r="LIP35" s="30"/>
      <c r="LIQ35" s="30"/>
      <c r="LIR35" s="30"/>
      <c r="LIS35" s="30"/>
      <c r="LIT35" s="30"/>
      <c r="LIU35" s="30"/>
      <c r="LIV35" s="30"/>
      <c r="LIW35" s="30"/>
      <c r="LIX35" s="30"/>
      <c r="LIY35" s="30"/>
      <c r="LIZ35" s="30"/>
      <c r="LJA35" s="30"/>
      <c r="LJB35" s="30"/>
      <c r="LJC35" s="30"/>
      <c r="LJD35" s="30"/>
      <c r="LJE35" s="30"/>
      <c r="LJF35" s="30"/>
      <c r="LJG35" s="30"/>
      <c r="LJH35" s="30"/>
      <c r="LJI35" s="30"/>
      <c r="LJJ35" s="30"/>
      <c r="LJK35" s="30"/>
      <c r="LJL35" s="30"/>
      <c r="LJM35" s="30"/>
      <c r="LJN35" s="30"/>
      <c r="LJO35" s="30"/>
      <c r="LJP35" s="30"/>
      <c r="LJQ35" s="30"/>
      <c r="LJR35" s="30"/>
      <c r="LJS35" s="30"/>
      <c r="LJT35" s="30"/>
      <c r="LJU35" s="30"/>
      <c r="LJV35" s="30"/>
      <c r="LJW35" s="30"/>
      <c r="LJX35" s="30"/>
      <c r="LJY35" s="30"/>
      <c r="LJZ35" s="30"/>
      <c r="LKA35" s="30"/>
      <c r="LKB35" s="30"/>
      <c r="LKC35" s="30"/>
      <c r="LKD35" s="30"/>
      <c r="LKE35" s="30"/>
      <c r="LKF35" s="30"/>
      <c r="LKG35" s="30"/>
      <c r="LKH35" s="30"/>
      <c r="LKI35" s="30"/>
      <c r="LKJ35" s="30"/>
      <c r="LKK35" s="30"/>
      <c r="LKL35" s="30"/>
      <c r="LKM35" s="30"/>
      <c r="LKN35" s="30"/>
      <c r="LKO35" s="30"/>
      <c r="LKP35" s="30"/>
      <c r="LKQ35" s="30"/>
      <c r="LKR35" s="30"/>
      <c r="LKS35" s="30"/>
      <c r="LKT35" s="30"/>
      <c r="LKU35" s="30"/>
      <c r="LKV35" s="30"/>
      <c r="LKW35" s="30"/>
      <c r="LKX35" s="30"/>
      <c r="LKY35" s="30"/>
      <c r="LKZ35" s="30"/>
      <c r="LLA35" s="30"/>
      <c r="LLB35" s="30"/>
      <c r="LLC35" s="30"/>
      <c r="LLD35" s="30"/>
      <c r="LLE35" s="30"/>
      <c r="LLF35" s="30"/>
      <c r="LLG35" s="30"/>
      <c r="LLH35" s="30"/>
      <c r="LLI35" s="30"/>
      <c r="LLJ35" s="30"/>
      <c r="LLK35" s="30"/>
      <c r="LLL35" s="30"/>
      <c r="LLM35" s="30"/>
      <c r="LLN35" s="30"/>
      <c r="LLO35" s="30"/>
      <c r="LLP35" s="30"/>
      <c r="LLQ35" s="30"/>
      <c r="LLR35" s="30"/>
      <c r="LLS35" s="30"/>
      <c r="LLT35" s="30"/>
      <c r="LLU35" s="30"/>
      <c r="LLV35" s="30"/>
      <c r="LLW35" s="30"/>
      <c r="LLX35" s="30"/>
      <c r="LLY35" s="30"/>
      <c r="LLZ35" s="30"/>
      <c r="LMA35" s="30"/>
      <c r="LMB35" s="30"/>
      <c r="LMC35" s="30"/>
      <c r="LMD35" s="30"/>
      <c r="LME35" s="30"/>
      <c r="LMF35" s="30"/>
      <c r="LMG35" s="30"/>
      <c r="LMH35" s="30"/>
      <c r="LMI35" s="30"/>
      <c r="LMJ35" s="30"/>
      <c r="LMK35" s="30"/>
      <c r="LML35" s="30"/>
      <c r="LMM35" s="30"/>
      <c r="LMN35" s="30"/>
      <c r="LMO35" s="30"/>
      <c r="LMP35" s="30"/>
      <c r="LMQ35" s="30"/>
      <c r="LMR35" s="30"/>
      <c r="LMS35" s="30"/>
      <c r="LMT35" s="30"/>
      <c r="LMU35" s="30"/>
      <c r="LMV35" s="30"/>
      <c r="LMW35" s="30"/>
      <c r="LMX35" s="30"/>
      <c r="LMY35" s="30"/>
      <c r="LMZ35" s="30"/>
      <c r="LNA35" s="30"/>
      <c r="LNB35" s="30"/>
      <c r="LNC35" s="30"/>
      <c r="LND35" s="30"/>
      <c r="LNE35" s="30"/>
      <c r="LNF35" s="30"/>
      <c r="LNG35" s="30"/>
      <c r="LNH35" s="30"/>
      <c r="LNI35" s="30"/>
      <c r="LNJ35" s="30"/>
      <c r="LNK35" s="30"/>
      <c r="LNL35" s="30"/>
      <c r="LNM35" s="30"/>
      <c r="LNN35" s="30"/>
      <c r="LNO35" s="30"/>
      <c r="LNP35" s="30"/>
      <c r="LNQ35" s="30"/>
      <c r="LNR35" s="30"/>
      <c r="LNS35" s="30"/>
      <c r="LNT35" s="30"/>
      <c r="LNU35" s="30"/>
      <c r="LNV35" s="30"/>
      <c r="LNW35" s="30"/>
      <c r="LNX35" s="30"/>
      <c r="LNY35" s="30"/>
      <c r="LNZ35" s="30"/>
      <c r="LOA35" s="30"/>
      <c r="LOB35" s="30"/>
      <c r="LOC35" s="30"/>
      <c r="LOD35" s="30"/>
      <c r="LOE35" s="30"/>
      <c r="LOF35" s="30"/>
      <c r="LOG35" s="30"/>
      <c r="LOH35" s="30"/>
      <c r="LOI35" s="30"/>
      <c r="LOJ35" s="30"/>
      <c r="LOK35" s="30"/>
      <c r="LOL35" s="30"/>
      <c r="LOM35" s="30"/>
      <c r="LON35" s="30"/>
      <c r="LOO35" s="30"/>
      <c r="LOP35" s="30"/>
      <c r="LOQ35" s="30"/>
      <c r="LOR35" s="30"/>
      <c r="LOS35" s="30"/>
      <c r="LOT35" s="30"/>
      <c r="LOU35" s="30"/>
      <c r="LOV35" s="30"/>
      <c r="LOW35" s="30"/>
      <c r="LOX35" s="30"/>
      <c r="LOY35" s="30"/>
      <c r="LOZ35" s="30"/>
      <c r="LPA35" s="30"/>
      <c r="LPB35" s="30"/>
      <c r="LPC35" s="30"/>
      <c r="LPD35" s="30"/>
      <c r="LPE35" s="30"/>
      <c r="LPF35" s="30"/>
      <c r="LPG35" s="30"/>
      <c r="LPH35" s="30"/>
      <c r="LPI35" s="30"/>
      <c r="LPJ35" s="30"/>
      <c r="LPK35" s="30"/>
      <c r="LPL35" s="30"/>
      <c r="LPM35" s="30"/>
      <c r="LPN35" s="30"/>
      <c r="LPO35" s="30"/>
      <c r="LPP35" s="30"/>
      <c r="LPQ35" s="30"/>
      <c r="LPR35" s="30"/>
      <c r="LPS35" s="30"/>
      <c r="LPT35" s="30"/>
      <c r="LPU35" s="30"/>
      <c r="LPV35" s="30"/>
      <c r="LPW35" s="30"/>
      <c r="LPX35" s="30"/>
      <c r="LPY35" s="30"/>
      <c r="LPZ35" s="30"/>
      <c r="LQA35" s="30"/>
      <c r="LQB35" s="30"/>
      <c r="LQC35" s="30"/>
      <c r="LQD35" s="30"/>
      <c r="LQE35" s="30"/>
      <c r="LQF35" s="30"/>
      <c r="LQG35" s="30"/>
      <c r="LQH35" s="30"/>
      <c r="LQI35" s="30"/>
      <c r="LQJ35" s="30"/>
      <c r="LQK35" s="30"/>
      <c r="LQL35" s="30"/>
      <c r="LQM35" s="30"/>
      <c r="LQN35" s="30"/>
      <c r="LQO35" s="30"/>
      <c r="LQP35" s="30"/>
      <c r="LQQ35" s="30"/>
      <c r="LQR35" s="30"/>
      <c r="LQS35" s="30"/>
      <c r="LQT35" s="30"/>
      <c r="LQU35" s="30"/>
      <c r="LQV35" s="30"/>
      <c r="LQW35" s="30"/>
      <c r="LQX35" s="30"/>
      <c r="LQY35" s="30"/>
      <c r="LQZ35" s="30"/>
      <c r="LRA35" s="30"/>
      <c r="LRB35" s="30"/>
      <c r="LRC35" s="30"/>
      <c r="LRD35" s="30"/>
      <c r="LRE35" s="30"/>
      <c r="LRF35" s="30"/>
      <c r="LRG35" s="30"/>
      <c r="LRH35" s="30"/>
      <c r="LRI35" s="30"/>
      <c r="LRJ35" s="30"/>
      <c r="LRK35" s="30"/>
      <c r="LRL35" s="30"/>
      <c r="LRM35" s="30"/>
      <c r="LRN35" s="30"/>
      <c r="LRO35" s="30"/>
      <c r="LRP35" s="30"/>
      <c r="LRQ35" s="30"/>
      <c r="LRR35" s="30"/>
      <c r="LRS35" s="30"/>
      <c r="LRT35" s="30"/>
      <c r="LRU35" s="30"/>
      <c r="LRV35" s="30"/>
      <c r="LRW35" s="30"/>
      <c r="LRX35" s="30"/>
      <c r="LRY35" s="30"/>
      <c r="LRZ35" s="30"/>
      <c r="LSA35" s="30"/>
      <c r="LSB35" s="30"/>
      <c r="LSC35" s="30"/>
      <c r="LSD35" s="30"/>
      <c r="LSE35" s="30"/>
      <c r="LSF35" s="30"/>
      <c r="LSG35" s="30"/>
      <c r="LSH35" s="30"/>
      <c r="LSI35" s="30"/>
      <c r="LSJ35" s="30"/>
      <c r="LSK35" s="30"/>
      <c r="LSL35" s="30"/>
      <c r="LSM35" s="30"/>
      <c r="LSN35" s="30"/>
      <c r="LSO35" s="30"/>
      <c r="LSP35" s="30"/>
      <c r="LSQ35" s="30"/>
      <c r="LSR35" s="30"/>
      <c r="LSS35" s="30"/>
      <c r="LST35" s="30"/>
      <c r="LSU35" s="30"/>
      <c r="LSV35" s="30"/>
      <c r="LSW35" s="30"/>
      <c r="LSX35" s="30"/>
      <c r="LSY35" s="30"/>
      <c r="LSZ35" s="30"/>
      <c r="LTA35" s="30"/>
      <c r="LTB35" s="30"/>
      <c r="LTC35" s="30"/>
      <c r="LTD35" s="30"/>
      <c r="LTE35" s="30"/>
      <c r="LTF35" s="30"/>
      <c r="LTG35" s="30"/>
      <c r="LTH35" s="30"/>
      <c r="LTI35" s="30"/>
      <c r="LTJ35" s="30"/>
      <c r="LTK35" s="30"/>
      <c r="LTL35" s="30"/>
      <c r="LTM35" s="30"/>
      <c r="LTN35" s="30"/>
      <c r="LTO35" s="30"/>
      <c r="LTP35" s="30"/>
      <c r="LTQ35" s="30"/>
      <c r="LTR35" s="30"/>
      <c r="LTS35" s="30"/>
      <c r="LTT35" s="30"/>
      <c r="LTU35" s="30"/>
      <c r="LTV35" s="30"/>
      <c r="LTW35" s="30"/>
      <c r="LTX35" s="30"/>
      <c r="LTY35" s="30"/>
      <c r="LTZ35" s="30"/>
      <c r="LUA35" s="30"/>
      <c r="LUB35" s="30"/>
      <c r="LUC35" s="30"/>
      <c r="LUD35" s="30"/>
      <c r="LUE35" s="30"/>
      <c r="LUF35" s="30"/>
      <c r="LUG35" s="30"/>
      <c r="LUH35" s="30"/>
      <c r="LUI35" s="30"/>
      <c r="LUJ35" s="30"/>
      <c r="LUK35" s="30"/>
      <c r="LUL35" s="30"/>
      <c r="LUM35" s="30"/>
      <c r="LUN35" s="30"/>
      <c r="LUO35" s="30"/>
      <c r="LUP35" s="30"/>
      <c r="LUQ35" s="30"/>
      <c r="LUR35" s="30"/>
      <c r="LUS35" s="30"/>
      <c r="LUT35" s="30"/>
      <c r="LUU35" s="30"/>
      <c r="LUV35" s="30"/>
      <c r="LUW35" s="30"/>
      <c r="LUX35" s="30"/>
      <c r="LUY35" s="30"/>
      <c r="LUZ35" s="30"/>
      <c r="LVA35" s="30"/>
      <c r="LVB35" s="30"/>
      <c r="LVC35" s="30"/>
      <c r="LVD35" s="30"/>
      <c r="LVE35" s="30"/>
      <c r="LVF35" s="30"/>
      <c r="LVG35" s="30"/>
      <c r="LVH35" s="30"/>
      <c r="LVI35" s="30"/>
      <c r="LVJ35" s="30"/>
      <c r="LVK35" s="30"/>
      <c r="LVL35" s="30"/>
      <c r="LVM35" s="30"/>
      <c r="LVN35" s="30"/>
      <c r="LVO35" s="30"/>
      <c r="LVP35" s="30"/>
      <c r="LVQ35" s="30"/>
      <c r="LVR35" s="30"/>
      <c r="LVS35" s="30"/>
      <c r="LVT35" s="30"/>
      <c r="LVU35" s="30"/>
      <c r="LVV35" s="30"/>
      <c r="LVW35" s="30"/>
      <c r="LVX35" s="30"/>
      <c r="LVY35" s="30"/>
      <c r="LVZ35" s="30"/>
      <c r="LWA35" s="30"/>
      <c r="LWB35" s="30"/>
      <c r="LWC35" s="30"/>
      <c r="LWD35" s="30"/>
      <c r="LWE35" s="30"/>
      <c r="LWF35" s="30"/>
      <c r="LWG35" s="30"/>
      <c r="LWH35" s="30"/>
      <c r="LWI35" s="30"/>
      <c r="LWJ35" s="30"/>
      <c r="LWK35" s="30"/>
      <c r="LWL35" s="30"/>
      <c r="LWM35" s="30"/>
      <c r="LWN35" s="30"/>
      <c r="LWO35" s="30"/>
      <c r="LWP35" s="30"/>
      <c r="LWQ35" s="30"/>
      <c r="LWR35" s="30"/>
      <c r="LWS35" s="30"/>
      <c r="LWT35" s="30"/>
      <c r="LWU35" s="30"/>
      <c r="LWV35" s="30"/>
      <c r="LWW35" s="30"/>
      <c r="LWX35" s="30"/>
      <c r="LWY35" s="30"/>
      <c r="LWZ35" s="30"/>
      <c r="LXA35" s="30"/>
      <c r="LXB35" s="30"/>
      <c r="LXC35" s="30"/>
      <c r="LXD35" s="30"/>
      <c r="LXE35" s="30"/>
      <c r="LXF35" s="30"/>
      <c r="LXG35" s="30"/>
      <c r="LXH35" s="30"/>
      <c r="LXI35" s="30"/>
      <c r="LXJ35" s="30"/>
      <c r="LXK35" s="30"/>
      <c r="LXL35" s="30"/>
      <c r="LXM35" s="30"/>
      <c r="LXN35" s="30"/>
      <c r="LXO35" s="30"/>
      <c r="LXP35" s="30"/>
      <c r="LXQ35" s="30"/>
      <c r="LXR35" s="30"/>
      <c r="LXS35" s="30"/>
      <c r="LXT35" s="30"/>
      <c r="LXU35" s="30"/>
      <c r="LXV35" s="30"/>
      <c r="LXW35" s="30"/>
      <c r="LXX35" s="30"/>
      <c r="LXY35" s="30"/>
      <c r="LXZ35" s="30"/>
      <c r="LYA35" s="30"/>
      <c r="LYB35" s="30"/>
      <c r="LYC35" s="30"/>
      <c r="LYD35" s="30"/>
      <c r="LYE35" s="30"/>
      <c r="LYF35" s="30"/>
      <c r="LYG35" s="30"/>
      <c r="LYH35" s="30"/>
      <c r="LYI35" s="30"/>
      <c r="LYJ35" s="30"/>
      <c r="LYK35" s="30"/>
      <c r="LYL35" s="30"/>
      <c r="LYM35" s="30"/>
      <c r="LYN35" s="30"/>
      <c r="LYO35" s="30"/>
      <c r="LYP35" s="30"/>
      <c r="LYQ35" s="30"/>
      <c r="LYR35" s="30"/>
      <c r="LYS35" s="30"/>
      <c r="LYT35" s="30"/>
      <c r="LYU35" s="30"/>
      <c r="LYV35" s="30"/>
      <c r="LYW35" s="30"/>
      <c r="LYX35" s="30"/>
      <c r="LYY35" s="30"/>
      <c r="LYZ35" s="30"/>
      <c r="LZA35" s="30"/>
      <c r="LZB35" s="30"/>
      <c r="LZC35" s="30"/>
      <c r="LZD35" s="30"/>
      <c r="LZE35" s="30"/>
      <c r="LZF35" s="30"/>
      <c r="LZG35" s="30"/>
      <c r="LZH35" s="30"/>
      <c r="LZI35" s="30"/>
      <c r="LZJ35" s="30"/>
      <c r="LZK35" s="30"/>
      <c r="LZL35" s="30"/>
      <c r="LZM35" s="30"/>
      <c r="LZN35" s="30"/>
      <c r="LZO35" s="30"/>
      <c r="LZP35" s="30"/>
      <c r="LZQ35" s="30"/>
      <c r="LZR35" s="30"/>
      <c r="LZS35" s="30"/>
      <c r="LZT35" s="30"/>
      <c r="LZU35" s="30"/>
      <c r="LZV35" s="30"/>
      <c r="LZW35" s="30"/>
      <c r="LZX35" s="30"/>
      <c r="LZY35" s="30"/>
      <c r="LZZ35" s="30"/>
      <c r="MAA35" s="30"/>
      <c r="MAB35" s="30"/>
      <c r="MAC35" s="30"/>
      <c r="MAD35" s="30"/>
      <c r="MAE35" s="30"/>
      <c r="MAF35" s="30"/>
      <c r="MAG35" s="30"/>
      <c r="MAH35" s="30"/>
      <c r="MAI35" s="30"/>
      <c r="MAJ35" s="30"/>
      <c r="MAK35" s="30"/>
      <c r="MAL35" s="30"/>
      <c r="MAM35" s="30"/>
      <c r="MAN35" s="30"/>
      <c r="MAO35" s="30"/>
      <c r="MAP35" s="30"/>
      <c r="MAQ35" s="30"/>
      <c r="MAR35" s="30"/>
      <c r="MAS35" s="30"/>
      <c r="MAT35" s="30"/>
      <c r="MAU35" s="30"/>
      <c r="MAV35" s="30"/>
      <c r="MAW35" s="30"/>
      <c r="MAX35" s="30"/>
      <c r="MAY35" s="30"/>
      <c r="MAZ35" s="30"/>
      <c r="MBA35" s="30"/>
      <c r="MBB35" s="30"/>
      <c r="MBC35" s="30"/>
      <c r="MBD35" s="30"/>
      <c r="MBE35" s="30"/>
      <c r="MBF35" s="30"/>
      <c r="MBG35" s="30"/>
      <c r="MBH35" s="30"/>
      <c r="MBI35" s="30"/>
      <c r="MBJ35" s="30"/>
      <c r="MBK35" s="30"/>
      <c r="MBL35" s="30"/>
      <c r="MBM35" s="30"/>
      <c r="MBN35" s="30"/>
      <c r="MBO35" s="30"/>
      <c r="MBP35" s="30"/>
      <c r="MBQ35" s="30"/>
      <c r="MBR35" s="30"/>
      <c r="MBS35" s="30"/>
      <c r="MBT35" s="30"/>
      <c r="MBU35" s="30"/>
      <c r="MBV35" s="30"/>
      <c r="MBW35" s="30"/>
      <c r="MBX35" s="30"/>
      <c r="MBY35" s="30"/>
      <c r="MBZ35" s="30"/>
      <c r="MCA35" s="30"/>
      <c r="MCB35" s="30"/>
      <c r="MCC35" s="30"/>
      <c r="MCD35" s="30"/>
      <c r="MCE35" s="30"/>
      <c r="MCF35" s="30"/>
      <c r="MCG35" s="30"/>
      <c r="MCH35" s="30"/>
      <c r="MCI35" s="30"/>
      <c r="MCJ35" s="30"/>
      <c r="MCK35" s="30"/>
      <c r="MCL35" s="30"/>
      <c r="MCM35" s="30"/>
      <c r="MCN35" s="30"/>
      <c r="MCO35" s="30"/>
      <c r="MCP35" s="30"/>
      <c r="MCQ35" s="30"/>
      <c r="MCR35" s="30"/>
      <c r="MCS35" s="30"/>
      <c r="MCT35" s="30"/>
      <c r="MCU35" s="30"/>
      <c r="MCV35" s="30"/>
      <c r="MCW35" s="30"/>
      <c r="MCX35" s="30"/>
      <c r="MCY35" s="30"/>
      <c r="MCZ35" s="30"/>
      <c r="MDA35" s="30"/>
      <c r="MDB35" s="30"/>
      <c r="MDC35" s="30"/>
      <c r="MDD35" s="30"/>
      <c r="MDE35" s="30"/>
      <c r="MDF35" s="30"/>
      <c r="MDG35" s="30"/>
      <c r="MDH35" s="30"/>
      <c r="MDI35" s="30"/>
      <c r="MDJ35" s="30"/>
      <c r="MDK35" s="30"/>
      <c r="MDL35" s="30"/>
      <c r="MDM35" s="30"/>
      <c r="MDN35" s="30"/>
      <c r="MDO35" s="30"/>
      <c r="MDP35" s="30"/>
      <c r="MDQ35" s="30"/>
      <c r="MDR35" s="30"/>
      <c r="MDS35" s="30"/>
      <c r="MDT35" s="30"/>
      <c r="MDU35" s="30"/>
      <c r="MDV35" s="30"/>
      <c r="MDW35" s="30"/>
      <c r="MDX35" s="30"/>
      <c r="MDY35" s="30"/>
      <c r="MDZ35" s="30"/>
      <c r="MEA35" s="30"/>
      <c r="MEB35" s="30"/>
      <c r="MEC35" s="30"/>
      <c r="MED35" s="30"/>
      <c r="MEE35" s="30"/>
      <c r="MEF35" s="30"/>
      <c r="MEG35" s="30"/>
      <c r="MEH35" s="30"/>
      <c r="MEI35" s="30"/>
      <c r="MEJ35" s="30"/>
      <c r="MEK35" s="30"/>
      <c r="MEL35" s="30"/>
      <c r="MEM35" s="30"/>
      <c r="MEN35" s="30"/>
      <c r="MEO35" s="30"/>
      <c r="MEP35" s="30"/>
      <c r="MEQ35" s="30"/>
      <c r="MER35" s="30"/>
      <c r="MES35" s="30"/>
      <c r="MET35" s="30"/>
      <c r="MEU35" s="30"/>
      <c r="MEV35" s="30"/>
      <c r="MEW35" s="30"/>
      <c r="MEX35" s="30"/>
      <c r="MEY35" s="30"/>
      <c r="MEZ35" s="30"/>
      <c r="MFA35" s="30"/>
      <c r="MFB35" s="30"/>
      <c r="MFC35" s="30"/>
      <c r="MFD35" s="30"/>
      <c r="MFE35" s="30"/>
      <c r="MFF35" s="30"/>
      <c r="MFG35" s="30"/>
      <c r="MFH35" s="30"/>
      <c r="MFI35" s="30"/>
      <c r="MFJ35" s="30"/>
      <c r="MFK35" s="30"/>
      <c r="MFL35" s="30"/>
      <c r="MFM35" s="30"/>
      <c r="MFN35" s="30"/>
      <c r="MFO35" s="30"/>
      <c r="MFP35" s="30"/>
      <c r="MFQ35" s="30"/>
      <c r="MFR35" s="30"/>
      <c r="MFS35" s="30"/>
      <c r="MFT35" s="30"/>
      <c r="MFU35" s="30"/>
      <c r="MFV35" s="30"/>
      <c r="MFW35" s="30"/>
      <c r="MFX35" s="30"/>
      <c r="MFY35" s="30"/>
      <c r="MFZ35" s="30"/>
      <c r="MGA35" s="30"/>
      <c r="MGB35" s="30"/>
      <c r="MGC35" s="30"/>
      <c r="MGD35" s="30"/>
      <c r="MGE35" s="30"/>
      <c r="MGF35" s="30"/>
      <c r="MGG35" s="30"/>
      <c r="MGH35" s="30"/>
      <c r="MGI35" s="30"/>
      <c r="MGJ35" s="30"/>
      <c r="MGK35" s="30"/>
      <c r="MGL35" s="30"/>
      <c r="MGM35" s="30"/>
      <c r="MGN35" s="30"/>
      <c r="MGO35" s="30"/>
      <c r="MGP35" s="30"/>
      <c r="MGQ35" s="30"/>
      <c r="MGR35" s="30"/>
      <c r="MGS35" s="30"/>
      <c r="MGT35" s="30"/>
      <c r="MGU35" s="30"/>
      <c r="MGV35" s="30"/>
      <c r="MGW35" s="30"/>
      <c r="MGX35" s="30"/>
      <c r="MGY35" s="30"/>
      <c r="MGZ35" s="30"/>
      <c r="MHA35" s="30"/>
      <c r="MHB35" s="30"/>
      <c r="MHC35" s="30"/>
      <c r="MHD35" s="30"/>
      <c r="MHE35" s="30"/>
      <c r="MHF35" s="30"/>
      <c r="MHG35" s="30"/>
      <c r="MHH35" s="30"/>
      <c r="MHI35" s="30"/>
      <c r="MHJ35" s="30"/>
      <c r="MHK35" s="30"/>
      <c r="MHL35" s="30"/>
      <c r="MHM35" s="30"/>
      <c r="MHN35" s="30"/>
      <c r="MHO35" s="30"/>
      <c r="MHP35" s="30"/>
      <c r="MHQ35" s="30"/>
      <c r="MHR35" s="30"/>
      <c r="MHS35" s="30"/>
      <c r="MHT35" s="30"/>
      <c r="MHU35" s="30"/>
      <c r="MHV35" s="30"/>
      <c r="MHW35" s="30"/>
      <c r="MHX35" s="30"/>
      <c r="MHY35" s="30"/>
      <c r="MHZ35" s="30"/>
      <c r="MIA35" s="30"/>
      <c r="MIB35" s="30"/>
      <c r="MIC35" s="30"/>
      <c r="MID35" s="30"/>
      <c r="MIE35" s="30"/>
      <c r="MIF35" s="30"/>
      <c r="MIG35" s="30"/>
      <c r="MIH35" s="30"/>
      <c r="MII35" s="30"/>
      <c r="MIJ35" s="30"/>
      <c r="MIK35" s="30"/>
      <c r="MIL35" s="30"/>
      <c r="MIM35" s="30"/>
      <c r="MIN35" s="30"/>
      <c r="MIO35" s="30"/>
      <c r="MIP35" s="30"/>
      <c r="MIQ35" s="30"/>
      <c r="MIR35" s="30"/>
      <c r="MIS35" s="30"/>
      <c r="MIT35" s="30"/>
      <c r="MIU35" s="30"/>
      <c r="MIV35" s="30"/>
      <c r="MIW35" s="30"/>
      <c r="MIX35" s="30"/>
      <c r="MIY35" s="30"/>
      <c r="MIZ35" s="30"/>
      <c r="MJA35" s="30"/>
      <c r="MJB35" s="30"/>
      <c r="MJC35" s="30"/>
      <c r="MJD35" s="30"/>
      <c r="MJE35" s="30"/>
      <c r="MJF35" s="30"/>
      <c r="MJG35" s="30"/>
      <c r="MJH35" s="30"/>
      <c r="MJI35" s="30"/>
      <c r="MJJ35" s="30"/>
      <c r="MJK35" s="30"/>
      <c r="MJL35" s="30"/>
      <c r="MJM35" s="30"/>
      <c r="MJN35" s="30"/>
      <c r="MJO35" s="30"/>
      <c r="MJP35" s="30"/>
      <c r="MJQ35" s="30"/>
      <c r="MJR35" s="30"/>
      <c r="MJS35" s="30"/>
      <c r="MJT35" s="30"/>
      <c r="MJU35" s="30"/>
      <c r="MJV35" s="30"/>
      <c r="MJW35" s="30"/>
      <c r="MJX35" s="30"/>
      <c r="MJY35" s="30"/>
      <c r="MJZ35" s="30"/>
      <c r="MKA35" s="30"/>
      <c r="MKB35" s="30"/>
      <c r="MKC35" s="30"/>
      <c r="MKD35" s="30"/>
      <c r="MKE35" s="30"/>
      <c r="MKF35" s="30"/>
      <c r="MKG35" s="30"/>
      <c r="MKH35" s="30"/>
      <c r="MKI35" s="30"/>
      <c r="MKJ35" s="30"/>
      <c r="MKK35" s="30"/>
      <c r="MKL35" s="30"/>
      <c r="MKM35" s="30"/>
      <c r="MKN35" s="30"/>
      <c r="MKO35" s="30"/>
      <c r="MKP35" s="30"/>
      <c r="MKQ35" s="30"/>
      <c r="MKR35" s="30"/>
      <c r="MKS35" s="30"/>
      <c r="MKT35" s="30"/>
      <c r="MKU35" s="30"/>
      <c r="MKV35" s="30"/>
      <c r="MKW35" s="30"/>
      <c r="MKX35" s="30"/>
      <c r="MKY35" s="30"/>
      <c r="MKZ35" s="30"/>
      <c r="MLA35" s="30"/>
      <c r="MLB35" s="30"/>
      <c r="MLC35" s="30"/>
      <c r="MLD35" s="30"/>
      <c r="MLE35" s="30"/>
      <c r="MLF35" s="30"/>
      <c r="MLG35" s="30"/>
      <c r="MLH35" s="30"/>
      <c r="MLI35" s="30"/>
      <c r="MLJ35" s="30"/>
      <c r="MLK35" s="30"/>
      <c r="MLL35" s="30"/>
      <c r="MLM35" s="30"/>
      <c r="MLN35" s="30"/>
      <c r="MLO35" s="30"/>
      <c r="MLP35" s="30"/>
      <c r="MLQ35" s="30"/>
      <c r="MLR35" s="30"/>
      <c r="MLS35" s="30"/>
      <c r="MLT35" s="30"/>
      <c r="MLU35" s="30"/>
      <c r="MLV35" s="30"/>
      <c r="MLW35" s="30"/>
      <c r="MLX35" s="30"/>
      <c r="MLY35" s="30"/>
      <c r="MLZ35" s="30"/>
      <c r="MMA35" s="30"/>
      <c r="MMB35" s="30"/>
      <c r="MMC35" s="30"/>
      <c r="MMD35" s="30"/>
      <c r="MME35" s="30"/>
      <c r="MMF35" s="30"/>
      <c r="MMG35" s="30"/>
      <c r="MMH35" s="30"/>
      <c r="MMI35" s="30"/>
      <c r="MMJ35" s="30"/>
      <c r="MMK35" s="30"/>
      <c r="MML35" s="30"/>
      <c r="MMM35" s="30"/>
      <c r="MMN35" s="30"/>
      <c r="MMO35" s="30"/>
      <c r="MMP35" s="30"/>
      <c r="MMQ35" s="30"/>
      <c r="MMR35" s="30"/>
      <c r="MMS35" s="30"/>
      <c r="MMT35" s="30"/>
      <c r="MMU35" s="30"/>
      <c r="MMV35" s="30"/>
      <c r="MMW35" s="30"/>
      <c r="MMX35" s="30"/>
      <c r="MMY35" s="30"/>
      <c r="MMZ35" s="30"/>
      <c r="MNA35" s="30"/>
      <c r="MNB35" s="30"/>
      <c r="MNC35" s="30"/>
      <c r="MND35" s="30"/>
      <c r="MNE35" s="30"/>
      <c r="MNF35" s="30"/>
      <c r="MNG35" s="30"/>
      <c r="MNH35" s="30"/>
      <c r="MNI35" s="30"/>
      <c r="MNJ35" s="30"/>
      <c r="MNK35" s="30"/>
      <c r="MNL35" s="30"/>
      <c r="MNM35" s="30"/>
      <c r="MNN35" s="30"/>
      <c r="MNO35" s="30"/>
      <c r="MNP35" s="30"/>
      <c r="MNQ35" s="30"/>
      <c r="MNR35" s="30"/>
      <c r="MNS35" s="30"/>
      <c r="MNT35" s="30"/>
      <c r="MNU35" s="30"/>
      <c r="MNV35" s="30"/>
      <c r="MNW35" s="30"/>
      <c r="MNX35" s="30"/>
      <c r="MNY35" s="30"/>
      <c r="MNZ35" s="30"/>
      <c r="MOA35" s="30"/>
      <c r="MOB35" s="30"/>
      <c r="MOC35" s="30"/>
      <c r="MOD35" s="30"/>
      <c r="MOE35" s="30"/>
      <c r="MOF35" s="30"/>
      <c r="MOG35" s="30"/>
      <c r="MOH35" s="30"/>
      <c r="MOI35" s="30"/>
      <c r="MOJ35" s="30"/>
      <c r="MOK35" s="30"/>
      <c r="MOL35" s="30"/>
      <c r="MOM35" s="30"/>
      <c r="MON35" s="30"/>
      <c r="MOO35" s="30"/>
      <c r="MOP35" s="30"/>
      <c r="MOQ35" s="30"/>
      <c r="MOR35" s="30"/>
      <c r="MOS35" s="30"/>
      <c r="MOT35" s="30"/>
      <c r="MOU35" s="30"/>
      <c r="MOV35" s="30"/>
      <c r="MOW35" s="30"/>
      <c r="MOX35" s="30"/>
      <c r="MOY35" s="30"/>
      <c r="MOZ35" s="30"/>
      <c r="MPA35" s="30"/>
      <c r="MPB35" s="30"/>
      <c r="MPC35" s="30"/>
      <c r="MPD35" s="30"/>
      <c r="MPE35" s="30"/>
      <c r="MPF35" s="30"/>
      <c r="MPG35" s="30"/>
      <c r="MPH35" s="30"/>
      <c r="MPI35" s="30"/>
      <c r="MPJ35" s="30"/>
      <c r="MPK35" s="30"/>
      <c r="MPL35" s="30"/>
      <c r="MPM35" s="30"/>
      <c r="MPN35" s="30"/>
      <c r="MPO35" s="30"/>
      <c r="MPP35" s="30"/>
      <c r="MPQ35" s="30"/>
      <c r="MPR35" s="30"/>
      <c r="MPS35" s="30"/>
      <c r="MPT35" s="30"/>
      <c r="MPU35" s="30"/>
      <c r="MPV35" s="30"/>
      <c r="MPW35" s="30"/>
      <c r="MPX35" s="30"/>
      <c r="MPY35" s="30"/>
      <c r="MPZ35" s="30"/>
      <c r="MQA35" s="30"/>
      <c r="MQB35" s="30"/>
      <c r="MQC35" s="30"/>
      <c r="MQD35" s="30"/>
      <c r="MQE35" s="30"/>
      <c r="MQF35" s="30"/>
      <c r="MQG35" s="30"/>
      <c r="MQH35" s="30"/>
      <c r="MQI35" s="30"/>
      <c r="MQJ35" s="30"/>
      <c r="MQK35" s="30"/>
      <c r="MQL35" s="30"/>
      <c r="MQM35" s="30"/>
      <c r="MQN35" s="30"/>
      <c r="MQO35" s="30"/>
      <c r="MQP35" s="30"/>
      <c r="MQQ35" s="30"/>
      <c r="MQR35" s="30"/>
      <c r="MQS35" s="30"/>
      <c r="MQT35" s="30"/>
      <c r="MQU35" s="30"/>
      <c r="MQV35" s="30"/>
      <c r="MQW35" s="30"/>
      <c r="MQX35" s="30"/>
      <c r="MQY35" s="30"/>
      <c r="MQZ35" s="30"/>
      <c r="MRA35" s="30"/>
      <c r="MRB35" s="30"/>
      <c r="MRC35" s="30"/>
      <c r="MRD35" s="30"/>
      <c r="MRE35" s="30"/>
      <c r="MRF35" s="30"/>
      <c r="MRG35" s="30"/>
      <c r="MRH35" s="30"/>
      <c r="MRI35" s="30"/>
      <c r="MRJ35" s="30"/>
      <c r="MRK35" s="30"/>
      <c r="MRL35" s="30"/>
      <c r="MRM35" s="30"/>
      <c r="MRN35" s="30"/>
      <c r="MRO35" s="30"/>
      <c r="MRP35" s="30"/>
      <c r="MRQ35" s="30"/>
      <c r="MRR35" s="30"/>
      <c r="MRS35" s="30"/>
      <c r="MRT35" s="30"/>
      <c r="MRU35" s="30"/>
      <c r="MRV35" s="30"/>
      <c r="MRW35" s="30"/>
      <c r="MRX35" s="30"/>
      <c r="MRY35" s="30"/>
      <c r="MRZ35" s="30"/>
      <c r="MSA35" s="30"/>
      <c r="MSB35" s="30"/>
      <c r="MSC35" s="30"/>
      <c r="MSD35" s="30"/>
      <c r="MSE35" s="30"/>
      <c r="MSF35" s="30"/>
      <c r="MSG35" s="30"/>
      <c r="MSH35" s="30"/>
      <c r="MSI35" s="30"/>
      <c r="MSJ35" s="30"/>
      <c r="MSK35" s="30"/>
      <c r="MSL35" s="30"/>
      <c r="MSM35" s="30"/>
      <c r="MSN35" s="30"/>
      <c r="MSO35" s="30"/>
      <c r="MSP35" s="30"/>
      <c r="MSQ35" s="30"/>
      <c r="MSR35" s="30"/>
      <c r="MSS35" s="30"/>
      <c r="MST35" s="30"/>
      <c r="MSU35" s="30"/>
      <c r="MSV35" s="30"/>
      <c r="MSW35" s="30"/>
      <c r="MSX35" s="30"/>
      <c r="MSY35" s="30"/>
      <c r="MSZ35" s="30"/>
      <c r="MTA35" s="30"/>
      <c r="MTB35" s="30"/>
      <c r="MTC35" s="30"/>
      <c r="MTD35" s="30"/>
      <c r="MTE35" s="30"/>
      <c r="MTF35" s="30"/>
      <c r="MTG35" s="30"/>
      <c r="MTH35" s="30"/>
      <c r="MTI35" s="30"/>
      <c r="MTJ35" s="30"/>
      <c r="MTK35" s="30"/>
      <c r="MTL35" s="30"/>
      <c r="MTM35" s="30"/>
      <c r="MTN35" s="30"/>
      <c r="MTO35" s="30"/>
      <c r="MTP35" s="30"/>
      <c r="MTQ35" s="30"/>
      <c r="MTR35" s="30"/>
      <c r="MTS35" s="30"/>
      <c r="MTT35" s="30"/>
      <c r="MTU35" s="30"/>
      <c r="MTV35" s="30"/>
      <c r="MTW35" s="30"/>
      <c r="MTX35" s="30"/>
      <c r="MTY35" s="30"/>
      <c r="MTZ35" s="30"/>
      <c r="MUA35" s="30"/>
      <c r="MUB35" s="30"/>
      <c r="MUC35" s="30"/>
      <c r="MUD35" s="30"/>
      <c r="MUE35" s="30"/>
      <c r="MUF35" s="30"/>
      <c r="MUG35" s="30"/>
      <c r="MUH35" s="30"/>
      <c r="MUI35" s="30"/>
      <c r="MUJ35" s="30"/>
      <c r="MUK35" s="30"/>
      <c r="MUL35" s="30"/>
      <c r="MUM35" s="30"/>
      <c r="MUN35" s="30"/>
      <c r="MUO35" s="30"/>
      <c r="MUP35" s="30"/>
      <c r="MUQ35" s="30"/>
      <c r="MUR35" s="30"/>
      <c r="MUS35" s="30"/>
      <c r="MUT35" s="30"/>
      <c r="MUU35" s="30"/>
      <c r="MUV35" s="30"/>
      <c r="MUW35" s="30"/>
      <c r="MUX35" s="30"/>
      <c r="MUY35" s="30"/>
      <c r="MUZ35" s="30"/>
      <c r="MVA35" s="30"/>
      <c r="MVB35" s="30"/>
      <c r="MVC35" s="30"/>
      <c r="MVD35" s="30"/>
      <c r="MVE35" s="30"/>
      <c r="MVF35" s="30"/>
      <c r="MVG35" s="30"/>
      <c r="MVH35" s="30"/>
      <c r="MVI35" s="30"/>
      <c r="MVJ35" s="30"/>
      <c r="MVK35" s="30"/>
      <c r="MVL35" s="30"/>
      <c r="MVM35" s="30"/>
      <c r="MVN35" s="30"/>
      <c r="MVO35" s="30"/>
      <c r="MVP35" s="30"/>
      <c r="MVQ35" s="30"/>
      <c r="MVR35" s="30"/>
      <c r="MVS35" s="30"/>
      <c r="MVT35" s="30"/>
      <c r="MVU35" s="30"/>
      <c r="MVV35" s="30"/>
      <c r="MVW35" s="30"/>
      <c r="MVX35" s="30"/>
      <c r="MVY35" s="30"/>
      <c r="MVZ35" s="30"/>
      <c r="MWA35" s="30"/>
      <c r="MWB35" s="30"/>
      <c r="MWC35" s="30"/>
      <c r="MWD35" s="30"/>
      <c r="MWE35" s="30"/>
      <c r="MWF35" s="30"/>
      <c r="MWG35" s="30"/>
      <c r="MWH35" s="30"/>
      <c r="MWI35" s="30"/>
      <c r="MWJ35" s="30"/>
      <c r="MWK35" s="30"/>
      <c r="MWL35" s="30"/>
      <c r="MWM35" s="30"/>
      <c r="MWN35" s="30"/>
      <c r="MWO35" s="30"/>
      <c r="MWP35" s="30"/>
      <c r="MWQ35" s="30"/>
      <c r="MWR35" s="30"/>
      <c r="MWS35" s="30"/>
      <c r="MWT35" s="30"/>
      <c r="MWU35" s="30"/>
      <c r="MWV35" s="30"/>
      <c r="MWW35" s="30"/>
      <c r="MWX35" s="30"/>
      <c r="MWY35" s="30"/>
      <c r="MWZ35" s="30"/>
      <c r="MXA35" s="30"/>
      <c r="MXB35" s="30"/>
      <c r="MXC35" s="30"/>
      <c r="MXD35" s="30"/>
      <c r="MXE35" s="30"/>
      <c r="MXF35" s="30"/>
      <c r="MXG35" s="30"/>
      <c r="MXH35" s="30"/>
      <c r="MXI35" s="30"/>
      <c r="MXJ35" s="30"/>
      <c r="MXK35" s="30"/>
      <c r="MXL35" s="30"/>
      <c r="MXM35" s="30"/>
      <c r="MXN35" s="30"/>
      <c r="MXO35" s="30"/>
      <c r="MXP35" s="30"/>
      <c r="MXQ35" s="30"/>
      <c r="MXR35" s="30"/>
      <c r="MXS35" s="30"/>
      <c r="MXT35" s="30"/>
      <c r="MXU35" s="30"/>
      <c r="MXV35" s="30"/>
      <c r="MXW35" s="30"/>
      <c r="MXX35" s="30"/>
      <c r="MXY35" s="30"/>
      <c r="MXZ35" s="30"/>
      <c r="MYA35" s="30"/>
      <c r="MYB35" s="30"/>
      <c r="MYC35" s="30"/>
      <c r="MYD35" s="30"/>
      <c r="MYE35" s="30"/>
      <c r="MYF35" s="30"/>
      <c r="MYG35" s="30"/>
      <c r="MYH35" s="30"/>
      <c r="MYI35" s="30"/>
      <c r="MYJ35" s="30"/>
      <c r="MYK35" s="30"/>
      <c r="MYL35" s="30"/>
      <c r="MYM35" s="30"/>
      <c r="MYN35" s="30"/>
      <c r="MYO35" s="30"/>
      <c r="MYP35" s="30"/>
      <c r="MYQ35" s="30"/>
      <c r="MYR35" s="30"/>
      <c r="MYS35" s="30"/>
      <c r="MYT35" s="30"/>
      <c r="MYU35" s="30"/>
      <c r="MYV35" s="30"/>
      <c r="MYW35" s="30"/>
      <c r="MYX35" s="30"/>
      <c r="MYY35" s="30"/>
      <c r="MYZ35" s="30"/>
      <c r="MZA35" s="30"/>
      <c r="MZB35" s="30"/>
      <c r="MZC35" s="30"/>
      <c r="MZD35" s="30"/>
      <c r="MZE35" s="30"/>
      <c r="MZF35" s="30"/>
      <c r="MZG35" s="30"/>
      <c r="MZH35" s="30"/>
      <c r="MZI35" s="30"/>
      <c r="MZJ35" s="30"/>
      <c r="MZK35" s="30"/>
      <c r="MZL35" s="30"/>
      <c r="MZM35" s="30"/>
      <c r="MZN35" s="30"/>
      <c r="MZO35" s="30"/>
      <c r="MZP35" s="30"/>
      <c r="MZQ35" s="30"/>
      <c r="MZR35" s="30"/>
      <c r="MZS35" s="30"/>
      <c r="MZT35" s="30"/>
      <c r="MZU35" s="30"/>
      <c r="MZV35" s="30"/>
      <c r="MZW35" s="30"/>
      <c r="MZX35" s="30"/>
      <c r="MZY35" s="30"/>
      <c r="MZZ35" s="30"/>
      <c r="NAA35" s="30"/>
      <c r="NAB35" s="30"/>
      <c r="NAC35" s="30"/>
      <c r="NAD35" s="30"/>
      <c r="NAE35" s="30"/>
      <c r="NAF35" s="30"/>
      <c r="NAG35" s="30"/>
      <c r="NAH35" s="30"/>
      <c r="NAI35" s="30"/>
      <c r="NAJ35" s="30"/>
      <c r="NAK35" s="30"/>
      <c r="NAL35" s="30"/>
      <c r="NAM35" s="30"/>
      <c r="NAN35" s="30"/>
      <c r="NAO35" s="30"/>
      <c r="NAP35" s="30"/>
      <c r="NAQ35" s="30"/>
      <c r="NAR35" s="30"/>
      <c r="NAS35" s="30"/>
      <c r="NAT35" s="30"/>
      <c r="NAU35" s="30"/>
      <c r="NAV35" s="30"/>
      <c r="NAW35" s="30"/>
      <c r="NAX35" s="30"/>
      <c r="NAY35" s="30"/>
      <c r="NAZ35" s="30"/>
      <c r="NBA35" s="30"/>
      <c r="NBB35" s="30"/>
      <c r="NBC35" s="30"/>
      <c r="NBD35" s="30"/>
      <c r="NBE35" s="30"/>
      <c r="NBF35" s="30"/>
      <c r="NBG35" s="30"/>
      <c r="NBH35" s="30"/>
      <c r="NBI35" s="30"/>
      <c r="NBJ35" s="30"/>
      <c r="NBK35" s="30"/>
      <c r="NBL35" s="30"/>
      <c r="NBM35" s="30"/>
      <c r="NBN35" s="30"/>
      <c r="NBO35" s="30"/>
      <c r="NBP35" s="30"/>
      <c r="NBQ35" s="30"/>
      <c r="NBR35" s="30"/>
      <c r="NBS35" s="30"/>
      <c r="NBT35" s="30"/>
      <c r="NBU35" s="30"/>
      <c r="NBV35" s="30"/>
      <c r="NBW35" s="30"/>
      <c r="NBX35" s="30"/>
      <c r="NBY35" s="30"/>
      <c r="NBZ35" s="30"/>
      <c r="NCA35" s="30"/>
      <c r="NCB35" s="30"/>
      <c r="NCC35" s="30"/>
      <c r="NCD35" s="30"/>
      <c r="NCE35" s="30"/>
      <c r="NCF35" s="30"/>
      <c r="NCG35" s="30"/>
      <c r="NCH35" s="30"/>
      <c r="NCI35" s="30"/>
      <c r="NCJ35" s="30"/>
      <c r="NCK35" s="30"/>
      <c r="NCL35" s="30"/>
      <c r="NCM35" s="30"/>
      <c r="NCN35" s="30"/>
      <c r="NCO35" s="30"/>
      <c r="NCP35" s="30"/>
      <c r="NCQ35" s="30"/>
      <c r="NCR35" s="30"/>
      <c r="NCS35" s="30"/>
      <c r="NCT35" s="30"/>
      <c r="NCU35" s="30"/>
      <c r="NCV35" s="30"/>
      <c r="NCW35" s="30"/>
      <c r="NCX35" s="30"/>
      <c r="NCY35" s="30"/>
      <c r="NCZ35" s="30"/>
      <c r="NDA35" s="30"/>
      <c r="NDB35" s="30"/>
      <c r="NDC35" s="30"/>
      <c r="NDD35" s="30"/>
      <c r="NDE35" s="30"/>
      <c r="NDF35" s="30"/>
      <c r="NDG35" s="30"/>
      <c r="NDH35" s="30"/>
      <c r="NDI35" s="30"/>
      <c r="NDJ35" s="30"/>
      <c r="NDK35" s="30"/>
      <c r="NDL35" s="30"/>
      <c r="NDM35" s="30"/>
      <c r="NDN35" s="30"/>
      <c r="NDO35" s="30"/>
      <c r="NDP35" s="30"/>
      <c r="NDQ35" s="30"/>
      <c r="NDR35" s="30"/>
      <c r="NDS35" s="30"/>
      <c r="NDT35" s="30"/>
      <c r="NDU35" s="30"/>
      <c r="NDV35" s="30"/>
      <c r="NDW35" s="30"/>
      <c r="NDX35" s="30"/>
      <c r="NDY35" s="30"/>
      <c r="NDZ35" s="30"/>
      <c r="NEA35" s="30"/>
      <c r="NEB35" s="30"/>
      <c r="NEC35" s="30"/>
      <c r="NED35" s="30"/>
      <c r="NEE35" s="30"/>
      <c r="NEF35" s="30"/>
      <c r="NEG35" s="30"/>
      <c r="NEH35" s="30"/>
      <c r="NEI35" s="30"/>
      <c r="NEJ35" s="30"/>
      <c r="NEK35" s="30"/>
      <c r="NEL35" s="30"/>
      <c r="NEM35" s="30"/>
      <c r="NEN35" s="30"/>
      <c r="NEO35" s="30"/>
      <c r="NEP35" s="30"/>
      <c r="NEQ35" s="30"/>
      <c r="NER35" s="30"/>
      <c r="NES35" s="30"/>
      <c r="NET35" s="30"/>
      <c r="NEU35" s="30"/>
      <c r="NEV35" s="30"/>
      <c r="NEW35" s="30"/>
      <c r="NEX35" s="30"/>
      <c r="NEY35" s="30"/>
      <c r="NEZ35" s="30"/>
      <c r="NFA35" s="30"/>
      <c r="NFB35" s="30"/>
      <c r="NFC35" s="30"/>
      <c r="NFD35" s="30"/>
      <c r="NFE35" s="30"/>
      <c r="NFF35" s="30"/>
      <c r="NFG35" s="30"/>
      <c r="NFH35" s="30"/>
      <c r="NFI35" s="30"/>
      <c r="NFJ35" s="30"/>
      <c r="NFK35" s="30"/>
      <c r="NFL35" s="30"/>
      <c r="NFM35" s="30"/>
      <c r="NFN35" s="30"/>
      <c r="NFO35" s="30"/>
      <c r="NFP35" s="30"/>
      <c r="NFQ35" s="30"/>
      <c r="NFR35" s="30"/>
      <c r="NFS35" s="30"/>
      <c r="NFT35" s="30"/>
      <c r="NFU35" s="30"/>
      <c r="NFV35" s="30"/>
      <c r="NFW35" s="30"/>
      <c r="NFX35" s="30"/>
      <c r="NFY35" s="30"/>
      <c r="NFZ35" s="30"/>
      <c r="NGA35" s="30"/>
      <c r="NGB35" s="30"/>
      <c r="NGC35" s="30"/>
      <c r="NGD35" s="30"/>
      <c r="NGE35" s="30"/>
      <c r="NGF35" s="30"/>
      <c r="NGG35" s="30"/>
      <c r="NGH35" s="30"/>
      <c r="NGI35" s="30"/>
      <c r="NGJ35" s="30"/>
      <c r="NGK35" s="30"/>
      <c r="NGL35" s="30"/>
      <c r="NGM35" s="30"/>
      <c r="NGN35" s="30"/>
      <c r="NGO35" s="30"/>
      <c r="NGP35" s="30"/>
      <c r="NGQ35" s="30"/>
      <c r="NGR35" s="30"/>
      <c r="NGS35" s="30"/>
      <c r="NGT35" s="30"/>
      <c r="NGU35" s="30"/>
      <c r="NGV35" s="30"/>
      <c r="NGW35" s="30"/>
      <c r="NGX35" s="30"/>
      <c r="NGY35" s="30"/>
      <c r="NGZ35" s="30"/>
      <c r="NHA35" s="30"/>
      <c r="NHB35" s="30"/>
      <c r="NHC35" s="30"/>
      <c r="NHD35" s="30"/>
      <c r="NHE35" s="30"/>
      <c r="NHF35" s="30"/>
      <c r="NHG35" s="30"/>
      <c r="NHH35" s="30"/>
      <c r="NHI35" s="30"/>
      <c r="NHJ35" s="30"/>
      <c r="NHK35" s="30"/>
      <c r="NHL35" s="30"/>
      <c r="NHM35" s="30"/>
      <c r="NHN35" s="30"/>
      <c r="NHO35" s="30"/>
      <c r="NHP35" s="30"/>
      <c r="NHQ35" s="30"/>
      <c r="NHR35" s="30"/>
      <c r="NHS35" s="30"/>
      <c r="NHT35" s="30"/>
      <c r="NHU35" s="30"/>
      <c r="NHV35" s="30"/>
      <c r="NHW35" s="30"/>
      <c r="NHX35" s="30"/>
      <c r="NHY35" s="30"/>
      <c r="NHZ35" s="30"/>
      <c r="NIA35" s="30"/>
      <c r="NIB35" s="30"/>
      <c r="NIC35" s="30"/>
      <c r="NID35" s="30"/>
      <c r="NIE35" s="30"/>
      <c r="NIF35" s="30"/>
      <c r="NIG35" s="30"/>
      <c r="NIH35" s="30"/>
      <c r="NII35" s="30"/>
      <c r="NIJ35" s="30"/>
      <c r="NIK35" s="30"/>
      <c r="NIL35" s="30"/>
      <c r="NIM35" s="30"/>
      <c r="NIN35" s="30"/>
      <c r="NIO35" s="30"/>
      <c r="NIP35" s="30"/>
      <c r="NIQ35" s="30"/>
      <c r="NIR35" s="30"/>
      <c r="NIS35" s="30"/>
      <c r="NIT35" s="30"/>
      <c r="NIU35" s="30"/>
      <c r="NIV35" s="30"/>
      <c r="NIW35" s="30"/>
      <c r="NIX35" s="30"/>
      <c r="NIY35" s="30"/>
      <c r="NIZ35" s="30"/>
      <c r="NJA35" s="30"/>
      <c r="NJB35" s="30"/>
      <c r="NJC35" s="30"/>
      <c r="NJD35" s="30"/>
      <c r="NJE35" s="30"/>
      <c r="NJF35" s="30"/>
      <c r="NJG35" s="30"/>
      <c r="NJH35" s="30"/>
      <c r="NJI35" s="30"/>
      <c r="NJJ35" s="30"/>
      <c r="NJK35" s="30"/>
      <c r="NJL35" s="30"/>
      <c r="NJM35" s="30"/>
      <c r="NJN35" s="30"/>
      <c r="NJO35" s="30"/>
      <c r="NJP35" s="30"/>
      <c r="NJQ35" s="30"/>
      <c r="NJR35" s="30"/>
      <c r="NJS35" s="30"/>
      <c r="NJT35" s="30"/>
      <c r="NJU35" s="30"/>
      <c r="NJV35" s="30"/>
      <c r="NJW35" s="30"/>
      <c r="NJX35" s="30"/>
      <c r="NJY35" s="30"/>
      <c r="NJZ35" s="30"/>
      <c r="NKA35" s="30"/>
      <c r="NKB35" s="30"/>
      <c r="NKC35" s="30"/>
      <c r="NKD35" s="30"/>
      <c r="NKE35" s="30"/>
      <c r="NKF35" s="30"/>
      <c r="NKG35" s="30"/>
      <c r="NKH35" s="30"/>
      <c r="NKI35" s="30"/>
      <c r="NKJ35" s="30"/>
      <c r="NKK35" s="30"/>
      <c r="NKL35" s="30"/>
      <c r="NKM35" s="30"/>
      <c r="NKN35" s="30"/>
      <c r="NKO35" s="30"/>
      <c r="NKP35" s="30"/>
      <c r="NKQ35" s="30"/>
      <c r="NKR35" s="30"/>
      <c r="NKS35" s="30"/>
      <c r="NKT35" s="30"/>
      <c r="NKU35" s="30"/>
      <c r="NKV35" s="30"/>
      <c r="NKW35" s="30"/>
      <c r="NKX35" s="30"/>
      <c r="NKY35" s="30"/>
      <c r="NKZ35" s="30"/>
      <c r="NLA35" s="30"/>
      <c r="NLB35" s="30"/>
      <c r="NLC35" s="30"/>
      <c r="NLD35" s="30"/>
      <c r="NLE35" s="30"/>
      <c r="NLF35" s="30"/>
      <c r="NLG35" s="30"/>
      <c r="NLH35" s="30"/>
      <c r="NLI35" s="30"/>
      <c r="NLJ35" s="30"/>
      <c r="NLK35" s="30"/>
      <c r="NLL35" s="30"/>
      <c r="NLM35" s="30"/>
      <c r="NLN35" s="30"/>
      <c r="NLO35" s="30"/>
      <c r="NLP35" s="30"/>
      <c r="NLQ35" s="30"/>
      <c r="NLR35" s="30"/>
      <c r="NLS35" s="30"/>
      <c r="NLT35" s="30"/>
      <c r="NLU35" s="30"/>
      <c r="NLV35" s="30"/>
      <c r="NLW35" s="30"/>
      <c r="NLX35" s="30"/>
      <c r="NLY35" s="30"/>
      <c r="NLZ35" s="30"/>
      <c r="NMA35" s="30"/>
      <c r="NMB35" s="30"/>
      <c r="NMC35" s="30"/>
      <c r="NMD35" s="30"/>
      <c r="NME35" s="30"/>
      <c r="NMF35" s="30"/>
      <c r="NMG35" s="30"/>
      <c r="NMH35" s="30"/>
      <c r="NMI35" s="30"/>
      <c r="NMJ35" s="30"/>
      <c r="NMK35" s="30"/>
      <c r="NML35" s="30"/>
      <c r="NMM35" s="30"/>
      <c r="NMN35" s="30"/>
      <c r="NMO35" s="30"/>
      <c r="NMP35" s="30"/>
      <c r="NMQ35" s="30"/>
      <c r="NMR35" s="30"/>
      <c r="NMS35" s="30"/>
      <c r="NMT35" s="30"/>
      <c r="NMU35" s="30"/>
      <c r="NMV35" s="30"/>
      <c r="NMW35" s="30"/>
      <c r="NMX35" s="30"/>
      <c r="NMY35" s="30"/>
      <c r="NMZ35" s="30"/>
      <c r="NNA35" s="30"/>
      <c r="NNB35" s="30"/>
      <c r="NNC35" s="30"/>
      <c r="NND35" s="30"/>
      <c r="NNE35" s="30"/>
      <c r="NNF35" s="30"/>
      <c r="NNG35" s="30"/>
      <c r="NNH35" s="30"/>
      <c r="NNI35" s="30"/>
      <c r="NNJ35" s="30"/>
      <c r="NNK35" s="30"/>
      <c r="NNL35" s="30"/>
      <c r="NNM35" s="30"/>
      <c r="NNN35" s="30"/>
      <c r="NNO35" s="30"/>
      <c r="NNP35" s="30"/>
      <c r="NNQ35" s="30"/>
      <c r="NNR35" s="30"/>
      <c r="NNS35" s="30"/>
      <c r="NNT35" s="30"/>
      <c r="NNU35" s="30"/>
      <c r="NNV35" s="30"/>
      <c r="NNW35" s="30"/>
      <c r="NNX35" s="30"/>
      <c r="NNY35" s="30"/>
      <c r="NNZ35" s="30"/>
      <c r="NOA35" s="30"/>
      <c r="NOB35" s="30"/>
      <c r="NOC35" s="30"/>
      <c r="NOD35" s="30"/>
      <c r="NOE35" s="30"/>
      <c r="NOF35" s="30"/>
      <c r="NOG35" s="30"/>
      <c r="NOH35" s="30"/>
      <c r="NOI35" s="30"/>
      <c r="NOJ35" s="30"/>
      <c r="NOK35" s="30"/>
      <c r="NOL35" s="30"/>
      <c r="NOM35" s="30"/>
      <c r="NON35" s="30"/>
      <c r="NOO35" s="30"/>
      <c r="NOP35" s="30"/>
      <c r="NOQ35" s="30"/>
      <c r="NOR35" s="30"/>
      <c r="NOS35" s="30"/>
      <c r="NOT35" s="30"/>
      <c r="NOU35" s="30"/>
      <c r="NOV35" s="30"/>
      <c r="NOW35" s="30"/>
      <c r="NOX35" s="30"/>
      <c r="NOY35" s="30"/>
      <c r="NOZ35" s="30"/>
      <c r="NPA35" s="30"/>
      <c r="NPB35" s="30"/>
      <c r="NPC35" s="30"/>
      <c r="NPD35" s="30"/>
      <c r="NPE35" s="30"/>
      <c r="NPF35" s="30"/>
      <c r="NPG35" s="30"/>
      <c r="NPH35" s="30"/>
      <c r="NPI35" s="30"/>
      <c r="NPJ35" s="30"/>
      <c r="NPK35" s="30"/>
      <c r="NPL35" s="30"/>
      <c r="NPM35" s="30"/>
      <c r="NPN35" s="30"/>
      <c r="NPO35" s="30"/>
      <c r="NPP35" s="30"/>
      <c r="NPQ35" s="30"/>
      <c r="NPR35" s="30"/>
      <c r="NPS35" s="30"/>
      <c r="NPT35" s="30"/>
      <c r="NPU35" s="30"/>
      <c r="NPV35" s="30"/>
      <c r="NPW35" s="30"/>
      <c r="NPX35" s="30"/>
      <c r="NPY35" s="30"/>
      <c r="NPZ35" s="30"/>
      <c r="NQA35" s="30"/>
      <c r="NQB35" s="30"/>
      <c r="NQC35" s="30"/>
      <c r="NQD35" s="30"/>
      <c r="NQE35" s="30"/>
      <c r="NQF35" s="30"/>
      <c r="NQG35" s="30"/>
      <c r="NQH35" s="30"/>
      <c r="NQI35" s="30"/>
      <c r="NQJ35" s="30"/>
      <c r="NQK35" s="30"/>
      <c r="NQL35" s="30"/>
      <c r="NQM35" s="30"/>
      <c r="NQN35" s="30"/>
      <c r="NQO35" s="30"/>
      <c r="NQP35" s="30"/>
      <c r="NQQ35" s="30"/>
      <c r="NQR35" s="30"/>
      <c r="NQS35" s="30"/>
      <c r="NQT35" s="30"/>
      <c r="NQU35" s="30"/>
      <c r="NQV35" s="30"/>
      <c r="NQW35" s="30"/>
      <c r="NQX35" s="30"/>
      <c r="NQY35" s="30"/>
      <c r="NQZ35" s="30"/>
      <c r="NRA35" s="30"/>
      <c r="NRB35" s="30"/>
      <c r="NRC35" s="30"/>
      <c r="NRD35" s="30"/>
      <c r="NRE35" s="30"/>
      <c r="NRF35" s="30"/>
      <c r="NRG35" s="30"/>
      <c r="NRH35" s="30"/>
      <c r="NRI35" s="30"/>
      <c r="NRJ35" s="30"/>
      <c r="NRK35" s="30"/>
      <c r="NRL35" s="30"/>
      <c r="NRM35" s="30"/>
      <c r="NRN35" s="30"/>
      <c r="NRO35" s="30"/>
      <c r="NRP35" s="30"/>
      <c r="NRQ35" s="30"/>
      <c r="NRR35" s="30"/>
      <c r="NRS35" s="30"/>
      <c r="NRT35" s="30"/>
      <c r="NRU35" s="30"/>
      <c r="NRV35" s="30"/>
      <c r="NRW35" s="30"/>
      <c r="NRX35" s="30"/>
      <c r="NRY35" s="30"/>
      <c r="NRZ35" s="30"/>
      <c r="NSA35" s="30"/>
      <c r="NSB35" s="30"/>
      <c r="NSC35" s="30"/>
      <c r="NSD35" s="30"/>
      <c r="NSE35" s="30"/>
      <c r="NSF35" s="30"/>
      <c r="NSG35" s="30"/>
      <c r="NSH35" s="30"/>
      <c r="NSI35" s="30"/>
      <c r="NSJ35" s="30"/>
      <c r="NSK35" s="30"/>
      <c r="NSL35" s="30"/>
      <c r="NSM35" s="30"/>
      <c r="NSN35" s="30"/>
      <c r="NSO35" s="30"/>
      <c r="NSP35" s="30"/>
      <c r="NSQ35" s="30"/>
      <c r="NSR35" s="30"/>
      <c r="NSS35" s="30"/>
      <c r="NST35" s="30"/>
      <c r="NSU35" s="30"/>
      <c r="NSV35" s="30"/>
      <c r="NSW35" s="30"/>
      <c r="NSX35" s="30"/>
      <c r="NSY35" s="30"/>
      <c r="NSZ35" s="30"/>
      <c r="NTA35" s="30"/>
      <c r="NTB35" s="30"/>
      <c r="NTC35" s="30"/>
      <c r="NTD35" s="30"/>
      <c r="NTE35" s="30"/>
      <c r="NTF35" s="30"/>
      <c r="NTG35" s="30"/>
      <c r="NTH35" s="30"/>
      <c r="NTI35" s="30"/>
      <c r="NTJ35" s="30"/>
      <c r="NTK35" s="30"/>
      <c r="NTL35" s="30"/>
      <c r="NTM35" s="30"/>
      <c r="NTN35" s="30"/>
      <c r="NTO35" s="30"/>
      <c r="NTP35" s="30"/>
      <c r="NTQ35" s="30"/>
      <c r="NTR35" s="30"/>
      <c r="NTS35" s="30"/>
      <c r="NTT35" s="30"/>
      <c r="NTU35" s="30"/>
      <c r="NTV35" s="30"/>
      <c r="NTW35" s="30"/>
      <c r="NTX35" s="30"/>
      <c r="NTY35" s="30"/>
      <c r="NTZ35" s="30"/>
      <c r="NUA35" s="30"/>
      <c r="NUB35" s="30"/>
      <c r="NUC35" s="30"/>
      <c r="NUD35" s="30"/>
      <c r="NUE35" s="30"/>
      <c r="NUF35" s="30"/>
      <c r="NUG35" s="30"/>
      <c r="NUH35" s="30"/>
      <c r="NUI35" s="30"/>
      <c r="NUJ35" s="30"/>
      <c r="NUK35" s="30"/>
      <c r="NUL35" s="30"/>
      <c r="NUM35" s="30"/>
      <c r="NUN35" s="30"/>
      <c r="NUO35" s="30"/>
      <c r="NUP35" s="30"/>
      <c r="NUQ35" s="30"/>
      <c r="NUR35" s="30"/>
      <c r="NUS35" s="30"/>
      <c r="NUT35" s="30"/>
      <c r="NUU35" s="30"/>
      <c r="NUV35" s="30"/>
      <c r="NUW35" s="30"/>
      <c r="NUX35" s="30"/>
      <c r="NUY35" s="30"/>
      <c r="NUZ35" s="30"/>
      <c r="NVA35" s="30"/>
      <c r="NVB35" s="30"/>
      <c r="NVC35" s="30"/>
      <c r="NVD35" s="30"/>
      <c r="NVE35" s="30"/>
      <c r="NVF35" s="30"/>
      <c r="NVG35" s="30"/>
      <c r="NVH35" s="30"/>
      <c r="NVI35" s="30"/>
      <c r="NVJ35" s="30"/>
      <c r="NVK35" s="30"/>
      <c r="NVL35" s="30"/>
      <c r="NVM35" s="30"/>
      <c r="NVN35" s="30"/>
      <c r="NVO35" s="30"/>
      <c r="NVP35" s="30"/>
      <c r="NVQ35" s="30"/>
      <c r="NVR35" s="30"/>
      <c r="NVS35" s="30"/>
      <c r="NVT35" s="30"/>
      <c r="NVU35" s="30"/>
      <c r="NVV35" s="30"/>
      <c r="NVW35" s="30"/>
      <c r="NVX35" s="30"/>
      <c r="NVY35" s="30"/>
      <c r="NVZ35" s="30"/>
      <c r="NWA35" s="30"/>
      <c r="NWB35" s="30"/>
      <c r="NWC35" s="30"/>
      <c r="NWD35" s="30"/>
      <c r="NWE35" s="30"/>
      <c r="NWF35" s="30"/>
      <c r="NWG35" s="30"/>
      <c r="NWH35" s="30"/>
      <c r="NWI35" s="30"/>
      <c r="NWJ35" s="30"/>
      <c r="NWK35" s="30"/>
      <c r="NWL35" s="30"/>
      <c r="NWM35" s="30"/>
      <c r="NWN35" s="30"/>
      <c r="NWO35" s="30"/>
      <c r="NWP35" s="30"/>
      <c r="NWQ35" s="30"/>
      <c r="NWR35" s="30"/>
      <c r="NWS35" s="30"/>
      <c r="NWT35" s="30"/>
      <c r="NWU35" s="30"/>
      <c r="NWV35" s="30"/>
      <c r="NWW35" s="30"/>
      <c r="NWX35" s="30"/>
      <c r="NWY35" s="30"/>
      <c r="NWZ35" s="30"/>
      <c r="NXA35" s="30"/>
      <c r="NXB35" s="30"/>
      <c r="NXC35" s="30"/>
      <c r="NXD35" s="30"/>
      <c r="NXE35" s="30"/>
      <c r="NXF35" s="30"/>
      <c r="NXG35" s="30"/>
      <c r="NXH35" s="30"/>
      <c r="NXI35" s="30"/>
      <c r="NXJ35" s="30"/>
      <c r="NXK35" s="30"/>
      <c r="NXL35" s="30"/>
      <c r="NXM35" s="30"/>
      <c r="NXN35" s="30"/>
      <c r="NXO35" s="30"/>
      <c r="NXP35" s="30"/>
      <c r="NXQ35" s="30"/>
      <c r="NXR35" s="30"/>
      <c r="NXS35" s="30"/>
      <c r="NXT35" s="30"/>
      <c r="NXU35" s="30"/>
      <c r="NXV35" s="30"/>
      <c r="NXW35" s="30"/>
      <c r="NXX35" s="30"/>
      <c r="NXY35" s="30"/>
      <c r="NXZ35" s="30"/>
      <c r="NYA35" s="30"/>
      <c r="NYB35" s="30"/>
      <c r="NYC35" s="30"/>
      <c r="NYD35" s="30"/>
      <c r="NYE35" s="30"/>
      <c r="NYF35" s="30"/>
      <c r="NYG35" s="30"/>
      <c r="NYH35" s="30"/>
      <c r="NYI35" s="30"/>
      <c r="NYJ35" s="30"/>
      <c r="NYK35" s="30"/>
      <c r="NYL35" s="30"/>
      <c r="NYM35" s="30"/>
      <c r="NYN35" s="30"/>
      <c r="NYO35" s="30"/>
      <c r="NYP35" s="30"/>
      <c r="NYQ35" s="30"/>
      <c r="NYR35" s="30"/>
      <c r="NYS35" s="30"/>
      <c r="NYT35" s="30"/>
      <c r="NYU35" s="30"/>
      <c r="NYV35" s="30"/>
      <c r="NYW35" s="30"/>
      <c r="NYX35" s="30"/>
      <c r="NYY35" s="30"/>
      <c r="NYZ35" s="30"/>
      <c r="NZA35" s="30"/>
      <c r="NZB35" s="30"/>
      <c r="NZC35" s="30"/>
      <c r="NZD35" s="30"/>
      <c r="NZE35" s="30"/>
      <c r="NZF35" s="30"/>
      <c r="NZG35" s="30"/>
      <c r="NZH35" s="30"/>
      <c r="NZI35" s="30"/>
      <c r="NZJ35" s="30"/>
      <c r="NZK35" s="30"/>
      <c r="NZL35" s="30"/>
      <c r="NZM35" s="30"/>
      <c r="NZN35" s="30"/>
      <c r="NZO35" s="30"/>
      <c r="NZP35" s="30"/>
      <c r="NZQ35" s="30"/>
      <c r="NZR35" s="30"/>
      <c r="NZS35" s="30"/>
      <c r="NZT35" s="30"/>
      <c r="NZU35" s="30"/>
      <c r="NZV35" s="30"/>
      <c r="NZW35" s="30"/>
      <c r="NZX35" s="30"/>
      <c r="NZY35" s="30"/>
      <c r="NZZ35" s="30"/>
      <c r="OAA35" s="30"/>
      <c r="OAB35" s="30"/>
      <c r="OAC35" s="30"/>
      <c r="OAD35" s="30"/>
      <c r="OAE35" s="30"/>
      <c r="OAF35" s="30"/>
      <c r="OAG35" s="30"/>
      <c r="OAH35" s="30"/>
      <c r="OAI35" s="30"/>
      <c r="OAJ35" s="30"/>
      <c r="OAK35" s="30"/>
      <c r="OAL35" s="30"/>
      <c r="OAM35" s="30"/>
      <c r="OAN35" s="30"/>
      <c r="OAO35" s="30"/>
      <c r="OAP35" s="30"/>
      <c r="OAQ35" s="30"/>
      <c r="OAR35" s="30"/>
      <c r="OAS35" s="30"/>
      <c r="OAT35" s="30"/>
      <c r="OAU35" s="30"/>
      <c r="OAV35" s="30"/>
      <c r="OAW35" s="30"/>
      <c r="OAX35" s="30"/>
      <c r="OAY35" s="30"/>
      <c r="OAZ35" s="30"/>
      <c r="OBA35" s="30"/>
      <c r="OBB35" s="30"/>
      <c r="OBC35" s="30"/>
      <c r="OBD35" s="30"/>
      <c r="OBE35" s="30"/>
      <c r="OBF35" s="30"/>
      <c r="OBG35" s="30"/>
      <c r="OBH35" s="30"/>
      <c r="OBI35" s="30"/>
      <c r="OBJ35" s="30"/>
      <c r="OBK35" s="30"/>
      <c r="OBL35" s="30"/>
      <c r="OBM35" s="30"/>
      <c r="OBN35" s="30"/>
      <c r="OBO35" s="30"/>
      <c r="OBP35" s="30"/>
      <c r="OBQ35" s="30"/>
      <c r="OBR35" s="30"/>
      <c r="OBS35" s="30"/>
      <c r="OBT35" s="30"/>
      <c r="OBU35" s="30"/>
      <c r="OBV35" s="30"/>
      <c r="OBW35" s="30"/>
      <c r="OBX35" s="30"/>
      <c r="OBY35" s="30"/>
      <c r="OBZ35" s="30"/>
      <c r="OCA35" s="30"/>
      <c r="OCB35" s="30"/>
      <c r="OCC35" s="30"/>
      <c r="OCD35" s="30"/>
      <c r="OCE35" s="30"/>
      <c r="OCF35" s="30"/>
      <c r="OCG35" s="30"/>
      <c r="OCH35" s="30"/>
      <c r="OCI35" s="30"/>
      <c r="OCJ35" s="30"/>
      <c r="OCK35" s="30"/>
      <c r="OCL35" s="30"/>
      <c r="OCM35" s="30"/>
      <c r="OCN35" s="30"/>
      <c r="OCO35" s="30"/>
      <c r="OCP35" s="30"/>
      <c r="OCQ35" s="30"/>
      <c r="OCR35" s="30"/>
      <c r="OCS35" s="30"/>
      <c r="OCT35" s="30"/>
      <c r="OCU35" s="30"/>
      <c r="OCV35" s="30"/>
      <c r="OCW35" s="30"/>
      <c r="OCX35" s="30"/>
      <c r="OCY35" s="30"/>
      <c r="OCZ35" s="30"/>
      <c r="ODA35" s="30"/>
      <c r="ODB35" s="30"/>
      <c r="ODC35" s="30"/>
      <c r="ODD35" s="30"/>
      <c r="ODE35" s="30"/>
      <c r="ODF35" s="30"/>
      <c r="ODG35" s="30"/>
      <c r="ODH35" s="30"/>
      <c r="ODI35" s="30"/>
      <c r="ODJ35" s="30"/>
      <c r="ODK35" s="30"/>
      <c r="ODL35" s="30"/>
      <c r="ODM35" s="30"/>
      <c r="ODN35" s="30"/>
      <c r="ODO35" s="30"/>
      <c r="ODP35" s="30"/>
      <c r="ODQ35" s="30"/>
      <c r="ODR35" s="30"/>
      <c r="ODS35" s="30"/>
      <c r="ODT35" s="30"/>
      <c r="ODU35" s="30"/>
      <c r="ODV35" s="30"/>
      <c r="ODW35" s="30"/>
      <c r="ODX35" s="30"/>
      <c r="ODY35" s="30"/>
      <c r="ODZ35" s="30"/>
      <c r="OEA35" s="30"/>
      <c r="OEB35" s="30"/>
      <c r="OEC35" s="30"/>
      <c r="OED35" s="30"/>
      <c r="OEE35" s="30"/>
      <c r="OEF35" s="30"/>
      <c r="OEG35" s="30"/>
      <c r="OEH35" s="30"/>
      <c r="OEI35" s="30"/>
      <c r="OEJ35" s="30"/>
      <c r="OEK35" s="30"/>
      <c r="OEL35" s="30"/>
      <c r="OEM35" s="30"/>
      <c r="OEN35" s="30"/>
      <c r="OEO35" s="30"/>
      <c r="OEP35" s="30"/>
      <c r="OEQ35" s="30"/>
      <c r="OER35" s="30"/>
      <c r="OES35" s="30"/>
      <c r="OET35" s="30"/>
      <c r="OEU35" s="30"/>
      <c r="OEV35" s="30"/>
      <c r="OEW35" s="30"/>
      <c r="OEX35" s="30"/>
      <c r="OEY35" s="30"/>
      <c r="OEZ35" s="30"/>
      <c r="OFA35" s="30"/>
      <c r="OFB35" s="30"/>
      <c r="OFC35" s="30"/>
      <c r="OFD35" s="30"/>
      <c r="OFE35" s="30"/>
      <c r="OFF35" s="30"/>
      <c r="OFG35" s="30"/>
      <c r="OFH35" s="30"/>
      <c r="OFI35" s="30"/>
      <c r="OFJ35" s="30"/>
      <c r="OFK35" s="30"/>
      <c r="OFL35" s="30"/>
      <c r="OFM35" s="30"/>
      <c r="OFN35" s="30"/>
      <c r="OFO35" s="30"/>
      <c r="OFP35" s="30"/>
      <c r="OFQ35" s="30"/>
      <c r="OFR35" s="30"/>
      <c r="OFS35" s="30"/>
      <c r="OFT35" s="30"/>
      <c r="OFU35" s="30"/>
      <c r="OFV35" s="30"/>
      <c r="OFW35" s="30"/>
      <c r="OFX35" s="30"/>
      <c r="OFY35" s="30"/>
      <c r="OFZ35" s="30"/>
      <c r="OGA35" s="30"/>
      <c r="OGB35" s="30"/>
      <c r="OGC35" s="30"/>
      <c r="OGD35" s="30"/>
      <c r="OGE35" s="30"/>
      <c r="OGF35" s="30"/>
      <c r="OGG35" s="30"/>
      <c r="OGH35" s="30"/>
      <c r="OGI35" s="30"/>
      <c r="OGJ35" s="30"/>
      <c r="OGK35" s="30"/>
      <c r="OGL35" s="30"/>
      <c r="OGM35" s="30"/>
      <c r="OGN35" s="30"/>
      <c r="OGO35" s="30"/>
      <c r="OGP35" s="30"/>
      <c r="OGQ35" s="30"/>
      <c r="OGR35" s="30"/>
      <c r="OGS35" s="30"/>
      <c r="OGT35" s="30"/>
      <c r="OGU35" s="30"/>
      <c r="OGV35" s="30"/>
      <c r="OGW35" s="30"/>
      <c r="OGX35" s="30"/>
      <c r="OGY35" s="30"/>
      <c r="OGZ35" s="30"/>
      <c r="OHA35" s="30"/>
      <c r="OHB35" s="30"/>
      <c r="OHC35" s="30"/>
      <c r="OHD35" s="30"/>
      <c r="OHE35" s="30"/>
      <c r="OHF35" s="30"/>
      <c r="OHG35" s="30"/>
      <c r="OHH35" s="30"/>
      <c r="OHI35" s="30"/>
      <c r="OHJ35" s="30"/>
      <c r="OHK35" s="30"/>
      <c r="OHL35" s="30"/>
      <c r="OHM35" s="30"/>
      <c r="OHN35" s="30"/>
      <c r="OHO35" s="30"/>
      <c r="OHP35" s="30"/>
      <c r="OHQ35" s="30"/>
      <c r="OHR35" s="30"/>
      <c r="OHS35" s="30"/>
      <c r="OHT35" s="30"/>
      <c r="OHU35" s="30"/>
      <c r="OHV35" s="30"/>
      <c r="OHW35" s="30"/>
      <c r="OHX35" s="30"/>
      <c r="OHY35" s="30"/>
      <c r="OHZ35" s="30"/>
      <c r="OIA35" s="30"/>
      <c r="OIB35" s="30"/>
      <c r="OIC35" s="30"/>
      <c r="OID35" s="30"/>
      <c r="OIE35" s="30"/>
      <c r="OIF35" s="30"/>
      <c r="OIG35" s="30"/>
      <c r="OIH35" s="30"/>
      <c r="OII35" s="30"/>
      <c r="OIJ35" s="30"/>
      <c r="OIK35" s="30"/>
      <c r="OIL35" s="30"/>
      <c r="OIM35" s="30"/>
      <c r="OIN35" s="30"/>
      <c r="OIO35" s="30"/>
      <c r="OIP35" s="30"/>
      <c r="OIQ35" s="30"/>
      <c r="OIR35" s="30"/>
      <c r="OIS35" s="30"/>
      <c r="OIT35" s="30"/>
      <c r="OIU35" s="30"/>
      <c r="OIV35" s="30"/>
      <c r="OIW35" s="30"/>
      <c r="OIX35" s="30"/>
      <c r="OIY35" s="30"/>
      <c r="OIZ35" s="30"/>
      <c r="OJA35" s="30"/>
      <c r="OJB35" s="30"/>
      <c r="OJC35" s="30"/>
      <c r="OJD35" s="30"/>
      <c r="OJE35" s="30"/>
      <c r="OJF35" s="30"/>
      <c r="OJG35" s="30"/>
      <c r="OJH35" s="30"/>
      <c r="OJI35" s="30"/>
      <c r="OJJ35" s="30"/>
      <c r="OJK35" s="30"/>
      <c r="OJL35" s="30"/>
      <c r="OJM35" s="30"/>
      <c r="OJN35" s="30"/>
      <c r="OJO35" s="30"/>
      <c r="OJP35" s="30"/>
      <c r="OJQ35" s="30"/>
      <c r="OJR35" s="30"/>
      <c r="OJS35" s="30"/>
      <c r="OJT35" s="30"/>
      <c r="OJU35" s="30"/>
      <c r="OJV35" s="30"/>
      <c r="OJW35" s="30"/>
      <c r="OJX35" s="30"/>
      <c r="OJY35" s="30"/>
      <c r="OJZ35" s="30"/>
      <c r="OKA35" s="30"/>
      <c r="OKB35" s="30"/>
      <c r="OKC35" s="30"/>
      <c r="OKD35" s="30"/>
      <c r="OKE35" s="30"/>
      <c r="OKF35" s="30"/>
      <c r="OKG35" s="30"/>
      <c r="OKH35" s="30"/>
      <c r="OKI35" s="30"/>
      <c r="OKJ35" s="30"/>
      <c r="OKK35" s="30"/>
      <c r="OKL35" s="30"/>
      <c r="OKM35" s="30"/>
      <c r="OKN35" s="30"/>
      <c r="OKO35" s="30"/>
      <c r="OKP35" s="30"/>
      <c r="OKQ35" s="30"/>
      <c r="OKR35" s="30"/>
      <c r="OKS35" s="30"/>
      <c r="OKT35" s="30"/>
      <c r="OKU35" s="30"/>
      <c r="OKV35" s="30"/>
      <c r="OKW35" s="30"/>
      <c r="OKX35" s="30"/>
      <c r="OKY35" s="30"/>
      <c r="OKZ35" s="30"/>
      <c r="OLA35" s="30"/>
      <c r="OLB35" s="30"/>
      <c r="OLC35" s="30"/>
      <c r="OLD35" s="30"/>
      <c r="OLE35" s="30"/>
      <c r="OLF35" s="30"/>
      <c r="OLG35" s="30"/>
      <c r="OLH35" s="30"/>
      <c r="OLI35" s="30"/>
      <c r="OLJ35" s="30"/>
      <c r="OLK35" s="30"/>
      <c r="OLL35" s="30"/>
      <c r="OLM35" s="30"/>
      <c r="OLN35" s="30"/>
      <c r="OLO35" s="30"/>
      <c r="OLP35" s="30"/>
      <c r="OLQ35" s="30"/>
      <c r="OLR35" s="30"/>
      <c r="OLS35" s="30"/>
      <c r="OLT35" s="30"/>
      <c r="OLU35" s="30"/>
      <c r="OLV35" s="30"/>
      <c r="OLW35" s="30"/>
      <c r="OLX35" s="30"/>
      <c r="OLY35" s="30"/>
      <c r="OLZ35" s="30"/>
      <c r="OMA35" s="30"/>
      <c r="OMB35" s="30"/>
      <c r="OMC35" s="30"/>
      <c r="OMD35" s="30"/>
      <c r="OME35" s="30"/>
      <c r="OMF35" s="30"/>
      <c r="OMG35" s="30"/>
      <c r="OMH35" s="30"/>
      <c r="OMI35" s="30"/>
      <c r="OMJ35" s="30"/>
      <c r="OMK35" s="30"/>
      <c r="OML35" s="30"/>
      <c r="OMM35" s="30"/>
      <c r="OMN35" s="30"/>
      <c r="OMO35" s="30"/>
      <c r="OMP35" s="30"/>
      <c r="OMQ35" s="30"/>
      <c r="OMR35" s="30"/>
      <c r="OMS35" s="30"/>
      <c r="OMT35" s="30"/>
      <c r="OMU35" s="30"/>
      <c r="OMV35" s="30"/>
      <c r="OMW35" s="30"/>
      <c r="OMX35" s="30"/>
      <c r="OMY35" s="30"/>
      <c r="OMZ35" s="30"/>
      <c r="ONA35" s="30"/>
      <c r="ONB35" s="30"/>
      <c r="ONC35" s="30"/>
      <c r="OND35" s="30"/>
      <c r="ONE35" s="30"/>
      <c r="ONF35" s="30"/>
      <c r="ONG35" s="30"/>
      <c r="ONH35" s="30"/>
      <c r="ONI35" s="30"/>
      <c r="ONJ35" s="30"/>
      <c r="ONK35" s="30"/>
      <c r="ONL35" s="30"/>
      <c r="ONM35" s="30"/>
      <c r="ONN35" s="30"/>
      <c r="ONO35" s="30"/>
      <c r="ONP35" s="30"/>
      <c r="ONQ35" s="30"/>
      <c r="ONR35" s="30"/>
      <c r="ONS35" s="30"/>
      <c r="ONT35" s="30"/>
      <c r="ONU35" s="30"/>
      <c r="ONV35" s="30"/>
      <c r="ONW35" s="30"/>
      <c r="ONX35" s="30"/>
      <c r="ONY35" s="30"/>
      <c r="ONZ35" s="30"/>
      <c r="OOA35" s="30"/>
      <c r="OOB35" s="30"/>
      <c r="OOC35" s="30"/>
      <c r="OOD35" s="30"/>
      <c r="OOE35" s="30"/>
      <c r="OOF35" s="30"/>
      <c r="OOG35" s="30"/>
      <c r="OOH35" s="30"/>
      <c r="OOI35" s="30"/>
      <c r="OOJ35" s="30"/>
      <c r="OOK35" s="30"/>
      <c r="OOL35" s="30"/>
      <c r="OOM35" s="30"/>
      <c r="OON35" s="30"/>
      <c r="OOO35" s="30"/>
      <c r="OOP35" s="30"/>
      <c r="OOQ35" s="30"/>
      <c r="OOR35" s="30"/>
      <c r="OOS35" s="30"/>
      <c r="OOT35" s="30"/>
      <c r="OOU35" s="30"/>
      <c r="OOV35" s="30"/>
      <c r="OOW35" s="30"/>
      <c r="OOX35" s="30"/>
      <c r="OOY35" s="30"/>
      <c r="OOZ35" s="30"/>
      <c r="OPA35" s="30"/>
      <c r="OPB35" s="30"/>
      <c r="OPC35" s="30"/>
      <c r="OPD35" s="30"/>
      <c r="OPE35" s="30"/>
      <c r="OPF35" s="30"/>
      <c r="OPG35" s="30"/>
      <c r="OPH35" s="30"/>
      <c r="OPI35" s="30"/>
      <c r="OPJ35" s="30"/>
      <c r="OPK35" s="30"/>
      <c r="OPL35" s="30"/>
      <c r="OPM35" s="30"/>
      <c r="OPN35" s="30"/>
      <c r="OPO35" s="30"/>
      <c r="OPP35" s="30"/>
      <c r="OPQ35" s="30"/>
      <c r="OPR35" s="30"/>
      <c r="OPS35" s="30"/>
      <c r="OPT35" s="30"/>
      <c r="OPU35" s="30"/>
      <c r="OPV35" s="30"/>
      <c r="OPW35" s="30"/>
      <c r="OPX35" s="30"/>
      <c r="OPY35" s="30"/>
      <c r="OPZ35" s="30"/>
      <c r="OQA35" s="30"/>
      <c r="OQB35" s="30"/>
      <c r="OQC35" s="30"/>
      <c r="OQD35" s="30"/>
      <c r="OQE35" s="30"/>
      <c r="OQF35" s="30"/>
      <c r="OQG35" s="30"/>
      <c r="OQH35" s="30"/>
      <c r="OQI35" s="30"/>
      <c r="OQJ35" s="30"/>
      <c r="OQK35" s="30"/>
      <c r="OQL35" s="30"/>
      <c r="OQM35" s="30"/>
      <c r="OQN35" s="30"/>
      <c r="OQO35" s="30"/>
      <c r="OQP35" s="30"/>
      <c r="OQQ35" s="30"/>
      <c r="OQR35" s="30"/>
      <c r="OQS35" s="30"/>
      <c r="OQT35" s="30"/>
      <c r="OQU35" s="30"/>
      <c r="OQV35" s="30"/>
      <c r="OQW35" s="30"/>
      <c r="OQX35" s="30"/>
      <c r="OQY35" s="30"/>
      <c r="OQZ35" s="30"/>
      <c r="ORA35" s="30"/>
      <c r="ORB35" s="30"/>
      <c r="ORC35" s="30"/>
      <c r="ORD35" s="30"/>
      <c r="ORE35" s="30"/>
      <c r="ORF35" s="30"/>
      <c r="ORG35" s="30"/>
      <c r="ORH35" s="30"/>
      <c r="ORI35" s="30"/>
      <c r="ORJ35" s="30"/>
      <c r="ORK35" s="30"/>
      <c r="ORL35" s="30"/>
      <c r="ORM35" s="30"/>
      <c r="ORN35" s="30"/>
      <c r="ORO35" s="30"/>
      <c r="ORP35" s="30"/>
      <c r="ORQ35" s="30"/>
      <c r="ORR35" s="30"/>
      <c r="ORS35" s="30"/>
      <c r="ORT35" s="30"/>
      <c r="ORU35" s="30"/>
      <c r="ORV35" s="30"/>
      <c r="ORW35" s="30"/>
      <c r="ORX35" s="30"/>
      <c r="ORY35" s="30"/>
      <c r="ORZ35" s="30"/>
      <c r="OSA35" s="30"/>
      <c r="OSB35" s="30"/>
      <c r="OSC35" s="30"/>
      <c r="OSD35" s="30"/>
      <c r="OSE35" s="30"/>
      <c r="OSF35" s="30"/>
      <c r="OSG35" s="30"/>
      <c r="OSH35" s="30"/>
      <c r="OSI35" s="30"/>
      <c r="OSJ35" s="30"/>
      <c r="OSK35" s="30"/>
      <c r="OSL35" s="30"/>
      <c r="OSM35" s="30"/>
      <c r="OSN35" s="30"/>
      <c r="OSO35" s="30"/>
      <c r="OSP35" s="30"/>
      <c r="OSQ35" s="30"/>
      <c r="OSR35" s="30"/>
      <c r="OSS35" s="30"/>
      <c r="OST35" s="30"/>
      <c r="OSU35" s="30"/>
      <c r="OSV35" s="30"/>
      <c r="OSW35" s="30"/>
      <c r="OSX35" s="30"/>
      <c r="OSY35" s="30"/>
      <c r="OSZ35" s="30"/>
      <c r="OTA35" s="30"/>
      <c r="OTB35" s="30"/>
      <c r="OTC35" s="30"/>
      <c r="OTD35" s="30"/>
      <c r="OTE35" s="30"/>
      <c r="OTF35" s="30"/>
      <c r="OTG35" s="30"/>
      <c r="OTH35" s="30"/>
      <c r="OTI35" s="30"/>
      <c r="OTJ35" s="30"/>
      <c r="OTK35" s="30"/>
      <c r="OTL35" s="30"/>
      <c r="OTM35" s="30"/>
      <c r="OTN35" s="30"/>
      <c r="OTO35" s="30"/>
      <c r="OTP35" s="30"/>
      <c r="OTQ35" s="30"/>
      <c r="OTR35" s="30"/>
      <c r="OTS35" s="30"/>
      <c r="OTT35" s="30"/>
      <c r="OTU35" s="30"/>
      <c r="OTV35" s="30"/>
      <c r="OTW35" s="30"/>
      <c r="OTX35" s="30"/>
      <c r="OTY35" s="30"/>
      <c r="OTZ35" s="30"/>
      <c r="OUA35" s="30"/>
      <c r="OUB35" s="30"/>
      <c r="OUC35" s="30"/>
      <c r="OUD35" s="30"/>
      <c r="OUE35" s="30"/>
      <c r="OUF35" s="30"/>
      <c r="OUG35" s="30"/>
      <c r="OUH35" s="30"/>
      <c r="OUI35" s="30"/>
      <c r="OUJ35" s="30"/>
      <c r="OUK35" s="30"/>
      <c r="OUL35" s="30"/>
      <c r="OUM35" s="30"/>
      <c r="OUN35" s="30"/>
      <c r="OUO35" s="30"/>
      <c r="OUP35" s="30"/>
      <c r="OUQ35" s="30"/>
      <c r="OUR35" s="30"/>
      <c r="OUS35" s="30"/>
      <c r="OUT35" s="30"/>
      <c r="OUU35" s="30"/>
      <c r="OUV35" s="30"/>
      <c r="OUW35" s="30"/>
      <c r="OUX35" s="30"/>
      <c r="OUY35" s="30"/>
      <c r="OUZ35" s="30"/>
      <c r="OVA35" s="30"/>
      <c r="OVB35" s="30"/>
      <c r="OVC35" s="30"/>
      <c r="OVD35" s="30"/>
      <c r="OVE35" s="30"/>
      <c r="OVF35" s="30"/>
      <c r="OVG35" s="30"/>
      <c r="OVH35" s="30"/>
      <c r="OVI35" s="30"/>
      <c r="OVJ35" s="30"/>
      <c r="OVK35" s="30"/>
      <c r="OVL35" s="30"/>
      <c r="OVM35" s="30"/>
      <c r="OVN35" s="30"/>
      <c r="OVO35" s="30"/>
      <c r="OVP35" s="30"/>
      <c r="OVQ35" s="30"/>
      <c r="OVR35" s="30"/>
      <c r="OVS35" s="30"/>
      <c r="OVT35" s="30"/>
      <c r="OVU35" s="30"/>
      <c r="OVV35" s="30"/>
      <c r="OVW35" s="30"/>
      <c r="OVX35" s="30"/>
      <c r="OVY35" s="30"/>
      <c r="OVZ35" s="30"/>
      <c r="OWA35" s="30"/>
      <c r="OWB35" s="30"/>
      <c r="OWC35" s="30"/>
      <c r="OWD35" s="30"/>
      <c r="OWE35" s="30"/>
      <c r="OWF35" s="30"/>
      <c r="OWG35" s="30"/>
      <c r="OWH35" s="30"/>
      <c r="OWI35" s="30"/>
      <c r="OWJ35" s="30"/>
      <c r="OWK35" s="30"/>
      <c r="OWL35" s="30"/>
      <c r="OWM35" s="30"/>
      <c r="OWN35" s="30"/>
      <c r="OWO35" s="30"/>
      <c r="OWP35" s="30"/>
      <c r="OWQ35" s="30"/>
      <c r="OWR35" s="30"/>
      <c r="OWS35" s="30"/>
      <c r="OWT35" s="30"/>
      <c r="OWU35" s="30"/>
      <c r="OWV35" s="30"/>
      <c r="OWW35" s="30"/>
      <c r="OWX35" s="30"/>
      <c r="OWY35" s="30"/>
      <c r="OWZ35" s="30"/>
      <c r="OXA35" s="30"/>
      <c r="OXB35" s="30"/>
      <c r="OXC35" s="30"/>
      <c r="OXD35" s="30"/>
      <c r="OXE35" s="30"/>
      <c r="OXF35" s="30"/>
      <c r="OXG35" s="30"/>
      <c r="OXH35" s="30"/>
      <c r="OXI35" s="30"/>
      <c r="OXJ35" s="30"/>
      <c r="OXK35" s="30"/>
      <c r="OXL35" s="30"/>
      <c r="OXM35" s="30"/>
      <c r="OXN35" s="30"/>
      <c r="OXO35" s="30"/>
      <c r="OXP35" s="30"/>
      <c r="OXQ35" s="30"/>
      <c r="OXR35" s="30"/>
      <c r="OXS35" s="30"/>
      <c r="OXT35" s="30"/>
      <c r="OXU35" s="30"/>
      <c r="OXV35" s="30"/>
      <c r="OXW35" s="30"/>
      <c r="OXX35" s="30"/>
      <c r="OXY35" s="30"/>
      <c r="OXZ35" s="30"/>
      <c r="OYA35" s="30"/>
      <c r="OYB35" s="30"/>
      <c r="OYC35" s="30"/>
      <c r="OYD35" s="30"/>
      <c r="OYE35" s="30"/>
      <c r="OYF35" s="30"/>
      <c r="OYG35" s="30"/>
      <c r="OYH35" s="30"/>
      <c r="OYI35" s="30"/>
      <c r="OYJ35" s="30"/>
      <c r="OYK35" s="30"/>
      <c r="OYL35" s="30"/>
      <c r="OYM35" s="30"/>
      <c r="OYN35" s="30"/>
      <c r="OYO35" s="30"/>
      <c r="OYP35" s="30"/>
      <c r="OYQ35" s="30"/>
      <c r="OYR35" s="30"/>
      <c r="OYS35" s="30"/>
      <c r="OYT35" s="30"/>
      <c r="OYU35" s="30"/>
      <c r="OYV35" s="30"/>
      <c r="OYW35" s="30"/>
      <c r="OYX35" s="30"/>
      <c r="OYY35" s="30"/>
      <c r="OYZ35" s="30"/>
      <c r="OZA35" s="30"/>
      <c r="OZB35" s="30"/>
      <c r="OZC35" s="30"/>
      <c r="OZD35" s="30"/>
      <c r="OZE35" s="30"/>
      <c r="OZF35" s="30"/>
      <c r="OZG35" s="30"/>
      <c r="OZH35" s="30"/>
      <c r="OZI35" s="30"/>
      <c r="OZJ35" s="30"/>
      <c r="OZK35" s="30"/>
      <c r="OZL35" s="30"/>
      <c r="OZM35" s="30"/>
      <c r="OZN35" s="30"/>
      <c r="OZO35" s="30"/>
      <c r="OZP35" s="30"/>
      <c r="OZQ35" s="30"/>
      <c r="OZR35" s="30"/>
      <c r="OZS35" s="30"/>
      <c r="OZT35" s="30"/>
      <c r="OZU35" s="30"/>
      <c r="OZV35" s="30"/>
      <c r="OZW35" s="30"/>
      <c r="OZX35" s="30"/>
      <c r="OZY35" s="30"/>
      <c r="OZZ35" s="30"/>
      <c r="PAA35" s="30"/>
      <c r="PAB35" s="30"/>
      <c r="PAC35" s="30"/>
      <c r="PAD35" s="30"/>
      <c r="PAE35" s="30"/>
      <c r="PAF35" s="30"/>
      <c r="PAG35" s="30"/>
      <c r="PAH35" s="30"/>
      <c r="PAI35" s="30"/>
      <c r="PAJ35" s="30"/>
      <c r="PAK35" s="30"/>
      <c r="PAL35" s="30"/>
      <c r="PAM35" s="30"/>
      <c r="PAN35" s="30"/>
      <c r="PAO35" s="30"/>
      <c r="PAP35" s="30"/>
      <c r="PAQ35" s="30"/>
      <c r="PAR35" s="30"/>
      <c r="PAS35" s="30"/>
      <c r="PAT35" s="30"/>
      <c r="PAU35" s="30"/>
      <c r="PAV35" s="30"/>
      <c r="PAW35" s="30"/>
      <c r="PAX35" s="30"/>
      <c r="PAY35" s="30"/>
      <c r="PAZ35" s="30"/>
      <c r="PBA35" s="30"/>
      <c r="PBB35" s="30"/>
      <c r="PBC35" s="30"/>
      <c r="PBD35" s="30"/>
      <c r="PBE35" s="30"/>
      <c r="PBF35" s="30"/>
      <c r="PBG35" s="30"/>
      <c r="PBH35" s="30"/>
      <c r="PBI35" s="30"/>
      <c r="PBJ35" s="30"/>
      <c r="PBK35" s="30"/>
      <c r="PBL35" s="30"/>
      <c r="PBM35" s="30"/>
      <c r="PBN35" s="30"/>
      <c r="PBO35" s="30"/>
      <c r="PBP35" s="30"/>
      <c r="PBQ35" s="30"/>
      <c r="PBR35" s="30"/>
      <c r="PBS35" s="30"/>
      <c r="PBT35" s="30"/>
      <c r="PBU35" s="30"/>
      <c r="PBV35" s="30"/>
      <c r="PBW35" s="30"/>
      <c r="PBX35" s="30"/>
      <c r="PBY35" s="30"/>
      <c r="PBZ35" s="30"/>
      <c r="PCA35" s="30"/>
      <c r="PCB35" s="30"/>
      <c r="PCC35" s="30"/>
      <c r="PCD35" s="30"/>
      <c r="PCE35" s="30"/>
      <c r="PCF35" s="30"/>
      <c r="PCG35" s="30"/>
      <c r="PCH35" s="30"/>
      <c r="PCI35" s="30"/>
      <c r="PCJ35" s="30"/>
      <c r="PCK35" s="30"/>
      <c r="PCL35" s="30"/>
      <c r="PCM35" s="30"/>
      <c r="PCN35" s="30"/>
      <c r="PCO35" s="30"/>
      <c r="PCP35" s="30"/>
      <c r="PCQ35" s="30"/>
      <c r="PCR35" s="30"/>
      <c r="PCS35" s="30"/>
      <c r="PCT35" s="30"/>
      <c r="PCU35" s="30"/>
      <c r="PCV35" s="30"/>
      <c r="PCW35" s="30"/>
      <c r="PCX35" s="30"/>
      <c r="PCY35" s="30"/>
      <c r="PCZ35" s="30"/>
      <c r="PDA35" s="30"/>
      <c r="PDB35" s="30"/>
      <c r="PDC35" s="30"/>
      <c r="PDD35" s="30"/>
      <c r="PDE35" s="30"/>
      <c r="PDF35" s="30"/>
      <c r="PDG35" s="30"/>
      <c r="PDH35" s="30"/>
      <c r="PDI35" s="30"/>
      <c r="PDJ35" s="30"/>
      <c r="PDK35" s="30"/>
      <c r="PDL35" s="30"/>
      <c r="PDM35" s="30"/>
      <c r="PDN35" s="30"/>
      <c r="PDO35" s="30"/>
      <c r="PDP35" s="30"/>
      <c r="PDQ35" s="30"/>
      <c r="PDR35" s="30"/>
      <c r="PDS35" s="30"/>
      <c r="PDT35" s="30"/>
      <c r="PDU35" s="30"/>
      <c r="PDV35" s="30"/>
      <c r="PDW35" s="30"/>
      <c r="PDX35" s="30"/>
      <c r="PDY35" s="30"/>
      <c r="PDZ35" s="30"/>
      <c r="PEA35" s="30"/>
      <c r="PEB35" s="30"/>
      <c r="PEC35" s="30"/>
      <c r="PED35" s="30"/>
      <c r="PEE35" s="30"/>
      <c r="PEF35" s="30"/>
      <c r="PEG35" s="30"/>
      <c r="PEH35" s="30"/>
      <c r="PEI35" s="30"/>
      <c r="PEJ35" s="30"/>
      <c r="PEK35" s="30"/>
      <c r="PEL35" s="30"/>
      <c r="PEM35" s="30"/>
      <c r="PEN35" s="30"/>
      <c r="PEO35" s="30"/>
      <c r="PEP35" s="30"/>
      <c r="PEQ35" s="30"/>
      <c r="PER35" s="30"/>
      <c r="PES35" s="30"/>
      <c r="PET35" s="30"/>
      <c r="PEU35" s="30"/>
      <c r="PEV35" s="30"/>
      <c r="PEW35" s="30"/>
      <c r="PEX35" s="30"/>
      <c r="PEY35" s="30"/>
      <c r="PEZ35" s="30"/>
      <c r="PFA35" s="30"/>
      <c r="PFB35" s="30"/>
      <c r="PFC35" s="30"/>
      <c r="PFD35" s="30"/>
      <c r="PFE35" s="30"/>
      <c r="PFF35" s="30"/>
      <c r="PFG35" s="30"/>
      <c r="PFH35" s="30"/>
      <c r="PFI35" s="30"/>
      <c r="PFJ35" s="30"/>
      <c r="PFK35" s="30"/>
      <c r="PFL35" s="30"/>
      <c r="PFM35" s="30"/>
      <c r="PFN35" s="30"/>
      <c r="PFO35" s="30"/>
      <c r="PFP35" s="30"/>
      <c r="PFQ35" s="30"/>
      <c r="PFR35" s="30"/>
      <c r="PFS35" s="30"/>
      <c r="PFT35" s="30"/>
      <c r="PFU35" s="30"/>
      <c r="PFV35" s="30"/>
      <c r="PFW35" s="30"/>
      <c r="PFX35" s="30"/>
      <c r="PFY35" s="30"/>
      <c r="PFZ35" s="30"/>
      <c r="PGA35" s="30"/>
      <c r="PGB35" s="30"/>
      <c r="PGC35" s="30"/>
      <c r="PGD35" s="30"/>
      <c r="PGE35" s="30"/>
      <c r="PGF35" s="30"/>
      <c r="PGG35" s="30"/>
      <c r="PGH35" s="30"/>
      <c r="PGI35" s="30"/>
      <c r="PGJ35" s="30"/>
      <c r="PGK35" s="30"/>
      <c r="PGL35" s="30"/>
      <c r="PGM35" s="30"/>
      <c r="PGN35" s="30"/>
      <c r="PGO35" s="30"/>
      <c r="PGP35" s="30"/>
      <c r="PGQ35" s="30"/>
      <c r="PGR35" s="30"/>
      <c r="PGS35" s="30"/>
      <c r="PGT35" s="30"/>
      <c r="PGU35" s="30"/>
      <c r="PGV35" s="30"/>
      <c r="PGW35" s="30"/>
      <c r="PGX35" s="30"/>
      <c r="PGY35" s="30"/>
      <c r="PGZ35" s="30"/>
      <c r="PHA35" s="30"/>
      <c r="PHB35" s="30"/>
      <c r="PHC35" s="30"/>
      <c r="PHD35" s="30"/>
      <c r="PHE35" s="30"/>
      <c r="PHF35" s="30"/>
      <c r="PHG35" s="30"/>
      <c r="PHH35" s="30"/>
      <c r="PHI35" s="30"/>
      <c r="PHJ35" s="30"/>
      <c r="PHK35" s="30"/>
      <c r="PHL35" s="30"/>
      <c r="PHM35" s="30"/>
      <c r="PHN35" s="30"/>
      <c r="PHO35" s="30"/>
      <c r="PHP35" s="30"/>
      <c r="PHQ35" s="30"/>
      <c r="PHR35" s="30"/>
      <c r="PHS35" s="30"/>
      <c r="PHT35" s="30"/>
      <c r="PHU35" s="30"/>
      <c r="PHV35" s="30"/>
      <c r="PHW35" s="30"/>
      <c r="PHX35" s="30"/>
      <c r="PHY35" s="30"/>
      <c r="PHZ35" s="30"/>
      <c r="PIA35" s="30"/>
      <c r="PIB35" s="30"/>
      <c r="PIC35" s="30"/>
      <c r="PID35" s="30"/>
      <c r="PIE35" s="30"/>
      <c r="PIF35" s="30"/>
      <c r="PIG35" s="30"/>
      <c r="PIH35" s="30"/>
      <c r="PII35" s="30"/>
      <c r="PIJ35" s="30"/>
      <c r="PIK35" s="30"/>
      <c r="PIL35" s="30"/>
      <c r="PIM35" s="30"/>
      <c r="PIN35" s="30"/>
      <c r="PIO35" s="30"/>
      <c r="PIP35" s="30"/>
      <c r="PIQ35" s="30"/>
      <c r="PIR35" s="30"/>
      <c r="PIS35" s="30"/>
      <c r="PIT35" s="30"/>
      <c r="PIU35" s="30"/>
      <c r="PIV35" s="30"/>
      <c r="PIW35" s="30"/>
      <c r="PIX35" s="30"/>
      <c r="PIY35" s="30"/>
      <c r="PIZ35" s="30"/>
      <c r="PJA35" s="30"/>
      <c r="PJB35" s="30"/>
      <c r="PJC35" s="30"/>
      <c r="PJD35" s="30"/>
      <c r="PJE35" s="30"/>
      <c r="PJF35" s="30"/>
      <c r="PJG35" s="30"/>
      <c r="PJH35" s="30"/>
      <c r="PJI35" s="30"/>
      <c r="PJJ35" s="30"/>
      <c r="PJK35" s="30"/>
      <c r="PJL35" s="30"/>
      <c r="PJM35" s="30"/>
      <c r="PJN35" s="30"/>
      <c r="PJO35" s="30"/>
      <c r="PJP35" s="30"/>
      <c r="PJQ35" s="30"/>
      <c r="PJR35" s="30"/>
      <c r="PJS35" s="30"/>
      <c r="PJT35" s="30"/>
      <c r="PJU35" s="30"/>
      <c r="PJV35" s="30"/>
      <c r="PJW35" s="30"/>
      <c r="PJX35" s="30"/>
      <c r="PJY35" s="30"/>
      <c r="PJZ35" s="30"/>
      <c r="PKA35" s="30"/>
      <c r="PKB35" s="30"/>
      <c r="PKC35" s="30"/>
      <c r="PKD35" s="30"/>
      <c r="PKE35" s="30"/>
      <c r="PKF35" s="30"/>
      <c r="PKG35" s="30"/>
      <c r="PKH35" s="30"/>
      <c r="PKI35" s="30"/>
      <c r="PKJ35" s="30"/>
      <c r="PKK35" s="30"/>
      <c r="PKL35" s="30"/>
      <c r="PKM35" s="30"/>
      <c r="PKN35" s="30"/>
      <c r="PKO35" s="30"/>
      <c r="PKP35" s="30"/>
      <c r="PKQ35" s="30"/>
      <c r="PKR35" s="30"/>
      <c r="PKS35" s="30"/>
      <c r="PKT35" s="30"/>
      <c r="PKU35" s="30"/>
      <c r="PKV35" s="30"/>
      <c r="PKW35" s="30"/>
      <c r="PKX35" s="30"/>
      <c r="PKY35" s="30"/>
      <c r="PKZ35" s="30"/>
      <c r="PLA35" s="30"/>
      <c r="PLB35" s="30"/>
      <c r="PLC35" s="30"/>
      <c r="PLD35" s="30"/>
      <c r="PLE35" s="30"/>
      <c r="PLF35" s="30"/>
      <c r="PLG35" s="30"/>
      <c r="PLH35" s="30"/>
      <c r="PLI35" s="30"/>
      <c r="PLJ35" s="30"/>
      <c r="PLK35" s="30"/>
      <c r="PLL35" s="30"/>
      <c r="PLM35" s="30"/>
      <c r="PLN35" s="30"/>
      <c r="PLO35" s="30"/>
      <c r="PLP35" s="30"/>
      <c r="PLQ35" s="30"/>
      <c r="PLR35" s="30"/>
      <c r="PLS35" s="30"/>
      <c r="PLT35" s="30"/>
      <c r="PLU35" s="30"/>
      <c r="PLV35" s="30"/>
      <c r="PLW35" s="30"/>
      <c r="PLX35" s="30"/>
      <c r="PLY35" s="30"/>
      <c r="PLZ35" s="30"/>
      <c r="PMA35" s="30"/>
      <c r="PMB35" s="30"/>
      <c r="PMC35" s="30"/>
      <c r="PMD35" s="30"/>
      <c r="PME35" s="30"/>
      <c r="PMF35" s="30"/>
      <c r="PMG35" s="30"/>
      <c r="PMH35" s="30"/>
      <c r="PMI35" s="30"/>
      <c r="PMJ35" s="30"/>
      <c r="PMK35" s="30"/>
      <c r="PML35" s="30"/>
      <c r="PMM35" s="30"/>
      <c r="PMN35" s="30"/>
      <c r="PMO35" s="30"/>
      <c r="PMP35" s="30"/>
      <c r="PMQ35" s="30"/>
      <c r="PMR35" s="30"/>
      <c r="PMS35" s="30"/>
      <c r="PMT35" s="30"/>
      <c r="PMU35" s="30"/>
      <c r="PMV35" s="30"/>
      <c r="PMW35" s="30"/>
      <c r="PMX35" s="30"/>
      <c r="PMY35" s="30"/>
      <c r="PMZ35" s="30"/>
      <c r="PNA35" s="30"/>
      <c r="PNB35" s="30"/>
      <c r="PNC35" s="30"/>
      <c r="PND35" s="30"/>
      <c r="PNE35" s="30"/>
      <c r="PNF35" s="30"/>
      <c r="PNG35" s="30"/>
      <c r="PNH35" s="30"/>
      <c r="PNI35" s="30"/>
      <c r="PNJ35" s="30"/>
      <c r="PNK35" s="30"/>
      <c r="PNL35" s="30"/>
      <c r="PNM35" s="30"/>
      <c r="PNN35" s="30"/>
      <c r="PNO35" s="30"/>
      <c r="PNP35" s="30"/>
      <c r="PNQ35" s="30"/>
      <c r="PNR35" s="30"/>
      <c r="PNS35" s="30"/>
      <c r="PNT35" s="30"/>
      <c r="PNU35" s="30"/>
      <c r="PNV35" s="30"/>
      <c r="PNW35" s="30"/>
      <c r="PNX35" s="30"/>
      <c r="PNY35" s="30"/>
      <c r="PNZ35" s="30"/>
      <c r="POA35" s="30"/>
      <c r="POB35" s="30"/>
      <c r="POC35" s="30"/>
      <c r="POD35" s="30"/>
      <c r="POE35" s="30"/>
      <c r="POF35" s="30"/>
      <c r="POG35" s="30"/>
      <c r="POH35" s="30"/>
      <c r="POI35" s="30"/>
      <c r="POJ35" s="30"/>
      <c r="POK35" s="30"/>
      <c r="POL35" s="30"/>
      <c r="POM35" s="30"/>
      <c r="PON35" s="30"/>
      <c r="POO35" s="30"/>
      <c r="POP35" s="30"/>
      <c r="POQ35" s="30"/>
      <c r="POR35" s="30"/>
      <c r="POS35" s="30"/>
      <c r="POT35" s="30"/>
      <c r="POU35" s="30"/>
      <c r="POV35" s="30"/>
      <c r="POW35" s="30"/>
      <c r="POX35" s="30"/>
      <c r="POY35" s="30"/>
      <c r="POZ35" s="30"/>
      <c r="PPA35" s="30"/>
      <c r="PPB35" s="30"/>
      <c r="PPC35" s="30"/>
      <c r="PPD35" s="30"/>
      <c r="PPE35" s="30"/>
      <c r="PPF35" s="30"/>
      <c r="PPG35" s="30"/>
      <c r="PPH35" s="30"/>
      <c r="PPI35" s="30"/>
      <c r="PPJ35" s="30"/>
      <c r="PPK35" s="30"/>
      <c r="PPL35" s="30"/>
      <c r="PPM35" s="30"/>
      <c r="PPN35" s="30"/>
      <c r="PPO35" s="30"/>
      <c r="PPP35" s="30"/>
      <c r="PPQ35" s="30"/>
      <c r="PPR35" s="30"/>
      <c r="PPS35" s="30"/>
      <c r="PPT35" s="30"/>
      <c r="PPU35" s="30"/>
      <c r="PPV35" s="30"/>
      <c r="PPW35" s="30"/>
      <c r="PPX35" s="30"/>
      <c r="PPY35" s="30"/>
      <c r="PPZ35" s="30"/>
      <c r="PQA35" s="30"/>
      <c r="PQB35" s="30"/>
      <c r="PQC35" s="30"/>
      <c r="PQD35" s="30"/>
      <c r="PQE35" s="30"/>
      <c r="PQF35" s="30"/>
      <c r="PQG35" s="30"/>
      <c r="PQH35" s="30"/>
      <c r="PQI35" s="30"/>
      <c r="PQJ35" s="30"/>
      <c r="PQK35" s="30"/>
      <c r="PQL35" s="30"/>
      <c r="PQM35" s="30"/>
      <c r="PQN35" s="30"/>
      <c r="PQO35" s="30"/>
      <c r="PQP35" s="30"/>
      <c r="PQQ35" s="30"/>
      <c r="PQR35" s="30"/>
      <c r="PQS35" s="30"/>
      <c r="PQT35" s="30"/>
      <c r="PQU35" s="30"/>
      <c r="PQV35" s="30"/>
      <c r="PQW35" s="30"/>
      <c r="PQX35" s="30"/>
      <c r="PQY35" s="30"/>
      <c r="PQZ35" s="30"/>
      <c r="PRA35" s="30"/>
      <c r="PRB35" s="30"/>
      <c r="PRC35" s="30"/>
      <c r="PRD35" s="30"/>
      <c r="PRE35" s="30"/>
      <c r="PRF35" s="30"/>
      <c r="PRG35" s="30"/>
      <c r="PRH35" s="30"/>
      <c r="PRI35" s="30"/>
      <c r="PRJ35" s="30"/>
      <c r="PRK35" s="30"/>
      <c r="PRL35" s="30"/>
      <c r="PRM35" s="30"/>
      <c r="PRN35" s="30"/>
      <c r="PRO35" s="30"/>
      <c r="PRP35" s="30"/>
      <c r="PRQ35" s="30"/>
      <c r="PRR35" s="30"/>
      <c r="PRS35" s="30"/>
      <c r="PRT35" s="30"/>
      <c r="PRU35" s="30"/>
      <c r="PRV35" s="30"/>
      <c r="PRW35" s="30"/>
      <c r="PRX35" s="30"/>
      <c r="PRY35" s="30"/>
      <c r="PRZ35" s="30"/>
      <c r="PSA35" s="30"/>
      <c r="PSB35" s="30"/>
      <c r="PSC35" s="30"/>
      <c r="PSD35" s="30"/>
      <c r="PSE35" s="30"/>
      <c r="PSF35" s="30"/>
      <c r="PSG35" s="30"/>
      <c r="PSH35" s="30"/>
      <c r="PSI35" s="30"/>
      <c r="PSJ35" s="30"/>
      <c r="PSK35" s="30"/>
      <c r="PSL35" s="30"/>
      <c r="PSM35" s="30"/>
      <c r="PSN35" s="30"/>
      <c r="PSO35" s="30"/>
      <c r="PSP35" s="30"/>
      <c r="PSQ35" s="30"/>
      <c r="PSR35" s="30"/>
      <c r="PSS35" s="30"/>
      <c r="PST35" s="30"/>
      <c r="PSU35" s="30"/>
      <c r="PSV35" s="30"/>
      <c r="PSW35" s="30"/>
      <c r="PSX35" s="30"/>
      <c r="PSY35" s="30"/>
      <c r="PSZ35" s="30"/>
      <c r="PTA35" s="30"/>
      <c r="PTB35" s="30"/>
      <c r="PTC35" s="30"/>
      <c r="PTD35" s="30"/>
      <c r="PTE35" s="30"/>
      <c r="PTF35" s="30"/>
      <c r="PTG35" s="30"/>
      <c r="PTH35" s="30"/>
      <c r="PTI35" s="30"/>
      <c r="PTJ35" s="30"/>
      <c r="PTK35" s="30"/>
      <c r="PTL35" s="30"/>
      <c r="PTM35" s="30"/>
      <c r="PTN35" s="30"/>
      <c r="PTO35" s="30"/>
      <c r="PTP35" s="30"/>
      <c r="PTQ35" s="30"/>
      <c r="PTR35" s="30"/>
      <c r="PTS35" s="30"/>
      <c r="PTT35" s="30"/>
      <c r="PTU35" s="30"/>
      <c r="PTV35" s="30"/>
      <c r="PTW35" s="30"/>
      <c r="PTX35" s="30"/>
      <c r="PTY35" s="30"/>
      <c r="PTZ35" s="30"/>
      <c r="PUA35" s="30"/>
      <c r="PUB35" s="30"/>
      <c r="PUC35" s="30"/>
      <c r="PUD35" s="30"/>
      <c r="PUE35" s="30"/>
      <c r="PUF35" s="30"/>
      <c r="PUG35" s="30"/>
      <c r="PUH35" s="30"/>
      <c r="PUI35" s="30"/>
      <c r="PUJ35" s="30"/>
      <c r="PUK35" s="30"/>
      <c r="PUL35" s="30"/>
      <c r="PUM35" s="30"/>
      <c r="PUN35" s="30"/>
      <c r="PUO35" s="30"/>
      <c r="PUP35" s="30"/>
      <c r="PUQ35" s="30"/>
      <c r="PUR35" s="30"/>
      <c r="PUS35" s="30"/>
      <c r="PUT35" s="30"/>
      <c r="PUU35" s="30"/>
      <c r="PUV35" s="30"/>
      <c r="PUW35" s="30"/>
      <c r="PUX35" s="30"/>
      <c r="PUY35" s="30"/>
      <c r="PUZ35" s="30"/>
      <c r="PVA35" s="30"/>
      <c r="PVB35" s="30"/>
      <c r="PVC35" s="30"/>
      <c r="PVD35" s="30"/>
      <c r="PVE35" s="30"/>
      <c r="PVF35" s="30"/>
      <c r="PVG35" s="30"/>
      <c r="PVH35" s="30"/>
      <c r="PVI35" s="30"/>
      <c r="PVJ35" s="30"/>
      <c r="PVK35" s="30"/>
      <c r="PVL35" s="30"/>
      <c r="PVM35" s="30"/>
      <c r="PVN35" s="30"/>
      <c r="PVO35" s="30"/>
      <c r="PVP35" s="30"/>
      <c r="PVQ35" s="30"/>
      <c r="PVR35" s="30"/>
      <c r="PVS35" s="30"/>
      <c r="PVT35" s="30"/>
      <c r="PVU35" s="30"/>
      <c r="PVV35" s="30"/>
      <c r="PVW35" s="30"/>
      <c r="PVX35" s="30"/>
      <c r="PVY35" s="30"/>
      <c r="PVZ35" s="30"/>
      <c r="PWA35" s="30"/>
      <c r="PWB35" s="30"/>
      <c r="PWC35" s="30"/>
      <c r="PWD35" s="30"/>
      <c r="PWE35" s="30"/>
      <c r="PWF35" s="30"/>
      <c r="PWG35" s="30"/>
      <c r="PWH35" s="30"/>
      <c r="PWI35" s="30"/>
      <c r="PWJ35" s="30"/>
      <c r="PWK35" s="30"/>
      <c r="PWL35" s="30"/>
      <c r="PWM35" s="30"/>
      <c r="PWN35" s="30"/>
      <c r="PWO35" s="30"/>
      <c r="PWP35" s="30"/>
      <c r="PWQ35" s="30"/>
      <c r="PWR35" s="30"/>
      <c r="PWS35" s="30"/>
      <c r="PWT35" s="30"/>
      <c r="PWU35" s="30"/>
      <c r="PWV35" s="30"/>
      <c r="PWW35" s="30"/>
      <c r="PWX35" s="30"/>
      <c r="PWY35" s="30"/>
      <c r="PWZ35" s="30"/>
      <c r="PXA35" s="30"/>
      <c r="PXB35" s="30"/>
      <c r="PXC35" s="30"/>
      <c r="PXD35" s="30"/>
      <c r="PXE35" s="30"/>
      <c r="PXF35" s="30"/>
      <c r="PXG35" s="30"/>
      <c r="PXH35" s="30"/>
      <c r="PXI35" s="30"/>
      <c r="PXJ35" s="30"/>
      <c r="PXK35" s="30"/>
      <c r="PXL35" s="30"/>
      <c r="PXM35" s="30"/>
      <c r="PXN35" s="30"/>
      <c r="PXO35" s="30"/>
      <c r="PXP35" s="30"/>
      <c r="PXQ35" s="30"/>
      <c r="PXR35" s="30"/>
      <c r="PXS35" s="30"/>
      <c r="PXT35" s="30"/>
      <c r="PXU35" s="30"/>
      <c r="PXV35" s="30"/>
      <c r="PXW35" s="30"/>
      <c r="PXX35" s="30"/>
      <c r="PXY35" s="30"/>
      <c r="PXZ35" s="30"/>
      <c r="PYA35" s="30"/>
      <c r="PYB35" s="30"/>
      <c r="PYC35" s="30"/>
      <c r="PYD35" s="30"/>
      <c r="PYE35" s="30"/>
      <c r="PYF35" s="30"/>
      <c r="PYG35" s="30"/>
      <c r="PYH35" s="30"/>
      <c r="PYI35" s="30"/>
      <c r="PYJ35" s="30"/>
      <c r="PYK35" s="30"/>
      <c r="PYL35" s="30"/>
      <c r="PYM35" s="30"/>
      <c r="PYN35" s="30"/>
      <c r="PYO35" s="30"/>
      <c r="PYP35" s="30"/>
      <c r="PYQ35" s="30"/>
      <c r="PYR35" s="30"/>
      <c r="PYS35" s="30"/>
      <c r="PYT35" s="30"/>
      <c r="PYU35" s="30"/>
      <c r="PYV35" s="30"/>
      <c r="PYW35" s="30"/>
      <c r="PYX35" s="30"/>
      <c r="PYY35" s="30"/>
      <c r="PYZ35" s="30"/>
      <c r="PZA35" s="30"/>
      <c r="PZB35" s="30"/>
      <c r="PZC35" s="30"/>
      <c r="PZD35" s="30"/>
      <c r="PZE35" s="30"/>
      <c r="PZF35" s="30"/>
      <c r="PZG35" s="30"/>
      <c r="PZH35" s="30"/>
      <c r="PZI35" s="30"/>
      <c r="PZJ35" s="30"/>
      <c r="PZK35" s="30"/>
      <c r="PZL35" s="30"/>
      <c r="PZM35" s="30"/>
      <c r="PZN35" s="30"/>
      <c r="PZO35" s="30"/>
      <c r="PZP35" s="30"/>
      <c r="PZQ35" s="30"/>
      <c r="PZR35" s="30"/>
      <c r="PZS35" s="30"/>
      <c r="PZT35" s="30"/>
      <c r="PZU35" s="30"/>
      <c r="PZV35" s="30"/>
      <c r="PZW35" s="30"/>
      <c r="PZX35" s="30"/>
      <c r="PZY35" s="30"/>
      <c r="PZZ35" s="30"/>
      <c r="QAA35" s="30"/>
      <c r="QAB35" s="30"/>
      <c r="QAC35" s="30"/>
      <c r="QAD35" s="30"/>
      <c r="QAE35" s="30"/>
      <c r="QAF35" s="30"/>
      <c r="QAG35" s="30"/>
      <c r="QAH35" s="30"/>
      <c r="QAI35" s="30"/>
      <c r="QAJ35" s="30"/>
      <c r="QAK35" s="30"/>
      <c r="QAL35" s="30"/>
      <c r="QAM35" s="30"/>
      <c r="QAN35" s="30"/>
      <c r="QAO35" s="30"/>
      <c r="QAP35" s="30"/>
      <c r="QAQ35" s="30"/>
      <c r="QAR35" s="30"/>
      <c r="QAS35" s="30"/>
      <c r="QAT35" s="30"/>
      <c r="QAU35" s="30"/>
      <c r="QAV35" s="30"/>
      <c r="QAW35" s="30"/>
      <c r="QAX35" s="30"/>
      <c r="QAY35" s="30"/>
      <c r="QAZ35" s="30"/>
      <c r="QBA35" s="30"/>
      <c r="QBB35" s="30"/>
      <c r="QBC35" s="30"/>
      <c r="QBD35" s="30"/>
      <c r="QBE35" s="30"/>
      <c r="QBF35" s="30"/>
      <c r="QBG35" s="30"/>
      <c r="QBH35" s="30"/>
      <c r="QBI35" s="30"/>
      <c r="QBJ35" s="30"/>
      <c r="QBK35" s="30"/>
      <c r="QBL35" s="30"/>
      <c r="QBM35" s="30"/>
      <c r="QBN35" s="30"/>
      <c r="QBO35" s="30"/>
      <c r="QBP35" s="30"/>
      <c r="QBQ35" s="30"/>
      <c r="QBR35" s="30"/>
      <c r="QBS35" s="30"/>
      <c r="QBT35" s="30"/>
      <c r="QBU35" s="30"/>
      <c r="QBV35" s="30"/>
      <c r="QBW35" s="30"/>
      <c r="QBX35" s="30"/>
      <c r="QBY35" s="30"/>
      <c r="QBZ35" s="30"/>
      <c r="QCA35" s="30"/>
      <c r="QCB35" s="30"/>
      <c r="QCC35" s="30"/>
      <c r="QCD35" s="30"/>
      <c r="QCE35" s="30"/>
      <c r="QCF35" s="30"/>
      <c r="QCG35" s="30"/>
      <c r="QCH35" s="30"/>
      <c r="QCI35" s="30"/>
      <c r="QCJ35" s="30"/>
      <c r="QCK35" s="30"/>
      <c r="QCL35" s="30"/>
      <c r="QCM35" s="30"/>
      <c r="QCN35" s="30"/>
      <c r="QCO35" s="30"/>
      <c r="QCP35" s="30"/>
      <c r="QCQ35" s="30"/>
      <c r="QCR35" s="30"/>
      <c r="QCS35" s="30"/>
      <c r="QCT35" s="30"/>
      <c r="QCU35" s="30"/>
      <c r="QCV35" s="30"/>
      <c r="QCW35" s="30"/>
      <c r="QCX35" s="30"/>
      <c r="QCY35" s="30"/>
      <c r="QCZ35" s="30"/>
      <c r="QDA35" s="30"/>
      <c r="QDB35" s="30"/>
      <c r="QDC35" s="30"/>
      <c r="QDD35" s="30"/>
      <c r="QDE35" s="30"/>
      <c r="QDF35" s="30"/>
      <c r="QDG35" s="30"/>
      <c r="QDH35" s="30"/>
      <c r="QDI35" s="30"/>
      <c r="QDJ35" s="30"/>
      <c r="QDK35" s="30"/>
      <c r="QDL35" s="30"/>
      <c r="QDM35" s="30"/>
      <c r="QDN35" s="30"/>
      <c r="QDO35" s="30"/>
      <c r="QDP35" s="30"/>
      <c r="QDQ35" s="30"/>
      <c r="QDR35" s="30"/>
      <c r="QDS35" s="30"/>
      <c r="QDT35" s="30"/>
      <c r="QDU35" s="30"/>
      <c r="QDV35" s="30"/>
      <c r="QDW35" s="30"/>
      <c r="QDX35" s="30"/>
      <c r="QDY35" s="30"/>
      <c r="QDZ35" s="30"/>
      <c r="QEA35" s="30"/>
      <c r="QEB35" s="30"/>
      <c r="QEC35" s="30"/>
      <c r="QED35" s="30"/>
      <c r="QEE35" s="30"/>
      <c r="QEF35" s="30"/>
      <c r="QEG35" s="30"/>
      <c r="QEH35" s="30"/>
      <c r="QEI35" s="30"/>
      <c r="QEJ35" s="30"/>
      <c r="QEK35" s="30"/>
      <c r="QEL35" s="30"/>
      <c r="QEM35" s="30"/>
      <c r="QEN35" s="30"/>
      <c r="QEO35" s="30"/>
      <c r="QEP35" s="30"/>
      <c r="QEQ35" s="30"/>
      <c r="QER35" s="30"/>
      <c r="QES35" s="30"/>
      <c r="QET35" s="30"/>
      <c r="QEU35" s="30"/>
      <c r="QEV35" s="30"/>
      <c r="QEW35" s="30"/>
      <c r="QEX35" s="30"/>
      <c r="QEY35" s="30"/>
      <c r="QEZ35" s="30"/>
      <c r="QFA35" s="30"/>
      <c r="QFB35" s="30"/>
      <c r="QFC35" s="30"/>
      <c r="QFD35" s="30"/>
      <c r="QFE35" s="30"/>
      <c r="QFF35" s="30"/>
      <c r="QFG35" s="30"/>
      <c r="QFH35" s="30"/>
      <c r="QFI35" s="30"/>
      <c r="QFJ35" s="30"/>
      <c r="QFK35" s="30"/>
      <c r="QFL35" s="30"/>
      <c r="QFM35" s="30"/>
      <c r="QFN35" s="30"/>
      <c r="QFO35" s="30"/>
      <c r="QFP35" s="30"/>
      <c r="QFQ35" s="30"/>
      <c r="QFR35" s="30"/>
      <c r="QFS35" s="30"/>
      <c r="QFT35" s="30"/>
      <c r="QFU35" s="30"/>
      <c r="QFV35" s="30"/>
      <c r="QFW35" s="30"/>
      <c r="QFX35" s="30"/>
      <c r="QFY35" s="30"/>
      <c r="QFZ35" s="30"/>
      <c r="QGA35" s="30"/>
      <c r="QGB35" s="30"/>
      <c r="QGC35" s="30"/>
      <c r="QGD35" s="30"/>
      <c r="QGE35" s="30"/>
      <c r="QGF35" s="30"/>
      <c r="QGG35" s="30"/>
      <c r="QGH35" s="30"/>
      <c r="QGI35" s="30"/>
      <c r="QGJ35" s="30"/>
      <c r="QGK35" s="30"/>
      <c r="QGL35" s="30"/>
      <c r="QGM35" s="30"/>
      <c r="QGN35" s="30"/>
      <c r="QGO35" s="30"/>
      <c r="QGP35" s="30"/>
      <c r="QGQ35" s="30"/>
      <c r="QGR35" s="30"/>
      <c r="QGS35" s="30"/>
      <c r="QGT35" s="30"/>
      <c r="QGU35" s="30"/>
      <c r="QGV35" s="30"/>
      <c r="QGW35" s="30"/>
      <c r="QGX35" s="30"/>
      <c r="QGY35" s="30"/>
      <c r="QGZ35" s="30"/>
      <c r="QHA35" s="30"/>
      <c r="QHB35" s="30"/>
      <c r="QHC35" s="30"/>
      <c r="QHD35" s="30"/>
      <c r="QHE35" s="30"/>
      <c r="QHF35" s="30"/>
      <c r="QHG35" s="30"/>
      <c r="QHH35" s="30"/>
      <c r="QHI35" s="30"/>
      <c r="QHJ35" s="30"/>
      <c r="QHK35" s="30"/>
      <c r="QHL35" s="30"/>
      <c r="QHM35" s="30"/>
      <c r="QHN35" s="30"/>
      <c r="QHO35" s="30"/>
      <c r="QHP35" s="30"/>
      <c r="QHQ35" s="30"/>
      <c r="QHR35" s="30"/>
      <c r="QHS35" s="30"/>
      <c r="QHT35" s="30"/>
      <c r="QHU35" s="30"/>
      <c r="QHV35" s="30"/>
      <c r="QHW35" s="30"/>
      <c r="QHX35" s="30"/>
      <c r="QHY35" s="30"/>
      <c r="QHZ35" s="30"/>
      <c r="QIA35" s="30"/>
      <c r="QIB35" s="30"/>
      <c r="QIC35" s="30"/>
      <c r="QID35" s="30"/>
      <c r="QIE35" s="30"/>
      <c r="QIF35" s="30"/>
      <c r="QIG35" s="30"/>
      <c r="QIH35" s="30"/>
      <c r="QII35" s="30"/>
      <c r="QIJ35" s="30"/>
      <c r="QIK35" s="30"/>
      <c r="QIL35" s="30"/>
      <c r="QIM35" s="30"/>
      <c r="QIN35" s="30"/>
      <c r="QIO35" s="30"/>
      <c r="QIP35" s="30"/>
      <c r="QIQ35" s="30"/>
      <c r="QIR35" s="30"/>
      <c r="QIS35" s="30"/>
      <c r="QIT35" s="30"/>
      <c r="QIU35" s="30"/>
      <c r="QIV35" s="30"/>
      <c r="QIW35" s="30"/>
      <c r="QIX35" s="30"/>
      <c r="QIY35" s="30"/>
      <c r="QIZ35" s="30"/>
      <c r="QJA35" s="30"/>
      <c r="QJB35" s="30"/>
      <c r="QJC35" s="30"/>
      <c r="QJD35" s="30"/>
      <c r="QJE35" s="30"/>
      <c r="QJF35" s="30"/>
      <c r="QJG35" s="30"/>
      <c r="QJH35" s="30"/>
      <c r="QJI35" s="30"/>
      <c r="QJJ35" s="30"/>
      <c r="QJK35" s="30"/>
      <c r="QJL35" s="30"/>
      <c r="QJM35" s="30"/>
      <c r="QJN35" s="30"/>
      <c r="QJO35" s="30"/>
      <c r="QJP35" s="30"/>
      <c r="QJQ35" s="30"/>
      <c r="QJR35" s="30"/>
      <c r="QJS35" s="30"/>
      <c r="QJT35" s="30"/>
      <c r="QJU35" s="30"/>
      <c r="QJV35" s="30"/>
      <c r="QJW35" s="30"/>
      <c r="QJX35" s="30"/>
      <c r="QJY35" s="30"/>
      <c r="QJZ35" s="30"/>
      <c r="QKA35" s="30"/>
      <c r="QKB35" s="30"/>
      <c r="QKC35" s="30"/>
      <c r="QKD35" s="30"/>
      <c r="QKE35" s="30"/>
      <c r="QKF35" s="30"/>
      <c r="QKG35" s="30"/>
      <c r="QKH35" s="30"/>
      <c r="QKI35" s="30"/>
      <c r="QKJ35" s="30"/>
      <c r="QKK35" s="30"/>
      <c r="QKL35" s="30"/>
      <c r="QKM35" s="30"/>
      <c r="QKN35" s="30"/>
      <c r="QKO35" s="30"/>
      <c r="QKP35" s="30"/>
      <c r="QKQ35" s="30"/>
      <c r="QKR35" s="30"/>
      <c r="QKS35" s="30"/>
      <c r="QKT35" s="30"/>
      <c r="QKU35" s="30"/>
      <c r="QKV35" s="30"/>
      <c r="QKW35" s="30"/>
      <c r="QKX35" s="30"/>
      <c r="QKY35" s="30"/>
      <c r="QKZ35" s="30"/>
      <c r="QLA35" s="30"/>
      <c r="QLB35" s="30"/>
      <c r="QLC35" s="30"/>
      <c r="QLD35" s="30"/>
      <c r="QLE35" s="30"/>
      <c r="QLF35" s="30"/>
      <c r="QLG35" s="30"/>
      <c r="QLH35" s="30"/>
      <c r="QLI35" s="30"/>
      <c r="QLJ35" s="30"/>
      <c r="QLK35" s="30"/>
      <c r="QLL35" s="30"/>
      <c r="QLM35" s="30"/>
      <c r="QLN35" s="30"/>
      <c r="QLO35" s="30"/>
      <c r="QLP35" s="30"/>
      <c r="QLQ35" s="30"/>
      <c r="QLR35" s="30"/>
      <c r="QLS35" s="30"/>
      <c r="QLT35" s="30"/>
      <c r="QLU35" s="30"/>
      <c r="QLV35" s="30"/>
      <c r="QLW35" s="30"/>
      <c r="QLX35" s="30"/>
      <c r="QLY35" s="30"/>
      <c r="QLZ35" s="30"/>
      <c r="QMA35" s="30"/>
      <c r="QMB35" s="30"/>
      <c r="QMC35" s="30"/>
      <c r="QMD35" s="30"/>
      <c r="QME35" s="30"/>
      <c r="QMF35" s="30"/>
      <c r="QMG35" s="30"/>
      <c r="QMH35" s="30"/>
      <c r="QMI35" s="30"/>
      <c r="QMJ35" s="30"/>
      <c r="QMK35" s="30"/>
      <c r="QML35" s="30"/>
      <c r="QMM35" s="30"/>
      <c r="QMN35" s="30"/>
      <c r="QMO35" s="30"/>
      <c r="QMP35" s="30"/>
      <c r="QMQ35" s="30"/>
      <c r="QMR35" s="30"/>
      <c r="QMS35" s="30"/>
      <c r="QMT35" s="30"/>
      <c r="QMU35" s="30"/>
      <c r="QMV35" s="30"/>
      <c r="QMW35" s="30"/>
      <c r="QMX35" s="30"/>
      <c r="QMY35" s="30"/>
      <c r="QMZ35" s="30"/>
      <c r="QNA35" s="30"/>
      <c r="QNB35" s="30"/>
      <c r="QNC35" s="30"/>
      <c r="QND35" s="30"/>
      <c r="QNE35" s="30"/>
      <c r="QNF35" s="30"/>
      <c r="QNG35" s="30"/>
      <c r="QNH35" s="30"/>
      <c r="QNI35" s="30"/>
      <c r="QNJ35" s="30"/>
      <c r="QNK35" s="30"/>
      <c r="QNL35" s="30"/>
      <c r="QNM35" s="30"/>
      <c r="QNN35" s="30"/>
      <c r="QNO35" s="30"/>
      <c r="QNP35" s="30"/>
      <c r="QNQ35" s="30"/>
      <c r="QNR35" s="30"/>
      <c r="QNS35" s="30"/>
      <c r="QNT35" s="30"/>
      <c r="QNU35" s="30"/>
      <c r="QNV35" s="30"/>
      <c r="QNW35" s="30"/>
      <c r="QNX35" s="30"/>
      <c r="QNY35" s="30"/>
      <c r="QNZ35" s="30"/>
      <c r="QOA35" s="30"/>
      <c r="QOB35" s="30"/>
      <c r="QOC35" s="30"/>
      <c r="QOD35" s="30"/>
      <c r="QOE35" s="30"/>
      <c r="QOF35" s="30"/>
      <c r="QOG35" s="30"/>
      <c r="QOH35" s="30"/>
      <c r="QOI35" s="30"/>
      <c r="QOJ35" s="30"/>
      <c r="QOK35" s="30"/>
      <c r="QOL35" s="30"/>
      <c r="QOM35" s="30"/>
      <c r="QON35" s="30"/>
      <c r="QOO35" s="30"/>
      <c r="QOP35" s="30"/>
      <c r="QOQ35" s="30"/>
      <c r="QOR35" s="30"/>
      <c r="QOS35" s="30"/>
      <c r="QOT35" s="30"/>
      <c r="QOU35" s="30"/>
      <c r="QOV35" s="30"/>
      <c r="QOW35" s="30"/>
      <c r="QOX35" s="30"/>
      <c r="QOY35" s="30"/>
      <c r="QOZ35" s="30"/>
      <c r="QPA35" s="30"/>
      <c r="QPB35" s="30"/>
      <c r="QPC35" s="30"/>
      <c r="QPD35" s="30"/>
      <c r="QPE35" s="30"/>
      <c r="QPF35" s="30"/>
      <c r="QPG35" s="30"/>
      <c r="QPH35" s="30"/>
      <c r="QPI35" s="30"/>
      <c r="QPJ35" s="30"/>
      <c r="QPK35" s="30"/>
      <c r="QPL35" s="30"/>
      <c r="QPM35" s="30"/>
      <c r="QPN35" s="30"/>
      <c r="QPO35" s="30"/>
      <c r="QPP35" s="30"/>
      <c r="QPQ35" s="30"/>
      <c r="QPR35" s="30"/>
      <c r="QPS35" s="30"/>
      <c r="QPT35" s="30"/>
      <c r="QPU35" s="30"/>
      <c r="QPV35" s="30"/>
      <c r="QPW35" s="30"/>
      <c r="QPX35" s="30"/>
      <c r="QPY35" s="30"/>
      <c r="QPZ35" s="30"/>
      <c r="QQA35" s="30"/>
      <c r="QQB35" s="30"/>
      <c r="QQC35" s="30"/>
      <c r="QQD35" s="30"/>
      <c r="QQE35" s="30"/>
      <c r="QQF35" s="30"/>
      <c r="QQG35" s="30"/>
      <c r="QQH35" s="30"/>
      <c r="QQI35" s="30"/>
      <c r="QQJ35" s="30"/>
      <c r="QQK35" s="30"/>
      <c r="QQL35" s="30"/>
      <c r="QQM35" s="30"/>
      <c r="QQN35" s="30"/>
      <c r="QQO35" s="30"/>
      <c r="QQP35" s="30"/>
      <c r="QQQ35" s="30"/>
      <c r="QQR35" s="30"/>
      <c r="QQS35" s="30"/>
      <c r="QQT35" s="30"/>
      <c r="QQU35" s="30"/>
      <c r="QQV35" s="30"/>
      <c r="QQW35" s="30"/>
      <c r="QQX35" s="30"/>
      <c r="QQY35" s="30"/>
      <c r="QQZ35" s="30"/>
      <c r="QRA35" s="30"/>
      <c r="QRB35" s="30"/>
      <c r="QRC35" s="30"/>
      <c r="QRD35" s="30"/>
      <c r="QRE35" s="30"/>
      <c r="QRF35" s="30"/>
      <c r="QRG35" s="30"/>
      <c r="QRH35" s="30"/>
      <c r="QRI35" s="30"/>
      <c r="QRJ35" s="30"/>
      <c r="QRK35" s="30"/>
      <c r="QRL35" s="30"/>
      <c r="QRM35" s="30"/>
      <c r="QRN35" s="30"/>
      <c r="QRO35" s="30"/>
      <c r="QRP35" s="30"/>
      <c r="QRQ35" s="30"/>
      <c r="QRR35" s="30"/>
      <c r="QRS35" s="30"/>
      <c r="QRT35" s="30"/>
      <c r="QRU35" s="30"/>
      <c r="QRV35" s="30"/>
      <c r="QRW35" s="30"/>
      <c r="QRX35" s="30"/>
      <c r="QRY35" s="30"/>
      <c r="QRZ35" s="30"/>
      <c r="QSA35" s="30"/>
      <c r="QSB35" s="30"/>
      <c r="QSC35" s="30"/>
      <c r="QSD35" s="30"/>
      <c r="QSE35" s="30"/>
      <c r="QSF35" s="30"/>
      <c r="QSG35" s="30"/>
      <c r="QSH35" s="30"/>
      <c r="QSI35" s="30"/>
      <c r="QSJ35" s="30"/>
      <c r="QSK35" s="30"/>
      <c r="QSL35" s="30"/>
      <c r="QSM35" s="30"/>
      <c r="QSN35" s="30"/>
      <c r="QSO35" s="30"/>
      <c r="QSP35" s="30"/>
      <c r="QSQ35" s="30"/>
      <c r="QSR35" s="30"/>
      <c r="QSS35" s="30"/>
      <c r="QST35" s="30"/>
      <c r="QSU35" s="30"/>
      <c r="QSV35" s="30"/>
      <c r="QSW35" s="30"/>
      <c r="QSX35" s="30"/>
      <c r="QSY35" s="30"/>
      <c r="QSZ35" s="30"/>
      <c r="QTA35" s="30"/>
      <c r="QTB35" s="30"/>
      <c r="QTC35" s="30"/>
      <c r="QTD35" s="30"/>
      <c r="QTE35" s="30"/>
      <c r="QTF35" s="30"/>
      <c r="QTG35" s="30"/>
      <c r="QTH35" s="30"/>
      <c r="QTI35" s="30"/>
      <c r="QTJ35" s="30"/>
      <c r="QTK35" s="30"/>
      <c r="QTL35" s="30"/>
      <c r="QTM35" s="30"/>
      <c r="QTN35" s="30"/>
      <c r="QTO35" s="30"/>
      <c r="QTP35" s="30"/>
      <c r="QTQ35" s="30"/>
      <c r="QTR35" s="30"/>
      <c r="QTS35" s="30"/>
      <c r="QTT35" s="30"/>
      <c r="QTU35" s="30"/>
      <c r="QTV35" s="30"/>
      <c r="QTW35" s="30"/>
      <c r="QTX35" s="30"/>
      <c r="QTY35" s="30"/>
      <c r="QTZ35" s="30"/>
      <c r="QUA35" s="30"/>
      <c r="QUB35" s="30"/>
      <c r="QUC35" s="30"/>
      <c r="QUD35" s="30"/>
      <c r="QUE35" s="30"/>
      <c r="QUF35" s="30"/>
      <c r="QUG35" s="30"/>
      <c r="QUH35" s="30"/>
      <c r="QUI35" s="30"/>
      <c r="QUJ35" s="30"/>
      <c r="QUK35" s="30"/>
      <c r="QUL35" s="30"/>
      <c r="QUM35" s="30"/>
      <c r="QUN35" s="30"/>
      <c r="QUO35" s="30"/>
      <c r="QUP35" s="30"/>
      <c r="QUQ35" s="30"/>
      <c r="QUR35" s="30"/>
      <c r="QUS35" s="30"/>
      <c r="QUT35" s="30"/>
      <c r="QUU35" s="30"/>
      <c r="QUV35" s="30"/>
      <c r="QUW35" s="30"/>
      <c r="QUX35" s="30"/>
      <c r="QUY35" s="30"/>
      <c r="QUZ35" s="30"/>
      <c r="QVA35" s="30"/>
      <c r="QVB35" s="30"/>
      <c r="QVC35" s="30"/>
      <c r="QVD35" s="30"/>
      <c r="QVE35" s="30"/>
      <c r="QVF35" s="30"/>
      <c r="QVG35" s="30"/>
      <c r="QVH35" s="30"/>
      <c r="QVI35" s="30"/>
      <c r="QVJ35" s="30"/>
      <c r="QVK35" s="30"/>
      <c r="QVL35" s="30"/>
      <c r="QVM35" s="30"/>
      <c r="QVN35" s="30"/>
      <c r="QVO35" s="30"/>
      <c r="QVP35" s="30"/>
      <c r="QVQ35" s="30"/>
      <c r="QVR35" s="30"/>
      <c r="QVS35" s="30"/>
      <c r="QVT35" s="30"/>
      <c r="QVU35" s="30"/>
      <c r="QVV35" s="30"/>
      <c r="QVW35" s="30"/>
      <c r="QVX35" s="30"/>
      <c r="QVY35" s="30"/>
      <c r="QVZ35" s="30"/>
      <c r="QWA35" s="30"/>
      <c r="QWB35" s="30"/>
      <c r="QWC35" s="30"/>
      <c r="QWD35" s="30"/>
      <c r="QWE35" s="30"/>
      <c r="QWF35" s="30"/>
      <c r="QWG35" s="30"/>
      <c r="QWH35" s="30"/>
      <c r="QWI35" s="30"/>
      <c r="QWJ35" s="30"/>
      <c r="QWK35" s="30"/>
      <c r="QWL35" s="30"/>
      <c r="QWM35" s="30"/>
      <c r="QWN35" s="30"/>
      <c r="QWO35" s="30"/>
      <c r="QWP35" s="30"/>
      <c r="QWQ35" s="30"/>
      <c r="QWR35" s="30"/>
      <c r="QWS35" s="30"/>
      <c r="QWT35" s="30"/>
      <c r="QWU35" s="30"/>
      <c r="QWV35" s="30"/>
      <c r="QWW35" s="30"/>
      <c r="QWX35" s="30"/>
      <c r="QWY35" s="30"/>
      <c r="QWZ35" s="30"/>
      <c r="QXA35" s="30"/>
      <c r="QXB35" s="30"/>
      <c r="QXC35" s="30"/>
      <c r="QXD35" s="30"/>
      <c r="QXE35" s="30"/>
      <c r="QXF35" s="30"/>
      <c r="QXG35" s="30"/>
      <c r="QXH35" s="30"/>
      <c r="QXI35" s="30"/>
      <c r="QXJ35" s="30"/>
      <c r="QXK35" s="30"/>
      <c r="QXL35" s="30"/>
      <c r="QXM35" s="30"/>
      <c r="QXN35" s="30"/>
      <c r="QXO35" s="30"/>
      <c r="QXP35" s="30"/>
      <c r="QXQ35" s="30"/>
      <c r="QXR35" s="30"/>
      <c r="QXS35" s="30"/>
      <c r="QXT35" s="30"/>
      <c r="QXU35" s="30"/>
      <c r="QXV35" s="30"/>
      <c r="QXW35" s="30"/>
      <c r="QXX35" s="30"/>
      <c r="QXY35" s="30"/>
      <c r="QXZ35" s="30"/>
      <c r="QYA35" s="30"/>
      <c r="QYB35" s="30"/>
      <c r="QYC35" s="30"/>
      <c r="QYD35" s="30"/>
      <c r="QYE35" s="30"/>
      <c r="QYF35" s="30"/>
      <c r="QYG35" s="30"/>
      <c r="QYH35" s="30"/>
      <c r="QYI35" s="30"/>
      <c r="QYJ35" s="30"/>
      <c r="QYK35" s="30"/>
      <c r="QYL35" s="30"/>
      <c r="QYM35" s="30"/>
      <c r="QYN35" s="30"/>
      <c r="QYO35" s="30"/>
      <c r="QYP35" s="30"/>
      <c r="QYQ35" s="30"/>
      <c r="QYR35" s="30"/>
      <c r="QYS35" s="30"/>
      <c r="QYT35" s="30"/>
      <c r="QYU35" s="30"/>
      <c r="QYV35" s="30"/>
      <c r="QYW35" s="30"/>
      <c r="QYX35" s="30"/>
      <c r="QYY35" s="30"/>
      <c r="QYZ35" s="30"/>
      <c r="QZA35" s="30"/>
      <c r="QZB35" s="30"/>
      <c r="QZC35" s="30"/>
      <c r="QZD35" s="30"/>
      <c r="QZE35" s="30"/>
      <c r="QZF35" s="30"/>
      <c r="QZG35" s="30"/>
      <c r="QZH35" s="30"/>
      <c r="QZI35" s="30"/>
      <c r="QZJ35" s="30"/>
      <c r="QZK35" s="30"/>
      <c r="QZL35" s="30"/>
      <c r="QZM35" s="30"/>
      <c r="QZN35" s="30"/>
      <c r="QZO35" s="30"/>
      <c r="QZP35" s="30"/>
      <c r="QZQ35" s="30"/>
      <c r="QZR35" s="30"/>
      <c r="QZS35" s="30"/>
      <c r="QZT35" s="30"/>
      <c r="QZU35" s="30"/>
      <c r="QZV35" s="30"/>
      <c r="QZW35" s="30"/>
      <c r="QZX35" s="30"/>
      <c r="QZY35" s="30"/>
      <c r="QZZ35" s="30"/>
      <c r="RAA35" s="30"/>
      <c r="RAB35" s="30"/>
      <c r="RAC35" s="30"/>
      <c r="RAD35" s="30"/>
      <c r="RAE35" s="30"/>
      <c r="RAF35" s="30"/>
      <c r="RAG35" s="30"/>
      <c r="RAH35" s="30"/>
      <c r="RAI35" s="30"/>
      <c r="RAJ35" s="30"/>
      <c r="RAK35" s="30"/>
      <c r="RAL35" s="30"/>
      <c r="RAM35" s="30"/>
      <c r="RAN35" s="30"/>
      <c r="RAO35" s="30"/>
      <c r="RAP35" s="30"/>
      <c r="RAQ35" s="30"/>
      <c r="RAR35" s="30"/>
      <c r="RAS35" s="30"/>
      <c r="RAT35" s="30"/>
      <c r="RAU35" s="30"/>
      <c r="RAV35" s="30"/>
      <c r="RAW35" s="30"/>
      <c r="RAX35" s="30"/>
      <c r="RAY35" s="30"/>
      <c r="RAZ35" s="30"/>
      <c r="RBA35" s="30"/>
      <c r="RBB35" s="30"/>
      <c r="RBC35" s="30"/>
      <c r="RBD35" s="30"/>
      <c r="RBE35" s="30"/>
      <c r="RBF35" s="30"/>
      <c r="RBG35" s="30"/>
      <c r="RBH35" s="30"/>
      <c r="RBI35" s="30"/>
      <c r="RBJ35" s="30"/>
      <c r="RBK35" s="30"/>
      <c r="RBL35" s="30"/>
      <c r="RBM35" s="30"/>
      <c r="RBN35" s="30"/>
      <c r="RBO35" s="30"/>
      <c r="RBP35" s="30"/>
      <c r="RBQ35" s="30"/>
      <c r="RBR35" s="30"/>
      <c r="RBS35" s="30"/>
      <c r="RBT35" s="30"/>
      <c r="RBU35" s="30"/>
      <c r="RBV35" s="30"/>
      <c r="RBW35" s="30"/>
      <c r="RBX35" s="30"/>
      <c r="RBY35" s="30"/>
      <c r="RBZ35" s="30"/>
      <c r="RCA35" s="30"/>
      <c r="RCB35" s="30"/>
      <c r="RCC35" s="30"/>
      <c r="RCD35" s="30"/>
      <c r="RCE35" s="30"/>
      <c r="RCF35" s="30"/>
      <c r="RCG35" s="30"/>
      <c r="RCH35" s="30"/>
      <c r="RCI35" s="30"/>
      <c r="RCJ35" s="30"/>
      <c r="RCK35" s="30"/>
      <c r="RCL35" s="30"/>
      <c r="RCM35" s="30"/>
      <c r="RCN35" s="30"/>
      <c r="RCO35" s="30"/>
      <c r="RCP35" s="30"/>
      <c r="RCQ35" s="30"/>
      <c r="RCR35" s="30"/>
      <c r="RCS35" s="30"/>
      <c r="RCT35" s="30"/>
      <c r="RCU35" s="30"/>
      <c r="RCV35" s="30"/>
      <c r="RCW35" s="30"/>
      <c r="RCX35" s="30"/>
      <c r="RCY35" s="30"/>
      <c r="RCZ35" s="30"/>
      <c r="RDA35" s="30"/>
      <c r="RDB35" s="30"/>
      <c r="RDC35" s="30"/>
      <c r="RDD35" s="30"/>
      <c r="RDE35" s="30"/>
      <c r="RDF35" s="30"/>
      <c r="RDG35" s="30"/>
      <c r="RDH35" s="30"/>
      <c r="RDI35" s="30"/>
      <c r="RDJ35" s="30"/>
      <c r="RDK35" s="30"/>
      <c r="RDL35" s="30"/>
      <c r="RDM35" s="30"/>
      <c r="RDN35" s="30"/>
      <c r="RDO35" s="30"/>
      <c r="RDP35" s="30"/>
      <c r="RDQ35" s="30"/>
      <c r="RDR35" s="30"/>
      <c r="RDS35" s="30"/>
      <c r="RDT35" s="30"/>
      <c r="RDU35" s="30"/>
      <c r="RDV35" s="30"/>
      <c r="RDW35" s="30"/>
      <c r="RDX35" s="30"/>
      <c r="RDY35" s="30"/>
      <c r="RDZ35" s="30"/>
      <c r="REA35" s="30"/>
      <c r="REB35" s="30"/>
      <c r="REC35" s="30"/>
      <c r="RED35" s="30"/>
      <c r="REE35" s="30"/>
      <c r="REF35" s="30"/>
      <c r="REG35" s="30"/>
      <c r="REH35" s="30"/>
      <c r="REI35" s="30"/>
      <c r="REJ35" s="30"/>
      <c r="REK35" s="30"/>
      <c r="REL35" s="30"/>
      <c r="REM35" s="30"/>
      <c r="REN35" s="30"/>
      <c r="REO35" s="30"/>
      <c r="REP35" s="30"/>
      <c r="REQ35" s="30"/>
      <c r="RER35" s="30"/>
      <c r="RES35" s="30"/>
      <c r="RET35" s="30"/>
      <c r="REU35" s="30"/>
      <c r="REV35" s="30"/>
      <c r="REW35" s="30"/>
      <c r="REX35" s="30"/>
      <c r="REY35" s="30"/>
      <c r="REZ35" s="30"/>
      <c r="RFA35" s="30"/>
      <c r="RFB35" s="30"/>
      <c r="RFC35" s="30"/>
      <c r="RFD35" s="30"/>
      <c r="RFE35" s="30"/>
      <c r="RFF35" s="30"/>
      <c r="RFG35" s="30"/>
      <c r="RFH35" s="30"/>
      <c r="RFI35" s="30"/>
      <c r="RFJ35" s="30"/>
      <c r="RFK35" s="30"/>
      <c r="RFL35" s="30"/>
      <c r="RFM35" s="30"/>
      <c r="RFN35" s="30"/>
      <c r="RFO35" s="30"/>
      <c r="RFP35" s="30"/>
      <c r="RFQ35" s="30"/>
      <c r="RFR35" s="30"/>
      <c r="RFS35" s="30"/>
      <c r="RFT35" s="30"/>
      <c r="RFU35" s="30"/>
      <c r="RFV35" s="30"/>
      <c r="RFW35" s="30"/>
      <c r="RFX35" s="30"/>
      <c r="RFY35" s="30"/>
      <c r="RFZ35" s="30"/>
      <c r="RGA35" s="30"/>
      <c r="RGB35" s="30"/>
      <c r="RGC35" s="30"/>
      <c r="RGD35" s="30"/>
      <c r="RGE35" s="30"/>
      <c r="RGF35" s="30"/>
      <c r="RGG35" s="30"/>
      <c r="RGH35" s="30"/>
      <c r="RGI35" s="30"/>
      <c r="RGJ35" s="30"/>
      <c r="RGK35" s="30"/>
      <c r="RGL35" s="30"/>
      <c r="RGM35" s="30"/>
      <c r="RGN35" s="30"/>
      <c r="RGO35" s="30"/>
      <c r="RGP35" s="30"/>
      <c r="RGQ35" s="30"/>
      <c r="RGR35" s="30"/>
      <c r="RGS35" s="30"/>
      <c r="RGT35" s="30"/>
      <c r="RGU35" s="30"/>
      <c r="RGV35" s="30"/>
      <c r="RGW35" s="30"/>
      <c r="RGX35" s="30"/>
      <c r="RGY35" s="30"/>
      <c r="RGZ35" s="30"/>
      <c r="RHA35" s="30"/>
      <c r="RHB35" s="30"/>
      <c r="RHC35" s="30"/>
      <c r="RHD35" s="30"/>
      <c r="RHE35" s="30"/>
      <c r="RHF35" s="30"/>
      <c r="RHG35" s="30"/>
      <c r="RHH35" s="30"/>
      <c r="RHI35" s="30"/>
      <c r="RHJ35" s="30"/>
      <c r="RHK35" s="30"/>
      <c r="RHL35" s="30"/>
      <c r="RHM35" s="30"/>
      <c r="RHN35" s="30"/>
      <c r="RHO35" s="30"/>
      <c r="RHP35" s="30"/>
      <c r="RHQ35" s="30"/>
      <c r="RHR35" s="30"/>
      <c r="RHS35" s="30"/>
      <c r="RHT35" s="30"/>
      <c r="RHU35" s="30"/>
      <c r="RHV35" s="30"/>
      <c r="RHW35" s="30"/>
      <c r="RHX35" s="30"/>
      <c r="RHY35" s="30"/>
      <c r="RHZ35" s="30"/>
      <c r="RIA35" s="30"/>
      <c r="RIB35" s="30"/>
      <c r="RIC35" s="30"/>
      <c r="RID35" s="30"/>
      <c r="RIE35" s="30"/>
      <c r="RIF35" s="30"/>
      <c r="RIG35" s="30"/>
      <c r="RIH35" s="30"/>
      <c r="RII35" s="30"/>
      <c r="RIJ35" s="30"/>
      <c r="RIK35" s="30"/>
      <c r="RIL35" s="30"/>
      <c r="RIM35" s="30"/>
      <c r="RIN35" s="30"/>
      <c r="RIO35" s="30"/>
      <c r="RIP35" s="30"/>
      <c r="RIQ35" s="30"/>
      <c r="RIR35" s="30"/>
      <c r="RIS35" s="30"/>
      <c r="RIT35" s="30"/>
      <c r="RIU35" s="30"/>
      <c r="RIV35" s="30"/>
      <c r="RIW35" s="30"/>
      <c r="RIX35" s="30"/>
      <c r="RIY35" s="30"/>
      <c r="RIZ35" s="30"/>
      <c r="RJA35" s="30"/>
      <c r="RJB35" s="30"/>
      <c r="RJC35" s="30"/>
      <c r="RJD35" s="30"/>
      <c r="RJE35" s="30"/>
      <c r="RJF35" s="30"/>
      <c r="RJG35" s="30"/>
      <c r="RJH35" s="30"/>
      <c r="RJI35" s="30"/>
      <c r="RJJ35" s="30"/>
      <c r="RJK35" s="30"/>
      <c r="RJL35" s="30"/>
      <c r="RJM35" s="30"/>
      <c r="RJN35" s="30"/>
      <c r="RJO35" s="30"/>
      <c r="RJP35" s="30"/>
      <c r="RJQ35" s="30"/>
      <c r="RJR35" s="30"/>
      <c r="RJS35" s="30"/>
      <c r="RJT35" s="30"/>
      <c r="RJU35" s="30"/>
      <c r="RJV35" s="30"/>
      <c r="RJW35" s="30"/>
      <c r="RJX35" s="30"/>
      <c r="RJY35" s="30"/>
      <c r="RJZ35" s="30"/>
      <c r="RKA35" s="30"/>
      <c r="RKB35" s="30"/>
      <c r="RKC35" s="30"/>
      <c r="RKD35" s="30"/>
      <c r="RKE35" s="30"/>
      <c r="RKF35" s="30"/>
      <c r="RKG35" s="30"/>
      <c r="RKH35" s="30"/>
      <c r="RKI35" s="30"/>
      <c r="RKJ35" s="30"/>
      <c r="RKK35" s="30"/>
      <c r="RKL35" s="30"/>
      <c r="RKM35" s="30"/>
      <c r="RKN35" s="30"/>
      <c r="RKO35" s="30"/>
      <c r="RKP35" s="30"/>
      <c r="RKQ35" s="30"/>
      <c r="RKR35" s="30"/>
      <c r="RKS35" s="30"/>
      <c r="RKT35" s="30"/>
      <c r="RKU35" s="30"/>
      <c r="RKV35" s="30"/>
      <c r="RKW35" s="30"/>
      <c r="RKX35" s="30"/>
      <c r="RKY35" s="30"/>
      <c r="RKZ35" s="30"/>
      <c r="RLA35" s="30"/>
      <c r="RLB35" s="30"/>
      <c r="RLC35" s="30"/>
      <c r="RLD35" s="30"/>
      <c r="RLE35" s="30"/>
      <c r="RLF35" s="30"/>
      <c r="RLG35" s="30"/>
      <c r="RLH35" s="30"/>
      <c r="RLI35" s="30"/>
      <c r="RLJ35" s="30"/>
      <c r="RLK35" s="30"/>
      <c r="RLL35" s="30"/>
      <c r="RLM35" s="30"/>
      <c r="RLN35" s="30"/>
      <c r="RLO35" s="30"/>
      <c r="RLP35" s="30"/>
      <c r="RLQ35" s="30"/>
      <c r="RLR35" s="30"/>
      <c r="RLS35" s="30"/>
      <c r="RLT35" s="30"/>
      <c r="RLU35" s="30"/>
      <c r="RLV35" s="30"/>
      <c r="RLW35" s="30"/>
      <c r="RLX35" s="30"/>
      <c r="RLY35" s="30"/>
      <c r="RLZ35" s="30"/>
      <c r="RMA35" s="30"/>
      <c r="RMB35" s="30"/>
      <c r="RMC35" s="30"/>
      <c r="RMD35" s="30"/>
      <c r="RME35" s="30"/>
      <c r="RMF35" s="30"/>
      <c r="RMG35" s="30"/>
      <c r="RMH35" s="30"/>
      <c r="RMI35" s="30"/>
      <c r="RMJ35" s="30"/>
      <c r="RMK35" s="30"/>
      <c r="RML35" s="30"/>
      <c r="RMM35" s="30"/>
      <c r="RMN35" s="30"/>
      <c r="RMO35" s="30"/>
      <c r="RMP35" s="30"/>
      <c r="RMQ35" s="30"/>
      <c r="RMR35" s="30"/>
      <c r="RMS35" s="30"/>
      <c r="RMT35" s="30"/>
      <c r="RMU35" s="30"/>
      <c r="RMV35" s="30"/>
      <c r="RMW35" s="30"/>
      <c r="RMX35" s="30"/>
      <c r="RMY35" s="30"/>
      <c r="RMZ35" s="30"/>
      <c r="RNA35" s="30"/>
      <c r="RNB35" s="30"/>
      <c r="RNC35" s="30"/>
      <c r="RND35" s="30"/>
      <c r="RNE35" s="30"/>
      <c r="RNF35" s="30"/>
      <c r="RNG35" s="30"/>
      <c r="RNH35" s="30"/>
      <c r="RNI35" s="30"/>
      <c r="RNJ35" s="30"/>
      <c r="RNK35" s="30"/>
      <c r="RNL35" s="30"/>
      <c r="RNM35" s="30"/>
      <c r="RNN35" s="30"/>
      <c r="RNO35" s="30"/>
      <c r="RNP35" s="30"/>
      <c r="RNQ35" s="30"/>
      <c r="RNR35" s="30"/>
      <c r="RNS35" s="30"/>
      <c r="RNT35" s="30"/>
      <c r="RNU35" s="30"/>
      <c r="RNV35" s="30"/>
      <c r="RNW35" s="30"/>
      <c r="RNX35" s="30"/>
      <c r="RNY35" s="30"/>
      <c r="RNZ35" s="30"/>
      <c r="ROA35" s="30"/>
      <c r="ROB35" s="30"/>
      <c r="ROC35" s="30"/>
      <c r="ROD35" s="30"/>
      <c r="ROE35" s="30"/>
      <c r="ROF35" s="30"/>
      <c r="ROG35" s="30"/>
      <c r="ROH35" s="30"/>
      <c r="ROI35" s="30"/>
      <c r="ROJ35" s="30"/>
      <c r="ROK35" s="30"/>
      <c r="ROL35" s="30"/>
      <c r="ROM35" s="30"/>
      <c r="RON35" s="30"/>
      <c r="ROO35" s="30"/>
      <c r="ROP35" s="30"/>
      <c r="ROQ35" s="30"/>
      <c r="ROR35" s="30"/>
      <c r="ROS35" s="30"/>
      <c r="ROT35" s="30"/>
      <c r="ROU35" s="30"/>
      <c r="ROV35" s="30"/>
      <c r="ROW35" s="30"/>
      <c r="ROX35" s="30"/>
      <c r="ROY35" s="30"/>
      <c r="ROZ35" s="30"/>
      <c r="RPA35" s="30"/>
      <c r="RPB35" s="30"/>
      <c r="RPC35" s="30"/>
      <c r="RPD35" s="30"/>
      <c r="RPE35" s="30"/>
      <c r="RPF35" s="30"/>
      <c r="RPG35" s="30"/>
      <c r="RPH35" s="30"/>
      <c r="RPI35" s="30"/>
      <c r="RPJ35" s="30"/>
      <c r="RPK35" s="30"/>
      <c r="RPL35" s="30"/>
      <c r="RPM35" s="30"/>
      <c r="RPN35" s="30"/>
      <c r="RPO35" s="30"/>
      <c r="RPP35" s="30"/>
      <c r="RPQ35" s="30"/>
      <c r="RPR35" s="30"/>
      <c r="RPS35" s="30"/>
      <c r="RPT35" s="30"/>
      <c r="RPU35" s="30"/>
      <c r="RPV35" s="30"/>
      <c r="RPW35" s="30"/>
      <c r="RPX35" s="30"/>
      <c r="RPY35" s="30"/>
      <c r="RPZ35" s="30"/>
      <c r="RQA35" s="30"/>
      <c r="RQB35" s="30"/>
      <c r="RQC35" s="30"/>
      <c r="RQD35" s="30"/>
      <c r="RQE35" s="30"/>
      <c r="RQF35" s="30"/>
      <c r="RQG35" s="30"/>
      <c r="RQH35" s="30"/>
      <c r="RQI35" s="30"/>
      <c r="RQJ35" s="30"/>
      <c r="RQK35" s="30"/>
      <c r="RQL35" s="30"/>
      <c r="RQM35" s="30"/>
      <c r="RQN35" s="30"/>
      <c r="RQO35" s="30"/>
      <c r="RQP35" s="30"/>
      <c r="RQQ35" s="30"/>
      <c r="RQR35" s="30"/>
      <c r="RQS35" s="30"/>
      <c r="RQT35" s="30"/>
      <c r="RQU35" s="30"/>
      <c r="RQV35" s="30"/>
      <c r="RQW35" s="30"/>
      <c r="RQX35" s="30"/>
      <c r="RQY35" s="30"/>
      <c r="RQZ35" s="30"/>
      <c r="RRA35" s="30"/>
      <c r="RRB35" s="30"/>
      <c r="RRC35" s="30"/>
      <c r="RRD35" s="30"/>
      <c r="RRE35" s="30"/>
      <c r="RRF35" s="30"/>
      <c r="RRG35" s="30"/>
      <c r="RRH35" s="30"/>
      <c r="RRI35" s="30"/>
      <c r="RRJ35" s="30"/>
      <c r="RRK35" s="30"/>
      <c r="RRL35" s="30"/>
      <c r="RRM35" s="30"/>
      <c r="RRN35" s="30"/>
      <c r="RRO35" s="30"/>
      <c r="RRP35" s="30"/>
      <c r="RRQ35" s="30"/>
      <c r="RRR35" s="30"/>
      <c r="RRS35" s="30"/>
      <c r="RRT35" s="30"/>
      <c r="RRU35" s="30"/>
      <c r="RRV35" s="30"/>
      <c r="RRW35" s="30"/>
      <c r="RRX35" s="30"/>
      <c r="RRY35" s="30"/>
      <c r="RRZ35" s="30"/>
      <c r="RSA35" s="30"/>
      <c r="RSB35" s="30"/>
      <c r="RSC35" s="30"/>
      <c r="RSD35" s="30"/>
      <c r="RSE35" s="30"/>
      <c r="RSF35" s="30"/>
      <c r="RSG35" s="30"/>
      <c r="RSH35" s="30"/>
      <c r="RSI35" s="30"/>
      <c r="RSJ35" s="30"/>
      <c r="RSK35" s="30"/>
      <c r="RSL35" s="30"/>
      <c r="RSM35" s="30"/>
      <c r="RSN35" s="30"/>
      <c r="RSO35" s="30"/>
      <c r="RSP35" s="30"/>
      <c r="RSQ35" s="30"/>
      <c r="RSR35" s="30"/>
      <c r="RSS35" s="30"/>
      <c r="RST35" s="30"/>
      <c r="RSU35" s="30"/>
      <c r="RSV35" s="30"/>
      <c r="RSW35" s="30"/>
      <c r="RSX35" s="30"/>
      <c r="RSY35" s="30"/>
      <c r="RSZ35" s="30"/>
      <c r="RTA35" s="30"/>
      <c r="RTB35" s="30"/>
      <c r="RTC35" s="30"/>
      <c r="RTD35" s="30"/>
      <c r="RTE35" s="30"/>
      <c r="RTF35" s="30"/>
      <c r="RTG35" s="30"/>
      <c r="RTH35" s="30"/>
      <c r="RTI35" s="30"/>
      <c r="RTJ35" s="30"/>
      <c r="RTK35" s="30"/>
      <c r="RTL35" s="30"/>
      <c r="RTM35" s="30"/>
      <c r="RTN35" s="30"/>
      <c r="RTO35" s="30"/>
      <c r="RTP35" s="30"/>
      <c r="RTQ35" s="30"/>
      <c r="RTR35" s="30"/>
      <c r="RTS35" s="30"/>
      <c r="RTT35" s="30"/>
      <c r="RTU35" s="30"/>
      <c r="RTV35" s="30"/>
      <c r="RTW35" s="30"/>
      <c r="RTX35" s="30"/>
      <c r="RTY35" s="30"/>
      <c r="RTZ35" s="30"/>
      <c r="RUA35" s="30"/>
      <c r="RUB35" s="30"/>
      <c r="RUC35" s="30"/>
      <c r="RUD35" s="30"/>
      <c r="RUE35" s="30"/>
      <c r="RUF35" s="30"/>
      <c r="RUG35" s="30"/>
      <c r="RUH35" s="30"/>
      <c r="RUI35" s="30"/>
      <c r="RUJ35" s="30"/>
      <c r="RUK35" s="30"/>
      <c r="RUL35" s="30"/>
      <c r="RUM35" s="30"/>
      <c r="RUN35" s="30"/>
      <c r="RUO35" s="30"/>
      <c r="RUP35" s="30"/>
      <c r="RUQ35" s="30"/>
      <c r="RUR35" s="30"/>
      <c r="RUS35" s="30"/>
      <c r="RUT35" s="30"/>
      <c r="RUU35" s="30"/>
      <c r="RUV35" s="30"/>
      <c r="RUW35" s="30"/>
      <c r="RUX35" s="30"/>
      <c r="RUY35" s="30"/>
      <c r="RUZ35" s="30"/>
      <c r="RVA35" s="30"/>
      <c r="RVB35" s="30"/>
      <c r="RVC35" s="30"/>
      <c r="RVD35" s="30"/>
      <c r="RVE35" s="30"/>
      <c r="RVF35" s="30"/>
      <c r="RVG35" s="30"/>
      <c r="RVH35" s="30"/>
      <c r="RVI35" s="30"/>
      <c r="RVJ35" s="30"/>
      <c r="RVK35" s="30"/>
      <c r="RVL35" s="30"/>
      <c r="RVM35" s="30"/>
      <c r="RVN35" s="30"/>
      <c r="RVO35" s="30"/>
      <c r="RVP35" s="30"/>
      <c r="RVQ35" s="30"/>
      <c r="RVR35" s="30"/>
      <c r="RVS35" s="30"/>
      <c r="RVT35" s="30"/>
      <c r="RVU35" s="30"/>
      <c r="RVV35" s="30"/>
      <c r="RVW35" s="30"/>
      <c r="RVX35" s="30"/>
      <c r="RVY35" s="30"/>
      <c r="RVZ35" s="30"/>
      <c r="RWA35" s="30"/>
      <c r="RWB35" s="30"/>
      <c r="RWC35" s="30"/>
      <c r="RWD35" s="30"/>
      <c r="RWE35" s="30"/>
      <c r="RWF35" s="30"/>
      <c r="RWG35" s="30"/>
      <c r="RWH35" s="30"/>
      <c r="RWI35" s="30"/>
      <c r="RWJ35" s="30"/>
      <c r="RWK35" s="30"/>
      <c r="RWL35" s="30"/>
      <c r="RWM35" s="30"/>
      <c r="RWN35" s="30"/>
      <c r="RWO35" s="30"/>
      <c r="RWP35" s="30"/>
      <c r="RWQ35" s="30"/>
      <c r="RWR35" s="30"/>
      <c r="RWS35" s="30"/>
      <c r="RWT35" s="30"/>
      <c r="RWU35" s="30"/>
      <c r="RWV35" s="30"/>
      <c r="RWW35" s="30"/>
      <c r="RWX35" s="30"/>
      <c r="RWY35" s="30"/>
      <c r="RWZ35" s="30"/>
      <c r="RXA35" s="30"/>
      <c r="RXB35" s="30"/>
      <c r="RXC35" s="30"/>
      <c r="RXD35" s="30"/>
      <c r="RXE35" s="30"/>
      <c r="RXF35" s="30"/>
      <c r="RXG35" s="30"/>
      <c r="RXH35" s="30"/>
      <c r="RXI35" s="30"/>
      <c r="RXJ35" s="30"/>
      <c r="RXK35" s="30"/>
      <c r="RXL35" s="30"/>
      <c r="RXM35" s="30"/>
      <c r="RXN35" s="30"/>
      <c r="RXO35" s="30"/>
      <c r="RXP35" s="30"/>
      <c r="RXQ35" s="30"/>
      <c r="RXR35" s="30"/>
      <c r="RXS35" s="30"/>
      <c r="RXT35" s="30"/>
      <c r="RXU35" s="30"/>
      <c r="RXV35" s="30"/>
      <c r="RXW35" s="30"/>
      <c r="RXX35" s="30"/>
      <c r="RXY35" s="30"/>
      <c r="RXZ35" s="30"/>
      <c r="RYA35" s="30"/>
      <c r="RYB35" s="30"/>
      <c r="RYC35" s="30"/>
      <c r="RYD35" s="30"/>
      <c r="RYE35" s="30"/>
      <c r="RYF35" s="30"/>
      <c r="RYG35" s="30"/>
      <c r="RYH35" s="30"/>
      <c r="RYI35" s="30"/>
      <c r="RYJ35" s="30"/>
      <c r="RYK35" s="30"/>
      <c r="RYL35" s="30"/>
      <c r="RYM35" s="30"/>
      <c r="RYN35" s="30"/>
      <c r="RYO35" s="30"/>
      <c r="RYP35" s="30"/>
      <c r="RYQ35" s="30"/>
      <c r="RYR35" s="30"/>
      <c r="RYS35" s="30"/>
      <c r="RYT35" s="30"/>
      <c r="RYU35" s="30"/>
      <c r="RYV35" s="30"/>
      <c r="RYW35" s="30"/>
      <c r="RYX35" s="30"/>
      <c r="RYY35" s="30"/>
      <c r="RYZ35" s="30"/>
      <c r="RZA35" s="30"/>
      <c r="RZB35" s="30"/>
      <c r="RZC35" s="30"/>
      <c r="RZD35" s="30"/>
      <c r="RZE35" s="30"/>
      <c r="RZF35" s="30"/>
      <c r="RZG35" s="30"/>
      <c r="RZH35" s="30"/>
      <c r="RZI35" s="30"/>
      <c r="RZJ35" s="30"/>
      <c r="RZK35" s="30"/>
      <c r="RZL35" s="30"/>
      <c r="RZM35" s="30"/>
      <c r="RZN35" s="30"/>
      <c r="RZO35" s="30"/>
      <c r="RZP35" s="30"/>
      <c r="RZQ35" s="30"/>
      <c r="RZR35" s="30"/>
      <c r="RZS35" s="30"/>
      <c r="RZT35" s="30"/>
      <c r="RZU35" s="30"/>
      <c r="RZV35" s="30"/>
      <c r="RZW35" s="30"/>
      <c r="RZX35" s="30"/>
      <c r="RZY35" s="30"/>
      <c r="RZZ35" s="30"/>
      <c r="SAA35" s="30"/>
      <c r="SAB35" s="30"/>
      <c r="SAC35" s="30"/>
      <c r="SAD35" s="30"/>
      <c r="SAE35" s="30"/>
      <c r="SAF35" s="30"/>
      <c r="SAG35" s="30"/>
      <c r="SAH35" s="30"/>
      <c r="SAI35" s="30"/>
      <c r="SAJ35" s="30"/>
      <c r="SAK35" s="30"/>
      <c r="SAL35" s="30"/>
      <c r="SAM35" s="30"/>
      <c r="SAN35" s="30"/>
      <c r="SAO35" s="30"/>
      <c r="SAP35" s="30"/>
      <c r="SAQ35" s="30"/>
      <c r="SAR35" s="30"/>
      <c r="SAS35" s="30"/>
      <c r="SAT35" s="30"/>
      <c r="SAU35" s="30"/>
      <c r="SAV35" s="30"/>
      <c r="SAW35" s="30"/>
      <c r="SAX35" s="30"/>
      <c r="SAY35" s="30"/>
      <c r="SAZ35" s="30"/>
      <c r="SBA35" s="30"/>
      <c r="SBB35" s="30"/>
      <c r="SBC35" s="30"/>
      <c r="SBD35" s="30"/>
      <c r="SBE35" s="30"/>
      <c r="SBF35" s="30"/>
      <c r="SBG35" s="30"/>
      <c r="SBH35" s="30"/>
      <c r="SBI35" s="30"/>
      <c r="SBJ35" s="30"/>
      <c r="SBK35" s="30"/>
      <c r="SBL35" s="30"/>
      <c r="SBM35" s="30"/>
      <c r="SBN35" s="30"/>
      <c r="SBO35" s="30"/>
      <c r="SBP35" s="30"/>
      <c r="SBQ35" s="30"/>
      <c r="SBR35" s="30"/>
      <c r="SBS35" s="30"/>
      <c r="SBT35" s="30"/>
      <c r="SBU35" s="30"/>
      <c r="SBV35" s="30"/>
      <c r="SBW35" s="30"/>
      <c r="SBX35" s="30"/>
      <c r="SBY35" s="30"/>
      <c r="SBZ35" s="30"/>
      <c r="SCA35" s="30"/>
      <c r="SCB35" s="30"/>
      <c r="SCC35" s="30"/>
      <c r="SCD35" s="30"/>
      <c r="SCE35" s="30"/>
      <c r="SCF35" s="30"/>
      <c r="SCG35" s="30"/>
      <c r="SCH35" s="30"/>
      <c r="SCI35" s="30"/>
      <c r="SCJ35" s="30"/>
      <c r="SCK35" s="30"/>
      <c r="SCL35" s="30"/>
      <c r="SCM35" s="30"/>
      <c r="SCN35" s="30"/>
      <c r="SCO35" s="30"/>
      <c r="SCP35" s="30"/>
      <c r="SCQ35" s="30"/>
      <c r="SCR35" s="30"/>
      <c r="SCS35" s="30"/>
      <c r="SCT35" s="30"/>
      <c r="SCU35" s="30"/>
      <c r="SCV35" s="30"/>
      <c r="SCW35" s="30"/>
      <c r="SCX35" s="30"/>
      <c r="SCY35" s="30"/>
      <c r="SCZ35" s="30"/>
      <c r="SDA35" s="30"/>
      <c r="SDB35" s="30"/>
      <c r="SDC35" s="30"/>
      <c r="SDD35" s="30"/>
      <c r="SDE35" s="30"/>
      <c r="SDF35" s="30"/>
      <c r="SDG35" s="30"/>
      <c r="SDH35" s="30"/>
      <c r="SDI35" s="30"/>
      <c r="SDJ35" s="30"/>
      <c r="SDK35" s="30"/>
      <c r="SDL35" s="30"/>
      <c r="SDM35" s="30"/>
      <c r="SDN35" s="30"/>
      <c r="SDO35" s="30"/>
      <c r="SDP35" s="30"/>
      <c r="SDQ35" s="30"/>
      <c r="SDR35" s="30"/>
      <c r="SDS35" s="30"/>
      <c r="SDT35" s="30"/>
      <c r="SDU35" s="30"/>
      <c r="SDV35" s="30"/>
      <c r="SDW35" s="30"/>
      <c r="SDX35" s="30"/>
      <c r="SDY35" s="30"/>
      <c r="SDZ35" s="30"/>
      <c r="SEA35" s="30"/>
      <c r="SEB35" s="30"/>
      <c r="SEC35" s="30"/>
      <c r="SED35" s="30"/>
      <c r="SEE35" s="30"/>
      <c r="SEF35" s="30"/>
      <c r="SEG35" s="30"/>
      <c r="SEH35" s="30"/>
      <c r="SEI35" s="30"/>
      <c r="SEJ35" s="30"/>
      <c r="SEK35" s="30"/>
      <c r="SEL35" s="30"/>
      <c r="SEM35" s="30"/>
      <c r="SEN35" s="30"/>
      <c r="SEO35" s="30"/>
      <c r="SEP35" s="30"/>
      <c r="SEQ35" s="30"/>
      <c r="SER35" s="30"/>
      <c r="SES35" s="30"/>
      <c r="SET35" s="30"/>
      <c r="SEU35" s="30"/>
      <c r="SEV35" s="30"/>
      <c r="SEW35" s="30"/>
      <c r="SEX35" s="30"/>
      <c r="SEY35" s="30"/>
      <c r="SEZ35" s="30"/>
      <c r="SFA35" s="30"/>
      <c r="SFB35" s="30"/>
      <c r="SFC35" s="30"/>
      <c r="SFD35" s="30"/>
      <c r="SFE35" s="30"/>
      <c r="SFF35" s="30"/>
      <c r="SFG35" s="30"/>
      <c r="SFH35" s="30"/>
      <c r="SFI35" s="30"/>
      <c r="SFJ35" s="30"/>
      <c r="SFK35" s="30"/>
      <c r="SFL35" s="30"/>
      <c r="SFM35" s="30"/>
      <c r="SFN35" s="30"/>
      <c r="SFO35" s="30"/>
      <c r="SFP35" s="30"/>
      <c r="SFQ35" s="30"/>
      <c r="SFR35" s="30"/>
      <c r="SFS35" s="30"/>
      <c r="SFT35" s="30"/>
      <c r="SFU35" s="30"/>
      <c r="SFV35" s="30"/>
      <c r="SFW35" s="30"/>
      <c r="SFX35" s="30"/>
      <c r="SFY35" s="30"/>
      <c r="SFZ35" s="30"/>
      <c r="SGA35" s="30"/>
      <c r="SGB35" s="30"/>
      <c r="SGC35" s="30"/>
      <c r="SGD35" s="30"/>
      <c r="SGE35" s="30"/>
      <c r="SGF35" s="30"/>
      <c r="SGG35" s="30"/>
      <c r="SGH35" s="30"/>
      <c r="SGI35" s="30"/>
      <c r="SGJ35" s="30"/>
      <c r="SGK35" s="30"/>
      <c r="SGL35" s="30"/>
      <c r="SGM35" s="30"/>
      <c r="SGN35" s="30"/>
      <c r="SGO35" s="30"/>
      <c r="SGP35" s="30"/>
      <c r="SGQ35" s="30"/>
      <c r="SGR35" s="30"/>
      <c r="SGS35" s="30"/>
      <c r="SGT35" s="30"/>
      <c r="SGU35" s="30"/>
      <c r="SGV35" s="30"/>
      <c r="SGW35" s="30"/>
      <c r="SGX35" s="30"/>
      <c r="SGY35" s="30"/>
      <c r="SGZ35" s="30"/>
      <c r="SHA35" s="30"/>
      <c r="SHB35" s="30"/>
      <c r="SHC35" s="30"/>
      <c r="SHD35" s="30"/>
      <c r="SHE35" s="30"/>
      <c r="SHF35" s="30"/>
      <c r="SHG35" s="30"/>
      <c r="SHH35" s="30"/>
      <c r="SHI35" s="30"/>
      <c r="SHJ35" s="30"/>
      <c r="SHK35" s="30"/>
      <c r="SHL35" s="30"/>
      <c r="SHM35" s="30"/>
      <c r="SHN35" s="30"/>
      <c r="SHO35" s="30"/>
      <c r="SHP35" s="30"/>
      <c r="SHQ35" s="30"/>
      <c r="SHR35" s="30"/>
      <c r="SHS35" s="30"/>
      <c r="SHT35" s="30"/>
      <c r="SHU35" s="30"/>
      <c r="SHV35" s="30"/>
      <c r="SHW35" s="30"/>
      <c r="SHX35" s="30"/>
      <c r="SHY35" s="30"/>
      <c r="SHZ35" s="30"/>
      <c r="SIA35" s="30"/>
      <c r="SIB35" s="30"/>
      <c r="SIC35" s="30"/>
      <c r="SID35" s="30"/>
      <c r="SIE35" s="30"/>
      <c r="SIF35" s="30"/>
      <c r="SIG35" s="30"/>
      <c r="SIH35" s="30"/>
      <c r="SII35" s="30"/>
      <c r="SIJ35" s="30"/>
      <c r="SIK35" s="30"/>
      <c r="SIL35" s="30"/>
      <c r="SIM35" s="30"/>
      <c r="SIN35" s="30"/>
      <c r="SIO35" s="30"/>
      <c r="SIP35" s="30"/>
      <c r="SIQ35" s="30"/>
      <c r="SIR35" s="30"/>
      <c r="SIS35" s="30"/>
      <c r="SIT35" s="30"/>
      <c r="SIU35" s="30"/>
      <c r="SIV35" s="30"/>
      <c r="SIW35" s="30"/>
      <c r="SIX35" s="30"/>
      <c r="SIY35" s="30"/>
      <c r="SIZ35" s="30"/>
      <c r="SJA35" s="30"/>
      <c r="SJB35" s="30"/>
      <c r="SJC35" s="30"/>
      <c r="SJD35" s="30"/>
      <c r="SJE35" s="30"/>
      <c r="SJF35" s="30"/>
      <c r="SJG35" s="30"/>
      <c r="SJH35" s="30"/>
      <c r="SJI35" s="30"/>
      <c r="SJJ35" s="30"/>
      <c r="SJK35" s="30"/>
      <c r="SJL35" s="30"/>
      <c r="SJM35" s="30"/>
      <c r="SJN35" s="30"/>
      <c r="SJO35" s="30"/>
      <c r="SJP35" s="30"/>
      <c r="SJQ35" s="30"/>
      <c r="SJR35" s="30"/>
      <c r="SJS35" s="30"/>
      <c r="SJT35" s="30"/>
      <c r="SJU35" s="30"/>
      <c r="SJV35" s="30"/>
      <c r="SJW35" s="30"/>
      <c r="SJX35" s="30"/>
      <c r="SJY35" s="30"/>
      <c r="SJZ35" s="30"/>
      <c r="SKA35" s="30"/>
      <c r="SKB35" s="30"/>
      <c r="SKC35" s="30"/>
      <c r="SKD35" s="30"/>
      <c r="SKE35" s="30"/>
      <c r="SKF35" s="30"/>
      <c r="SKG35" s="30"/>
      <c r="SKH35" s="30"/>
      <c r="SKI35" s="30"/>
      <c r="SKJ35" s="30"/>
      <c r="SKK35" s="30"/>
      <c r="SKL35" s="30"/>
      <c r="SKM35" s="30"/>
      <c r="SKN35" s="30"/>
      <c r="SKO35" s="30"/>
      <c r="SKP35" s="30"/>
      <c r="SKQ35" s="30"/>
      <c r="SKR35" s="30"/>
      <c r="SKS35" s="30"/>
      <c r="SKT35" s="30"/>
      <c r="SKU35" s="30"/>
      <c r="SKV35" s="30"/>
      <c r="SKW35" s="30"/>
      <c r="SKX35" s="30"/>
      <c r="SKY35" s="30"/>
      <c r="SKZ35" s="30"/>
      <c r="SLA35" s="30"/>
      <c r="SLB35" s="30"/>
      <c r="SLC35" s="30"/>
      <c r="SLD35" s="30"/>
      <c r="SLE35" s="30"/>
      <c r="SLF35" s="30"/>
      <c r="SLG35" s="30"/>
      <c r="SLH35" s="30"/>
      <c r="SLI35" s="30"/>
      <c r="SLJ35" s="30"/>
      <c r="SLK35" s="30"/>
      <c r="SLL35" s="30"/>
      <c r="SLM35" s="30"/>
      <c r="SLN35" s="30"/>
      <c r="SLO35" s="30"/>
      <c r="SLP35" s="30"/>
      <c r="SLQ35" s="30"/>
      <c r="SLR35" s="30"/>
      <c r="SLS35" s="30"/>
      <c r="SLT35" s="30"/>
      <c r="SLU35" s="30"/>
      <c r="SLV35" s="30"/>
      <c r="SLW35" s="30"/>
      <c r="SLX35" s="30"/>
      <c r="SLY35" s="30"/>
      <c r="SLZ35" s="30"/>
      <c r="SMA35" s="30"/>
      <c r="SMB35" s="30"/>
      <c r="SMC35" s="30"/>
      <c r="SMD35" s="30"/>
      <c r="SME35" s="30"/>
      <c r="SMF35" s="30"/>
      <c r="SMG35" s="30"/>
      <c r="SMH35" s="30"/>
      <c r="SMI35" s="30"/>
      <c r="SMJ35" s="30"/>
      <c r="SMK35" s="30"/>
      <c r="SML35" s="30"/>
      <c r="SMM35" s="30"/>
      <c r="SMN35" s="30"/>
      <c r="SMO35" s="30"/>
      <c r="SMP35" s="30"/>
      <c r="SMQ35" s="30"/>
      <c r="SMR35" s="30"/>
      <c r="SMS35" s="30"/>
      <c r="SMT35" s="30"/>
      <c r="SMU35" s="30"/>
      <c r="SMV35" s="30"/>
      <c r="SMW35" s="30"/>
      <c r="SMX35" s="30"/>
      <c r="SMY35" s="30"/>
      <c r="SMZ35" s="30"/>
      <c r="SNA35" s="30"/>
      <c r="SNB35" s="30"/>
      <c r="SNC35" s="30"/>
      <c r="SND35" s="30"/>
      <c r="SNE35" s="30"/>
      <c r="SNF35" s="30"/>
      <c r="SNG35" s="30"/>
      <c r="SNH35" s="30"/>
      <c r="SNI35" s="30"/>
      <c r="SNJ35" s="30"/>
      <c r="SNK35" s="30"/>
      <c r="SNL35" s="30"/>
      <c r="SNM35" s="30"/>
      <c r="SNN35" s="30"/>
      <c r="SNO35" s="30"/>
      <c r="SNP35" s="30"/>
      <c r="SNQ35" s="30"/>
      <c r="SNR35" s="30"/>
      <c r="SNS35" s="30"/>
      <c r="SNT35" s="30"/>
      <c r="SNU35" s="30"/>
      <c r="SNV35" s="30"/>
      <c r="SNW35" s="30"/>
      <c r="SNX35" s="30"/>
      <c r="SNY35" s="30"/>
      <c r="SNZ35" s="30"/>
      <c r="SOA35" s="30"/>
      <c r="SOB35" s="30"/>
      <c r="SOC35" s="30"/>
      <c r="SOD35" s="30"/>
      <c r="SOE35" s="30"/>
      <c r="SOF35" s="30"/>
      <c r="SOG35" s="30"/>
      <c r="SOH35" s="30"/>
      <c r="SOI35" s="30"/>
      <c r="SOJ35" s="30"/>
      <c r="SOK35" s="30"/>
      <c r="SOL35" s="30"/>
      <c r="SOM35" s="30"/>
      <c r="SON35" s="30"/>
      <c r="SOO35" s="30"/>
      <c r="SOP35" s="30"/>
      <c r="SOQ35" s="30"/>
      <c r="SOR35" s="30"/>
      <c r="SOS35" s="30"/>
      <c r="SOT35" s="30"/>
      <c r="SOU35" s="30"/>
      <c r="SOV35" s="30"/>
      <c r="SOW35" s="30"/>
      <c r="SOX35" s="30"/>
      <c r="SOY35" s="30"/>
      <c r="SOZ35" s="30"/>
      <c r="SPA35" s="30"/>
      <c r="SPB35" s="30"/>
      <c r="SPC35" s="30"/>
      <c r="SPD35" s="30"/>
      <c r="SPE35" s="30"/>
      <c r="SPF35" s="30"/>
      <c r="SPG35" s="30"/>
      <c r="SPH35" s="30"/>
      <c r="SPI35" s="30"/>
      <c r="SPJ35" s="30"/>
      <c r="SPK35" s="30"/>
      <c r="SPL35" s="30"/>
      <c r="SPM35" s="30"/>
      <c r="SPN35" s="30"/>
      <c r="SPO35" s="30"/>
      <c r="SPP35" s="30"/>
      <c r="SPQ35" s="30"/>
      <c r="SPR35" s="30"/>
      <c r="SPS35" s="30"/>
      <c r="SPT35" s="30"/>
      <c r="SPU35" s="30"/>
      <c r="SPV35" s="30"/>
      <c r="SPW35" s="30"/>
      <c r="SPX35" s="30"/>
      <c r="SPY35" s="30"/>
      <c r="SPZ35" s="30"/>
      <c r="SQA35" s="30"/>
      <c r="SQB35" s="30"/>
      <c r="SQC35" s="30"/>
      <c r="SQD35" s="30"/>
      <c r="SQE35" s="30"/>
      <c r="SQF35" s="30"/>
      <c r="SQG35" s="30"/>
      <c r="SQH35" s="30"/>
      <c r="SQI35" s="30"/>
      <c r="SQJ35" s="30"/>
      <c r="SQK35" s="30"/>
      <c r="SQL35" s="30"/>
      <c r="SQM35" s="30"/>
      <c r="SQN35" s="30"/>
      <c r="SQO35" s="30"/>
      <c r="SQP35" s="30"/>
      <c r="SQQ35" s="30"/>
      <c r="SQR35" s="30"/>
      <c r="SQS35" s="30"/>
      <c r="SQT35" s="30"/>
      <c r="SQU35" s="30"/>
      <c r="SQV35" s="30"/>
      <c r="SQW35" s="30"/>
      <c r="SQX35" s="30"/>
      <c r="SQY35" s="30"/>
      <c r="SQZ35" s="30"/>
      <c r="SRA35" s="30"/>
      <c r="SRB35" s="30"/>
      <c r="SRC35" s="30"/>
      <c r="SRD35" s="30"/>
      <c r="SRE35" s="30"/>
      <c r="SRF35" s="30"/>
      <c r="SRG35" s="30"/>
      <c r="SRH35" s="30"/>
      <c r="SRI35" s="30"/>
      <c r="SRJ35" s="30"/>
      <c r="SRK35" s="30"/>
      <c r="SRL35" s="30"/>
      <c r="SRM35" s="30"/>
      <c r="SRN35" s="30"/>
      <c r="SRO35" s="30"/>
      <c r="SRP35" s="30"/>
      <c r="SRQ35" s="30"/>
      <c r="SRR35" s="30"/>
      <c r="SRS35" s="30"/>
      <c r="SRT35" s="30"/>
      <c r="SRU35" s="30"/>
      <c r="SRV35" s="30"/>
      <c r="SRW35" s="30"/>
      <c r="SRX35" s="30"/>
      <c r="SRY35" s="30"/>
      <c r="SRZ35" s="30"/>
      <c r="SSA35" s="30"/>
      <c r="SSB35" s="30"/>
      <c r="SSC35" s="30"/>
      <c r="SSD35" s="30"/>
      <c r="SSE35" s="30"/>
      <c r="SSF35" s="30"/>
      <c r="SSG35" s="30"/>
      <c r="SSH35" s="30"/>
      <c r="SSI35" s="30"/>
      <c r="SSJ35" s="30"/>
      <c r="SSK35" s="30"/>
      <c r="SSL35" s="30"/>
      <c r="SSM35" s="30"/>
      <c r="SSN35" s="30"/>
      <c r="SSO35" s="30"/>
      <c r="SSP35" s="30"/>
      <c r="SSQ35" s="30"/>
      <c r="SSR35" s="30"/>
      <c r="SSS35" s="30"/>
      <c r="SST35" s="30"/>
      <c r="SSU35" s="30"/>
      <c r="SSV35" s="30"/>
      <c r="SSW35" s="30"/>
      <c r="SSX35" s="30"/>
      <c r="SSY35" s="30"/>
      <c r="SSZ35" s="30"/>
      <c r="STA35" s="30"/>
      <c r="STB35" s="30"/>
      <c r="STC35" s="30"/>
      <c r="STD35" s="30"/>
      <c r="STE35" s="30"/>
      <c r="STF35" s="30"/>
      <c r="STG35" s="30"/>
      <c r="STH35" s="30"/>
      <c r="STI35" s="30"/>
      <c r="STJ35" s="30"/>
      <c r="STK35" s="30"/>
      <c r="STL35" s="30"/>
      <c r="STM35" s="30"/>
      <c r="STN35" s="30"/>
      <c r="STO35" s="30"/>
      <c r="STP35" s="30"/>
      <c r="STQ35" s="30"/>
      <c r="STR35" s="30"/>
      <c r="STS35" s="30"/>
      <c r="STT35" s="30"/>
      <c r="STU35" s="30"/>
      <c r="STV35" s="30"/>
      <c r="STW35" s="30"/>
      <c r="STX35" s="30"/>
      <c r="STY35" s="30"/>
      <c r="STZ35" s="30"/>
      <c r="SUA35" s="30"/>
      <c r="SUB35" s="30"/>
      <c r="SUC35" s="30"/>
      <c r="SUD35" s="30"/>
      <c r="SUE35" s="30"/>
      <c r="SUF35" s="30"/>
      <c r="SUG35" s="30"/>
      <c r="SUH35" s="30"/>
      <c r="SUI35" s="30"/>
      <c r="SUJ35" s="30"/>
      <c r="SUK35" s="30"/>
      <c r="SUL35" s="30"/>
      <c r="SUM35" s="30"/>
      <c r="SUN35" s="30"/>
      <c r="SUO35" s="30"/>
      <c r="SUP35" s="30"/>
      <c r="SUQ35" s="30"/>
      <c r="SUR35" s="30"/>
      <c r="SUS35" s="30"/>
      <c r="SUT35" s="30"/>
      <c r="SUU35" s="30"/>
      <c r="SUV35" s="30"/>
      <c r="SUW35" s="30"/>
      <c r="SUX35" s="30"/>
      <c r="SUY35" s="30"/>
      <c r="SUZ35" s="30"/>
      <c r="SVA35" s="30"/>
      <c r="SVB35" s="30"/>
      <c r="SVC35" s="30"/>
      <c r="SVD35" s="30"/>
      <c r="SVE35" s="30"/>
      <c r="SVF35" s="30"/>
      <c r="SVG35" s="30"/>
      <c r="SVH35" s="30"/>
      <c r="SVI35" s="30"/>
      <c r="SVJ35" s="30"/>
      <c r="SVK35" s="30"/>
      <c r="SVL35" s="30"/>
      <c r="SVM35" s="30"/>
      <c r="SVN35" s="30"/>
      <c r="SVO35" s="30"/>
      <c r="SVP35" s="30"/>
      <c r="SVQ35" s="30"/>
      <c r="SVR35" s="30"/>
      <c r="SVS35" s="30"/>
      <c r="SVT35" s="30"/>
      <c r="SVU35" s="30"/>
      <c r="SVV35" s="30"/>
      <c r="SVW35" s="30"/>
      <c r="SVX35" s="30"/>
      <c r="SVY35" s="30"/>
      <c r="SVZ35" s="30"/>
      <c r="SWA35" s="30"/>
      <c r="SWB35" s="30"/>
      <c r="SWC35" s="30"/>
      <c r="SWD35" s="30"/>
      <c r="SWE35" s="30"/>
      <c r="SWF35" s="30"/>
      <c r="SWG35" s="30"/>
      <c r="SWH35" s="30"/>
      <c r="SWI35" s="30"/>
      <c r="SWJ35" s="30"/>
      <c r="SWK35" s="30"/>
      <c r="SWL35" s="30"/>
      <c r="SWM35" s="30"/>
      <c r="SWN35" s="30"/>
      <c r="SWO35" s="30"/>
      <c r="SWP35" s="30"/>
      <c r="SWQ35" s="30"/>
      <c r="SWR35" s="30"/>
      <c r="SWS35" s="30"/>
      <c r="SWT35" s="30"/>
      <c r="SWU35" s="30"/>
      <c r="SWV35" s="30"/>
      <c r="SWW35" s="30"/>
      <c r="SWX35" s="30"/>
      <c r="SWY35" s="30"/>
      <c r="SWZ35" s="30"/>
      <c r="SXA35" s="30"/>
      <c r="SXB35" s="30"/>
      <c r="SXC35" s="30"/>
      <c r="SXD35" s="30"/>
      <c r="SXE35" s="30"/>
      <c r="SXF35" s="30"/>
      <c r="SXG35" s="30"/>
      <c r="SXH35" s="30"/>
      <c r="SXI35" s="30"/>
      <c r="SXJ35" s="30"/>
      <c r="SXK35" s="30"/>
      <c r="SXL35" s="30"/>
      <c r="SXM35" s="30"/>
      <c r="SXN35" s="30"/>
      <c r="SXO35" s="30"/>
      <c r="SXP35" s="30"/>
      <c r="SXQ35" s="30"/>
      <c r="SXR35" s="30"/>
      <c r="SXS35" s="30"/>
      <c r="SXT35" s="30"/>
      <c r="SXU35" s="30"/>
      <c r="SXV35" s="30"/>
      <c r="SXW35" s="30"/>
      <c r="SXX35" s="30"/>
      <c r="SXY35" s="30"/>
      <c r="SXZ35" s="30"/>
      <c r="SYA35" s="30"/>
      <c r="SYB35" s="30"/>
      <c r="SYC35" s="30"/>
      <c r="SYD35" s="30"/>
      <c r="SYE35" s="30"/>
      <c r="SYF35" s="30"/>
      <c r="SYG35" s="30"/>
      <c r="SYH35" s="30"/>
      <c r="SYI35" s="30"/>
      <c r="SYJ35" s="30"/>
      <c r="SYK35" s="30"/>
      <c r="SYL35" s="30"/>
      <c r="SYM35" s="30"/>
      <c r="SYN35" s="30"/>
      <c r="SYO35" s="30"/>
      <c r="SYP35" s="30"/>
      <c r="SYQ35" s="30"/>
      <c r="SYR35" s="30"/>
      <c r="SYS35" s="30"/>
      <c r="SYT35" s="30"/>
      <c r="SYU35" s="30"/>
      <c r="SYV35" s="30"/>
      <c r="SYW35" s="30"/>
      <c r="SYX35" s="30"/>
      <c r="SYY35" s="30"/>
      <c r="SYZ35" s="30"/>
      <c r="SZA35" s="30"/>
      <c r="SZB35" s="30"/>
      <c r="SZC35" s="30"/>
      <c r="SZD35" s="30"/>
      <c r="SZE35" s="30"/>
      <c r="SZF35" s="30"/>
      <c r="SZG35" s="30"/>
      <c r="SZH35" s="30"/>
      <c r="SZI35" s="30"/>
      <c r="SZJ35" s="30"/>
      <c r="SZK35" s="30"/>
      <c r="SZL35" s="30"/>
      <c r="SZM35" s="30"/>
      <c r="SZN35" s="30"/>
      <c r="SZO35" s="30"/>
      <c r="SZP35" s="30"/>
      <c r="SZQ35" s="30"/>
      <c r="SZR35" s="30"/>
      <c r="SZS35" s="30"/>
      <c r="SZT35" s="30"/>
      <c r="SZU35" s="30"/>
      <c r="SZV35" s="30"/>
      <c r="SZW35" s="30"/>
      <c r="SZX35" s="30"/>
      <c r="SZY35" s="30"/>
      <c r="SZZ35" s="30"/>
      <c r="TAA35" s="30"/>
      <c r="TAB35" s="30"/>
      <c r="TAC35" s="30"/>
      <c r="TAD35" s="30"/>
      <c r="TAE35" s="30"/>
      <c r="TAF35" s="30"/>
      <c r="TAG35" s="30"/>
      <c r="TAH35" s="30"/>
      <c r="TAI35" s="30"/>
      <c r="TAJ35" s="30"/>
      <c r="TAK35" s="30"/>
      <c r="TAL35" s="30"/>
      <c r="TAM35" s="30"/>
      <c r="TAN35" s="30"/>
      <c r="TAO35" s="30"/>
      <c r="TAP35" s="30"/>
      <c r="TAQ35" s="30"/>
      <c r="TAR35" s="30"/>
      <c r="TAS35" s="30"/>
      <c r="TAT35" s="30"/>
      <c r="TAU35" s="30"/>
      <c r="TAV35" s="30"/>
      <c r="TAW35" s="30"/>
      <c r="TAX35" s="30"/>
      <c r="TAY35" s="30"/>
      <c r="TAZ35" s="30"/>
      <c r="TBA35" s="30"/>
      <c r="TBB35" s="30"/>
      <c r="TBC35" s="30"/>
      <c r="TBD35" s="30"/>
      <c r="TBE35" s="30"/>
      <c r="TBF35" s="30"/>
      <c r="TBG35" s="30"/>
      <c r="TBH35" s="30"/>
      <c r="TBI35" s="30"/>
      <c r="TBJ35" s="30"/>
      <c r="TBK35" s="30"/>
      <c r="TBL35" s="30"/>
      <c r="TBM35" s="30"/>
      <c r="TBN35" s="30"/>
      <c r="TBO35" s="30"/>
      <c r="TBP35" s="30"/>
      <c r="TBQ35" s="30"/>
      <c r="TBR35" s="30"/>
      <c r="TBS35" s="30"/>
      <c r="TBT35" s="30"/>
      <c r="TBU35" s="30"/>
      <c r="TBV35" s="30"/>
      <c r="TBW35" s="30"/>
      <c r="TBX35" s="30"/>
      <c r="TBY35" s="30"/>
      <c r="TBZ35" s="30"/>
      <c r="TCA35" s="30"/>
      <c r="TCB35" s="30"/>
      <c r="TCC35" s="30"/>
      <c r="TCD35" s="30"/>
      <c r="TCE35" s="30"/>
      <c r="TCF35" s="30"/>
      <c r="TCG35" s="30"/>
      <c r="TCH35" s="30"/>
      <c r="TCI35" s="30"/>
      <c r="TCJ35" s="30"/>
      <c r="TCK35" s="30"/>
      <c r="TCL35" s="30"/>
      <c r="TCM35" s="30"/>
      <c r="TCN35" s="30"/>
      <c r="TCO35" s="30"/>
      <c r="TCP35" s="30"/>
      <c r="TCQ35" s="30"/>
      <c r="TCR35" s="30"/>
      <c r="TCS35" s="30"/>
      <c r="TCT35" s="30"/>
      <c r="TCU35" s="30"/>
      <c r="TCV35" s="30"/>
      <c r="TCW35" s="30"/>
      <c r="TCX35" s="30"/>
      <c r="TCY35" s="30"/>
      <c r="TCZ35" s="30"/>
      <c r="TDA35" s="30"/>
      <c r="TDB35" s="30"/>
      <c r="TDC35" s="30"/>
      <c r="TDD35" s="30"/>
      <c r="TDE35" s="30"/>
      <c r="TDF35" s="30"/>
      <c r="TDG35" s="30"/>
      <c r="TDH35" s="30"/>
      <c r="TDI35" s="30"/>
      <c r="TDJ35" s="30"/>
      <c r="TDK35" s="30"/>
      <c r="TDL35" s="30"/>
      <c r="TDM35" s="30"/>
      <c r="TDN35" s="30"/>
      <c r="TDO35" s="30"/>
      <c r="TDP35" s="30"/>
      <c r="TDQ35" s="30"/>
      <c r="TDR35" s="30"/>
      <c r="TDS35" s="30"/>
      <c r="TDT35" s="30"/>
      <c r="TDU35" s="30"/>
      <c r="TDV35" s="30"/>
      <c r="TDW35" s="30"/>
      <c r="TDX35" s="30"/>
      <c r="TDY35" s="30"/>
      <c r="TDZ35" s="30"/>
      <c r="TEA35" s="30"/>
      <c r="TEB35" s="30"/>
      <c r="TEC35" s="30"/>
      <c r="TED35" s="30"/>
      <c r="TEE35" s="30"/>
      <c r="TEF35" s="30"/>
      <c r="TEG35" s="30"/>
      <c r="TEH35" s="30"/>
      <c r="TEI35" s="30"/>
      <c r="TEJ35" s="30"/>
      <c r="TEK35" s="30"/>
      <c r="TEL35" s="30"/>
      <c r="TEM35" s="30"/>
      <c r="TEN35" s="30"/>
      <c r="TEO35" s="30"/>
      <c r="TEP35" s="30"/>
      <c r="TEQ35" s="30"/>
      <c r="TER35" s="30"/>
      <c r="TES35" s="30"/>
      <c r="TET35" s="30"/>
      <c r="TEU35" s="30"/>
      <c r="TEV35" s="30"/>
      <c r="TEW35" s="30"/>
      <c r="TEX35" s="30"/>
      <c r="TEY35" s="30"/>
      <c r="TEZ35" s="30"/>
      <c r="TFA35" s="30"/>
      <c r="TFB35" s="30"/>
      <c r="TFC35" s="30"/>
      <c r="TFD35" s="30"/>
      <c r="TFE35" s="30"/>
      <c r="TFF35" s="30"/>
      <c r="TFG35" s="30"/>
      <c r="TFH35" s="30"/>
      <c r="TFI35" s="30"/>
      <c r="TFJ35" s="30"/>
      <c r="TFK35" s="30"/>
      <c r="TFL35" s="30"/>
      <c r="TFM35" s="30"/>
      <c r="TFN35" s="30"/>
      <c r="TFO35" s="30"/>
      <c r="TFP35" s="30"/>
      <c r="TFQ35" s="30"/>
      <c r="TFR35" s="30"/>
      <c r="TFS35" s="30"/>
      <c r="TFT35" s="30"/>
      <c r="TFU35" s="30"/>
      <c r="TFV35" s="30"/>
      <c r="TFW35" s="30"/>
      <c r="TFX35" s="30"/>
      <c r="TFY35" s="30"/>
      <c r="TFZ35" s="30"/>
      <c r="TGA35" s="30"/>
      <c r="TGB35" s="30"/>
      <c r="TGC35" s="30"/>
      <c r="TGD35" s="30"/>
      <c r="TGE35" s="30"/>
      <c r="TGF35" s="30"/>
      <c r="TGG35" s="30"/>
      <c r="TGH35" s="30"/>
      <c r="TGI35" s="30"/>
      <c r="TGJ35" s="30"/>
      <c r="TGK35" s="30"/>
      <c r="TGL35" s="30"/>
      <c r="TGM35" s="30"/>
      <c r="TGN35" s="30"/>
      <c r="TGO35" s="30"/>
      <c r="TGP35" s="30"/>
      <c r="TGQ35" s="30"/>
      <c r="TGR35" s="30"/>
      <c r="TGS35" s="30"/>
      <c r="TGT35" s="30"/>
      <c r="TGU35" s="30"/>
      <c r="TGV35" s="30"/>
      <c r="TGW35" s="30"/>
      <c r="TGX35" s="30"/>
      <c r="TGY35" s="30"/>
      <c r="TGZ35" s="30"/>
      <c r="THA35" s="30"/>
      <c r="THB35" s="30"/>
      <c r="THC35" s="30"/>
      <c r="THD35" s="30"/>
      <c r="THE35" s="30"/>
      <c r="THF35" s="30"/>
      <c r="THG35" s="30"/>
      <c r="THH35" s="30"/>
      <c r="THI35" s="30"/>
      <c r="THJ35" s="30"/>
      <c r="THK35" s="30"/>
      <c r="THL35" s="30"/>
      <c r="THM35" s="30"/>
      <c r="THN35" s="30"/>
      <c r="THO35" s="30"/>
      <c r="THP35" s="30"/>
      <c r="THQ35" s="30"/>
      <c r="THR35" s="30"/>
      <c r="THS35" s="30"/>
      <c r="THT35" s="30"/>
      <c r="THU35" s="30"/>
      <c r="THV35" s="30"/>
      <c r="THW35" s="30"/>
      <c r="THX35" s="30"/>
      <c r="THY35" s="30"/>
      <c r="THZ35" s="30"/>
      <c r="TIA35" s="30"/>
      <c r="TIB35" s="30"/>
      <c r="TIC35" s="30"/>
      <c r="TID35" s="30"/>
      <c r="TIE35" s="30"/>
      <c r="TIF35" s="30"/>
      <c r="TIG35" s="30"/>
      <c r="TIH35" s="30"/>
      <c r="TII35" s="30"/>
      <c r="TIJ35" s="30"/>
      <c r="TIK35" s="30"/>
      <c r="TIL35" s="30"/>
      <c r="TIM35" s="30"/>
      <c r="TIN35" s="30"/>
      <c r="TIO35" s="30"/>
      <c r="TIP35" s="30"/>
      <c r="TIQ35" s="30"/>
      <c r="TIR35" s="30"/>
      <c r="TIS35" s="30"/>
      <c r="TIT35" s="30"/>
      <c r="TIU35" s="30"/>
      <c r="TIV35" s="30"/>
      <c r="TIW35" s="30"/>
      <c r="TIX35" s="30"/>
      <c r="TIY35" s="30"/>
      <c r="TIZ35" s="30"/>
      <c r="TJA35" s="30"/>
      <c r="TJB35" s="30"/>
      <c r="TJC35" s="30"/>
      <c r="TJD35" s="30"/>
      <c r="TJE35" s="30"/>
      <c r="TJF35" s="30"/>
      <c r="TJG35" s="30"/>
      <c r="TJH35" s="30"/>
      <c r="TJI35" s="30"/>
      <c r="TJJ35" s="30"/>
      <c r="TJK35" s="30"/>
      <c r="TJL35" s="30"/>
      <c r="TJM35" s="30"/>
      <c r="TJN35" s="30"/>
      <c r="TJO35" s="30"/>
      <c r="TJP35" s="30"/>
      <c r="TJQ35" s="30"/>
      <c r="TJR35" s="30"/>
      <c r="TJS35" s="30"/>
      <c r="TJT35" s="30"/>
      <c r="TJU35" s="30"/>
      <c r="TJV35" s="30"/>
      <c r="TJW35" s="30"/>
      <c r="TJX35" s="30"/>
      <c r="TJY35" s="30"/>
      <c r="TJZ35" s="30"/>
      <c r="TKA35" s="30"/>
      <c r="TKB35" s="30"/>
      <c r="TKC35" s="30"/>
      <c r="TKD35" s="30"/>
      <c r="TKE35" s="30"/>
      <c r="TKF35" s="30"/>
      <c r="TKG35" s="30"/>
      <c r="TKH35" s="30"/>
      <c r="TKI35" s="30"/>
      <c r="TKJ35" s="30"/>
      <c r="TKK35" s="30"/>
      <c r="TKL35" s="30"/>
      <c r="TKM35" s="30"/>
      <c r="TKN35" s="30"/>
      <c r="TKO35" s="30"/>
      <c r="TKP35" s="30"/>
      <c r="TKQ35" s="30"/>
      <c r="TKR35" s="30"/>
      <c r="TKS35" s="30"/>
      <c r="TKT35" s="30"/>
      <c r="TKU35" s="30"/>
      <c r="TKV35" s="30"/>
      <c r="TKW35" s="30"/>
      <c r="TKX35" s="30"/>
      <c r="TKY35" s="30"/>
      <c r="TKZ35" s="30"/>
      <c r="TLA35" s="30"/>
      <c r="TLB35" s="30"/>
      <c r="TLC35" s="30"/>
      <c r="TLD35" s="30"/>
      <c r="TLE35" s="30"/>
      <c r="TLF35" s="30"/>
      <c r="TLG35" s="30"/>
      <c r="TLH35" s="30"/>
      <c r="TLI35" s="30"/>
      <c r="TLJ35" s="30"/>
      <c r="TLK35" s="30"/>
      <c r="TLL35" s="30"/>
      <c r="TLM35" s="30"/>
      <c r="TLN35" s="30"/>
      <c r="TLO35" s="30"/>
      <c r="TLP35" s="30"/>
      <c r="TLQ35" s="30"/>
      <c r="TLR35" s="30"/>
      <c r="TLS35" s="30"/>
      <c r="TLT35" s="30"/>
      <c r="TLU35" s="30"/>
      <c r="TLV35" s="30"/>
      <c r="TLW35" s="30"/>
      <c r="TLX35" s="30"/>
      <c r="TLY35" s="30"/>
      <c r="TLZ35" s="30"/>
      <c r="TMA35" s="30"/>
      <c r="TMB35" s="30"/>
      <c r="TMC35" s="30"/>
      <c r="TMD35" s="30"/>
      <c r="TME35" s="30"/>
      <c r="TMF35" s="30"/>
      <c r="TMG35" s="30"/>
      <c r="TMH35" s="30"/>
      <c r="TMI35" s="30"/>
      <c r="TMJ35" s="30"/>
      <c r="TMK35" s="30"/>
      <c r="TML35" s="30"/>
      <c r="TMM35" s="30"/>
      <c r="TMN35" s="30"/>
      <c r="TMO35" s="30"/>
      <c r="TMP35" s="30"/>
      <c r="TMQ35" s="30"/>
      <c r="TMR35" s="30"/>
      <c r="TMS35" s="30"/>
      <c r="TMT35" s="30"/>
      <c r="TMU35" s="30"/>
      <c r="TMV35" s="30"/>
      <c r="TMW35" s="30"/>
      <c r="TMX35" s="30"/>
      <c r="TMY35" s="30"/>
      <c r="TMZ35" s="30"/>
      <c r="TNA35" s="30"/>
      <c r="TNB35" s="30"/>
      <c r="TNC35" s="30"/>
      <c r="TND35" s="30"/>
      <c r="TNE35" s="30"/>
      <c r="TNF35" s="30"/>
      <c r="TNG35" s="30"/>
      <c r="TNH35" s="30"/>
      <c r="TNI35" s="30"/>
      <c r="TNJ35" s="30"/>
      <c r="TNK35" s="30"/>
      <c r="TNL35" s="30"/>
      <c r="TNM35" s="30"/>
      <c r="TNN35" s="30"/>
      <c r="TNO35" s="30"/>
      <c r="TNP35" s="30"/>
      <c r="TNQ35" s="30"/>
      <c r="TNR35" s="30"/>
      <c r="TNS35" s="30"/>
      <c r="TNT35" s="30"/>
      <c r="TNU35" s="30"/>
      <c r="TNV35" s="30"/>
      <c r="TNW35" s="30"/>
      <c r="TNX35" s="30"/>
      <c r="TNY35" s="30"/>
      <c r="TNZ35" s="30"/>
      <c r="TOA35" s="30"/>
      <c r="TOB35" s="30"/>
      <c r="TOC35" s="30"/>
      <c r="TOD35" s="30"/>
      <c r="TOE35" s="30"/>
      <c r="TOF35" s="30"/>
      <c r="TOG35" s="30"/>
      <c r="TOH35" s="30"/>
      <c r="TOI35" s="30"/>
      <c r="TOJ35" s="30"/>
      <c r="TOK35" s="30"/>
      <c r="TOL35" s="30"/>
      <c r="TOM35" s="30"/>
      <c r="TON35" s="30"/>
      <c r="TOO35" s="30"/>
      <c r="TOP35" s="30"/>
      <c r="TOQ35" s="30"/>
      <c r="TOR35" s="30"/>
      <c r="TOS35" s="30"/>
      <c r="TOT35" s="30"/>
      <c r="TOU35" s="30"/>
      <c r="TOV35" s="30"/>
      <c r="TOW35" s="30"/>
      <c r="TOX35" s="30"/>
      <c r="TOY35" s="30"/>
      <c r="TOZ35" s="30"/>
      <c r="TPA35" s="30"/>
      <c r="TPB35" s="30"/>
      <c r="TPC35" s="30"/>
      <c r="TPD35" s="30"/>
      <c r="TPE35" s="30"/>
      <c r="TPF35" s="30"/>
      <c r="TPG35" s="30"/>
      <c r="TPH35" s="30"/>
      <c r="TPI35" s="30"/>
      <c r="TPJ35" s="30"/>
      <c r="TPK35" s="30"/>
      <c r="TPL35" s="30"/>
      <c r="TPM35" s="30"/>
      <c r="TPN35" s="30"/>
      <c r="TPO35" s="30"/>
      <c r="TPP35" s="30"/>
      <c r="TPQ35" s="30"/>
      <c r="TPR35" s="30"/>
      <c r="TPS35" s="30"/>
      <c r="TPT35" s="30"/>
      <c r="TPU35" s="30"/>
      <c r="TPV35" s="30"/>
      <c r="TPW35" s="30"/>
      <c r="TPX35" s="30"/>
      <c r="TPY35" s="30"/>
      <c r="TPZ35" s="30"/>
      <c r="TQA35" s="30"/>
      <c r="TQB35" s="30"/>
      <c r="TQC35" s="30"/>
      <c r="TQD35" s="30"/>
      <c r="TQE35" s="30"/>
      <c r="TQF35" s="30"/>
      <c r="TQG35" s="30"/>
      <c r="TQH35" s="30"/>
      <c r="TQI35" s="30"/>
      <c r="TQJ35" s="30"/>
      <c r="TQK35" s="30"/>
      <c r="TQL35" s="30"/>
      <c r="TQM35" s="30"/>
      <c r="TQN35" s="30"/>
      <c r="TQO35" s="30"/>
      <c r="TQP35" s="30"/>
      <c r="TQQ35" s="30"/>
      <c r="TQR35" s="30"/>
      <c r="TQS35" s="30"/>
      <c r="TQT35" s="30"/>
      <c r="TQU35" s="30"/>
      <c r="TQV35" s="30"/>
      <c r="TQW35" s="30"/>
      <c r="TQX35" s="30"/>
      <c r="TQY35" s="30"/>
      <c r="TQZ35" s="30"/>
      <c r="TRA35" s="30"/>
      <c r="TRB35" s="30"/>
      <c r="TRC35" s="30"/>
      <c r="TRD35" s="30"/>
      <c r="TRE35" s="30"/>
      <c r="TRF35" s="30"/>
      <c r="TRG35" s="30"/>
      <c r="TRH35" s="30"/>
      <c r="TRI35" s="30"/>
      <c r="TRJ35" s="30"/>
      <c r="TRK35" s="30"/>
      <c r="TRL35" s="30"/>
      <c r="TRM35" s="30"/>
      <c r="TRN35" s="30"/>
      <c r="TRO35" s="30"/>
      <c r="TRP35" s="30"/>
      <c r="TRQ35" s="30"/>
      <c r="TRR35" s="30"/>
      <c r="TRS35" s="30"/>
      <c r="TRT35" s="30"/>
      <c r="TRU35" s="30"/>
      <c r="TRV35" s="30"/>
      <c r="TRW35" s="30"/>
      <c r="TRX35" s="30"/>
      <c r="TRY35" s="30"/>
      <c r="TRZ35" s="30"/>
      <c r="TSA35" s="30"/>
      <c r="TSB35" s="30"/>
      <c r="TSC35" s="30"/>
      <c r="TSD35" s="30"/>
      <c r="TSE35" s="30"/>
      <c r="TSF35" s="30"/>
      <c r="TSG35" s="30"/>
      <c r="TSH35" s="30"/>
      <c r="TSI35" s="30"/>
      <c r="TSJ35" s="30"/>
      <c r="TSK35" s="30"/>
      <c r="TSL35" s="30"/>
      <c r="TSM35" s="30"/>
      <c r="TSN35" s="30"/>
      <c r="TSO35" s="30"/>
      <c r="TSP35" s="30"/>
      <c r="TSQ35" s="30"/>
      <c r="TSR35" s="30"/>
      <c r="TSS35" s="30"/>
      <c r="TST35" s="30"/>
      <c r="TSU35" s="30"/>
      <c r="TSV35" s="30"/>
      <c r="TSW35" s="30"/>
      <c r="TSX35" s="30"/>
      <c r="TSY35" s="30"/>
      <c r="TSZ35" s="30"/>
      <c r="TTA35" s="30"/>
      <c r="TTB35" s="30"/>
      <c r="TTC35" s="30"/>
      <c r="TTD35" s="30"/>
      <c r="TTE35" s="30"/>
      <c r="TTF35" s="30"/>
      <c r="TTG35" s="30"/>
      <c r="TTH35" s="30"/>
      <c r="TTI35" s="30"/>
      <c r="TTJ35" s="30"/>
      <c r="TTK35" s="30"/>
      <c r="TTL35" s="30"/>
      <c r="TTM35" s="30"/>
      <c r="TTN35" s="30"/>
      <c r="TTO35" s="30"/>
      <c r="TTP35" s="30"/>
      <c r="TTQ35" s="30"/>
      <c r="TTR35" s="30"/>
      <c r="TTS35" s="30"/>
      <c r="TTT35" s="30"/>
      <c r="TTU35" s="30"/>
      <c r="TTV35" s="30"/>
      <c r="TTW35" s="30"/>
      <c r="TTX35" s="30"/>
      <c r="TTY35" s="30"/>
      <c r="TTZ35" s="30"/>
      <c r="TUA35" s="30"/>
      <c r="TUB35" s="30"/>
      <c r="TUC35" s="30"/>
      <c r="TUD35" s="30"/>
      <c r="TUE35" s="30"/>
      <c r="TUF35" s="30"/>
      <c r="TUG35" s="30"/>
      <c r="TUH35" s="30"/>
      <c r="TUI35" s="30"/>
      <c r="TUJ35" s="30"/>
      <c r="TUK35" s="30"/>
      <c r="TUL35" s="30"/>
      <c r="TUM35" s="30"/>
      <c r="TUN35" s="30"/>
      <c r="TUO35" s="30"/>
      <c r="TUP35" s="30"/>
      <c r="TUQ35" s="30"/>
      <c r="TUR35" s="30"/>
      <c r="TUS35" s="30"/>
      <c r="TUT35" s="30"/>
      <c r="TUU35" s="30"/>
      <c r="TUV35" s="30"/>
      <c r="TUW35" s="30"/>
      <c r="TUX35" s="30"/>
      <c r="TUY35" s="30"/>
      <c r="TUZ35" s="30"/>
      <c r="TVA35" s="30"/>
      <c r="TVB35" s="30"/>
      <c r="TVC35" s="30"/>
      <c r="TVD35" s="30"/>
      <c r="TVE35" s="30"/>
      <c r="TVF35" s="30"/>
      <c r="TVG35" s="30"/>
      <c r="TVH35" s="30"/>
      <c r="TVI35" s="30"/>
      <c r="TVJ35" s="30"/>
      <c r="TVK35" s="30"/>
      <c r="TVL35" s="30"/>
      <c r="TVM35" s="30"/>
      <c r="TVN35" s="30"/>
      <c r="TVO35" s="30"/>
      <c r="TVP35" s="30"/>
      <c r="TVQ35" s="30"/>
      <c r="TVR35" s="30"/>
      <c r="TVS35" s="30"/>
      <c r="TVT35" s="30"/>
      <c r="TVU35" s="30"/>
      <c r="TVV35" s="30"/>
      <c r="TVW35" s="30"/>
      <c r="TVX35" s="30"/>
      <c r="TVY35" s="30"/>
      <c r="TVZ35" s="30"/>
      <c r="TWA35" s="30"/>
      <c r="TWB35" s="30"/>
      <c r="TWC35" s="30"/>
      <c r="TWD35" s="30"/>
      <c r="TWE35" s="30"/>
      <c r="TWF35" s="30"/>
      <c r="TWG35" s="30"/>
      <c r="TWH35" s="30"/>
      <c r="TWI35" s="30"/>
      <c r="TWJ35" s="30"/>
      <c r="TWK35" s="30"/>
      <c r="TWL35" s="30"/>
      <c r="TWM35" s="30"/>
      <c r="TWN35" s="30"/>
      <c r="TWO35" s="30"/>
      <c r="TWP35" s="30"/>
      <c r="TWQ35" s="30"/>
      <c r="TWR35" s="30"/>
      <c r="TWS35" s="30"/>
      <c r="TWT35" s="30"/>
      <c r="TWU35" s="30"/>
      <c r="TWV35" s="30"/>
      <c r="TWW35" s="30"/>
      <c r="TWX35" s="30"/>
      <c r="TWY35" s="30"/>
      <c r="TWZ35" s="30"/>
      <c r="TXA35" s="30"/>
      <c r="TXB35" s="30"/>
      <c r="TXC35" s="30"/>
      <c r="TXD35" s="30"/>
      <c r="TXE35" s="30"/>
      <c r="TXF35" s="30"/>
      <c r="TXG35" s="30"/>
      <c r="TXH35" s="30"/>
      <c r="TXI35" s="30"/>
      <c r="TXJ35" s="30"/>
      <c r="TXK35" s="30"/>
      <c r="TXL35" s="30"/>
      <c r="TXM35" s="30"/>
      <c r="TXN35" s="30"/>
      <c r="TXO35" s="30"/>
      <c r="TXP35" s="30"/>
      <c r="TXQ35" s="30"/>
      <c r="TXR35" s="30"/>
      <c r="TXS35" s="30"/>
      <c r="TXT35" s="30"/>
      <c r="TXU35" s="30"/>
      <c r="TXV35" s="30"/>
      <c r="TXW35" s="30"/>
      <c r="TXX35" s="30"/>
      <c r="TXY35" s="30"/>
      <c r="TXZ35" s="30"/>
      <c r="TYA35" s="30"/>
      <c r="TYB35" s="30"/>
      <c r="TYC35" s="30"/>
      <c r="TYD35" s="30"/>
      <c r="TYE35" s="30"/>
      <c r="TYF35" s="30"/>
      <c r="TYG35" s="30"/>
      <c r="TYH35" s="30"/>
      <c r="TYI35" s="30"/>
      <c r="TYJ35" s="30"/>
      <c r="TYK35" s="30"/>
      <c r="TYL35" s="30"/>
      <c r="TYM35" s="30"/>
      <c r="TYN35" s="30"/>
      <c r="TYO35" s="30"/>
      <c r="TYP35" s="30"/>
      <c r="TYQ35" s="30"/>
      <c r="TYR35" s="30"/>
      <c r="TYS35" s="30"/>
      <c r="TYT35" s="30"/>
      <c r="TYU35" s="30"/>
      <c r="TYV35" s="30"/>
      <c r="TYW35" s="30"/>
      <c r="TYX35" s="30"/>
      <c r="TYY35" s="30"/>
      <c r="TYZ35" s="30"/>
      <c r="TZA35" s="30"/>
      <c r="TZB35" s="30"/>
      <c r="TZC35" s="30"/>
      <c r="TZD35" s="30"/>
      <c r="TZE35" s="30"/>
      <c r="TZF35" s="30"/>
      <c r="TZG35" s="30"/>
      <c r="TZH35" s="30"/>
      <c r="TZI35" s="30"/>
      <c r="TZJ35" s="30"/>
      <c r="TZK35" s="30"/>
      <c r="TZL35" s="30"/>
      <c r="TZM35" s="30"/>
      <c r="TZN35" s="30"/>
      <c r="TZO35" s="30"/>
      <c r="TZP35" s="30"/>
      <c r="TZQ35" s="30"/>
      <c r="TZR35" s="30"/>
      <c r="TZS35" s="30"/>
      <c r="TZT35" s="30"/>
      <c r="TZU35" s="30"/>
      <c r="TZV35" s="30"/>
      <c r="TZW35" s="30"/>
      <c r="TZX35" s="30"/>
      <c r="TZY35" s="30"/>
      <c r="TZZ35" s="30"/>
      <c r="UAA35" s="30"/>
      <c r="UAB35" s="30"/>
      <c r="UAC35" s="30"/>
      <c r="UAD35" s="30"/>
      <c r="UAE35" s="30"/>
      <c r="UAF35" s="30"/>
      <c r="UAG35" s="30"/>
      <c r="UAH35" s="30"/>
      <c r="UAI35" s="30"/>
      <c r="UAJ35" s="30"/>
      <c r="UAK35" s="30"/>
      <c r="UAL35" s="30"/>
      <c r="UAM35" s="30"/>
      <c r="UAN35" s="30"/>
      <c r="UAO35" s="30"/>
      <c r="UAP35" s="30"/>
      <c r="UAQ35" s="30"/>
      <c r="UAR35" s="30"/>
      <c r="UAS35" s="30"/>
      <c r="UAT35" s="30"/>
      <c r="UAU35" s="30"/>
      <c r="UAV35" s="30"/>
      <c r="UAW35" s="30"/>
      <c r="UAX35" s="30"/>
      <c r="UAY35" s="30"/>
      <c r="UAZ35" s="30"/>
      <c r="UBA35" s="30"/>
      <c r="UBB35" s="30"/>
      <c r="UBC35" s="30"/>
      <c r="UBD35" s="30"/>
      <c r="UBE35" s="30"/>
      <c r="UBF35" s="30"/>
      <c r="UBG35" s="30"/>
      <c r="UBH35" s="30"/>
      <c r="UBI35" s="30"/>
      <c r="UBJ35" s="30"/>
      <c r="UBK35" s="30"/>
      <c r="UBL35" s="30"/>
      <c r="UBM35" s="30"/>
      <c r="UBN35" s="30"/>
      <c r="UBO35" s="30"/>
      <c r="UBP35" s="30"/>
      <c r="UBQ35" s="30"/>
      <c r="UBR35" s="30"/>
      <c r="UBS35" s="30"/>
      <c r="UBT35" s="30"/>
      <c r="UBU35" s="30"/>
      <c r="UBV35" s="30"/>
      <c r="UBW35" s="30"/>
      <c r="UBX35" s="30"/>
      <c r="UBY35" s="30"/>
      <c r="UBZ35" s="30"/>
      <c r="UCA35" s="30"/>
      <c r="UCB35" s="30"/>
      <c r="UCC35" s="30"/>
      <c r="UCD35" s="30"/>
      <c r="UCE35" s="30"/>
      <c r="UCF35" s="30"/>
      <c r="UCG35" s="30"/>
      <c r="UCH35" s="30"/>
      <c r="UCI35" s="30"/>
      <c r="UCJ35" s="30"/>
      <c r="UCK35" s="30"/>
      <c r="UCL35" s="30"/>
      <c r="UCM35" s="30"/>
      <c r="UCN35" s="30"/>
      <c r="UCO35" s="30"/>
      <c r="UCP35" s="30"/>
      <c r="UCQ35" s="30"/>
      <c r="UCR35" s="30"/>
      <c r="UCS35" s="30"/>
      <c r="UCT35" s="30"/>
      <c r="UCU35" s="30"/>
      <c r="UCV35" s="30"/>
      <c r="UCW35" s="30"/>
      <c r="UCX35" s="30"/>
      <c r="UCY35" s="30"/>
      <c r="UCZ35" s="30"/>
      <c r="UDA35" s="30"/>
      <c r="UDB35" s="30"/>
      <c r="UDC35" s="30"/>
      <c r="UDD35" s="30"/>
      <c r="UDE35" s="30"/>
      <c r="UDF35" s="30"/>
      <c r="UDG35" s="30"/>
      <c r="UDH35" s="30"/>
      <c r="UDI35" s="30"/>
      <c r="UDJ35" s="30"/>
      <c r="UDK35" s="30"/>
      <c r="UDL35" s="30"/>
      <c r="UDM35" s="30"/>
      <c r="UDN35" s="30"/>
      <c r="UDO35" s="30"/>
      <c r="UDP35" s="30"/>
      <c r="UDQ35" s="30"/>
      <c r="UDR35" s="30"/>
      <c r="UDS35" s="30"/>
      <c r="UDT35" s="30"/>
      <c r="UDU35" s="30"/>
      <c r="UDV35" s="30"/>
      <c r="UDW35" s="30"/>
      <c r="UDX35" s="30"/>
      <c r="UDY35" s="30"/>
      <c r="UDZ35" s="30"/>
      <c r="UEA35" s="30"/>
      <c r="UEB35" s="30"/>
      <c r="UEC35" s="30"/>
      <c r="UED35" s="30"/>
      <c r="UEE35" s="30"/>
      <c r="UEF35" s="30"/>
      <c r="UEG35" s="30"/>
      <c r="UEH35" s="30"/>
      <c r="UEI35" s="30"/>
      <c r="UEJ35" s="30"/>
      <c r="UEK35" s="30"/>
      <c r="UEL35" s="30"/>
      <c r="UEM35" s="30"/>
      <c r="UEN35" s="30"/>
      <c r="UEO35" s="30"/>
      <c r="UEP35" s="30"/>
      <c r="UEQ35" s="30"/>
      <c r="UER35" s="30"/>
      <c r="UES35" s="30"/>
      <c r="UET35" s="30"/>
      <c r="UEU35" s="30"/>
      <c r="UEV35" s="30"/>
      <c r="UEW35" s="30"/>
      <c r="UEX35" s="30"/>
      <c r="UEY35" s="30"/>
      <c r="UEZ35" s="30"/>
      <c r="UFA35" s="30"/>
      <c r="UFB35" s="30"/>
      <c r="UFC35" s="30"/>
      <c r="UFD35" s="30"/>
      <c r="UFE35" s="30"/>
      <c r="UFF35" s="30"/>
      <c r="UFG35" s="30"/>
      <c r="UFH35" s="30"/>
      <c r="UFI35" s="30"/>
      <c r="UFJ35" s="30"/>
      <c r="UFK35" s="30"/>
      <c r="UFL35" s="30"/>
      <c r="UFM35" s="30"/>
      <c r="UFN35" s="30"/>
      <c r="UFO35" s="30"/>
      <c r="UFP35" s="30"/>
      <c r="UFQ35" s="30"/>
      <c r="UFR35" s="30"/>
      <c r="UFS35" s="30"/>
      <c r="UFT35" s="30"/>
      <c r="UFU35" s="30"/>
      <c r="UFV35" s="30"/>
      <c r="UFW35" s="30"/>
      <c r="UFX35" s="30"/>
      <c r="UFY35" s="30"/>
      <c r="UFZ35" s="30"/>
      <c r="UGA35" s="30"/>
      <c r="UGB35" s="30"/>
      <c r="UGC35" s="30"/>
      <c r="UGD35" s="30"/>
      <c r="UGE35" s="30"/>
      <c r="UGF35" s="30"/>
      <c r="UGG35" s="30"/>
      <c r="UGH35" s="30"/>
      <c r="UGI35" s="30"/>
      <c r="UGJ35" s="30"/>
      <c r="UGK35" s="30"/>
      <c r="UGL35" s="30"/>
      <c r="UGM35" s="30"/>
      <c r="UGN35" s="30"/>
      <c r="UGO35" s="30"/>
      <c r="UGP35" s="30"/>
      <c r="UGQ35" s="30"/>
      <c r="UGR35" s="30"/>
      <c r="UGS35" s="30"/>
      <c r="UGT35" s="30"/>
      <c r="UGU35" s="30"/>
      <c r="UGV35" s="30"/>
      <c r="UGW35" s="30"/>
      <c r="UGX35" s="30"/>
      <c r="UGY35" s="30"/>
      <c r="UGZ35" s="30"/>
      <c r="UHA35" s="30"/>
      <c r="UHB35" s="30"/>
      <c r="UHC35" s="30"/>
      <c r="UHD35" s="30"/>
      <c r="UHE35" s="30"/>
      <c r="UHF35" s="30"/>
      <c r="UHG35" s="30"/>
      <c r="UHH35" s="30"/>
      <c r="UHI35" s="30"/>
      <c r="UHJ35" s="30"/>
      <c r="UHK35" s="30"/>
      <c r="UHL35" s="30"/>
      <c r="UHM35" s="30"/>
      <c r="UHN35" s="30"/>
      <c r="UHO35" s="30"/>
      <c r="UHP35" s="30"/>
      <c r="UHQ35" s="30"/>
      <c r="UHR35" s="30"/>
      <c r="UHS35" s="30"/>
      <c r="UHT35" s="30"/>
      <c r="UHU35" s="30"/>
      <c r="UHV35" s="30"/>
      <c r="UHW35" s="30"/>
      <c r="UHX35" s="30"/>
      <c r="UHY35" s="30"/>
      <c r="UHZ35" s="30"/>
      <c r="UIA35" s="30"/>
      <c r="UIB35" s="30"/>
      <c r="UIC35" s="30"/>
      <c r="UID35" s="30"/>
      <c r="UIE35" s="30"/>
      <c r="UIF35" s="30"/>
      <c r="UIG35" s="30"/>
      <c r="UIH35" s="30"/>
      <c r="UII35" s="30"/>
      <c r="UIJ35" s="30"/>
      <c r="UIK35" s="30"/>
      <c r="UIL35" s="30"/>
      <c r="UIM35" s="30"/>
      <c r="UIN35" s="30"/>
      <c r="UIO35" s="30"/>
      <c r="UIP35" s="30"/>
      <c r="UIQ35" s="30"/>
      <c r="UIR35" s="30"/>
      <c r="UIS35" s="30"/>
      <c r="UIT35" s="30"/>
      <c r="UIU35" s="30"/>
      <c r="UIV35" s="30"/>
      <c r="UIW35" s="30"/>
      <c r="UIX35" s="30"/>
      <c r="UIY35" s="30"/>
      <c r="UIZ35" s="30"/>
      <c r="UJA35" s="30"/>
      <c r="UJB35" s="30"/>
      <c r="UJC35" s="30"/>
      <c r="UJD35" s="30"/>
      <c r="UJE35" s="30"/>
      <c r="UJF35" s="30"/>
      <c r="UJG35" s="30"/>
      <c r="UJH35" s="30"/>
      <c r="UJI35" s="30"/>
      <c r="UJJ35" s="30"/>
      <c r="UJK35" s="30"/>
      <c r="UJL35" s="30"/>
      <c r="UJM35" s="30"/>
      <c r="UJN35" s="30"/>
      <c r="UJO35" s="30"/>
      <c r="UJP35" s="30"/>
      <c r="UJQ35" s="30"/>
      <c r="UJR35" s="30"/>
      <c r="UJS35" s="30"/>
      <c r="UJT35" s="30"/>
      <c r="UJU35" s="30"/>
      <c r="UJV35" s="30"/>
      <c r="UJW35" s="30"/>
      <c r="UJX35" s="30"/>
      <c r="UJY35" s="30"/>
      <c r="UJZ35" s="30"/>
      <c r="UKA35" s="30"/>
      <c r="UKB35" s="30"/>
      <c r="UKC35" s="30"/>
      <c r="UKD35" s="30"/>
      <c r="UKE35" s="30"/>
      <c r="UKF35" s="30"/>
      <c r="UKG35" s="30"/>
      <c r="UKH35" s="30"/>
      <c r="UKI35" s="30"/>
      <c r="UKJ35" s="30"/>
      <c r="UKK35" s="30"/>
      <c r="UKL35" s="30"/>
      <c r="UKM35" s="30"/>
      <c r="UKN35" s="30"/>
      <c r="UKO35" s="30"/>
      <c r="UKP35" s="30"/>
      <c r="UKQ35" s="30"/>
      <c r="UKR35" s="30"/>
      <c r="UKS35" s="30"/>
      <c r="UKT35" s="30"/>
      <c r="UKU35" s="30"/>
      <c r="UKV35" s="30"/>
      <c r="UKW35" s="30"/>
      <c r="UKX35" s="30"/>
      <c r="UKY35" s="30"/>
      <c r="UKZ35" s="30"/>
      <c r="ULA35" s="30"/>
      <c r="ULB35" s="30"/>
      <c r="ULC35" s="30"/>
      <c r="ULD35" s="30"/>
      <c r="ULE35" s="30"/>
      <c r="ULF35" s="30"/>
      <c r="ULG35" s="30"/>
      <c r="ULH35" s="30"/>
      <c r="ULI35" s="30"/>
      <c r="ULJ35" s="30"/>
      <c r="ULK35" s="30"/>
      <c r="ULL35" s="30"/>
      <c r="ULM35" s="30"/>
      <c r="ULN35" s="30"/>
      <c r="ULO35" s="30"/>
      <c r="ULP35" s="30"/>
      <c r="ULQ35" s="30"/>
      <c r="ULR35" s="30"/>
      <c r="ULS35" s="30"/>
      <c r="ULT35" s="30"/>
      <c r="ULU35" s="30"/>
      <c r="ULV35" s="30"/>
      <c r="ULW35" s="30"/>
      <c r="ULX35" s="30"/>
      <c r="ULY35" s="30"/>
      <c r="ULZ35" s="30"/>
      <c r="UMA35" s="30"/>
      <c r="UMB35" s="30"/>
      <c r="UMC35" s="30"/>
      <c r="UMD35" s="30"/>
      <c r="UME35" s="30"/>
      <c r="UMF35" s="30"/>
      <c r="UMG35" s="30"/>
      <c r="UMH35" s="30"/>
      <c r="UMI35" s="30"/>
      <c r="UMJ35" s="30"/>
      <c r="UMK35" s="30"/>
      <c r="UML35" s="30"/>
      <c r="UMM35" s="30"/>
      <c r="UMN35" s="30"/>
      <c r="UMO35" s="30"/>
      <c r="UMP35" s="30"/>
      <c r="UMQ35" s="30"/>
      <c r="UMR35" s="30"/>
      <c r="UMS35" s="30"/>
      <c r="UMT35" s="30"/>
      <c r="UMU35" s="30"/>
      <c r="UMV35" s="30"/>
      <c r="UMW35" s="30"/>
      <c r="UMX35" s="30"/>
      <c r="UMY35" s="30"/>
      <c r="UMZ35" s="30"/>
      <c r="UNA35" s="30"/>
      <c r="UNB35" s="30"/>
      <c r="UNC35" s="30"/>
      <c r="UND35" s="30"/>
      <c r="UNE35" s="30"/>
      <c r="UNF35" s="30"/>
      <c r="UNG35" s="30"/>
      <c r="UNH35" s="30"/>
      <c r="UNI35" s="30"/>
      <c r="UNJ35" s="30"/>
      <c r="UNK35" s="30"/>
      <c r="UNL35" s="30"/>
      <c r="UNM35" s="30"/>
      <c r="UNN35" s="30"/>
      <c r="UNO35" s="30"/>
      <c r="UNP35" s="30"/>
      <c r="UNQ35" s="30"/>
      <c r="UNR35" s="30"/>
      <c r="UNS35" s="30"/>
      <c r="UNT35" s="30"/>
      <c r="UNU35" s="30"/>
      <c r="UNV35" s="30"/>
      <c r="UNW35" s="30"/>
      <c r="UNX35" s="30"/>
      <c r="UNY35" s="30"/>
      <c r="UNZ35" s="30"/>
      <c r="UOA35" s="30"/>
      <c r="UOB35" s="30"/>
      <c r="UOC35" s="30"/>
      <c r="UOD35" s="30"/>
      <c r="UOE35" s="30"/>
      <c r="UOF35" s="30"/>
      <c r="UOG35" s="30"/>
      <c r="UOH35" s="30"/>
      <c r="UOI35" s="30"/>
      <c r="UOJ35" s="30"/>
      <c r="UOK35" s="30"/>
      <c r="UOL35" s="30"/>
      <c r="UOM35" s="30"/>
      <c r="UON35" s="30"/>
      <c r="UOO35" s="30"/>
      <c r="UOP35" s="30"/>
      <c r="UOQ35" s="30"/>
      <c r="UOR35" s="30"/>
      <c r="UOS35" s="30"/>
      <c r="UOT35" s="30"/>
      <c r="UOU35" s="30"/>
      <c r="UOV35" s="30"/>
      <c r="UOW35" s="30"/>
      <c r="UOX35" s="30"/>
      <c r="UOY35" s="30"/>
      <c r="UOZ35" s="30"/>
      <c r="UPA35" s="30"/>
      <c r="UPB35" s="30"/>
      <c r="UPC35" s="30"/>
      <c r="UPD35" s="30"/>
      <c r="UPE35" s="30"/>
      <c r="UPF35" s="30"/>
      <c r="UPG35" s="30"/>
      <c r="UPH35" s="30"/>
      <c r="UPI35" s="30"/>
      <c r="UPJ35" s="30"/>
      <c r="UPK35" s="30"/>
      <c r="UPL35" s="30"/>
      <c r="UPM35" s="30"/>
      <c r="UPN35" s="30"/>
      <c r="UPO35" s="30"/>
      <c r="UPP35" s="30"/>
      <c r="UPQ35" s="30"/>
      <c r="UPR35" s="30"/>
      <c r="UPS35" s="30"/>
      <c r="UPT35" s="30"/>
      <c r="UPU35" s="30"/>
      <c r="UPV35" s="30"/>
      <c r="UPW35" s="30"/>
      <c r="UPX35" s="30"/>
      <c r="UPY35" s="30"/>
      <c r="UPZ35" s="30"/>
      <c r="UQA35" s="30"/>
      <c r="UQB35" s="30"/>
      <c r="UQC35" s="30"/>
      <c r="UQD35" s="30"/>
      <c r="UQE35" s="30"/>
      <c r="UQF35" s="30"/>
      <c r="UQG35" s="30"/>
      <c r="UQH35" s="30"/>
      <c r="UQI35" s="30"/>
      <c r="UQJ35" s="30"/>
      <c r="UQK35" s="30"/>
      <c r="UQL35" s="30"/>
      <c r="UQM35" s="30"/>
      <c r="UQN35" s="30"/>
      <c r="UQO35" s="30"/>
      <c r="UQP35" s="30"/>
      <c r="UQQ35" s="30"/>
      <c r="UQR35" s="30"/>
      <c r="UQS35" s="30"/>
      <c r="UQT35" s="30"/>
      <c r="UQU35" s="30"/>
      <c r="UQV35" s="30"/>
      <c r="UQW35" s="30"/>
      <c r="UQX35" s="30"/>
      <c r="UQY35" s="30"/>
      <c r="UQZ35" s="30"/>
      <c r="URA35" s="30"/>
      <c r="URB35" s="30"/>
      <c r="URC35" s="30"/>
      <c r="URD35" s="30"/>
      <c r="URE35" s="30"/>
      <c r="URF35" s="30"/>
      <c r="URG35" s="30"/>
      <c r="URH35" s="30"/>
      <c r="URI35" s="30"/>
      <c r="URJ35" s="30"/>
      <c r="URK35" s="30"/>
      <c r="URL35" s="30"/>
      <c r="URM35" s="30"/>
      <c r="URN35" s="30"/>
      <c r="URO35" s="30"/>
      <c r="URP35" s="30"/>
      <c r="URQ35" s="30"/>
      <c r="URR35" s="30"/>
      <c r="URS35" s="30"/>
      <c r="URT35" s="30"/>
      <c r="URU35" s="30"/>
      <c r="URV35" s="30"/>
      <c r="URW35" s="30"/>
      <c r="URX35" s="30"/>
      <c r="URY35" s="30"/>
      <c r="URZ35" s="30"/>
      <c r="USA35" s="30"/>
      <c r="USB35" s="30"/>
      <c r="USC35" s="30"/>
      <c r="USD35" s="30"/>
      <c r="USE35" s="30"/>
      <c r="USF35" s="30"/>
      <c r="USG35" s="30"/>
      <c r="USH35" s="30"/>
      <c r="USI35" s="30"/>
      <c r="USJ35" s="30"/>
      <c r="USK35" s="30"/>
      <c r="USL35" s="30"/>
      <c r="USM35" s="30"/>
      <c r="USN35" s="30"/>
      <c r="USO35" s="30"/>
      <c r="USP35" s="30"/>
      <c r="USQ35" s="30"/>
      <c r="USR35" s="30"/>
      <c r="USS35" s="30"/>
      <c r="UST35" s="30"/>
      <c r="USU35" s="30"/>
      <c r="USV35" s="30"/>
      <c r="USW35" s="30"/>
      <c r="USX35" s="30"/>
      <c r="USY35" s="30"/>
      <c r="USZ35" s="30"/>
      <c r="UTA35" s="30"/>
      <c r="UTB35" s="30"/>
      <c r="UTC35" s="30"/>
      <c r="UTD35" s="30"/>
      <c r="UTE35" s="30"/>
      <c r="UTF35" s="30"/>
      <c r="UTG35" s="30"/>
      <c r="UTH35" s="30"/>
      <c r="UTI35" s="30"/>
      <c r="UTJ35" s="30"/>
      <c r="UTK35" s="30"/>
      <c r="UTL35" s="30"/>
      <c r="UTM35" s="30"/>
      <c r="UTN35" s="30"/>
      <c r="UTO35" s="30"/>
      <c r="UTP35" s="30"/>
      <c r="UTQ35" s="30"/>
      <c r="UTR35" s="30"/>
      <c r="UTS35" s="30"/>
      <c r="UTT35" s="30"/>
      <c r="UTU35" s="30"/>
      <c r="UTV35" s="30"/>
      <c r="UTW35" s="30"/>
      <c r="UTX35" s="30"/>
      <c r="UTY35" s="30"/>
      <c r="UTZ35" s="30"/>
      <c r="UUA35" s="30"/>
      <c r="UUB35" s="30"/>
      <c r="UUC35" s="30"/>
      <c r="UUD35" s="30"/>
      <c r="UUE35" s="30"/>
      <c r="UUF35" s="30"/>
      <c r="UUG35" s="30"/>
      <c r="UUH35" s="30"/>
      <c r="UUI35" s="30"/>
      <c r="UUJ35" s="30"/>
      <c r="UUK35" s="30"/>
      <c r="UUL35" s="30"/>
      <c r="UUM35" s="30"/>
      <c r="UUN35" s="30"/>
      <c r="UUO35" s="30"/>
      <c r="UUP35" s="30"/>
      <c r="UUQ35" s="30"/>
      <c r="UUR35" s="30"/>
      <c r="UUS35" s="30"/>
      <c r="UUT35" s="30"/>
      <c r="UUU35" s="30"/>
      <c r="UUV35" s="30"/>
      <c r="UUW35" s="30"/>
      <c r="UUX35" s="30"/>
      <c r="UUY35" s="30"/>
      <c r="UUZ35" s="30"/>
      <c r="UVA35" s="30"/>
      <c r="UVB35" s="30"/>
      <c r="UVC35" s="30"/>
      <c r="UVD35" s="30"/>
      <c r="UVE35" s="30"/>
      <c r="UVF35" s="30"/>
      <c r="UVG35" s="30"/>
      <c r="UVH35" s="30"/>
      <c r="UVI35" s="30"/>
      <c r="UVJ35" s="30"/>
      <c r="UVK35" s="30"/>
      <c r="UVL35" s="30"/>
      <c r="UVM35" s="30"/>
      <c r="UVN35" s="30"/>
      <c r="UVO35" s="30"/>
      <c r="UVP35" s="30"/>
      <c r="UVQ35" s="30"/>
      <c r="UVR35" s="30"/>
      <c r="UVS35" s="30"/>
      <c r="UVT35" s="30"/>
      <c r="UVU35" s="30"/>
      <c r="UVV35" s="30"/>
      <c r="UVW35" s="30"/>
      <c r="UVX35" s="30"/>
      <c r="UVY35" s="30"/>
      <c r="UVZ35" s="30"/>
      <c r="UWA35" s="30"/>
      <c r="UWB35" s="30"/>
      <c r="UWC35" s="30"/>
      <c r="UWD35" s="30"/>
      <c r="UWE35" s="30"/>
      <c r="UWF35" s="30"/>
      <c r="UWG35" s="30"/>
      <c r="UWH35" s="30"/>
      <c r="UWI35" s="30"/>
      <c r="UWJ35" s="30"/>
      <c r="UWK35" s="30"/>
      <c r="UWL35" s="30"/>
      <c r="UWM35" s="30"/>
      <c r="UWN35" s="30"/>
      <c r="UWO35" s="30"/>
      <c r="UWP35" s="30"/>
      <c r="UWQ35" s="30"/>
      <c r="UWR35" s="30"/>
      <c r="UWS35" s="30"/>
      <c r="UWT35" s="30"/>
      <c r="UWU35" s="30"/>
      <c r="UWV35" s="30"/>
      <c r="UWW35" s="30"/>
      <c r="UWX35" s="30"/>
      <c r="UWY35" s="30"/>
      <c r="UWZ35" s="30"/>
      <c r="UXA35" s="30"/>
      <c r="UXB35" s="30"/>
      <c r="UXC35" s="30"/>
      <c r="UXD35" s="30"/>
      <c r="UXE35" s="30"/>
      <c r="UXF35" s="30"/>
      <c r="UXG35" s="30"/>
      <c r="UXH35" s="30"/>
      <c r="UXI35" s="30"/>
      <c r="UXJ35" s="30"/>
      <c r="UXK35" s="30"/>
      <c r="UXL35" s="30"/>
      <c r="UXM35" s="30"/>
      <c r="UXN35" s="30"/>
      <c r="UXO35" s="30"/>
      <c r="UXP35" s="30"/>
      <c r="UXQ35" s="30"/>
      <c r="UXR35" s="30"/>
      <c r="UXS35" s="30"/>
      <c r="UXT35" s="30"/>
      <c r="UXU35" s="30"/>
      <c r="UXV35" s="30"/>
      <c r="UXW35" s="30"/>
      <c r="UXX35" s="30"/>
      <c r="UXY35" s="30"/>
      <c r="UXZ35" s="30"/>
      <c r="UYA35" s="30"/>
      <c r="UYB35" s="30"/>
      <c r="UYC35" s="30"/>
      <c r="UYD35" s="30"/>
      <c r="UYE35" s="30"/>
      <c r="UYF35" s="30"/>
      <c r="UYG35" s="30"/>
      <c r="UYH35" s="30"/>
      <c r="UYI35" s="30"/>
      <c r="UYJ35" s="30"/>
      <c r="UYK35" s="30"/>
      <c r="UYL35" s="30"/>
      <c r="UYM35" s="30"/>
      <c r="UYN35" s="30"/>
      <c r="UYO35" s="30"/>
      <c r="UYP35" s="30"/>
      <c r="UYQ35" s="30"/>
      <c r="UYR35" s="30"/>
      <c r="UYS35" s="30"/>
      <c r="UYT35" s="30"/>
      <c r="UYU35" s="30"/>
      <c r="UYV35" s="30"/>
      <c r="UYW35" s="30"/>
      <c r="UYX35" s="30"/>
      <c r="UYY35" s="30"/>
      <c r="UYZ35" s="30"/>
      <c r="UZA35" s="30"/>
      <c r="UZB35" s="30"/>
      <c r="UZC35" s="30"/>
      <c r="UZD35" s="30"/>
      <c r="UZE35" s="30"/>
      <c r="UZF35" s="30"/>
      <c r="UZG35" s="30"/>
      <c r="UZH35" s="30"/>
      <c r="UZI35" s="30"/>
      <c r="UZJ35" s="30"/>
      <c r="UZK35" s="30"/>
      <c r="UZL35" s="30"/>
      <c r="UZM35" s="30"/>
      <c r="UZN35" s="30"/>
      <c r="UZO35" s="30"/>
      <c r="UZP35" s="30"/>
      <c r="UZQ35" s="30"/>
      <c r="UZR35" s="30"/>
      <c r="UZS35" s="30"/>
      <c r="UZT35" s="30"/>
      <c r="UZU35" s="30"/>
      <c r="UZV35" s="30"/>
      <c r="UZW35" s="30"/>
      <c r="UZX35" s="30"/>
      <c r="UZY35" s="30"/>
      <c r="UZZ35" s="30"/>
      <c r="VAA35" s="30"/>
      <c r="VAB35" s="30"/>
      <c r="VAC35" s="30"/>
      <c r="VAD35" s="30"/>
      <c r="VAE35" s="30"/>
      <c r="VAF35" s="30"/>
      <c r="VAG35" s="30"/>
      <c r="VAH35" s="30"/>
      <c r="VAI35" s="30"/>
      <c r="VAJ35" s="30"/>
      <c r="VAK35" s="30"/>
      <c r="VAL35" s="30"/>
      <c r="VAM35" s="30"/>
      <c r="VAN35" s="30"/>
      <c r="VAO35" s="30"/>
      <c r="VAP35" s="30"/>
      <c r="VAQ35" s="30"/>
      <c r="VAR35" s="30"/>
      <c r="VAS35" s="30"/>
      <c r="VAT35" s="30"/>
      <c r="VAU35" s="30"/>
      <c r="VAV35" s="30"/>
      <c r="VAW35" s="30"/>
      <c r="VAX35" s="30"/>
      <c r="VAY35" s="30"/>
      <c r="VAZ35" s="30"/>
      <c r="VBA35" s="30"/>
      <c r="VBB35" s="30"/>
      <c r="VBC35" s="30"/>
      <c r="VBD35" s="30"/>
      <c r="VBE35" s="30"/>
      <c r="VBF35" s="30"/>
      <c r="VBG35" s="30"/>
      <c r="VBH35" s="30"/>
      <c r="VBI35" s="30"/>
      <c r="VBJ35" s="30"/>
      <c r="VBK35" s="30"/>
      <c r="VBL35" s="30"/>
      <c r="VBM35" s="30"/>
      <c r="VBN35" s="30"/>
      <c r="VBO35" s="30"/>
      <c r="VBP35" s="30"/>
      <c r="VBQ35" s="30"/>
      <c r="VBR35" s="30"/>
      <c r="VBS35" s="30"/>
      <c r="VBT35" s="30"/>
      <c r="VBU35" s="30"/>
      <c r="VBV35" s="30"/>
      <c r="VBW35" s="30"/>
      <c r="VBX35" s="30"/>
      <c r="VBY35" s="30"/>
      <c r="VBZ35" s="30"/>
      <c r="VCA35" s="30"/>
      <c r="VCB35" s="30"/>
      <c r="VCC35" s="30"/>
      <c r="VCD35" s="30"/>
      <c r="VCE35" s="30"/>
      <c r="VCF35" s="30"/>
      <c r="VCG35" s="30"/>
      <c r="VCH35" s="30"/>
      <c r="VCI35" s="30"/>
      <c r="VCJ35" s="30"/>
      <c r="VCK35" s="30"/>
      <c r="VCL35" s="30"/>
      <c r="VCM35" s="30"/>
      <c r="VCN35" s="30"/>
      <c r="VCO35" s="30"/>
      <c r="VCP35" s="30"/>
      <c r="VCQ35" s="30"/>
      <c r="VCR35" s="30"/>
      <c r="VCS35" s="30"/>
      <c r="VCT35" s="30"/>
      <c r="VCU35" s="30"/>
      <c r="VCV35" s="30"/>
      <c r="VCW35" s="30"/>
      <c r="VCX35" s="30"/>
      <c r="VCY35" s="30"/>
      <c r="VCZ35" s="30"/>
      <c r="VDA35" s="30"/>
      <c r="VDB35" s="30"/>
      <c r="VDC35" s="30"/>
      <c r="VDD35" s="30"/>
      <c r="VDE35" s="30"/>
      <c r="VDF35" s="30"/>
      <c r="VDG35" s="30"/>
      <c r="VDH35" s="30"/>
      <c r="VDI35" s="30"/>
      <c r="VDJ35" s="30"/>
      <c r="VDK35" s="30"/>
      <c r="VDL35" s="30"/>
      <c r="VDM35" s="30"/>
      <c r="VDN35" s="30"/>
      <c r="VDO35" s="30"/>
      <c r="VDP35" s="30"/>
      <c r="VDQ35" s="30"/>
      <c r="VDR35" s="30"/>
      <c r="VDS35" s="30"/>
      <c r="VDT35" s="30"/>
      <c r="VDU35" s="30"/>
      <c r="VDV35" s="30"/>
      <c r="VDW35" s="30"/>
      <c r="VDX35" s="30"/>
      <c r="VDY35" s="30"/>
      <c r="VDZ35" s="30"/>
      <c r="VEA35" s="30"/>
      <c r="VEB35" s="30"/>
      <c r="VEC35" s="30"/>
      <c r="VED35" s="30"/>
      <c r="VEE35" s="30"/>
      <c r="VEF35" s="30"/>
      <c r="VEG35" s="30"/>
      <c r="VEH35" s="30"/>
      <c r="VEI35" s="30"/>
      <c r="VEJ35" s="30"/>
      <c r="VEK35" s="30"/>
      <c r="VEL35" s="30"/>
      <c r="VEM35" s="30"/>
      <c r="VEN35" s="30"/>
      <c r="VEO35" s="30"/>
      <c r="VEP35" s="30"/>
      <c r="VEQ35" s="30"/>
      <c r="VER35" s="30"/>
      <c r="VES35" s="30"/>
      <c r="VET35" s="30"/>
      <c r="VEU35" s="30"/>
      <c r="VEV35" s="30"/>
      <c r="VEW35" s="30"/>
      <c r="VEX35" s="30"/>
      <c r="VEY35" s="30"/>
      <c r="VEZ35" s="30"/>
      <c r="VFA35" s="30"/>
      <c r="VFB35" s="30"/>
      <c r="VFC35" s="30"/>
      <c r="VFD35" s="30"/>
      <c r="VFE35" s="30"/>
      <c r="VFF35" s="30"/>
      <c r="VFG35" s="30"/>
      <c r="VFH35" s="30"/>
      <c r="VFI35" s="30"/>
      <c r="VFJ35" s="30"/>
      <c r="VFK35" s="30"/>
      <c r="VFL35" s="30"/>
      <c r="VFM35" s="30"/>
      <c r="VFN35" s="30"/>
      <c r="VFO35" s="30"/>
      <c r="VFP35" s="30"/>
      <c r="VFQ35" s="30"/>
      <c r="VFR35" s="30"/>
      <c r="VFS35" s="30"/>
      <c r="VFT35" s="30"/>
      <c r="VFU35" s="30"/>
      <c r="VFV35" s="30"/>
      <c r="VFW35" s="30"/>
      <c r="VFX35" s="30"/>
      <c r="VFY35" s="30"/>
      <c r="VFZ35" s="30"/>
      <c r="VGA35" s="30"/>
      <c r="VGB35" s="30"/>
      <c r="VGC35" s="30"/>
      <c r="VGD35" s="30"/>
      <c r="VGE35" s="30"/>
      <c r="VGF35" s="30"/>
      <c r="VGG35" s="30"/>
      <c r="VGH35" s="30"/>
      <c r="VGI35" s="30"/>
      <c r="VGJ35" s="30"/>
      <c r="VGK35" s="30"/>
      <c r="VGL35" s="30"/>
      <c r="VGM35" s="30"/>
      <c r="VGN35" s="30"/>
      <c r="VGO35" s="30"/>
      <c r="VGP35" s="30"/>
      <c r="VGQ35" s="30"/>
      <c r="VGR35" s="30"/>
      <c r="VGS35" s="30"/>
      <c r="VGT35" s="30"/>
      <c r="VGU35" s="30"/>
      <c r="VGV35" s="30"/>
      <c r="VGW35" s="30"/>
      <c r="VGX35" s="30"/>
      <c r="VGY35" s="30"/>
      <c r="VGZ35" s="30"/>
      <c r="VHA35" s="30"/>
      <c r="VHB35" s="30"/>
      <c r="VHC35" s="30"/>
      <c r="VHD35" s="30"/>
      <c r="VHE35" s="30"/>
      <c r="VHF35" s="30"/>
      <c r="VHG35" s="30"/>
      <c r="VHH35" s="30"/>
      <c r="VHI35" s="30"/>
      <c r="VHJ35" s="30"/>
      <c r="VHK35" s="30"/>
      <c r="VHL35" s="30"/>
      <c r="VHM35" s="30"/>
      <c r="VHN35" s="30"/>
      <c r="VHO35" s="30"/>
      <c r="VHP35" s="30"/>
      <c r="VHQ35" s="30"/>
      <c r="VHR35" s="30"/>
      <c r="VHS35" s="30"/>
      <c r="VHT35" s="30"/>
      <c r="VHU35" s="30"/>
      <c r="VHV35" s="30"/>
      <c r="VHW35" s="30"/>
      <c r="VHX35" s="30"/>
      <c r="VHY35" s="30"/>
      <c r="VHZ35" s="30"/>
      <c r="VIA35" s="30"/>
      <c r="VIB35" s="30"/>
      <c r="VIC35" s="30"/>
      <c r="VID35" s="30"/>
      <c r="VIE35" s="30"/>
      <c r="VIF35" s="30"/>
      <c r="VIG35" s="30"/>
      <c r="VIH35" s="30"/>
      <c r="VII35" s="30"/>
      <c r="VIJ35" s="30"/>
      <c r="VIK35" s="30"/>
      <c r="VIL35" s="30"/>
      <c r="VIM35" s="30"/>
      <c r="VIN35" s="30"/>
      <c r="VIO35" s="30"/>
      <c r="VIP35" s="30"/>
      <c r="VIQ35" s="30"/>
      <c r="VIR35" s="30"/>
      <c r="VIS35" s="30"/>
      <c r="VIT35" s="30"/>
      <c r="VIU35" s="30"/>
      <c r="VIV35" s="30"/>
      <c r="VIW35" s="30"/>
      <c r="VIX35" s="30"/>
      <c r="VIY35" s="30"/>
      <c r="VIZ35" s="30"/>
      <c r="VJA35" s="30"/>
      <c r="VJB35" s="30"/>
      <c r="VJC35" s="30"/>
      <c r="VJD35" s="30"/>
      <c r="VJE35" s="30"/>
      <c r="VJF35" s="30"/>
      <c r="VJG35" s="30"/>
      <c r="VJH35" s="30"/>
      <c r="VJI35" s="30"/>
      <c r="VJJ35" s="30"/>
      <c r="VJK35" s="30"/>
      <c r="VJL35" s="30"/>
      <c r="VJM35" s="30"/>
      <c r="VJN35" s="30"/>
      <c r="VJO35" s="30"/>
      <c r="VJP35" s="30"/>
      <c r="VJQ35" s="30"/>
      <c r="VJR35" s="30"/>
      <c r="VJS35" s="30"/>
      <c r="VJT35" s="30"/>
      <c r="VJU35" s="30"/>
      <c r="VJV35" s="30"/>
      <c r="VJW35" s="30"/>
      <c r="VJX35" s="30"/>
      <c r="VJY35" s="30"/>
      <c r="VJZ35" s="30"/>
      <c r="VKA35" s="30"/>
      <c r="VKB35" s="30"/>
      <c r="VKC35" s="30"/>
      <c r="VKD35" s="30"/>
      <c r="VKE35" s="30"/>
      <c r="VKF35" s="30"/>
      <c r="VKG35" s="30"/>
      <c r="VKH35" s="30"/>
      <c r="VKI35" s="30"/>
      <c r="VKJ35" s="30"/>
      <c r="VKK35" s="30"/>
      <c r="VKL35" s="30"/>
      <c r="VKM35" s="30"/>
      <c r="VKN35" s="30"/>
      <c r="VKO35" s="30"/>
      <c r="VKP35" s="30"/>
      <c r="VKQ35" s="30"/>
      <c r="VKR35" s="30"/>
      <c r="VKS35" s="30"/>
      <c r="VKT35" s="30"/>
      <c r="VKU35" s="30"/>
      <c r="VKV35" s="30"/>
      <c r="VKW35" s="30"/>
      <c r="VKX35" s="30"/>
      <c r="VKY35" s="30"/>
      <c r="VKZ35" s="30"/>
      <c r="VLA35" s="30"/>
      <c r="VLB35" s="30"/>
      <c r="VLC35" s="30"/>
      <c r="VLD35" s="30"/>
      <c r="VLE35" s="30"/>
      <c r="VLF35" s="30"/>
      <c r="VLG35" s="30"/>
      <c r="VLH35" s="30"/>
      <c r="VLI35" s="30"/>
      <c r="VLJ35" s="30"/>
      <c r="VLK35" s="30"/>
      <c r="VLL35" s="30"/>
      <c r="VLM35" s="30"/>
      <c r="VLN35" s="30"/>
      <c r="VLO35" s="30"/>
      <c r="VLP35" s="30"/>
      <c r="VLQ35" s="30"/>
      <c r="VLR35" s="30"/>
      <c r="VLS35" s="30"/>
      <c r="VLT35" s="30"/>
      <c r="VLU35" s="30"/>
      <c r="VLV35" s="30"/>
      <c r="VLW35" s="30"/>
      <c r="VLX35" s="30"/>
      <c r="VLY35" s="30"/>
      <c r="VLZ35" s="30"/>
      <c r="VMA35" s="30"/>
      <c r="VMB35" s="30"/>
      <c r="VMC35" s="30"/>
      <c r="VMD35" s="30"/>
      <c r="VME35" s="30"/>
      <c r="VMF35" s="30"/>
      <c r="VMG35" s="30"/>
      <c r="VMH35" s="30"/>
      <c r="VMI35" s="30"/>
      <c r="VMJ35" s="30"/>
      <c r="VMK35" s="30"/>
      <c r="VML35" s="30"/>
      <c r="VMM35" s="30"/>
      <c r="VMN35" s="30"/>
      <c r="VMO35" s="30"/>
      <c r="VMP35" s="30"/>
      <c r="VMQ35" s="30"/>
      <c r="VMR35" s="30"/>
      <c r="VMS35" s="30"/>
      <c r="VMT35" s="30"/>
      <c r="VMU35" s="30"/>
      <c r="VMV35" s="30"/>
      <c r="VMW35" s="30"/>
      <c r="VMX35" s="30"/>
      <c r="VMY35" s="30"/>
      <c r="VMZ35" s="30"/>
      <c r="VNA35" s="30"/>
      <c r="VNB35" s="30"/>
      <c r="VNC35" s="30"/>
      <c r="VND35" s="30"/>
      <c r="VNE35" s="30"/>
      <c r="VNF35" s="30"/>
      <c r="VNG35" s="30"/>
      <c r="VNH35" s="30"/>
      <c r="VNI35" s="30"/>
      <c r="VNJ35" s="30"/>
      <c r="VNK35" s="30"/>
      <c r="VNL35" s="30"/>
      <c r="VNM35" s="30"/>
      <c r="VNN35" s="30"/>
      <c r="VNO35" s="30"/>
      <c r="VNP35" s="30"/>
      <c r="VNQ35" s="30"/>
      <c r="VNR35" s="30"/>
      <c r="VNS35" s="30"/>
      <c r="VNT35" s="30"/>
      <c r="VNU35" s="30"/>
      <c r="VNV35" s="30"/>
      <c r="VNW35" s="30"/>
      <c r="VNX35" s="30"/>
      <c r="VNY35" s="30"/>
      <c r="VNZ35" s="30"/>
      <c r="VOA35" s="30"/>
      <c r="VOB35" s="30"/>
      <c r="VOC35" s="30"/>
      <c r="VOD35" s="30"/>
      <c r="VOE35" s="30"/>
      <c r="VOF35" s="30"/>
      <c r="VOG35" s="30"/>
      <c r="VOH35" s="30"/>
      <c r="VOI35" s="30"/>
      <c r="VOJ35" s="30"/>
      <c r="VOK35" s="30"/>
      <c r="VOL35" s="30"/>
      <c r="VOM35" s="30"/>
      <c r="VON35" s="30"/>
      <c r="VOO35" s="30"/>
      <c r="VOP35" s="30"/>
      <c r="VOQ35" s="30"/>
      <c r="VOR35" s="30"/>
      <c r="VOS35" s="30"/>
      <c r="VOT35" s="30"/>
      <c r="VOU35" s="30"/>
      <c r="VOV35" s="30"/>
      <c r="VOW35" s="30"/>
      <c r="VOX35" s="30"/>
      <c r="VOY35" s="30"/>
      <c r="VOZ35" s="30"/>
      <c r="VPA35" s="30"/>
      <c r="VPB35" s="30"/>
      <c r="VPC35" s="30"/>
      <c r="VPD35" s="30"/>
      <c r="VPE35" s="30"/>
      <c r="VPF35" s="30"/>
      <c r="VPG35" s="30"/>
      <c r="VPH35" s="30"/>
      <c r="VPI35" s="30"/>
      <c r="VPJ35" s="30"/>
      <c r="VPK35" s="30"/>
      <c r="VPL35" s="30"/>
      <c r="VPM35" s="30"/>
      <c r="VPN35" s="30"/>
      <c r="VPO35" s="30"/>
      <c r="VPP35" s="30"/>
      <c r="VPQ35" s="30"/>
      <c r="VPR35" s="30"/>
      <c r="VPS35" s="30"/>
      <c r="VPT35" s="30"/>
      <c r="VPU35" s="30"/>
      <c r="VPV35" s="30"/>
      <c r="VPW35" s="30"/>
      <c r="VPX35" s="30"/>
      <c r="VPY35" s="30"/>
      <c r="VPZ35" s="30"/>
      <c r="VQA35" s="30"/>
      <c r="VQB35" s="30"/>
      <c r="VQC35" s="30"/>
      <c r="VQD35" s="30"/>
      <c r="VQE35" s="30"/>
      <c r="VQF35" s="30"/>
      <c r="VQG35" s="30"/>
      <c r="VQH35" s="30"/>
      <c r="VQI35" s="30"/>
      <c r="VQJ35" s="30"/>
      <c r="VQK35" s="30"/>
      <c r="VQL35" s="30"/>
      <c r="VQM35" s="30"/>
      <c r="VQN35" s="30"/>
      <c r="VQO35" s="30"/>
      <c r="VQP35" s="30"/>
      <c r="VQQ35" s="30"/>
      <c r="VQR35" s="30"/>
      <c r="VQS35" s="30"/>
      <c r="VQT35" s="30"/>
      <c r="VQU35" s="30"/>
      <c r="VQV35" s="30"/>
      <c r="VQW35" s="30"/>
      <c r="VQX35" s="30"/>
      <c r="VQY35" s="30"/>
      <c r="VQZ35" s="30"/>
      <c r="VRA35" s="30"/>
      <c r="VRB35" s="30"/>
      <c r="VRC35" s="30"/>
      <c r="VRD35" s="30"/>
      <c r="VRE35" s="30"/>
      <c r="VRF35" s="30"/>
      <c r="VRG35" s="30"/>
      <c r="VRH35" s="30"/>
      <c r="VRI35" s="30"/>
      <c r="VRJ35" s="30"/>
      <c r="VRK35" s="30"/>
      <c r="VRL35" s="30"/>
      <c r="VRM35" s="30"/>
      <c r="VRN35" s="30"/>
      <c r="VRO35" s="30"/>
      <c r="VRP35" s="30"/>
      <c r="VRQ35" s="30"/>
      <c r="VRR35" s="30"/>
      <c r="VRS35" s="30"/>
      <c r="VRT35" s="30"/>
      <c r="VRU35" s="30"/>
      <c r="VRV35" s="30"/>
      <c r="VRW35" s="30"/>
      <c r="VRX35" s="30"/>
      <c r="VRY35" s="30"/>
      <c r="VRZ35" s="30"/>
      <c r="VSA35" s="30"/>
      <c r="VSB35" s="30"/>
      <c r="VSC35" s="30"/>
      <c r="VSD35" s="30"/>
      <c r="VSE35" s="30"/>
      <c r="VSF35" s="30"/>
      <c r="VSG35" s="30"/>
      <c r="VSH35" s="30"/>
      <c r="VSI35" s="30"/>
      <c r="VSJ35" s="30"/>
      <c r="VSK35" s="30"/>
      <c r="VSL35" s="30"/>
      <c r="VSM35" s="30"/>
      <c r="VSN35" s="30"/>
      <c r="VSO35" s="30"/>
      <c r="VSP35" s="30"/>
      <c r="VSQ35" s="30"/>
      <c r="VSR35" s="30"/>
      <c r="VSS35" s="30"/>
      <c r="VST35" s="30"/>
      <c r="VSU35" s="30"/>
      <c r="VSV35" s="30"/>
      <c r="VSW35" s="30"/>
      <c r="VSX35" s="30"/>
      <c r="VSY35" s="30"/>
      <c r="VSZ35" s="30"/>
      <c r="VTA35" s="30"/>
      <c r="VTB35" s="30"/>
      <c r="VTC35" s="30"/>
      <c r="VTD35" s="30"/>
      <c r="VTE35" s="30"/>
      <c r="VTF35" s="30"/>
      <c r="VTG35" s="30"/>
      <c r="VTH35" s="30"/>
      <c r="VTI35" s="30"/>
      <c r="VTJ35" s="30"/>
      <c r="VTK35" s="30"/>
      <c r="VTL35" s="30"/>
      <c r="VTM35" s="30"/>
      <c r="VTN35" s="30"/>
      <c r="VTO35" s="30"/>
      <c r="VTP35" s="30"/>
      <c r="VTQ35" s="30"/>
      <c r="VTR35" s="30"/>
      <c r="VTS35" s="30"/>
      <c r="VTT35" s="30"/>
      <c r="VTU35" s="30"/>
      <c r="VTV35" s="30"/>
      <c r="VTW35" s="30"/>
      <c r="VTX35" s="30"/>
      <c r="VTY35" s="30"/>
      <c r="VTZ35" s="30"/>
      <c r="VUA35" s="30"/>
      <c r="VUB35" s="30"/>
      <c r="VUC35" s="30"/>
      <c r="VUD35" s="30"/>
      <c r="VUE35" s="30"/>
      <c r="VUF35" s="30"/>
      <c r="VUG35" s="30"/>
      <c r="VUH35" s="30"/>
      <c r="VUI35" s="30"/>
      <c r="VUJ35" s="30"/>
      <c r="VUK35" s="30"/>
      <c r="VUL35" s="30"/>
      <c r="VUM35" s="30"/>
      <c r="VUN35" s="30"/>
      <c r="VUO35" s="30"/>
      <c r="VUP35" s="30"/>
      <c r="VUQ35" s="30"/>
      <c r="VUR35" s="30"/>
      <c r="VUS35" s="30"/>
      <c r="VUT35" s="30"/>
      <c r="VUU35" s="30"/>
      <c r="VUV35" s="30"/>
      <c r="VUW35" s="30"/>
      <c r="VUX35" s="30"/>
      <c r="VUY35" s="30"/>
      <c r="VUZ35" s="30"/>
      <c r="VVA35" s="30"/>
      <c r="VVB35" s="30"/>
      <c r="VVC35" s="30"/>
      <c r="VVD35" s="30"/>
      <c r="VVE35" s="30"/>
      <c r="VVF35" s="30"/>
      <c r="VVG35" s="30"/>
      <c r="VVH35" s="30"/>
      <c r="VVI35" s="30"/>
      <c r="VVJ35" s="30"/>
      <c r="VVK35" s="30"/>
      <c r="VVL35" s="30"/>
      <c r="VVM35" s="30"/>
      <c r="VVN35" s="30"/>
      <c r="VVO35" s="30"/>
      <c r="VVP35" s="30"/>
      <c r="VVQ35" s="30"/>
      <c r="VVR35" s="30"/>
      <c r="VVS35" s="30"/>
      <c r="VVT35" s="30"/>
      <c r="VVU35" s="30"/>
      <c r="VVV35" s="30"/>
      <c r="VVW35" s="30"/>
      <c r="VVX35" s="30"/>
      <c r="VVY35" s="30"/>
      <c r="VVZ35" s="30"/>
      <c r="VWA35" s="30"/>
      <c r="VWB35" s="30"/>
      <c r="VWC35" s="30"/>
      <c r="VWD35" s="30"/>
      <c r="VWE35" s="30"/>
      <c r="VWF35" s="30"/>
      <c r="VWG35" s="30"/>
      <c r="VWH35" s="30"/>
      <c r="VWI35" s="30"/>
      <c r="VWJ35" s="30"/>
      <c r="VWK35" s="30"/>
      <c r="VWL35" s="30"/>
      <c r="VWM35" s="30"/>
      <c r="VWN35" s="30"/>
      <c r="VWO35" s="30"/>
      <c r="VWP35" s="30"/>
      <c r="VWQ35" s="30"/>
      <c r="VWR35" s="30"/>
      <c r="VWS35" s="30"/>
      <c r="VWT35" s="30"/>
      <c r="VWU35" s="30"/>
      <c r="VWV35" s="30"/>
      <c r="VWW35" s="30"/>
      <c r="VWX35" s="30"/>
      <c r="VWY35" s="30"/>
      <c r="VWZ35" s="30"/>
      <c r="VXA35" s="30"/>
      <c r="VXB35" s="30"/>
      <c r="VXC35" s="30"/>
      <c r="VXD35" s="30"/>
      <c r="VXE35" s="30"/>
      <c r="VXF35" s="30"/>
      <c r="VXG35" s="30"/>
      <c r="VXH35" s="30"/>
      <c r="VXI35" s="30"/>
      <c r="VXJ35" s="30"/>
      <c r="VXK35" s="30"/>
      <c r="VXL35" s="30"/>
      <c r="VXM35" s="30"/>
      <c r="VXN35" s="30"/>
      <c r="VXO35" s="30"/>
      <c r="VXP35" s="30"/>
      <c r="VXQ35" s="30"/>
      <c r="VXR35" s="30"/>
      <c r="VXS35" s="30"/>
      <c r="VXT35" s="30"/>
      <c r="VXU35" s="30"/>
      <c r="VXV35" s="30"/>
      <c r="VXW35" s="30"/>
      <c r="VXX35" s="30"/>
      <c r="VXY35" s="30"/>
      <c r="VXZ35" s="30"/>
      <c r="VYA35" s="30"/>
      <c r="VYB35" s="30"/>
      <c r="VYC35" s="30"/>
      <c r="VYD35" s="30"/>
      <c r="VYE35" s="30"/>
      <c r="VYF35" s="30"/>
      <c r="VYG35" s="30"/>
      <c r="VYH35" s="30"/>
      <c r="VYI35" s="30"/>
      <c r="VYJ35" s="30"/>
      <c r="VYK35" s="30"/>
      <c r="VYL35" s="30"/>
      <c r="VYM35" s="30"/>
      <c r="VYN35" s="30"/>
      <c r="VYO35" s="30"/>
      <c r="VYP35" s="30"/>
      <c r="VYQ35" s="30"/>
      <c r="VYR35" s="30"/>
      <c r="VYS35" s="30"/>
      <c r="VYT35" s="30"/>
      <c r="VYU35" s="30"/>
      <c r="VYV35" s="30"/>
      <c r="VYW35" s="30"/>
      <c r="VYX35" s="30"/>
      <c r="VYY35" s="30"/>
      <c r="VYZ35" s="30"/>
      <c r="VZA35" s="30"/>
      <c r="VZB35" s="30"/>
      <c r="VZC35" s="30"/>
      <c r="VZD35" s="30"/>
      <c r="VZE35" s="30"/>
      <c r="VZF35" s="30"/>
      <c r="VZG35" s="30"/>
      <c r="VZH35" s="30"/>
      <c r="VZI35" s="30"/>
      <c r="VZJ35" s="30"/>
      <c r="VZK35" s="30"/>
      <c r="VZL35" s="30"/>
      <c r="VZM35" s="30"/>
      <c r="VZN35" s="30"/>
      <c r="VZO35" s="30"/>
      <c r="VZP35" s="30"/>
      <c r="VZQ35" s="30"/>
      <c r="VZR35" s="30"/>
      <c r="VZS35" s="30"/>
      <c r="VZT35" s="30"/>
      <c r="VZU35" s="30"/>
      <c r="VZV35" s="30"/>
      <c r="VZW35" s="30"/>
      <c r="VZX35" s="30"/>
      <c r="VZY35" s="30"/>
      <c r="VZZ35" s="30"/>
      <c r="WAA35" s="30"/>
      <c r="WAB35" s="30"/>
      <c r="WAC35" s="30"/>
      <c r="WAD35" s="30"/>
      <c r="WAE35" s="30"/>
      <c r="WAF35" s="30"/>
      <c r="WAG35" s="30"/>
      <c r="WAH35" s="30"/>
      <c r="WAI35" s="30"/>
      <c r="WAJ35" s="30"/>
      <c r="WAK35" s="30"/>
      <c r="WAL35" s="30"/>
      <c r="WAM35" s="30"/>
      <c r="WAN35" s="30"/>
      <c r="WAO35" s="30"/>
      <c r="WAP35" s="30"/>
      <c r="WAQ35" s="30"/>
      <c r="WAR35" s="30"/>
      <c r="WAS35" s="30"/>
      <c r="WAT35" s="30"/>
      <c r="WAU35" s="30"/>
      <c r="WAV35" s="30"/>
      <c r="WAW35" s="30"/>
      <c r="WAX35" s="30"/>
      <c r="WAY35" s="30"/>
      <c r="WAZ35" s="30"/>
      <c r="WBA35" s="30"/>
      <c r="WBB35" s="30"/>
      <c r="WBC35" s="30"/>
      <c r="WBD35" s="30"/>
      <c r="WBE35" s="30"/>
      <c r="WBF35" s="30"/>
      <c r="WBG35" s="30"/>
      <c r="WBH35" s="30"/>
      <c r="WBI35" s="30"/>
      <c r="WBJ35" s="30"/>
      <c r="WBK35" s="30"/>
      <c r="WBL35" s="30"/>
      <c r="WBM35" s="30"/>
      <c r="WBN35" s="30"/>
      <c r="WBO35" s="30"/>
      <c r="WBP35" s="30"/>
      <c r="WBQ35" s="30"/>
      <c r="WBR35" s="30"/>
      <c r="WBS35" s="30"/>
      <c r="WBT35" s="30"/>
      <c r="WBU35" s="30"/>
      <c r="WBV35" s="30"/>
      <c r="WBW35" s="30"/>
      <c r="WBX35" s="30"/>
      <c r="WBY35" s="30"/>
      <c r="WBZ35" s="30"/>
      <c r="WCA35" s="30"/>
      <c r="WCB35" s="30"/>
      <c r="WCC35" s="30"/>
      <c r="WCD35" s="30"/>
      <c r="WCE35" s="30"/>
      <c r="WCF35" s="30"/>
      <c r="WCG35" s="30"/>
      <c r="WCH35" s="30"/>
      <c r="WCI35" s="30"/>
      <c r="WCJ35" s="30"/>
      <c r="WCK35" s="30"/>
      <c r="WCL35" s="30"/>
      <c r="WCM35" s="30"/>
      <c r="WCN35" s="30"/>
      <c r="WCO35" s="30"/>
      <c r="WCP35" s="30"/>
      <c r="WCQ35" s="30"/>
      <c r="WCR35" s="30"/>
      <c r="WCS35" s="30"/>
      <c r="WCT35" s="30"/>
      <c r="WCU35" s="30"/>
      <c r="WCV35" s="30"/>
      <c r="WCW35" s="30"/>
      <c r="WCX35" s="30"/>
      <c r="WCY35" s="30"/>
      <c r="WCZ35" s="30"/>
      <c r="WDA35" s="30"/>
      <c r="WDB35" s="30"/>
      <c r="WDC35" s="30"/>
      <c r="WDD35" s="30"/>
      <c r="WDE35" s="30"/>
      <c r="WDF35" s="30"/>
      <c r="WDG35" s="30"/>
      <c r="WDH35" s="30"/>
      <c r="WDI35" s="30"/>
      <c r="WDJ35" s="30"/>
      <c r="WDK35" s="30"/>
      <c r="WDL35" s="30"/>
      <c r="WDM35" s="30"/>
      <c r="WDN35" s="30"/>
      <c r="WDO35" s="30"/>
      <c r="WDP35" s="30"/>
      <c r="WDQ35" s="30"/>
      <c r="WDR35" s="30"/>
      <c r="WDS35" s="30"/>
      <c r="WDT35" s="30"/>
      <c r="WDU35" s="30"/>
      <c r="WDV35" s="30"/>
      <c r="WDW35" s="30"/>
      <c r="WDX35" s="30"/>
      <c r="WDY35" s="30"/>
      <c r="WDZ35" s="30"/>
      <c r="WEA35" s="30"/>
      <c r="WEB35" s="30"/>
      <c r="WEC35" s="30"/>
      <c r="WED35" s="30"/>
      <c r="WEE35" s="30"/>
      <c r="WEF35" s="30"/>
      <c r="WEG35" s="30"/>
      <c r="WEH35" s="30"/>
      <c r="WEI35" s="30"/>
      <c r="WEJ35" s="30"/>
      <c r="WEK35" s="30"/>
      <c r="WEL35" s="30"/>
      <c r="WEM35" s="30"/>
      <c r="WEN35" s="30"/>
      <c r="WEO35" s="30"/>
      <c r="WEP35" s="30"/>
      <c r="WEQ35" s="30"/>
      <c r="WER35" s="30"/>
      <c r="WES35" s="30"/>
      <c r="WET35" s="30"/>
      <c r="WEU35" s="30"/>
      <c r="WEV35" s="30"/>
      <c r="WEW35" s="30"/>
      <c r="WEX35" s="30"/>
      <c r="WEY35" s="30"/>
      <c r="WEZ35" s="30"/>
      <c r="WFA35" s="30"/>
      <c r="WFB35" s="30"/>
      <c r="WFC35" s="30"/>
      <c r="WFD35" s="30"/>
      <c r="WFE35" s="30"/>
      <c r="WFF35" s="30"/>
      <c r="WFG35" s="30"/>
      <c r="WFH35" s="30"/>
      <c r="WFI35" s="30"/>
      <c r="WFJ35" s="30"/>
      <c r="WFK35" s="30"/>
      <c r="WFL35" s="30"/>
      <c r="WFM35" s="30"/>
      <c r="WFN35" s="30"/>
      <c r="WFO35" s="30"/>
      <c r="WFP35" s="30"/>
      <c r="WFQ35" s="30"/>
      <c r="WFR35" s="30"/>
      <c r="WFS35" s="30"/>
      <c r="WFT35" s="30"/>
      <c r="WFU35" s="30"/>
      <c r="WFV35" s="30"/>
      <c r="WFW35" s="30"/>
      <c r="WFX35" s="30"/>
      <c r="WFY35" s="30"/>
      <c r="WFZ35" s="30"/>
      <c r="WGA35" s="30"/>
      <c r="WGB35" s="30"/>
      <c r="WGC35" s="30"/>
      <c r="WGD35" s="30"/>
      <c r="WGE35" s="30"/>
      <c r="WGF35" s="30"/>
      <c r="WGG35" s="30"/>
      <c r="WGH35" s="30"/>
      <c r="WGI35" s="30"/>
      <c r="WGJ35" s="30"/>
      <c r="WGK35" s="30"/>
      <c r="WGL35" s="30"/>
      <c r="WGM35" s="30"/>
      <c r="WGN35" s="30"/>
      <c r="WGO35" s="30"/>
      <c r="WGP35" s="30"/>
      <c r="WGQ35" s="30"/>
      <c r="WGR35" s="30"/>
      <c r="WGS35" s="30"/>
      <c r="WGT35" s="30"/>
      <c r="WGU35" s="30"/>
      <c r="WGV35" s="30"/>
      <c r="WGW35" s="30"/>
      <c r="WGX35" s="30"/>
      <c r="WGY35" s="30"/>
      <c r="WGZ35" s="30"/>
      <c r="WHA35" s="30"/>
      <c r="WHB35" s="30"/>
      <c r="WHC35" s="30"/>
      <c r="WHD35" s="30"/>
      <c r="WHE35" s="30"/>
      <c r="WHF35" s="30"/>
      <c r="WHG35" s="30"/>
      <c r="WHH35" s="30"/>
      <c r="WHI35" s="30"/>
      <c r="WHJ35" s="30"/>
      <c r="WHK35" s="30"/>
      <c r="WHL35" s="30"/>
      <c r="WHM35" s="30"/>
      <c r="WHN35" s="30"/>
      <c r="WHO35" s="30"/>
      <c r="WHP35" s="30"/>
      <c r="WHQ35" s="30"/>
      <c r="WHR35" s="30"/>
      <c r="WHS35" s="30"/>
      <c r="WHT35" s="30"/>
      <c r="WHU35" s="30"/>
      <c r="WHV35" s="30"/>
      <c r="WHW35" s="30"/>
      <c r="WHX35" s="30"/>
      <c r="WHY35" s="30"/>
      <c r="WHZ35" s="30"/>
      <c r="WIA35" s="30"/>
      <c r="WIB35" s="30"/>
      <c r="WIC35" s="30"/>
      <c r="WID35" s="30"/>
      <c r="WIE35" s="30"/>
      <c r="WIF35" s="30"/>
      <c r="WIG35" s="30"/>
      <c r="WIH35" s="30"/>
      <c r="WII35" s="30"/>
      <c r="WIJ35" s="30"/>
      <c r="WIK35" s="30"/>
      <c r="WIL35" s="30"/>
      <c r="WIM35" s="30"/>
      <c r="WIN35" s="30"/>
      <c r="WIO35" s="30"/>
      <c r="WIP35" s="30"/>
      <c r="WIQ35" s="30"/>
      <c r="WIR35" s="30"/>
      <c r="WIS35" s="30"/>
      <c r="WIT35" s="30"/>
      <c r="WIU35" s="30"/>
      <c r="WIV35" s="30"/>
      <c r="WIW35" s="30"/>
      <c r="WIX35" s="30"/>
      <c r="WIY35" s="30"/>
      <c r="WIZ35" s="30"/>
      <c r="WJA35" s="30"/>
      <c r="WJB35" s="30"/>
      <c r="WJC35" s="30"/>
      <c r="WJD35" s="30"/>
      <c r="WJE35" s="30"/>
      <c r="WJF35" s="30"/>
      <c r="WJG35" s="30"/>
      <c r="WJH35" s="30"/>
      <c r="WJI35" s="30"/>
      <c r="WJJ35" s="30"/>
      <c r="WJK35" s="30"/>
      <c r="WJL35" s="30"/>
      <c r="WJM35" s="30"/>
      <c r="WJN35" s="30"/>
      <c r="WJO35" s="30"/>
      <c r="WJP35" s="30"/>
      <c r="WJQ35" s="30"/>
      <c r="WJR35" s="30"/>
      <c r="WJS35" s="30"/>
      <c r="WJT35" s="30"/>
      <c r="WJU35" s="30"/>
      <c r="WJV35" s="30"/>
      <c r="WJW35" s="30"/>
      <c r="WJX35" s="30"/>
      <c r="WJY35" s="30"/>
      <c r="WJZ35" s="30"/>
      <c r="WKA35" s="30"/>
      <c r="WKB35" s="30"/>
      <c r="WKC35" s="30"/>
      <c r="WKD35" s="30"/>
      <c r="WKE35" s="30"/>
      <c r="WKF35" s="30"/>
      <c r="WKG35" s="30"/>
      <c r="WKH35" s="30"/>
      <c r="WKI35" s="30"/>
      <c r="WKJ35" s="30"/>
      <c r="WKK35" s="30"/>
      <c r="WKL35" s="30"/>
      <c r="WKM35" s="30"/>
      <c r="WKN35" s="30"/>
      <c r="WKO35" s="30"/>
      <c r="WKP35" s="30"/>
      <c r="WKQ35" s="30"/>
      <c r="WKR35" s="30"/>
      <c r="WKS35" s="30"/>
      <c r="WKT35" s="30"/>
      <c r="WKU35" s="30"/>
      <c r="WKV35" s="30"/>
      <c r="WKW35" s="30"/>
      <c r="WKX35" s="30"/>
      <c r="WKY35" s="30"/>
      <c r="WKZ35" s="30"/>
      <c r="WLA35" s="30"/>
      <c r="WLB35" s="30"/>
      <c r="WLC35" s="30"/>
      <c r="WLD35" s="30"/>
      <c r="WLE35" s="30"/>
      <c r="WLF35" s="30"/>
      <c r="WLG35" s="30"/>
      <c r="WLH35" s="30"/>
      <c r="WLI35" s="30"/>
      <c r="WLJ35" s="30"/>
      <c r="WLK35" s="30"/>
      <c r="WLL35" s="30"/>
      <c r="WLM35" s="30"/>
      <c r="WLN35" s="30"/>
      <c r="WLO35" s="30"/>
      <c r="WLP35" s="30"/>
      <c r="WLQ35" s="30"/>
      <c r="WLR35" s="30"/>
      <c r="WLS35" s="30"/>
      <c r="WLT35" s="30"/>
      <c r="WLU35" s="30"/>
      <c r="WLV35" s="30"/>
      <c r="WLW35" s="30"/>
      <c r="WLX35" s="30"/>
      <c r="WLY35" s="30"/>
      <c r="WLZ35" s="30"/>
      <c r="WMA35" s="30"/>
      <c r="WMB35" s="30"/>
      <c r="WMC35" s="30"/>
      <c r="WMD35" s="30"/>
      <c r="WME35" s="30"/>
      <c r="WMF35" s="30"/>
      <c r="WMG35" s="30"/>
      <c r="WMH35" s="30"/>
      <c r="WMI35" s="30"/>
      <c r="WMJ35" s="30"/>
      <c r="WMK35" s="30"/>
      <c r="WML35" s="30"/>
      <c r="WMM35" s="30"/>
      <c r="WMN35" s="30"/>
      <c r="WMO35" s="30"/>
      <c r="WMP35" s="30"/>
      <c r="WMQ35" s="30"/>
      <c r="WMR35" s="30"/>
      <c r="WMS35" s="30"/>
      <c r="WMT35" s="30"/>
      <c r="WMU35" s="30"/>
      <c r="WMV35" s="30"/>
      <c r="WMW35" s="30"/>
      <c r="WMX35" s="30"/>
      <c r="WMY35" s="30"/>
      <c r="WMZ35" s="30"/>
      <c r="WNA35" s="30"/>
      <c r="WNB35" s="30"/>
      <c r="WNC35" s="30"/>
      <c r="WND35" s="30"/>
      <c r="WNE35" s="30"/>
      <c r="WNF35" s="30"/>
      <c r="WNG35" s="30"/>
      <c r="WNH35" s="30"/>
      <c r="WNI35" s="30"/>
      <c r="WNJ35" s="30"/>
      <c r="WNK35" s="30"/>
      <c r="WNL35" s="30"/>
      <c r="WNM35" s="30"/>
      <c r="WNN35" s="30"/>
      <c r="WNO35" s="30"/>
      <c r="WNP35" s="30"/>
      <c r="WNQ35" s="30"/>
      <c r="WNR35" s="30"/>
      <c r="WNS35" s="30"/>
      <c r="WNT35" s="30"/>
      <c r="WNU35" s="30"/>
      <c r="WNV35" s="30"/>
      <c r="WNW35" s="30"/>
      <c r="WNX35" s="30"/>
      <c r="WNY35" s="30"/>
      <c r="WNZ35" s="30"/>
      <c r="WOA35" s="30"/>
      <c r="WOB35" s="30"/>
      <c r="WOC35" s="30"/>
      <c r="WOD35" s="30"/>
      <c r="WOE35" s="30"/>
      <c r="WOF35" s="30"/>
      <c r="WOG35" s="30"/>
      <c r="WOH35" s="30"/>
      <c r="WOI35" s="30"/>
      <c r="WOJ35" s="30"/>
      <c r="WOK35" s="30"/>
      <c r="WOL35" s="30"/>
      <c r="WOM35" s="30"/>
      <c r="WON35" s="30"/>
      <c r="WOO35" s="30"/>
      <c r="WOP35" s="30"/>
      <c r="WOQ35" s="30"/>
      <c r="WOR35" s="30"/>
      <c r="WOS35" s="30"/>
      <c r="WOT35" s="30"/>
      <c r="WOU35" s="30"/>
      <c r="WOV35" s="30"/>
      <c r="WOW35" s="30"/>
      <c r="WOX35" s="30"/>
      <c r="WOY35" s="30"/>
      <c r="WOZ35" s="30"/>
      <c r="WPA35" s="30"/>
      <c r="WPB35" s="30"/>
      <c r="WPC35" s="30"/>
      <c r="WPD35" s="30"/>
      <c r="WPE35" s="30"/>
      <c r="WPF35" s="30"/>
      <c r="WPG35" s="30"/>
      <c r="WPH35" s="30"/>
      <c r="WPI35" s="30"/>
      <c r="WPJ35" s="30"/>
      <c r="WPK35" s="30"/>
      <c r="WPL35" s="30"/>
      <c r="WPM35" s="30"/>
      <c r="WPN35" s="30"/>
      <c r="WPO35" s="30"/>
      <c r="WPP35" s="30"/>
      <c r="WPQ35" s="30"/>
      <c r="WPR35" s="30"/>
      <c r="WPS35" s="30"/>
      <c r="WPT35" s="30"/>
      <c r="WPU35" s="30"/>
      <c r="WPV35" s="30"/>
      <c r="WPW35" s="30"/>
      <c r="WPX35" s="30"/>
      <c r="WPY35" s="30"/>
      <c r="WPZ35" s="30"/>
      <c r="WQA35" s="30"/>
      <c r="WQB35" s="30"/>
      <c r="WQC35" s="30"/>
      <c r="WQD35" s="30"/>
      <c r="WQE35" s="30"/>
      <c r="WQF35" s="30"/>
      <c r="WQG35" s="30"/>
      <c r="WQH35" s="30"/>
      <c r="WQI35" s="30"/>
      <c r="WQJ35" s="30"/>
      <c r="WQK35" s="30"/>
      <c r="WQL35" s="30"/>
      <c r="WQM35" s="30"/>
      <c r="WQN35" s="30"/>
      <c r="WQO35" s="30"/>
      <c r="WQP35" s="30"/>
      <c r="WQQ35" s="30"/>
      <c r="WQR35" s="30"/>
      <c r="WQS35" s="30"/>
      <c r="WQT35" s="30"/>
      <c r="WQU35" s="30"/>
      <c r="WQV35" s="30"/>
      <c r="WQW35" s="30"/>
      <c r="WQX35" s="30"/>
      <c r="WQY35" s="30"/>
      <c r="WQZ35" s="30"/>
      <c r="WRA35" s="30"/>
      <c r="WRB35" s="30"/>
      <c r="WRC35" s="30"/>
      <c r="WRD35" s="30"/>
      <c r="WRE35" s="30"/>
      <c r="WRF35" s="30"/>
      <c r="WRG35" s="30"/>
      <c r="WRH35" s="30"/>
      <c r="WRI35" s="30"/>
      <c r="WRJ35" s="30"/>
      <c r="WRK35" s="30"/>
      <c r="WRL35" s="30"/>
      <c r="WRM35" s="30"/>
      <c r="WRN35" s="30"/>
      <c r="WRO35" s="30"/>
      <c r="WRP35" s="30"/>
      <c r="WRQ35" s="30"/>
      <c r="WRR35" s="30"/>
      <c r="WRS35" s="30"/>
      <c r="WRT35" s="30"/>
      <c r="WRU35" s="30"/>
      <c r="WRV35" s="30"/>
      <c r="WRW35" s="30"/>
      <c r="WRX35" s="30"/>
      <c r="WRY35" s="30"/>
      <c r="WRZ35" s="30"/>
      <c r="WSA35" s="30"/>
      <c r="WSB35" s="30"/>
      <c r="WSC35" s="30"/>
      <c r="WSD35" s="30"/>
      <c r="WSE35" s="30"/>
      <c r="WSF35" s="30"/>
      <c r="WSG35" s="30"/>
      <c r="WSH35" s="30"/>
      <c r="WSI35" s="30"/>
      <c r="WSJ35" s="30"/>
      <c r="WSK35" s="30"/>
      <c r="WSL35" s="30"/>
      <c r="WSM35" s="30"/>
      <c r="WSN35" s="30"/>
      <c r="WSO35" s="30"/>
      <c r="WSP35" s="30"/>
      <c r="WSQ35" s="30"/>
      <c r="WSR35" s="30"/>
      <c r="WSS35" s="30"/>
      <c r="WST35" s="30"/>
      <c r="WSU35" s="30"/>
      <c r="WSV35" s="30"/>
      <c r="WSW35" s="30"/>
      <c r="WSX35" s="30"/>
      <c r="WSY35" s="30"/>
      <c r="WSZ35" s="30"/>
      <c r="WTA35" s="30"/>
      <c r="WTB35" s="30"/>
      <c r="WTC35" s="30"/>
      <c r="WTD35" s="30"/>
      <c r="WTE35" s="30"/>
      <c r="WTF35" s="30"/>
      <c r="WTG35" s="30"/>
      <c r="WTH35" s="30"/>
      <c r="WTI35" s="30"/>
      <c r="WTJ35" s="30"/>
      <c r="WTK35" s="30"/>
      <c r="WTL35" s="30"/>
      <c r="WTM35" s="30"/>
      <c r="WTN35" s="30"/>
      <c r="WTO35" s="30"/>
      <c r="WTP35" s="30"/>
      <c r="WTQ35" s="30"/>
      <c r="WTR35" s="30"/>
      <c r="WTS35" s="30"/>
      <c r="WTT35" s="30"/>
      <c r="WTU35" s="30"/>
      <c r="WTV35" s="30"/>
      <c r="WTW35" s="30"/>
      <c r="WTX35" s="30"/>
      <c r="WTY35" s="30"/>
      <c r="WTZ35" s="30"/>
      <c r="WUA35" s="30"/>
      <c r="WUB35" s="30"/>
      <c r="WUC35" s="30"/>
      <c r="WUD35" s="30"/>
      <c r="WUE35" s="30"/>
      <c r="WUF35" s="30"/>
      <c r="WUG35" s="30"/>
      <c r="WUH35" s="30"/>
      <c r="WUI35" s="30"/>
      <c r="WUJ35" s="30"/>
      <c r="WUK35" s="30"/>
      <c r="WUL35" s="30"/>
      <c r="WUM35" s="30"/>
      <c r="WUN35" s="30"/>
      <c r="WUO35" s="30"/>
      <c r="WUP35" s="30"/>
      <c r="WUQ35" s="30"/>
      <c r="WUR35" s="30"/>
      <c r="WUS35" s="30"/>
      <c r="WUT35" s="30"/>
      <c r="WUU35" s="30"/>
      <c r="WUV35" s="30"/>
      <c r="WUW35" s="30"/>
      <c r="WUX35" s="30"/>
      <c r="WUY35" s="30"/>
      <c r="WUZ35" s="30"/>
      <c r="WVA35" s="30"/>
      <c r="WVB35" s="30"/>
      <c r="WVC35" s="30"/>
      <c r="WVD35" s="30"/>
      <c r="WVE35" s="30"/>
      <c r="WVF35" s="30"/>
      <c r="WVG35" s="30"/>
      <c r="WVH35" s="30"/>
      <c r="WVI35" s="30"/>
      <c r="WVJ35" s="30"/>
      <c r="WVK35" s="30"/>
      <c r="WVL35" s="30"/>
      <c r="WVM35" s="30"/>
      <c r="WVN35" s="30"/>
      <c r="WVO35" s="30"/>
      <c r="WVP35" s="30"/>
      <c r="WVQ35" s="30"/>
      <c r="WVR35" s="30"/>
      <c r="WVS35" s="30"/>
      <c r="WVT35" s="30"/>
      <c r="WVU35" s="30"/>
      <c r="WVV35" s="30"/>
      <c r="WVW35" s="30"/>
      <c r="WVX35" s="30"/>
      <c r="WVY35" s="30"/>
      <c r="WVZ35" s="30"/>
      <c r="WWA35" s="30"/>
      <c r="WWB35" s="30"/>
      <c r="WWC35" s="30"/>
      <c r="WWD35" s="30"/>
      <c r="WWE35" s="30"/>
      <c r="WWF35" s="30"/>
      <c r="WWG35" s="30"/>
      <c r="WWH35" s="30"/>
      <c r="WWI35" s="30"/>
      <c r="WWJ35" s="30"/>
      <c r="WWK35" s="30"/>
      <c r="WWL35" s="30"/>
      <c r="WWM35" s="30"/>
      <c r="WWN35" s="30"/>
      <c r="WWO35" s="30"/>
      <c r="WWP35" s="30"/>
      <c r="WWQ35" s="30"/>
      <c r="WWR35" s="30"/>
      <c r="WWS35" s="30"/>
      <c r="WWT35" s="30"/>
      <c r="WWU35" s="30"/>
      <c r="WWV35" s="30"/>
      <c r="WWW35" s="30"/>
      <c r="WWX35" s="30"/>
      <c r="WWY35" s="30"/>
      <c r="WWZ35" s="30"/>
      <c r="WXA35" s="30"/>
      <c r="WXB35" s="30"/>
      <c r="WXC35" s="30"/>
      <c r="WXD35" s="30"/>
      <c r="WXE35" s="30"/>
      <c r="WXF35" s="30"/>
      <c r="WXG35" s="30"/>
      <c r="WXH35" s="30"/>
      <c r="WXI35" s="30"/>
      <c r="WXJ35" s="30"/>
      <c r="WXK35" s="30"/>
      <c r="WXL35" s="30"/>
      <c r="WXM35" s="30"/>
      <c r="WXN35" s="30"/>
      <c r="WXO35" s="30"/>
      <c r="WXP35" s="30"/>
      <c r="WXQ35" s="30"/>
      <c r="WXR35" s="30"/>
      <c r="WXS35" s="30"/>
      <c r="WXT35" s="30"/>
      <c r="WXU35" s="30"/>
      <c r="WXV35" s="30"/>
      <c r="WXW35" s="30"/>
      <c r="WXX35" s="30"/>
      <c r="WXY35" s="30"/>
      <c r="WXZ35" s="30"/>
      <c r="WYA35" s="30"/>
      <c r="WYB35" s="30"/>
      <c r="WYC35" s="30"/>
      <c r="WYD35" s="30"/>
      <c r="WYE35" s="30"/>
      <c r="WYF35" s="30"/>
      <c r="WYG35" s="30"/>
      <c r="WYH35" s="30"/>
      <c r="WYI35" s="30"/>
      <c r="WYJ35" s="30"/>
      <c r="WYK35" s="30"/>
      <c r="WYL35" s="30"/>
      <c r="WYM35" s="30"/>
      <c r="WYN35" s="30"/>
      <c r="WYO35" s="30"/>
      <c r="WYP35" s="30"/>
      <c r="WYQ35" s="30"/>
      <c r="WYR35" s="30"/>
      <c r="WYS35" s="30"/>
      <c r="WYT35" s="30"/>
      <c r="WYU35" s="30"/>
      <c r="WYV35" s="30"/>
      <c r="WYW35" s="30"/>
      <c r="WYX35" s="30"/>
      <c r="WYY35" s="30"/>
      <c r="WYZ35" s="30"/>
      <c r="WZA35" s="30"/>
      <c r="WZB35" s="30"/>
      <c r="WZC35" s="30"/>
      <c r="WZD35" s="30"/>
      <c r="WZE35" s="30"/>
      <c r="WZF35" s="30"/>
      <c r="WZG35" s="30"/>
      <c r="WZH35" s="30"/>
      <c r="WZI35" s="30"/>
      <c r="WZJ35" s="30"/>
      <c r="WZK35" s="30"/>
      <c r="WZL35" s="30"/>
      <c r="WZM35" s="30"/>
      <c r="WZN35" s="30"/>
      <c r="WZO35" s="30"/>
      <c r="WZP35" s="30"/>
      <c r="WZQ35" s="30"/>
      <c r="WZR35" s="30"/>
      <c r="WZS35" s="30"/>
      <c r="WZT35" s="30"/>
      <c r="WZU35" s="30"/>
      <c r="WZV35" s="30"/>
      <c r="WZW35" s="30"/>
      <c r="WZX35" s="30"/>
      <c r="WZY35" s="30"/>
      <c r="WZZ35" s="30"/>
      <c r="XAA35" s="30"/>
      <c r="XAB35" s="30"/>
      <c r="XAC35" s="30"/>
      <c r="XAD35" s="30"/>
      <c r="XAE35" s="30"/>
      <c r="XAF35" s="30"/>
      <c r="XAG35" s="30"/>
      <c r="XAH35" s="30"/>
      <c r="XAI35" s="30"/>
      <c r="XAJ35" s="30"/>
      <c r="XAK35" s="30"/>
      <c r="XAL35" s="30"/>
      <c r="XAM35" s="30"/>
      <c r="XAN35" s="30"/>
      <c r="XAO35" s="30"/>
      <c r="XAP35" s="30"/>
      <c r="XAQ35" s="30"/>
      <c r="XAR35" s="30"/>
      <c r="XAS35" s="30"/>
      <c r="XAT35" s="30"/>
      <c r="XAU35" s="30"/>
      <c r="XAV35" s="30"/>
      <c r="XAW35" s="30"/>
      <c r="XAX35" s="30"/>
      <c r="XAY35" s="30"/>
      <c r="XAZ35" s="30"/>
      <c r="XBA35" s="30"/>
      <c r="XBB35" s="30"/>
      <c r="XBC35" s="30"/>
      <c r="XBD35" s="30"/>
      <c r="XBE35" s="30"/>
      <c r="XBF35" s="30"/>
      <c r="XBG35" s="30"/>
      <c r="XBH35" s="30"/>
      <c r="XBI35" s="30"/>
      <c r="XBJ35" s="30"/>
      <c r="XBK35" s="30"/>
      <c r="XBL35" s="30"/>
      <c r="XBM35" s="30"/>
      <c r="XBN35" s="30"/>
      <c r="XBO35" s="30"/>
      <c r="XBP35" s="30"/>
      <c r="XBQ35" s="30"/>
      <c r="XBR35" s="30"/>
      <c r="XBS35" s="30"/>
      <c r="XBT35" s="30"/>
      <c r="XBU35" s="30"/>
      <c r="XBV35" s="30"/>
      <c r="XBW35" s="30"/>
      <c r="XBX35" s="30"/>
      <c r="XBY35" s="30"/>
      <c r="XBZ35" s="30"/>
      <c r="XCA35" s="30"/>
      <c r="XCB35" s="30"/>
      <c r="XCC35" s="30"/>
      <c r="XCD35" s="30"/>
      <c r="XCE35" s="30"/>
      <c r="XCF35" s="30"/>
      <c r="XCG35" s="30"/>
      <c r="XCH35" s="30"/>
      <c r="XCI35" s="30"/>
      <c r="XCJ35" s="30"/>
      <c r="XCK35" s="30"/>
      <c r="XCL35" s="30"/>
      <c r="XCM35" s="30"/>
      <c r="XCN35" s="30"/>
      <c r="XCO35" s="30"/>
      <c r="XCP35" s="30"/>
      <c r="XCQ35" s="30"/>
      <c r="XCR35" s="30"/>
      <c r="XCS35" s="30"/>
      <c r="XCT35" s="30"/>
      <c r="XCU35" s="30"/>
      <c r="XCV35" s="30"/>
      <c r="XCW35" s="30"/>
      <c r="XCX35" s="30"/>
      <c r="XCY35" s="30"/>
      <c r="XCZ35" s="30"/>
      <c r="XDA35" s="30"/>
      <c r="XDB35" s="30"/>
      <c r="XDC35" s="30"/>
      <c r="XDD35" s="30"/>
      <c r="XDE35" s="30"/>
      <c r="XDF35" s="30"/>
      <c r="XDG35" s="30"/>
      <c r="XDH35" s="30"/>
      <c r="XDI35" s="30"/>
      <c r="XDJ35" s="30"/>
      <c r="XDK35" s="30"/>
      <c r="XDL35" s="30"/>
      <c r="XDM35" s="30"/>
      <c r="XDN35" s="30"/>
      <c r="XDO35" s="30"/>
      <c r="XDP35" s="30"/>
      <c r="XDQ35" s="30"/>
      <c r="XDR35" s="30"/>
      <c r="XDS35" s="30"/>
      <c r="XDT35" s="30"/>
      <c r="XDU35" s="30"/>
      <c r="XDV35" s="30"/>
      <c r="XDW35" s="30"/>
      <c r="XDX35" s="30"/>
      <c r="XDY35" s="30"/>
      <c r="XDZ35" s="30"/>
      <c r="XEA35" s="30"/>
      <c r="XEB35" s="30"/>
      <c r="XEC35" s="30"/>
      <c r="XED35" s="30"/>
      <c r="XEE35" s="30"/>
      <c r="XEF35" s="30"/>
      <c r="XEG35" s="30"/>
      <c r="XEH35" s="30"/>
      <c r="XEI35" s="30"/>
      <c r="XEJ35" s="30"/>
      <c r="XEK35" s="30"/>
      <c r="XEL35" s="30"/>
      <c r="XEM35" s="30"/>
      <c r="XEN35" s="30"/>
      <c r="XEO35" s="30"/>
      <c r="XEP35" s="30"/>
      <c r="XEQ35" s="30"/>
      <c r="XER35" s="30"/>
      <c r="XES35" s="30"/>
      <c r="XET35" s="30"/>
      <c r="XEU35" s="30"/>
      <c r="XEV35" s="30"/>
      <c r="XEW35" s="30"/>
      <c r="XEX35" s="30"/>
      <c r="XEY35" s="30"/>
      <c r="XEZ35" s="30"/>
      <c r="XFA35" s="30"/>
      <c r="XFB35" s="30"/>
      <c r="XFC35" s="30"/>
      <c r="XFD35" s="30"/>
    </row>
    <row r="36" spans="1:16384" x14ac:dyDescent="0.2">
      <c r="B36" s="346"/>
      <c r="C36" s="348" t="s">
        <v>135</v>
      </c>
      <c r="D36" s="347" t="s">
        <v>124</v>
      </c>
      <c r="E36" s="343"/>
    </row>
    <row r="37" spans="1:16384" x14ac:dyDescent="0.2">
      <c r="B37" s="346"/>
      <c r="C37" s="348" t="s">
        <v>166</v>
      </c>
      <c r="D37" s="347" t="s">
        <v>124</v>
      </c>
      <c r="E37" s="343"/>
    </row>
    <row r="38" spans="1:16384" x14ac:dyDescent="0.2">
      <c r="B38" s="346"/>
      <c r="C38" s="348" t="s">
        <v>145</v>
      </c>
      <c r="D38" s="347" t="s">
        <v>124</v>
      </c>
      <c r="E38" s="343"/>
    </row>
    <row r="39" spans="1:16384" x14ac:dyDescent="0.2">
      <c r="B39" s="346"/>
      <c r="C39" s="348" t="s">
        <v>113</v>
      </c>
      <c r="D39" s="347" t="s">
        <v>124</v>
      </c>
      <c r="E39" s="343"/>
    </row>
    <row r="40" spans="1:16384" x14ac:dyDescent="0.2">
      <c r="B40" s="346"/>
      <c r="C40" s="348" t="s">
        <v>111</v>
      </c>
      <c r="D40" s="347" t="s">
        <v>124</v>
      </c>
      <c r="E40" s="343"/>
    </row>
    <row r="41" spans="1:16384" x14ac:dyDescent="0.2">
      <c r="B41" s="346"/>
      <c r="C41" s="348" t="s">
        <v>110</v>
      </c>
      <c r="D41" s="347" t="s">
        <v>124</v>
      </c>
      <c r="E41" s="343"/>
    </row>
    <row r="42" spans="1:16384" x14ac:dyDescent="0.2">
      <c r="B42" s="346"/>
      <c r="C42" s="348" t="s">
        <v>108</v>
      </c>
      <c r="D42" s="347" t="s">
        <v>124</v>
      </c>
      <c r="E42" s="343"/>
    </row>
    <row r="43" spans="1:16384" x14ac:dyDescent="0.2">
      <c r="B43" s="346"/>
      <c r="C43" s="348" t="s">
        <v>105</v>
      </c>
      <c r="D43" s="347" t="s">
        <v>124</v>
      </c>
      <c r="E43" s="343"/>
    </row>
    <row r="44" spans="1:16384" x14ac:dyDescent="0.2">
      <c r="B44" s="346"/>
      <c r="C44" s="348" t="s">
        <v>99</v>
      </c>
      <c r="D44" s="347" t="s">
        <v>124</v>
      </c>
      <c r="E44" s="343"/>
    </row>
    <row r="45" spans="1:16384" x14ac:dyDescent="0.2">
      <c r="B45" s="346"/>
      <c r="C45" s="348" t="s">
        <v>94</v>
      </c>
      <c r="D45" s="347" t="s">
        <v>124</v>
      </c>
      <c r="E45" s="343"/>
    </row>
    <row r="46" spans="1:16384" x14ac:dyDescent="0.2">
      <c r="B46" s="346"/>
      <c r="C46" s="348" t="s">
        <v>118</v>
      </c>
      <c r="D46" s="347" t="s">
        <v>124</v>
      </c>
      <c r="E46" s="343"/>
    </row>
    <row r="47" spans="1:16384" x14ac:dyDescent="0.2">
      <c r="B47" s="346"/>
      <c r="C47" s="348" t="s">
        <v>116</v>
      </c>
      <c r="D47" s="347" t="s">
        <v>124</v>
      </c>
      <c r="E47" s="343"/>
    </row>
    <row r="48" spans="1:16384" x14ac:dyDescent="0.2">
      <c r="B48" s="346"/>
      <c r="C48" s="348" t="s">
        <v>115</v>
      </c>
      <c r="D48" s="347" t="s">
        <v>124</v>
      </c>
      <c r="E48" s="343"/>
    </row>
    <row r="49" spans="2:5" x14ac:dyDescent="0.2">
      <c r="B49" s="346"/>
      <c r="C49" s="345" t="s">
        <v>114</v>
      </c>
      <c r="D49" s="344" t="s">
        <v>124</v>
      </c>
      <c r="E49" s="343"/>
    </row>
    <row r="50" spans="2:5" x14ac:dyDescent="0.2">
      <c r="B50" s="342"/>
      <c r="C50" s="341"/>
      <c r="D50" s="341"/>
      <c r="E50" s="340"/>
    </row>
  </sheetData>
  <conditionalFormatting sqref="D22">
    <cfRule type="cellIs" dxfId="45" priority="2" stopIfTrue="1" operator="equal">
      <formula>TRUE</formula>
    </cfRule>
  </conditionalFormatting>
  <conditionalFormatting sqref="I4">
    <cfRule type="cellIs" dxfId="44" priority="1" stopIfTrue="1" operator="equal">
      <formula>TRUE</formula>
    </cfRule>
  </conditionalFormatting>
  <dataValidations disablePrompts="1" count="5">
    <dataValidation type="list" allowBlank="1" showInputMessage="1" showErrorMessage="1" sqref="D18">
      <formula1>"TARGET,UnitedKingdom::Exchange,UnitedKingdom::Metals,UnitedKingdom::Settlement,UnitedStates::GovernmentBond,UnitedStates::NERC,UnitedStates::NYSE,UnitedStates::Settlement,Switzerland,Japan,Italy::Exchange,NullCalendar"</formula1>
    </dataValidation>
    <dataValidation type="list" allowBlank="1" showInputMessage="1" showErrorMessage="1" sqref="D16">
      <formula1>"Actual/Actual (ISDA),Actual/360,30/360 (Bond Basis),30E/360 (Eurobond Basis),Actual/365 (Fixed),Actual/Actual (ISMA),Actual/Actual (AFB),1/1,30/360 (Italian),Simple"</formula1>
    </dataValidation>
    <dataValidation type="list" allowBlank="1" showInputMessage="1" showErrorMessage="1" sqref="D15">
      <formula1>"ibor,Libor"</formula1>
    </dataValidation>
    <dataValidation type="list" allowBlank="1" showInputMessage="1" showErrorMessage="1" sqref="IY13 SU13 ACQ13 AMM13 AWI13 BGE13 BQA13 BZW13 CJS13 CTO13 DDK13 DNG13 DXC13 EGY13 EQU13 FAQ13 FKM13 FUI13 GEE13 GOA13 GXW13 HHS13 HRO13 IBK13 ILG13 IVC13 JEY13 JOU13 JYQ13 KIM13 KSI13 LCE13 LMA13 LVW13 MFS13 MPO13 MZK13 NJG13 NTC13 OCY13 OMU13 OWQ13 PGM13 PQI13 QAE13 QKA13 QTW13 RDS13 RNO13 RXK13 SHG13 SRC13 TAY13 TKU13 TUQ13 UEM13 UOI13 UYE13 VIA13 VRW13 WBS13 WLO13 WVK13 D65544 IY65549 SU65549 ACQ65549 AMM65549 AWI65549 BGE65549 BQA65549 BZW65549 CJS65549 CTO65549 DDK65549 DNG65549 DXC65549 EGY65549 EQU65549 FAQ65549 FKM65549 FUI65549 GEE65549 GOA65549 GXW65549 HHS65549 HRO65549 IBK65549 ILG65549 IVC65549 JEY65549 JOU65549 JYQ65549 KIM65549 KSI65549 LCE65549 LMA65549 LVW65549 MFS65549 MPO65549 MZK65549 NJG65549 NTC65549 OCY65549 OMU65549 OWQ65549 PGM65549 PQI65549 QAE65549 QKA65549 QTW65549 RDS65549 RNO65549 RXK65549 SHG65549 SRC65549 TAY65549 TKU65549 TUQ65549 UEM65549 UOI65549 UYE65549 VIA65549 VRW65549 WBS65549 WLO65549 WVK65549 D131080 IY131085 SU131085 ACQ131085 AMM131085 AWI131085 BGE131085 BQA131085 BZW131085 CJS131085 CTO131085 DDK131085 DNG131085 DXC131085 EGY131085 EQU131085 FAQ131085 FKM131085 FUI131085 GEE131085 GOA131085 GXW131085 HHS131085 HRO131085 IBK131085 ILG131085 IVC131085 JEY131085 JOU131085 JYQ131085 KIM131085 KSI131085 LCE131085 LMA131085 LVW131085 MFS131085 MPO131085 MZK131085 NJG131085 NTC131085 OCY131085 OMU131085 OWQ131085 PGM131085 PQI131085 QAE131085 QKA131085 QTW131085 RDS131085 RNO131085 RXK131085 SHG131085 SRC131085 TAY131085 TKU131085 TUQ131085 UEM131085 UOI131085 UYE131085 VIA131085 VRW131085 WBS131085 WLO131085 WVK131085 D196616 IY196621 SU196621 ACQ196621 AMM196621 AWI196621 BGE196621 BQA196621 BZW196621 CJS196621 CTO196621 DDK196621 DNG196621 DXC196621 EGY196621 EQU196621 FAQ196621 FKM196621 FUI196621 GEE196621 GOA196621 GXW196621 HHS196621 HRO196621 IBK196621 ILG196621 IVC196621 JEY196621 JOU196621 JYQ196621 KIM196621 KSI196621 LCE196621 LMA196621 LVW196621 MFS196621 MPO196621 MZK196621 NJG196621 NTC196621 OCY196621 OMU196621 OWQ196621 PGM196621 PQI196621 QAE196621 QKA196621 QTW196621 RDS196621 RNO196621 RXK196621 SHG196621 SRC196621 TAY196621 TKU196621 TUQ196621 UEM196621 UOI196621 UYE196621 VIA196621 VRW196621 WBS196621 WLO196621 WVK196621 D262152 IY262157 SU262157 ACQ262157 AMM262157 AWI262157 BGE262157 BQA262157 BZW262157 CJS262157 CTO262157 DDK262157 DNG262157 DXC262157 EGY262157 EQU262157 FAQ262157 FKM262157 FUI262157 GEE262157 GOA262157 GXW262157 HHS262157 HRO262157 IBK262157 ILG262157 IVC262157 JEY262157 JOU262157 JYQ262157 KIM262157 KSI262157 LCE262157 LMA262157 LVW262157 MFS262157 MPO262157 MZK262157 NJG262157 NTC262157 OCY262157 OMU262157 OWQ262157 PGM262157 PQI262157 QAE262157 QKA262157 QTW262157 RDS262157 RNO262157 RXK262157 SHG262157 SRC262157 TAY262157 TKU262157 TUQ262157 UEM262157 UOI262157 UYE262157 VIA262157 VRW262157 WBS262157 WLO262157 WVK262157 D327688 IY327693 SU327693 ACQ327693 AMM327693 AWI327693 BGE327693 BQA327693 BZW327693 CJS327693 CTO327693 DDK327693 DNG327693 DXC327693 EGY327693 EQU327693 FAQ327693 FKM327693 FUI327693 GEE327693 GOA327693 GXW327693 HHS327693 HRO327693 IBK327693 ILG327693 IVC327693 JEY327693 JOU327693 JYQ327693 KIM327693 KSI327693 LCE327693 LMA327693 LVW327693 MFS327693 MPO327693 MZK327693 NJG327693 NTC327693 OCY327693 OMU327693 OWQ327693 PGM327693 PQI327693 QAE327693 QKA327693 QTW327693 RDS327693 RNO327693 RXK327693 SHG327693 SRC327693 TAY327693 TKU327693 TUQ327693 UEM327693 UOI327693 UYE327693 VIA327693 VRW327693 WBS327693 WLO327693 WVK327693 D393224 IY393229 SU393229 ACQ393229 AMM393229 AWI393229 BGE393229 BQA393229 BZW393229 CJS393229 CTO393229 DDK393229 DNG393229 DXC393229 EGY393229 EQU393229 FAQ393229 FKM393229 FUI393229 GEE393229 GOA393229 GXW393229 HHS393229 HRO393229 IBK393229 ILG393229 IVC393229 JEY393229 JOU393229 JYQ393229 KIM393229 KSI393229 LCE393229 LMA393229 LVW393229 MFS393229 MPO393229 MZK393229 NJG393229 NTC393229 OCY393229 OMU393229 OWQ393229 PGM393229 PQI393229 QAE393229 QKA393229 QTW393229 RDS393229 RNO393229 RXK393229 SHG393229 SRC393229 TAY393229 TKU393229 TUQ393229 UEM393229 UOI393229 UYE393229 VIA393229 VRW393229 WBS393229 WLO393229 WVK393229 D458760 IY458765 SU458765 ACQ458765 AMM458765 AWI458765 BGE458765 BQA458765 BZW458765 CJS458765 CTO458765 DDK458765 DNG458765 DXC458765 EGY458765 EQU458765 FAQ458765 FKM458765 FUI458765 GEE458765 GOA458765 GXW458765 HHS458765 HRO458765 IBK458765 ILG458765 IVC458765 JEY458765 JOU458765 JYQ458765 KIM458765 KSI458765 LCE458765 LMA458765 LVW458765 MFS458765 MPO458765 MZK458765 NJG458765 NTC458765 OCY458765 OMU458765 OWQ458765 PGM458765 PQI458765 QAE458765 QKA458765 QTW458765 RDS458765 RNO458765 RXK458765 SHG458765 SRC458765 TAY458765 TKU458765 TUQ458765 UEM458765 UOI458765 UYE458765 VIA458765 VRW458765 WBS458765 WLO458765 WVK458765 D524296 IY524301 SU524301 ACQ524301 AMM524301 AWI524301 BGE524301 BQA524301 BZW524301 CJS524301 CTO524301 DDK524301 DNG524301 DXC524301 EGY524301 EQU524301 FAQ524301 FKM524301 FUI524301 GEE524301 GOA524301 GXW524301 HHS524301 HRO524301 IBK524301 ILG524301 IVC524301 JEY524301 JOU524301 JYQ524301 KIM524301 KSI524301 LCE524301 LMA524301 LVW524301 MFS524301 MPO524301 MZK524301 NJG524301 NTC524301 OCY524301 OMU524301 OWQ524301 PGM524301 PQI524301 QAE524301 QKA524301 QTW524301 RDS524301 RNO524301 RXK524301 SHG524301 SRC524301 TAY524301 TKU524301 TUQ524301 UEM524301 UOI524301 UYE524301 VIA524301 VRW524301 WBS524301 WLO524301 WVK524301 D589832 IY589837 SU589837 ACQ589837 AMM589837 AWI589837 BGE589837 BQA589837 BZW589837 CJS589837 CTO589837 DDK589837 DNG589837 DXC589837 EGY589837 EQU589837 FAQ589837 FKM589837 FUI589837 GEE589837 GOA589837 GXW589837 HHS589837 HRO589837 IBK589837 ILG589837 IVC589837 JEY589837 JOU589837 JYQ589837 KIM589837 KSI589837 LCE589837 LMA589837 LVW589837 MFS589837 MPO589837 MZK589837 NJG589837 NTC589837 OCY589837 OMU589837 OWQ589837 PGM589837 PQI589837 QAE589837 QKA589837 QTW589837 RDS589837 RNO589837 RXK589837 SHG589837 SRC589837 TAY589837 TKU589837 TUQ589837 UEM589837 UOI589837 UYE589837 VIA589837 VRW589837 WBS589837 WLO589837 WVK589837 D655368 IY655373 SU655373 ACQ655373 AMM655373 AWI655373 BGE655373 BQA655373 BZW655373 CJS655373 CTO655373 DDK655373 DNG655373 DXC655373 EGY655373 EQU655373 FAQ655373 FKM655373 FUI655373 GEE655373 GOA655373 GXW655373 HHS655373 HRO655373 IBK655373 ILG655373 IVC655373 JEY655373 JOU655373 JYQ655373 KIM655373 KSI655373 LCE655373 LMA655373 LVW655373 MFS655373 MPO655373 MZK655373 NJG655373 NTC655373 OCY655373 OMU655373 OWQ655373 PGM655373 PQI655373 QAE655373 QKA655373 QTW655373 RDS655373 RNO655373 RXK655373 SHG655373 SRC655373 TAY655373 TKU655373 TUQ655373 UEM655373 UOI655373 UYE655373 VIA655373 VRW655373 WBS655373 WLO655373 WVK655373 D720904 IY720909 SU720909 ACQ720909 AMM720909 AWI720909 BGE720909 BQA720909 BZW720909 CJS720909 CTO720909 DDK720909 DNG720909 DXC720909 EGY720909 EQU720909 FAQ720909 FKM720909 FUI720909 GEE720909 GOA720909 GXW720909 HHS720909 HRO720909 IBK720909 ILG720909 IVC720909 JEY720909 JOU720909 JYQ720909 KIM720909 KSI720909 LCE720909 LMA720909 LVW720909 MFS720909 MPO720909 MZK720909 NJG720909 NTC720909 OCY720909 OMU720909 OWQ720909 PGM720909 PQI720909 QAE720909 QKA720909 QTW720909 RDS720909 RNO720909 RXK720909 SHG720909 SRC720909 TAY720909 TKU720909 TUQ720909 UEM720909 UOI720909 UYE720909 VIA720909 VRW720909 WBS720909 WLO720909 WVK720909 D786440 IY786445 SU786445 ACQ786445 AMM786445 AWI786445 BGE786445 BQA786445 BZW786445 CJS786445 CTO786445 DDK786445 DNG786445 DXC786445 EGY786445 EQU786445 FAQ786445 FKM786445 FUI786445 GEE786445 GOA786445 GXW786445 HHS786445 HRO786445 IBK786445 ILG786445 IVC786445 JEY786445 JOU786445 JYQ786445 KIM786445 KSI786445 LCE786445 LMA786445 LVW786445 MFS786445 MPO786445 MZK786445 NJG786445 NTC786445 OCY786445 OMU786445 OWQ786445 PGM786445 PQI786445 QAE786445 QKA786445 QTW786445 RDS786445 RNO786445 RXK786445 SHG786445 SRC786445 TAY786445 TKU786445 TUQ786445 UEM786445 UOI786445 UYE786445 VIA786445 VRW786445 WBS786445 WLO786445 WVK786445 D851976 IY851981 SU851981 ACQ851981 AMM851981 AWI851981 BGE851981 BQA851981 BZW851981 CJS851981 CTO851981 DDK851981 DNG851981 DXC851981 EGY851981 EQU851981 FAQ851981 FKM851981 FUI851981 GEE851981 GOA851981 GXW851981 HHS851981 HRO851981 IBK851981 ILG851981 IVC851981 JEY851981 JOU851981 JYQ851981 KIM851981 KSI851981 LCE851981 LMA851981 LVW851981 MFS851981 MPO851981 MZK851981 NJG851981 NTC851981 OCY851981 OMU851981 OWQ851981 PGM851981 PQI851981 QAE851981 QKA851981 QTW851981 RDS851981 RNO851981 RXK851981 SHG851981 SRC851981 TAY851981 TKU851981 TUQ851981 UEM851981 UOI851981 UYE851981 VIA851981 VRW851981 WBS851981 WLO851981 WVK851981 D917512 IY917517 SU917517 ACQ917517 AMM917517 AWI917517 BGE917517 BQA917517 BZW917517 CJS917517 CTO917517 DDK917517 DNG917517 DXC917517 EGY917517 EQU917517 FAQ917517 FKM917517 FUI917517 GEE917517 GOA917517 GXW917517 HHS917517 HRO917517 IBK917517 ILG917517 IVC917517 JEY917517 JOU917517 JYQ917517 KIM917517 KSI917517 LCE917517 LMA917517 LVW917517 MFS917517 MPO917517 MZK917517 NJG917517 NTC917517 OCY917517 OMU917517 OWQ917517 PGM917517 PQI917517 QAE917517 QKA917517 QTW917517 RDS917517 RNO917517 RXK917517 SHG917517 SRC917517 TAY917517 TKU917517 TUQ917517 UEM917517 UOI917517 UYE917517 VIA917517 VRW917517 WBS917517 WLO917517 WVK917517 D983048 IY983053 SU983053 ACQ983053 AMM983053 AWI983053 BGE983053 BQA983053 BZW983053 CJS983053 CTO983053 DDK983053 DNG983053 DXC983053 EGY983053 EQU983053 FAQ983053 FKM983053 FUI983053 GEE983053 GOA983053 GXW983053 HHS983053 HRO983053 IBK983053 ILG983053 IVC983053 JEY983053 JOU983053 JYQ983053 KIM983053 KSI983053 LCE983053 LMA983053 LVW983053 MFS983053 MPO983053 MZK983053 NJG983053 NTC983053 OCY983053 OMU983053 OWQ983053 PGM983053 PQI983053 QAE983053 QKA983053 QTW983053 RDS983053 RNO983053 RXK983053 SHG983053 SRC983053 TAY983053 TKU983053 TUQ983053 UEM983053 UOI983053 UYE983053 VIA983053 VRW983053 WBS983053 WLO983053 WVK983053 D13">
      <formula1>"EUR,USD,GBP,JPY,CHF"</formula1>
    </dataValidation>
    <dataValidation type="list" allowBlank="1" showInputMessage="1" showErrorMessage="1" sqref="IY17:IY18 SU17:SU18 ACQ17:ACQ18 AMM17:AMM18 AWI17:AWI18 BGE17:BGE18 BQA17:BQA18 BZW17:BZW18 CJS17:CJS18 CTO17:CTO18 DDK17:DDK18 DNG17:DNG18 DXC17:DXC18 EGY17:EGY18 EQU17:EQU18 FAQ17:FAQ18 FKM17:FKM18 FUI17:FUI18 GEE17:GEE18 GOA17:GOA18 GXW17:GXW18 HHS17:HHS18 HRO17:HRO18 IBK17:IBK18 ILG17:ILG18 IVC17:IVC18 JEY17:JEY18 JOU17:JOU18 JYQ17:JYQ18 KIM17:KIM18 KSI17:KSI18 LCE17:LCE18 LMA17:LMA18 LVW17:LVW18 MFS17:MFS18 MPO17:MPO18 MZK17:MZK18 NJG17:NJG18 NTC17:NTC18 OCY17:OCY18 OMU17:OMU18 OWQ17:OWQ18 PGM17:PGM18 PQI17:PQI18 QAE17:QAE18 QKA17:QKA18 QTW17:QTW18 RDS17:RDS18 RNO17:RNO18 RXK17:RXK18 SHG17:SHG18 SRC17:SRC18 TAY17:TAY18 TKU17:TKU18 TUQ17:TUQ18 UEM17:UEM18 UOI17:UOI18 UYE17:UYE18 VIA17:VIA18 VRW17:VRW18 WBS17:WBS18 WLO17:WLO18 WVK17:WVK18 D65548:D65549 IY65553:IY65554 SU65553:SU65554 ACQ65553:ACQ65554 AMM65553:AMM65554 AWI65553:AWI65554 BGE65553:BGE65554 BQA65553:BQA65554 BZW65553:BZW65554 CJS65553:CJS65554 CTO65553:CTO65554 DDK65553:DDK65554 DNG65553:DNG65554 DXC65553:DXC65554 EGY65553:EGY65554 EQU65553:EQU65554 FAQ65553:FAQ65554 FKM65553:FKM65554 FUI65553:FUI65554 GEE65553:GEE65554 GOA65553:GOA65554 GXW65553:GXW65554 HHS65553:HHS65554 HRO65553:HRO65554 IBK65553:IBK65554 ILG65553:ILG65554 IVC65553:IVC65554 JEY65553:JEY65554 JOU65553:JOU65554 JYQ65553:JYQ65554 KIM65553:KIM65554 KSI65553:KSI65554 LCE65553:LCE65554 LMA65553:LMA65554 LVW65553:LVW65554 MFS65553:MFS65554 MPO65553:MPO65554 MZK65553:MZK65554 NJG65553:NJG65554 NTC65553:NTC65554 OCY65553:OCY65554 OMU65553:OMU65554 OWQ65553:OWQ65554 PGM65553:PGM65554 PQI65553:PQI65554 QAE65553:QAE65554 QKA65553:QKA65554 QTW65553:QTW65554 RDS65553:RDS65554 RNO65553:RNO65554 RXK65553:RXK65554 SHG65553:SHG65554 SRC65553:SRC65554 TAY65553:TAY65554 TKU65553:TKU65554 TUQ65553:TUQ65554 UEM65553:UEM65554 UOI65553:UOI65554 UYE65553:UYE65554 VIA65553:VIA65554 VRW65553:VRW65554 WBS65553:WBS65554 WLO65553:WLO65554 WVK65553:WVK65554 D131084:D131085 IY131089:IY131090 SU131089:SU131090 ACQ131089:ACQ131090 AMM131089:AMM131090 AWI131089:AWI131090 BGE131089:BGE131090 BQA131089:BQA131090 BZW131089:BZW131090 CJS131089:CJS131090 CTO131089:CTO131090 DDK131089:DDK131090 DNG131089:DNG131090 DXC131089:DXC131090 EGY131089:EGY131090 EQU131089:EQU131090 FAQ131089:FAQ131090 FKM131089:FKM131090 FUI131089:FUI131090 GEE131089:GEE131090 GOA131089:GOA131090 GXW131089:GXW131090 HHS131089:HHS131090 HRO131089:HRO131090 IBK131089:IBK131090 ILG131089:ILG131090 IVC131089:IVC131090 JEY131089:JEY131090 JOU131089:JOU131090 JYQ131089:JYQ131090 KIM131089:KIM131090 KSI131089:KSI131090 LCE131089:LCE131090 LMA131089:LMA131090 LVW131089:LVW131090 MFS131089:MFS131090 MPO131089:MPO131090 MZK131089:MZK131090 NJG131089:NJG131090 NTC131089:NTC131090 OCY131089:OCY131090 OMU131089:OMU131090 OWQ131089:OWQ131090 PGM131089:PGM131090 PQI131089:PQI131090 QAE131089:QAE131090 QKA131089:QKA131090 QTW131089:QTW131090 RDS131089:RDS131090 RNO131089:RNO131090 RXK131089:RXK131090 SHG131089:SHG131090 SRC131089:SRC131090 TAY131089:TAY131090 TKU131089:TKU131090 TUQ131089:TUQ131090 UEM131089:UEM131090 UOI131089:UOI131090 UYE131089:UYE131090 VIA131089:VIA131090 VRW131089:VRW131090 WBS131089:WBS131090 WLO131089:WLO131090 WVK131089:WVK131090 D196620:D196621 IY196625:IY196626 SU196625:SU196626 ACQ196625:ACQ196626 AMM196625:AMM196626 AWI196625:AWI196626 BGE196625:BGE196626 BQA196625:BQA196626 BZW196625:BZW196626 CJS196625:CJS196626 CTO196625:CTO196626 DDK196625:DDK196626 DNG196625:DNG196626 DXC196625:DXC196626 EGY196625:EGY196626 EQU196625:EQU196626 FAQ196625:FAQ196626 FKM196625:FKM196626 FUI196625:FUI196626 GEE196625:GEE196626 GOA196625:GOA196626 GXW196625:GXW196626 HHS196625:HHS196626 HRO196625:HRO196626 IBK196625:IBK196626 ILG196625:ILG196626 IVC196625:IVC196626 JEY196625:JEY196626 JOU196625:JOU196626 JYQ196625:JYQ196626 KIM196625:KIM196626 KSI196625:KSI196626 LCE196625:LCE196626 LMA196625:LMA196626 LVW196625:LVW196626 MFS196625:MFS196626 MPO196625:MPO196626 MZK196625:MZK196626 NJG196625:NJG196626 NTC196625:NTC196626 OCY196625:OCY196626 OMU196625:OMU196626 OWQ196625:OWQ196626 PGM196625:PGM196626 PQI196625:PQI196626 QAE196625:QAE196626 QKA196625:QKA196626 QTW196625:QTW196626 RDS196625:RDS196626 RNO196625:RNO196626 RXK196625:RXK196626 SHG196625:SHG196626 SRC196625:SRC196626 TAY196625:TAY196626 TKU196625:TKU196626 TUQ196625:TUQ196626 UEM196625:UEM196626 UOI196625:UOI196626 UYE196625:UYE196626 VIA196625:VIA196626 VRW196625:VRW196626 WBS196625:WBS196626 WLO196625:WLO196626 WVK196625:WVK196626 D262156:D262157 IY262161:IY262162 SU262161:SU262162 ACQ262161:ACQ262162 AMM262161:AMM262162 AWI262161:AWI262162 BGE262161:BGE262162 BQA262161:BQA262162 BZW262161:BZW262162 CJS262161:CJS262162 CTO262161:CTO262162 DDK262161:DDK262162 DNG262161:DNG262162 DXC262161:DXC262162 EGY262161:EGY262162 EQU262161:EQU262162 FAQ262161:FAQ262162 FKM262161:FKM262162 FUI262161:FUI262162 GEE262161:GEE262162 GOA262161:GOA262162 GXW262161:GXW262162 HHS262161:HHS262162 HRO262161:HRO262162 IBK262161:IBK262162 ILG262161:ILG262162 IVC262161:IVC262162 JEY262161:JEY262162 JOU262161:JOU262162 JYQ262161:JYQ262162 KIM262161:KIM262162 KSI262161:KSI262162 LCE262161:LCE262162 LMA262161:LMA262162 LVW262161:LVW262162 MFS262161:MFS262162 MPO262161:MPO262162 MZK262161:MZK262162 NJG262161:NJG262162 NTC262161:NTC262162 OCY262161:OCY262162 OMU262161:OMU262162 OWQ262161:OWQ262162 PGM262161:PGM262162 PQI262161:PQI262162 QAE262161:QAE262162 QKA262161:QKA262162 QTW262161:QTW262162 RDS262161:RDS262162 RNO262161:RNO262162 RXK262161:RXK262162 SHG262161:SHG262162 SRC262161:SRC262162 TAY262161:TAY262162 TKU262161:TKU262162 TUQ262161:TUQ262162 UEM262161:UEM262162 UOI262161:UOI262162 UYE262161:UYE262162 VIA262161:VIA262162 VRW262161:VRW262162 WBS262161:WBS262162 WLO262161:WLO262162 WVK262161:WVK262162 D327692:D327693 IY327697:IY327698 SU327697:SU327698 ACQ327697:ACQ327698 AMM327697:AMM327698 AWI327697:AWI327698 BGE327697:BGE327698 BQA327697:BQA327698 BZW327697:BZW327698 CJS327697:CJS327698 CTO327697:CTO327698 DDK327697:DDK327698 DNG327697:DNG327698 DXC327697:DXC327698 EGY327697:EGY327698 EQU327697:EQU327698 FAQ327697:FAQ327698 FKM327697:FKM327698 FUI327697:FUI327698 GEE327697:GEE327698 GOA327697:GOA327698 GXW327697:GXW327698 HHS327697:HHS327698 HRO327697:HRO327698 IBK327697:IBK327698 ILG327697:ILG327698 IVC327697:IVC327698 JEY327697:JEY327698 JOU327697:JOU327698 JYQ327697:JYQ327698 KIM327697:KIM327698 KSI327697:KSI327698 LCE327697:LCE327698 LMA327697:LMA327698 LVW327697:LVW327698 MFS327697:MFS327698 MPO327697:MPO327698 MZK327697:MZK327698 NJG327697:NJG327698 NTC327697:NTC327698 OCY327697:OCY327698 OMU327697:OMU327698 OWQ327697:OWQ327698 PGM327697:PGM327698 PQI327697:PQI327698 QAE327697:QAE327698 QKA327697:QKA327698 QTW327697:QTW327698 RDS327697:RDS327698 RNO327697:RNO327698 RXK327697:RXK327698 SHG327697:SHG327698 SRC327697:SRC327698 TAY327697:TAY327698 TKU327697:TKU327698 TUQ327697:TUQ327698 UEM327697:UEM327698 UOI327697:UOI327698 UYE327697:UYE327698 VIA327697:VIA327698 VRW327697:VRW327698 WBS327697:WBS327698 WLO327697:WLO327698 WVK327697:WVK327698 D393228:D393229 IY393233:IY393234 SU393233:SU393234 ACQ393233:ACQ393234 AMM393233:AMM393234 AWI393233:AWI393234 BGE393233:BGE393234 BQA393233:BQA393234 BZW393233:BZW393234 CJS393233:CJS393234 CTO393233:CTO393234 DDK393233:DDK393234 DNG393233:DNG393234 DXC393233:DXC393234 EGY393233:EGY393234 EQU393233:EQU393234 FAQ393233:FAQ393234 FKM393233:FKM393234 FUI393233:FUI393234 GEE393233:GEE393234 GOA393233:GOA393234 GXW393233:GXW393234 HHS393233:HHS393234 HRO393233:HRO393234 IBK393233:IBK393234 ILG393233:ILG393234 IVC393233:IVC393234 JEY393233:JEY393234 JOU393233:JOU393234 JYQ393233:JYQ393234 KIM393233:KIM393234 KSI393233:KSI393234 LCE393233:LCE393234 LMA393233:LMA393234 LVW393233:LVW393234 MFS393233:MFS393234 MPO393233:MPO393234 MZK393233:MZK393234 NJG393233:NJG393234 NTC393233:NTC393234 OCY393233:OCY393234 OMU393233:OMU393234 OWQ393233:OWQ393234 PGM393233:PGM393234 PQI393233:PQI393234 QAE393233:QAE393234 QKA393233:QKA393234 QTW393233:QTW393234 RDS393233:RDS393234 RNO393233:RNO393234 RXK393233:RXK393234 SHG393233:SHG393234 SRC393233:SRC393234 TAY393233:TAY393234 TKU393233:TKU393234 TUQ393233:TUQ393234 UEM393233:UEM393234 UOI393233:UOI393234 UYE393233:UYE393234 VIA393233:VIA393234 VRW393233:VRW393234 WBS393233:WBS393234 WLO393233:WLO393234 WVK393233:WVK393234 D458764:D458765 IY458769:IY458770 SU458769:SU458770 ACQ458769:ACQ458770 AMM458769:AMM458770 AWI458769:AWI458770 BGE458769:BGE458770 BQA458769:BQA458770 BZW458769:BZW458770 CJS458769:CJS458770 CTO458769:CTO458770 DDK458769:DDK458770 DNG458769:DNG458770 DXC458769:DXC458770 EGY458769:EGY458770 EQU458769:EQU458770 FAQ458769:FAQ458770 FKM458769:FKM458770 FUI458769:FUI458770 GEE458769:GEE458770 GOA458769:GOA458770 GXW458769:GXW458770 HHS458769:HHS458770 HRO458769:HRO458770 IBK458769:IBK458770 ILG458769:ILG458770 IVC458769:IVC458770 JEY458769:JEY458770 JOU458769:JOU458770 JYQ458769:JYQ458770 KIM458769:KIM458770 KSI458769:KSI458770 LCE458769:LCE458770 LMA458769:LMA458770 LVW458769:LVW458770 MFS458769:MFS458770 MPO458769:MPO458770 MZK458769:MZK458770 NJG458769:NJG458770 NTC458769:NTC458770 OCY458769:OCY458770 OMU458769:OMU458770 OWQ458769:OWQ458770 PGM458769:PGM458770 PQI458769:PQI458770 QAE458769:QAE458770 QKA458769:QKA458770 QTW458769:QTW458770 RDS458769:RDS458770 RNO458769:RNO458770 RXK458769:RXK458770 SHG458769:SHG458770 SRC458769:SRC458770 TAY458769:TAY458770 TKU458769:TKU458770 TUQ458769:TUQ458770 UEM458769:UEM458770 UOI458769:UOI458770 UYE458769:UYE458770 VIA458769:VIA458770 VRW458769:VRW458770 WBS458769:WBS458770 WLO458769:WLO458770 WVK458769:WVK458770 D524300:D524301 IY524305:IY524306 SU524305:SU524306 ACQ524305:ACQ524306 AMM524305:AMM524306 AWI524305:AWI524306 BGE524305:BGE524306 BQA524305:BQA524306 BZW524305:BZW524306 CJS524305:CJS524306 CTO524305:CTO524306 DDK524305:DDK524306 DNG524305:DNG524306 DXC524305:DXC524306 EGY524305:EGY524306 EQU524305:EQU524306 FAQ524305:FAQ524306 FKM524305:FKM524306 FUI524305:FUI524306 GEE524305:GEE524306 GOA524305:GOA524306 GXW524305:GXW524306 HHS524305:HHS524306 HRO524305:HRO524306 IBK524305:IBK524306 ILG524305:ILG524306 IVC524305:IVC524306 JEY524305:JEY524306 JOU524305:JOU524306 JYQ524305:JYQ524306 KIM524305:KIM524306 KSI524305:KSI524306 LCE524305:LCE524306 LMA524305:LMA524306 LVW524305:LVW524306 MFS524305:MFS524306 MPO524305:MPO524306 MZK524305:MZK524306 NJG524305:NJG524306 NTC524305:NTC524306 OCY524305:OCY524306 OMU524305:OMU524306 OWQ524305:OWQ524306 PGM524305:PGM524306 PQI524305:PQI524306 QAE524305:QAE524306 QKA524305:QKA524306 QTW524305:QTW524306 RDS524305:RDS524306 RNO524305:RNO524306 RXK524305:RXK524306 SHG524305:SHG524306 SRC524305:SRC524306 TAY524305:TAY524306 TKU524305:TKU524306 TUQ524305:TUQ524306 UEM524305:UEM524306 UOI524305:UOI524306 UYE524305:UYE524306 VIA524305:VIA524306 VRW524305:VRW524306 WBS524305:WBS524306 WLO524305:WLO524306 WVK524305:WVK524306 D589836:D589837 IY589841:IY589842 SU589841:SU589842 ACQ589841:ACQ589842 AMM589841:AMM589842 AWI589841:AWI589842 BGE589841:BGE589842 BQA589841:BQA589842 BZW589841:BZW589842 CJS589841:CJS589842 CTO589841:CTO589842 DDK589841:DDK589842 DNG589841:DNG589842 DXC589841:DXC589842 EGY589841:EGY589842 EQU589841:EQU589842 FAQ589841:FAQ589842 FKM589841:FKM589842 FUI589841:FUI589842 GEE589841:GEE589842 GOA589841:GOA589842 GXW589841:GXW589842 HHS589841:HHS589842 HRO589841:HRO589842 IBK589841:IBK589842 ILG589841:ILG589842 IVC589841:IVC589842 JEY589841:JEY589842 JOU589841:JOU589842 JYQ589841:JYQ589842 KIM589841:KIM589842 KSI589841:KSI589842 LCE589841:LCE589842 LMA589841:LMA589842 LVW589841:LVW589842 MFS589841:MFS589842 MPO589841:MPO589842 MZK589841:MZK589842 NJG589841:NJG589842 NTC589841:NTC589842 OCY589841:OCY589842 OMU589841:OMU589842 OWQ589841:OWQ589842 PGM589841:PGM589842 PQI589841:PQI589842 QAE589841:QAE589842 QKA589841:QKA589842 QTW589841:QTW589842 RDS589841:RDS589842 RNO589841:RNO589842 RXK589841:RXK589842 SHG589841:SHG589842 SRC589841:SRC589842 TAY589841:TAY589842 TKU589841:TKU589842 TUQ589841:TUQ589842 UEM589841:UEM589842 UOI589841:UOI589842 UYE589841:UYE589842 VIA589841:VIA589842 VRW589841:VRW589842 WBS589841:WBS589842 WLO589841:WLO589842 WVK589841:WVK589842 D655372:D655373 IY655377:IY655378 SU655377:SU655378 ACQ655377:ACQ655378 AMM655377:AMM655378 AWI655377:AWI655378 BGE655377:BGE655378 BQA655377:BQA655378 BZW655377:BZW655378 CJS655377:CJS655378 CTO655377:CTO655378 DDK655377:DDK655378 DNG655377:DNG655378 DXC655377:DXC655378 EGY655377:EGY655378 EQU655377:EQU655378 FAQ655377:FAQ655378 FKM655377:FKM655378 FUI655377:FUI655378 GEE655377:GEE655378 GOA655377:GOA655378 GXW655377:GXW655378 HHS655377:HHS655378 HRO655377:HRO655378 IBK655377:IBK655378 ILG655377:ILG655378 IVC655377:IVC655378 JEY655377:JEY655378 JOU655377:JOU655378 JYQ655377:JYQ655378 KIM655377:KIM655378 KSI655377:KSI655378 LCE655377:LCE655378 LMA655377:LMA655378 LVW655377:LVW655378 MFS655377:MFS655378 MPO655377:MPO655378 MZK655377:MZK655378 NJG655377:NJG655378 NTC655377:NTC655378 OCY655377:OCY655378 OMU655377:OMU655378 OWQ655377:OWQ655378 PGM655377:PGM655378 PQI655377:PQI655378 QAE655377:QAE655378 QKA655377:QKA655378 QTW655377:QTW655378 RDS655377:RDS655378 RNO655377:RNO655378 RXK655377:RXK655378 SHG655377:SHG655378 SRC655377:SRC655378 TAY655377:TAY655378 TKU655377:TKU655378 TUQ655377:TUQ655378 UEM655377:UEM655378 UOI655377:UOI655378 UYE655377:UYE655378 VIA655377:VIA655378 VRW655377:VRW655378 WBS655377:WBS655378 WLO655377:WLO655378 WVK655377:WVK655378 D720908:D720909 IY720913:IY720914 SU720913:SU720914 ACQ720913:ACQ720914 AMM720913:AMM720914 AWI720913:AWI720914 BGE720913:BGE720914 BQA720913:BQA720914 BZW720913:BZW720914 CJS720913:CJS720914 CTO720913:CTO720914 DDK720913:DDK720914 DNG720913:DNG720914 DXC720913:DXC720914 EGY720913:EGY720914 EQU720913:EQU720914 FAQ720913:FAQ720914 FKM720913:FKM720914 FUI720913:FUI720914 GEE720913:GEE720914 GOA720913:GOA720914 GXW720913:GXW720914 HHS720913:HHS720914 HRO720913:HRO720914 IBK720913:IBK720914 ILG720913:ILG720914 IVC720913:IVC720914 JEY720913:JEY720914 JOU720913:JOU720914 JYQ720913:JYQ720914 KIM720913:KIM720914 KSI720913:KSI720914 LCE720913:LCE720914 LMA720913:LMA720914 LVW720913:LVW720914 MFS720913:MFS720914 MPO720913:MPO720914 MZK720913:MZK720914 NJG720913:NJG720914 NTC720913:NTC720914 OCY720913:OCY720914 OMU720913:OMU720914 OWQ720913:OWQ720914 PGM720913:PGM720914 PQI720913:PQI720914 QAE720913:QAE720914 QKA720913:QKA720914 QTW720913:QTW720914 RDS720913:RDS720914 RNO720913:RNO720914 RXK720913:RXK720914 SHG720913:SHG720914 SRC720913:SRC720914 TAY720913:TAY720914 TKU720913:TKU720914 TUQ720913:TUQ720914 UEM720913:UEM720914 UOI720913:UOI720914 UYE720913:UYE720914 VIA720913:VIA720914 VRW720913:VRW720914 WBS720913:WBS720914 WLO720913:WLO720914 WVK720913:WVK720914 D786444:D786445 IY786449:IY786450 SU786449:SU786450 ACQ786449:ACQ786450 AMM786449:AMM786450 AWI786449:AWI786450 BGE786449:BGE786450 BQA786449:BQA786450 BZW786449:BZW786450 CJS786449:CJS786450 CTO786449:CTO786450 DDK786449:DDK786450 DNG786449:DNG786450 DXC786449:DXC786450 EGY786449:EGY786450 EQU786449:EQU786450 FAQ786449:FAQ786450 FKM786449:FKM786450 FUI786449:FUI786450 GEE786449:GEE786450 GOA786449:GOA786450 GXW786449:GXW786450 HHS786449:HHS786450 HRO786449:HRO786450 IBK786449:IBK786450 ILG786449:ILG786450 IVC786449:IVC786450 JEY786449:JEY786450 JOU786449:JOU786450 JYQ786449:JYQ786450 KIM786449:KIM786450 KSI786449:KSI786450 LCE786449:LCE786450 LMA786449:LMA786450 LVW786449:LVW786450 MFS786449:MFS786450 MPO786449:MPO786450 MZK786449:MZK786450 NJG786449:NJG786450 NTC786449:NTC786450 OCY786449:OCY786450 OMU786449:OMU786450 OWQ786449:OWQ786450 PGM786449:PGM786450 PQI786449:PQI786450 QAE786449:QAE786450 QKA786449:QKA786450 QTW786449:QTW786450 RDS786449:RDS786450 RNO786449:RNO786450 RXK786449:RXK786450 SHG786449:SHG786450 SRC786449:SRC786450 TAY786449:TAY786450 TKU786449:TKU786450 TUQ786449:TUQ786450 UEM786449:UEM786450 UOI786449:UOI786450 UYE786449:UYE786450 VIA786449:VIA786450 VRW786449:VRW786450 WBS786449:WBS786450 WLO786449:WLO786450 WVK786449:WVK786450 D851980:D851981 IY851985:IY851986 SU851985:SU851986 ACQ851985:ACQ851986 AMM851985:AMM851986 AWI851985:AWI851986 BGE851985:BGE851986 BQA851985:BQA851986 BZW851985:BZW851986 CJS851985:CJS851986 CTO851985:CTO851986 DDK851985:DDK851986 DNG851985:DNG851986 DXC851985:DXC851986 EGY851985:EGY851986 EQU851985:EQU851986 FAQ851985:FAQ851986 FKM851985:FKM851986 FUI851985:FUI851986 GEE851985:GEE851986 GOA851985:GOA851986 GXW851985:GXW851986 HHS851985:HHS851986 HRO851985:HRO851986 IBK851985:IBK851986 ILG851985:ILG851986 IVC851985:IVC851986 JEY851985:JEY851986 JOU851985:JOU851986 JYQ851985:JYQ851986 KIM851985:KIM851986 KSI851985:KSI851986 LCE851985:LCE851986 LMA851985:LMA851986 LVW851985:LVW851986 MFS851985:MFS851986 MPO851985:MPO851986 MZK851985:MZK851986 NJG851985:NJG851986 NTC851985:NTC851986 OCY851985:OCY851986 OMU851985:OMU851986 OWQ851985:OWQ851986 PGM851985:PGM851986 PQI851985:PQI851986 QAE851985:QAE851986 QKA851985:QKA851986 QTW851985:QTW851986 RDS851985:RDS851986 RNO851985:RNO851986 RXK851985:RXK851986 SHG851985:SHG851986 SRC851985:SRC851986 TAY851985:TAY851986 TKU851985:TKU851986 TUQ851985:TUQ851986 UEM851985:UEM851986 UOI851985:UOI851986 UYE851985:UYE851986 VIA851985:VIA851986 VRW851985:VRW851986 WBS851985:WBS851986 WLO851985:WLO851986 WVK851985:WVK851986 D917516:D917517 IY917521:IY917522 SU917521:SU917522 ACQ917521:ACQ917522 AMM917521:AMM917522 AWI917521:AWI917522 BGE917521:BGE917522 BQA917521:BQA917522 BZW917521:BZW917522 CJS917521:CJS917522 CTO917521:CTO917522 DDK917521:DDK917522 DNG917521:DNG917522 DXC917521:DXC917522 EGY917521:EGY917522 EQU917521:EQU917522 FAQ917521:FAQ917522 FKM917521:FKM917522 FUI917521:FUI917522 GEE917521:GEE917522 GOA917521:GOA917522 GXW917521:GXW917522 HHS917521:HHS917522 HRO917521:HRO917522 IBK917521:IBK917522 ILG917521:ILG917522 IVC917521:IVC917522 JEY917521:JEY917522 JOU917521:JOU917522 JYQ917521:JYQ917522 KIM917521:KIM917522 KSI917521:KSI917522 LCE917521:LCE917522 LMA917521:LMA917522 LVW917521:LVW917522 MFS917521:MFS917522 MPO917521:MPO917522 MZK917521:MZK917522 NJG917521:NJG917522 NTC917521:NTC917522 OCY917521:OCY917522 OMU917521:OMU917522 OWQ917521:OWQ917522 PGM917521:PGM917522 PQI917521:PQI917522 QAE917521:QAE917522 QKA917521:QKA917522 QTW917521:QTW917522 RDS917521:RDS917522 RNO917521:RNO917522 RXK917521:RXK917522 SHG917521:SHG917522 SRC917521:SRC917522 TAY917521:TAY917522 TKU917521:TKU917522 TUQ917521:TUQ917522 UEM917521:UEM917522 UOI917521:UOI917522 UYE917521:UYE917522 VIA917521:VIA917522 VRW917521:VRW917522 WBS917521:WBS917522 WLO917521:WLO917522 WVK917521:WVK917522 D983052:D983053 IY983057:IY983058 SU983057:SU983058 ACQ983057:ACQ983058 AMM983057:AMM983058 AWI983057:AWI983058 BGE983057:BGE983058 BQA983057:BQA983058 BZW983057:BZW983058 CJS983057:CJS983058 CTO983057:CTO983058 DDK983057:DDK983058 DNG983057:DNG983058 DXC983057:DXC983058 EGY983057:EGY983058 EQU983057:EQU983058 FAQ983057:FAQ983058 FKM983057:FKM983058 FUI983057:FUI983058 GEE983057:GEE983058 GOA983057:GOA983058 GXW983057:GXW983058 HHS983057:HHS983058 HRO983057:HRO983058 IBK983057:IBK983058 ILG983057:ILG983058 IVC983057:IVC983058 JEY983057:JEY983058 JOU983057:JOU983058 JYQ983057:JYQ983058 KIM983057:KIM983058 KSI983057:KSI983058 LCE983057:LCE983058 LMA983057:LMA983058 LVW983057:LVW983058 MFS983057:MFS983058 MPO983057:MPO983058 MZK983057:MZK983058 NJG983057:NJG983058 NTC983057:NTC983058 OCY983057:OCY983058 OMU983057:OMU983058 OWQ983057:OWQ983058 PGM983057:PGM983058 PQI983057:PQI983058 QAE983057:QAE983058 QKA983057:QKA983058 QTW983057:QTW983058 RDS983057:RDS983058 RNO983057:RNO983058 RXK983057:RXK983058 SHG983057:SHG983058 SRC983057:SRC983058 TAY983057:TAY983058 TKU983057:TKU983058 TUQ983057:TUQ983058 UEM983057:UEM983058 UOI983057:UOI983058 UYE983057:UYE983058 VIA983057:VIA983058 VRW983057:VRW983058 WBS983057:WBS983058 WLO983057:WLO983058 WVK983057:WVK983058 D20">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Y37"/>
  <sheetViews>
    <sheetView showGridLines="0" workbookViewId="0">
      <selection activeCell="D8" sqref="D8"/>
    </sheetView>
  </sheetViews>
  <sheetFormatPr defaultRowHeight="11.25" x14ac:dyDescent="0.2"/>
  <cols>
    <col min="1" max="2" width="2.7109375" style="300" customWidth="1"/>
    <col min="3" max="3" width="10.140625" style="300" bestFit="1" customWidth="1"/>
    <col min="4" max="5" width="19.42578125" style="300" customWidth="1"/>
    <col min="6" max="6" width="34.85546875" style="300" bestFit="1" customWidth="1"/>
    <col min="7" max="7" width="2.42578125" style="300" customWidth="1"/>
    <col min="8" max="8" width="14.85546875" style="300" customWidth="1"/>
    <col min="9" max="9" width="15.7109375" style="300" customWidth="1"/>
    <col min="10" max="10" width="10" style="300" customWidth="1"/>
    <col min="11" max="11" width="13.7109375" style="300" customWidth="1"/>
    <col min="12" max="12" width="13.140625" style="300" customWidth="1"/>
    <col min="13" max="13" width="14.140625" style="300" bestFit="1" customWidth="1"/>
    <col min="14" max="14" width="3" style="300" customWidth="1"/>
    <col min="15" max="15" width="2.7109375" style="300" customWidth="1"/>
    <col min="16" max="16" width="12.5703125" style="300" bestFit="1" customWidth="1"/>
    <col min="17" max="21" width="9.140625" style="300"/>
    <col min="22" max="23" width="2.7109375" style="300" customWidth="1"/>
    <col min="24" max="16384" width="9.140625" style="300"/>
  </cols>
  <sheetData>
    <row r="1" spans="2:18" s="301" customFormat="1" x14ac:dyDescent="0.2">
      <c r="H1" s="300"/>
      <c r="I1" s="300"/>
      <c r="J1" s="300"/>
      <c r="K1" s="300"/>
      <c r="L1" s="300"/>
      <c r="M1" s="300"/>
      <c r="N1" s="300"/>
      <c r="O1" s="300"/>
      <c r="P1" s="300"/>
      <c r="Q1" s="300"/>
      <c r="R1" s="300"/>
    </row>
    <row r="2" spans="2:18" s="301" customFormat="1" ht="12" x14ac:dyDescent="0.25">
      <c r="B2" s="127"/>
      <c r="C2" s="123"/>
      <c r="D2" s="338"/>
      <c r="E2" s="336"/>
      <c r="F2" s="336"/>
      <c r="G2" s="336"/>
      <c r="H2" s="337"/>
      <c r="I2" s="336"/>
      <c r="J2" s="336"/>
      <c r="K2" s="336"/>
      <c r="L2" s="336"/>
      <c r="M2" s="336"/>
      <c r="N2" s="335"/>
    </row>
    <row r="3" spans="2:18" s="301" customFormat="1" ht="22.5" customHeight="1" thickBot="1" x14ac:dyDescent="0.25">
      <c r="B3" s="113"/>
      <c r="C3" s="334" t="s">
        <v>107</v>
      </c>
      <c r="D3" s="334" t="s">
        <v>198</v>
      </c>
      <c r="E3" s="334" t="s">
        <v>14</v>
      </c>
      <c r="F3" s="334" t="s">
        <v>197</v>
      </c>
      <c r="G3" s="333"/>
      <c r="H3" s="332" t="e">
        <f ca="1">_xll.RData(H5:H12,I3:J3,,,,I5)</f>
        <v>#NAME?</v>
      </c>
      <c r="I3" s="331" t="s">
        <v>196</v>
      </c>
      <c r="J3" s="331" t="s">
        <v>82</v>
      </c>
      <c r="K3" s="331" t="s">
        <v>195</v>
      </c>
      <c r="L3" s="331" t="s">
        <v>5</v>
      </c>
      <c r="M3" s="331" t="s">
        <v>194</v>
      </c>
      <c r="N3" s="311"/>
    </row>
    <row r="4" spans="2:18" s="301" customFormat="1" ht="15" x14ac:dyDescent="0.25">
      <c r="B4" s="113"/>
      <c r="C4" s="260" t="s">
        <v>185</v>
      </c>
      <c r="D4" s="324" t="str">
        <f ca="1">_xll.cfyql_RelinkableHandleYieldTermStructure(UPPER(Currency)&amp;C4,,Permanent,Trigger,ObjectOverwrite)</f>
        <v>EURON</v>
      </c>
      <c r="E4" s="323" t="e">
        <f ca="1">_xll.qlEonia("Eonia",D4,Permanent,Trigger,ObjectOverwrite)</f>
        <v>#NAME?</v>
      </c>
      <c r="F4" s="323" t="e">
        <f ca="1">_xll.qlLastFixingQuote("Eonia"&amp;$F$3,E4,Permanent,Trigger,ObjectOverwrite)</f>
        <v>#NAME?</v>
      </c>
      <c r="G4" s="316"/>
      <c r="H4" s="330"/>
      <c r="I4" s="330"/>
      <c r="J4" s="330"/>
      <c r="K4" s="330"/>
      <c r="L4" s="330"/>
      <c r="M4" s="330"/>
      <c r="N4" s="311"/>
      <c r="P4" s="1361" t="s">
        <v>529</v>
      </c>
      <c r="Q4" s="1364" t="e">
        <f ca="1">_xll.ohTrigger('General Settings'!Trigger)</f>
        <v>#NAME?</v>
      </c>
    </row>
    <row r="5" spans="2:18" s="301" customFormat="1" ht="15.75" thickBot="1" x14ac:dyDescent="0.3">
      <c r="B5" s="113"/>
      <c r="C5" s="260" t="s">
        <v>178</v>
      </c>
      <c r="D5" s="324"/>
      <c r="E5" s="323" t="e">
        <f ca="1">_xll.qlEuribor(PROPER(Currency)&amp;FamilyName&amp;C5,C5,D5,Permanent,Trigger,ObjectOverwrite)</f>
        <v>#NAME?</v>
      </c>
      <c r="F5" s="323" t="e">
        <f ca="1">_xll.qlLastFixingQuote(PROPER(Currency)&amp;FamilyName&amp;C5&amp;$F$3,E5,Permanent,Trigger,ObjectOverwrite)</f>
        <v>#NAME?</v>
      </c>
      <c r="G5" s="316"/>
      <c r="H5" s="325" t="str">
        <f t="shared" ref="H5:H12" si="0">UPPER(Currency&amp;FamilyName)&amp;C5&amp;"D="</f>
        <v>EURIBORSWD=</v>
      </c>
      <c r="I5" s="328">
        <v>42277</v>
      </c>
      <c r="J5" s="327">
        <v>-0.14499999999999999</v>
      </c>
      <c r="K5" s="327" t="e">
        <f ca="1">IF(AND(ISNUMBER($J5),$J5&lt;&gt;0%,_xll.ohTrigger(Trigger)+1),TRUE,FALSE)</f>
        <v>#NAME?</v>
      </c>
      <c r="L5" s="326" t="e">
        <f ca="1">IF($K5,_xll.qlIndexAddFixings($E5,$I5,$J5/100,TRUE,ISERROR($M5)),NA())</f>
        <v>#NAME?</v>
      </c>
      <c r="M5" s="329" t="e">
        <f ca="1">_xll.qlIndexFixing($E5,$I5,TRUE,$K5)</f>
        <v>#NAME?</v>
      </c>
      <c r="N5" s="311"/>
      <c r="P5" s="1362" t="s">
        <v>530</v>
      </c>
      <c r="Q5" s="1365" t="e">
        <f ca="1">_xll.ohTrigger(E4:F13)</f>
        <v>#NAME?</v>
      </c>
    </row>
    <row r="6" spans="2:18" s="301" customFormat="1" x14ac:dyDescent="0.2">
      <c r="B6" s="113"/>
      <c r="C6" s="260" t="s">
        <v>177</v>
      </c>
      <c r="D6" s="324"/>
      <c r="E6" s="323" t="e">
        <f ca="1">_xll.qlEuribor(PROPER(Currency)&amp;FamilyName&amp;C6,C6,D6,Permanent,Trigger,ObjectOverwrite)</f>
        <v>#NAME?</v>
      </c>
      <c r="F6" s="323" t="e">
        <f ca="1">_xll.qlLastFixingQuote(PROPER(Currency)&amp;FamilyName&amp;C6&amp;$F$3,E6,Permanent,Trigger,ObjectOverwrite)</f>
        <v>#NAME?</v>
      </c>
      <c r="G6" s="316"/>
      <c r="H6" s="325" t="str">
        <f t="shared" si="0"/>
        <v>EURIBOR2WD=</v>
      </c>
      <c r="I6" s="328">
        <v>42277</v>
      </c>
      <c r="J6" s="327">
        <v>-0.14299999999999999</v>
      </c>
      <c r="K6" s="327" t="e">
        <f ca="1">IF(AND(ISNUMBER($J6),$J6&lt;&gt;0%,_xll.ohTrigger(Trigger)+1),TRUE,FALSE)</f>
        <v>#NAME?</v>
      </c>
      <c r="L6" s="326" t="e">
        <f ca="1">IF($K6,_xll.qlIndexAddFixings($E6,$I6,$J6/100,TRUE,ISERROR($M6)),NA())</f>
        <v>#NAME?</v>
      </c>
      <c r="M6" s="325" t="e">
        <f ca="1">_xll.qlIndexFixing($E6,$I6,TRUE,$K6)</f>
        <v>#NAME?</v>
      </c>
      <c r="N6" s="311"/>
    </row>
    <row r="7" spans="2:18" s="301" customFormat="1" x14ac:dyDescent="0.2">
      <c r="B7" s="113"/>
      <c r="C7" s="260" t="s">
        <v>175</v>
      </c>
      <c r="D7" s="324" t="str">
        <f ca="1">_xll.cfyql_RelinkableHandleYieldTermStructure(UPPER(Currency)&amp;C7,,Permanent,Trigger,ObjectOverwrite)</f>
        <v>EUR1M</v>
      </c>
      <c r="E7" s="323" t="e">
        <f ca="1">_xll.qlEuribor(PROPER(Currency)&amp;FamilyName&amp;C7,C7,D7,Permanent,Trigger,ObjectOverwrite)</f>
        <v>#NAME?</v>
      </c>
      <c r="F7" s="323" t="e">
        <f ca="1">_xll.qlLastFixingQuote(PROPER(Currency)&amp;FamilyName&amp;C7&amp;$F$3,E7,Permanent,Trigger,ObjectOverwrite)</f>
        <v>#NAME?</v>
      </c>
      <c r="G7" s="316"/>
      <c r="H7" s="325" t="str">
        <f t="shared" si="0"/>
        <v>EURIBOR1MD=</v>
      </c>
      <c r="I7" s="328">
        <v>42277</v>
      </c>
      <c r="J7" s="327">
        <v>-0.11299999999999999</v>
      </c>
      <c r="K7" s="327" t="e">
        <f ca="1">IF(AND(ISNUMBER($J7),$J7&lt;&gt;0%,_xll.ohTrigger(Trigger)+1),TRUE,FALSE)</f>
        <v>#NAME?</v>
      </c>
      <c r="L7" s="326" t="e">
        <f ca="1">IF($K7,_xll.qlIndexAddFixings($E7,$I7,$J7/100,TRUE,ISERROR($M7)),NA())</f>
        <v>#NAME?</v>
      </c>
      <c r="M7" s="325" t="e">
        <f ca="1">_xll.qlIndexFixing($E7,$I7,TRUE,$K7)</f>
        <v>#NAME?</v>
      </c>
      <c r="N7" s="311"/>
    </row>
    <row r="8" spans="2:18" s="301" customFormat="1" x14ac:dyDescent="0.2">
      <c r="B8" s="113"/>
      <c r="C8" s="260" t="s">
        <v>174</v>
      </c>
      <c r="D8" s="324"/>
      <c r="E8" s="323" t="e">
        <f ca="1">_xll.qlEuribor(PROPER(Currency)&amp;FamilyName&amp;C8,C8,D8,Permanent,Trigger,ObjectOverwrite)</f>
        <v>#NAME?</v>
      </c>
      <c r="F8" s="323" t="e">
        <f ca="1">_xll.qlLastFixingQuote(PROPER(Currency)&amp;FamilyName&amp;C8&amp;$F$3,E8,Permanent,Trigger,ObjectOverwrite)</f>
        <v>#NAME?</v>
      </c>
      <c r="G8" s="316"/>
      <c r="H8" s="325" t="str">
        <f t="shared" si="0"/>
        <v>EURIBOR2MD=</v>
      </c>
      <c r="I8" s="328">
        <v>42277</v>
      </c>
      <c r="J8" s="327">
        <v>-6.9999999999999993E-2</v>
      </c>
      <c r="K8" s="327" t="e">
        <f ca="1">IF(AND(ISNUMBER($J8),$J8&lt;&gt;0%,_xll.ohTrigger(Trigger)+1),TRUE,FALSE)</f>
        <v>#NAME?</v>
      </c>
      <c r="L8" s="326" t="e">
        <f ca="1">IF($K8,_xll.qlIndexAddFixings($E8,$I8,$J8/100,TRUE,ISERROR($M8)),NA())</f>
        <v>#NAME?</v>
      </c>
      <c r="M8" s="325" t="e">
        <f ca="1">_xll.qlIndexFixing($E8,$I8,TRUE,$K8)</f>
        <v>#NAME?</v>
      </c>
      <c r="N8" s="311"/>
    </row>
    <row r="9" spans="2:18" s="301" customFormat="1" x14ac:dyDescent="0.2">
      <c r="B9" s="113"/>
      <c r="C9" s="260" t="s">
        <v>127</v>
      </c>
      <c r="D9" s="324" t="str">
        <f ca="1">_xll.cfyql_RelinkableHandleYieldTermStructure(UPPER(Currency)&amp;C9,,Permanent,Trigger,ObjectOverwrite)</f>
        <v>EUR3M</v>
      </c>
      <c r="E9" s="323" t="e">
        <f ca="1">_xll.qlEuribor(PROPER(Currency)&amp;FamilyName&amp;C9,C9,D9,Permanent,Trigger,ObjectOverwrite)</f>
        <v>#NAME?</v>
      </c>
      <c r="F9" s="323" t="e">
        <f ca="1">_xll.qlLastFixingQuote(PROPER(Currency)&amp;FamilyName&amp;C9&amp;$F$3,E9,Permanent,Trigger,ObjectOverwrite)</f>
        <v>#NAME?</v>
      </c>
      <c r="G9" s="316"/>
      <c r="H9" s="325" t="str">
        <f t="shared" si="0"/>
        <v>EURIBOR3MD=</v>
      </c>
      <c r="I9" s="328">
        <v>42277</v>
      </c>
      <c r="J9" s="327">
        <v>-0.04</v>
      </c>
      <c r="K9" s="327" t="e">
        <f ca="1">IF(AND(ISNUMBER($J9),$J9&lt;&gt;0%,_xll.ohTrigger(Trigger)+1),TRUE,FALSE)</f>
        <v>#NAME?</v>
      </c>
      <c r="L9" s="326" t="e">
        <f ca="1">IF($K9,_xll.qlIndexAddFixings($E9,$I9,$J9/100,TRUE,ISERROR($M9)),NA())</f>
        <v>#NAME?</v>
      </c>
      <c r="M9" s="325" t="e">
        <f ca="1">_xll.qlIndexFixing($E9,$I9,TRUE,$K9)</f>
        <v>#NAME?</v>
      </c>
      <c r="N9" s="311"/>
    </row>
    <row r="10" spans="2:18" s="301" customFormat="1" x14ac:dyDescent="0.2">
      <c r="B10" s="113"/>
      <c r="C10" s="260" t="s">
        <v>92</v>
      </c>
      <c r="D10" s="324" t="str">
        <f ca="1">_xll.cfyql_RelinkableHandleYieldTermStructure(UPPER(Currency)&amp;C10,,Permanent,Trigger,ObjectOverwrite)</f>
        <v>EUR6M</v>
      </c>
      <c r="E10" s="323" t="e">
        <f ca="1">_xll.qlEuribor(PROPER(Currency)&amp;FamilyName&amp;C10,C10,D10,Permanent,Trigger,ObjectOverwrite)</f>
        <v>#NAME?</v>
      </c>
      <c r="F10" s="323" t="e">
        <f ca="1">_xll.qlLastFixingQuote(PROPER(Currency)&amp;FamilyName&amp;C10&amp;$F$3,E10,Permanent,Trigger,ObjectOverwrite)</f>
        <v>#NAME?</v>
      </c>
      <c r="G10" s="316"/>
      <c r="H10" s="325" t="str">
        <f t="shared" si="0"/>
        <v>EURIBOR6MD=</v>
      </c>
      <c r="I10" s="328">
        <v>42277</v>
      </c>
      <c r="J10" s="327">
        <v>2.8999999999999998E-2</v>
      </c>
      <c r="K10" s="327" t="e">
        <f ca="1">IF(AND(ISNUMBER($J10),$J10&lt;&gt;0%,_xll.ohTrigger(Trigger)+1),TRUE,FALSE)</f>
        <v>#NAME?</v>
      </c>
      <c r="L10" s="326" t="e">
        <f ca="1">IF($K10,_xll.qlIndexAddFixings($E10,$I10,$J10/100,TRUE,ISERROR($M10)),NA())</f>
        <v>#NAME?</v>
      </c>
      <c r="M10" s="325" t="e">
        <f ca="1">_xll.qlIndexFixing($E10,$I10,TRUE,$K10)</f>
        <v>#NAME?</v>
      </c>
      <c r="N10" s="311"/>
    </row>
    <row r="11" spans="2:18" s="301" customFormat="1" x14ac:dyDescent="0.2">
      <c r="B11" s="113"/>
      <c r="C11" s="260" t="s">
        <v>169</v>
      </c>
      <c r="D11" s="324"/>
      <c r="E11" s="323" t="e">
        <f ca="1">_xll.qlEuribor(PROPER(Currency)&amp;FamilyName&amp;C11,C11,D11,Permanent,Trigger,ObjectOverwrite)</f>
        <v>#NAME?</v>
      </c>
      <c r="F11" s="323" t="e">
        <f ca="1">_xll.qlLastFixingQuote(PROPER(Currency)&amp;FamilyName&amp;C11&amp;$F$3,E11,Permanent,Trigger,ObjectOverwrite)</f>
        <v>#NAME?</v>
      </c>
      <c r="G11" s="316"/>
      <c r="H11" s="325" t="str">
        <f t="shared" si="0"/>
        <v>EURIBOR9MD=</v>
      </c>
      <c r="I11" s="328">
        <v>42277</v>
      </c>
      <c r="J11" s="327">
        <v>7.8E-2</v>
      </c>
      <c r="K11" s="327" t="e">
        <f ca="1">IF(AND(ISNUMBER($J11),$J11&lt;&gt;0%,_xll.ohTrigger(Trigger)+1),TRUE,FALSE)</f>
        <v>#NAME?</v>
      </c>
      <c r="L11" s="326" t="e">
        <f ca="1">IF($K11,_xll.qlIndexAddFixings($E11,$I11,$J11/100,TRUE,ISERROR($M11)),NA())</f>
        <v>#NAME?</v>
      </c>
      <c r="M11" s="325" t="e">
        <f ca="1">_xll.qlIndexFixing($E11,$I11,TRUE,$K11)</f>
        <v>#NAME?</v>
      </c>
      <c r="N11" s="311"/>
    </row>
    <row r="12" spans="2:18" s="301" customFormat="1" x14ac:dyDescent="0.2">
      <c r="B12" s="113"/>
      <c r="C12" s="260" t="s">
        <v>58</v>
      </c>
      <c r="D12" s="324" t="str">
        <f ca="1">_xll.cfyql_RelinkableHandleYieldTermStructure(UPPER(Currency)&amp;C12,,Permanent,Trigger,ObjectOverwrite)</f>
        <v>EUR1Y</v>
      </c>
      <c r="E12" s="323" t="e">
        <f ca="1">_xll.qlEuribor(PROPER(Currency)&amp;FamilyName&amp;C12,C12,D12,Permanent,Trigger,ObjectOverwrite)</f>
        <v>#NAME?</v>
      </c>
      <c r="F12" s="323" t="e">
        <f ca="1">_xll.qlLastFixingQuote(PROPER(Currency)&amp;FamilyName&amp;C12&amp;$F$3,E12,Permanent,Trigger,ObjectOverwrite)</f>
        <v>#NAME?</v>
      </c>
      <c r="G12" s="316"/>
      <c r="H12" s="319" t="str">
        <f t="shared" si="0"/>
        <v>EURIBOR1YD=</v>
      </c>
      <c r="I12" s="322">
        <v>42277</v>
      </c>
      <c r="J12" s="321">
        <v>0.14199999999999999</v>
      </c>
      <c r="K12" s="321" t="e">
        <f ca="1">IF(AND(ISNUMBER($J12),$J12&lt;&gt;0%,_xll.ohTrigger(Trigger)+1),TRUE,FALSE)</f>
        <v>#NAME?</v>
      </c>
      <c r="L12" s="320" t="e">
        <f ca="1">IF($K12,_xll.qlIndexAddFixings($E12,$I12,$J12/100,TRUE,ISERROR($M12)),NA())</f>
        <v>#NAME?</v>
      </c>
      <c r="M12" s="319" t="e">
        <f ca="1">_xll.qlIndexFixing($E12,$I12,TRUE,$K12)</f>
        <v>#NAME?</v>
      </c>
      <c r="N12" s="311"/>
    </row>
    <row r="13" spans="2:18" s="301" customFormat="1" x14ac:dyDescent="0.2">
      <c r="B13" s="113"/>
      <c r="C13" s="259" t="s">
        <v>193</v>
      </c>
      <c r="D13" s="318" t="str">
        <f ca="1">_xll.cfyql_RelinkableHandleYieldTermStructure(UPPER(Currency)&amp;C13,,Permanent,Trigger,ObjectOverwrite)</f>
        <v>EURSTD</v>
      </c>
      <c r="E13" s="308"/>
      <c r="F13" s="317"/>
      <c r="G13" s="316"/>
      <c r="H13" s="315"/>
      <c r="I13" s="314"/>
      <c r="J13" s="313"/>
      <c r="K13" s="313"/>
      <c r="L13" s="312"/>
      <c r="M13" s="109"/>
      <c r="N13" s="311"/>
    </row>
    <row r="14" spans="2:18" s="301" customFormat="1" x14ac:dyDescent="0.2">
      <c r="B14" s="35"/>
      <c r="C14" s="34"/>
      <c r="D14" s="34"/>
      <c r="E14" s="34"/>
      <c r="F14" s="34"/>
      <c r="G14" s="34"/>
      <c r="H14" s="34"/>
      <c r="I14" s="34"/>
      <c r="J14" s="34"/>
      <c r="K14" s="34"/>
      <c r="L14" s="34"/>
      <c r="M14" s="34"/>
      <c r="N14" s="32"/>
    </row>
    <row r="15" spans="2:18" s="301" customFormat="1" x14ac:dyDescent="0.2">
      <c r="E15" s="300"/>
      <c r="F15" s="300"/>
      <c r="G15" s="300"/>
      <c r="J15" s="300"/>
    </row>
    <row r="16" spans="2:18" x14ac:dyDescent="0.2">
      <c r="E16" s="309" t="s">
        <v>8</v>
      </c>
      <c r="F16" s="310" t="e">
        <f ca="1">"START:"&amp;_xll.qlSettingsEvaluationDate(Trigger)&amp; " END:"&amp;_xll.qlSettingsEvaluationDate(Trigger)&amp;" INTERVAL:1D"</f>
        <v>#NAME?</v>
      </c>
      <c r="H16" s="307" t="e">
        <f ca="1">_xll.RHistory(I17,$F$18&amp;";"&amp;$F$19,$F$16,,"SORT:"&amp;$F$17&amp;" CH:Fd",J16)</f>
        <v>#NAME?</v>
      </c>
      <c r="I16" s="307"/>
      <c r="J16" s="306" t="s">
        <v>190</v>
      </c>
      <c r="K16" s="305" t="s">
        <v>82</v>
      </c>
      <c r="L16" s="305" t="s">
        <v>5</v>
      </c>
    </row>
    <row r="17" spans="1:25" x14ac:dyDescent="0.2">
      <c r="E17" s="309" t="s">
        <v>4</v>
      </c>
      <c r="F17" s="308" t="s">
        <v>3</v>
      </c>
      <c r="H17" s="304" t="s">
        <v>175</v>
      </c>
      <c r="I17" s="304" t="str">
        <f>Currency&amp;UPPER(FamilyName)&amp;H17&amp;"D="</f>
        <v>EURIBOR1MD=</v>
      </c>
      <c r="J17" s="303">
        <v>42277</v>
      </c>
      <c r="K17" s="302">
        <v>-0.113</v>
      </c>
      <c r="L17" s="152" t="e">
        <f ca="1">_xll.qlIndexAddFixings(PROPER(Currency)&amp;FamilyName&amp;H17,J17,K17/100,TRUE,_xll.ohTrigger(Euribor!E4:E12))</f>
        <v>#NAME?</v>
      </c>
    </row>
    <row r="18" spans="1:25" x14ac:dyDescent="0.2">
      <c r="E18" s="309" t="s">
        <v>2</v>
      </c>
      <c r="F18" s="308" t="s">
        <v>192</v>
      </c>
    </row>
    <row r="19" spans="1:25" x14ac:dyDescent="0.2">
      <c r="F19" s="308" t="s">
        <v>191</v>
      </c>
      <c r="H19" s="307" t="e">
        <f ca="1">_xll.RHistory(I20,$F$18&amp;";"&amp;$F$19,$F$16,,"SORT:"&amp;$F$17&amp;" CH:Fd",J19)</f>
        <v>#NAME?</v>
      </c>
      <c r="I19" s="307"/>
      <c r="J19" s="306" t="s">
        <v>190</v>
      </c>
      <c r="K19" s="305" t="s">
        <v>82</v>
      </c>
      <c r="L19" s="305" t="s">
        <v>5</v>
      </c>
    </row>
    <row r="20" spans="1:25" x14ac:dyDescent="0.2">
      <c r="H20" s="304" t="s">
        <v>58</v>
      </c>
      <c r="I20" s="304" t="str">
        <f>Currency&amp;UPPER(FamilyName)&amp;H20&amp;"D="</f>
        <v>EURIBOR1YD=</v>
      </c>
      <c r="J20" s="303">
        <v>42277</v>
      </c>
      <c r="K20" s="302">
        <v>0.14199999999999999</v>
      </c>
      <c r="L20" s="152" t="e">
        <f ca="1">_xll.qlIndexAddFixings(PROPER(Currency)&amp;FamilyName&amp;H20,J20,K20/100,TRUE,_xll.ohTrigger(Euribor!E4:E12))</f>
        <v>#NAME?</v>
      </c>
    </row>
    <row r="22" spans="1:25" s="301" customFormat="1" x14ac:dyDescent="0.2">
      <c r="A22" s="300"/>
      <c r="B22" s="300"/>
      <c r="C22" s="300"/>
      <c r="D22" s="300"/>
      <c r="E22" s="300"/>
      <c r="F22" s="300"/>
      <c r="G22" s="300"/>
      <c r="H22" s="300"/>
      <c r="I22" s="300"/>
      <c r="J22" s="300"/>
      <c r="K22" s="300"/>
      <c r="L22" s="300"/>
      <c r="M22" s="300"/>
      <c r="N22" s="300"/>
      <c r="O22" s="300"/>
      <c r="P22" s="300"/>
      <c r="Q22" s="300"/>
      <c r="R22" s="300"/>
      <c r="S22" s="300"/>
      <c r="T22" s="300"/>
      <c r="U22" s="300"/>
      <c r="V22" s="300"/>
    </row>
    <row r="23" spans="1:25" s="301" customFormat="1" x14ac:dyDescent="0.2">
      <c r="A23" s="300"/>
      <c r="B23" s="300"/>
      <c r="C23" s="300"/>
      <c r="D23" s="300"/>
      <c r="E23" s="300"/>
      <c r="F23" s="300"/>
      <c r="G23" s="300"/>
      <c r="H23" s="300"/>
      <c r="I23" s="300"/>
      <c r="J23" s="300"/>
      <c r="K23" s="300"/>
      <c r="L23" s="300"/>
      <c r="M23" s="300"/>
      <c r="N23" s="300"/>
      <c r="O23" s="300"/>
      <c r="P23" s="300"/>
      <c r="Q23" s="300"/>
      <c r="R23" s="300"/>
      <c r="S23" s="300"/>
      <c r="T23" s="300"/>
      <c r="U23" s="300"/>
      <c r="V23" s="300"/>
    </row>
    <row r="24" spans="1:25" s="301" customFormat="1" x14ac:dyDescent="0.2">
      <c r="A24" s="300"/>
      <c r="B24" s="300"/>
      <c r="C24" s="300"/>
      <c r="D24" s="300"/>
      <c r="E24" s="300"/>
      <c r="F24" s="300"/>
      <c r="G24" s="300"/>
      <c r="H24" s="300"/>
      <c r="I24" s="300"/>
      <c r="J24" s="300"/>
      <c r="K24" s="300"/>
      <c r="L24" s="300"/>
      <c r="M24" s="300"/>
      <c r="N24" s="300"/>
      <c r="O24" s="300"/>
      <c r="P24" s="300"/>
      <c r="Q24" s="300"/>
      <c r="R24" s="300"/>
      <c r="S24" s="300"/>
      <c r="T24" s="300"/>
      <c r="U24" s="300"/>
      <c r="V24" s="300"/>
    </row>
    <row r="25" spans="1:25" s="301" customFormat="1" x14ac:dyDescent="0.2">
      <c r="A25" s="300"/>
      <c r="B25" s="300"/>
      <c r="C25" s="300"/>
      <c r="D25" s="300"/>
      <c r="E25" s="300"/>
      <c r="F25" s="300"/>
      <c r="G25" s="300"/>
      <c r="H25" s="300"/>
      <c r="I25" s="300"/>
      <c r="J25" s="300"/>
      <c r="K25" s="300"/>
      <c r="L25" s="300"/>
      <c r="M25" s="300"/>
      <c r="N25" s="300"/>
      <c r="O25" s="300"/>
      <c r="P25" s="300"/>
      <c r="Q25" s="300"/>
      <c r="R25" s="300"/>
      <c r="S25" s="300"/>
      <c r="T25" s="300"/>
      <c r="U25" s="300"/>
      <c r="V25" s="300"/>
    </row>
    <row r="26" spans="1:25" s="301" customFormat="1" x14ac:dyDescent="0.2">
      <c r="A26" s="300"/>
      <c r="B26" s="300"/>
      <c r="C26" s="300"/>
      <c r="D26" s="300"/>
      <c r="E26" s="300"/>
      <c r="F26" s="300"/>
      <c r="G26" s="300"/>
      <c r="H26" s="300"/>
      <c r="I26" s="300"/>
      <c r="J26" s="300"/>
      <c r="K26" s="300"/>
      <c r="L26" s="300"/>
      <c r="M26" s="300"/>
      <c r="N26" s="300"/>
      <c r="O26" s="300"/>
      <c r="P26" s="300"/>
      <c r="Q26" s="300"/>
      <c r="R26" s="300"/>
      <c r="S26" s="300"/>
      <c r="T26" s="300"/>
      <c r="U26" s="300"/>
      <c r="V26" s="300"/>
    </row>
    <row r="27" spans="1:25" s="301" customFormat="1" x14ac:dyDescent="0.2">
      <c r="A27" s="300"/>
      <c r="B27" s="300"/>
      <c r="C27" s="300"/>
      <c r="D27" s="300"/>
      <c r="E27" s="300"/>
      <c r="F27" s="300"/>
      <c r="G27" s="300"/>
      <c r="H27" s="300"/>
      <c r="I27" s="300"/>
      <c r="J27" s="300"/>
      <c r="K27" s="300"/>
      <c r="L27" s="300"/>
      <c r="M27" s="300"/>
      <c r="N27" s="300"/>
      <c r="O27" s="300"/>
      <c r="P27" s="300"/>
      <c r="Q27" s="300"/>
      <c r="R27" s="300"/>
      <c r="S27" s="300"/>
      <c r="T27" s="300"/>
      <c r="U27" s="300"/>
      <c r="V27" s="300"/>
    </row>
    <row r="28" spans="1:25" s="301" customFormat="1" x14ac:dyDescent="0.2">
      <c r="A28" s="300"/>
      <c r="B28" s="300"/>
      <c r="C28" s="300"/>
      <c r="D28" s="300"/>
      <c r="E28" s="300"/>
      <c r="F28" s="300"/>
      <c r="G28" s="300"/>
      <c r="H28" s="300"/>
      <c r="I28" s="300"/>
      <c r="J28" s="300"/>
      <c r="K28" s="300"/>
      <c r="L28" s="300"/>
      <c r="M28" s="300"/>
      <c r="N28" s="300"/>
      <c r="O28" s="300"/>
      <c r="P28" s="300"/>
      <c r="Q28" s="300"/>
      <c r="R28" s="300"/>
      <c r="S28" s="300"/>
      <c r="T28" s="300"/>
      <c r="U28" s="300"/>
      <c r="V28" s="300"/>
      <c r="W28" s="300"/>
      <c r="X28" s="300"/>
      <c r="Y28" s="300"/>
    </row>
    <row r="29" spans="1:25" s="301" customFormat="1" x14ac:dyDescent="0.2">
      <c r="A29" s="300"/>
      <c r="B29" s="300"/>
      <c r="C29" s="300"/>
      <c r="D29" s="300"/>
      <c r="E29" s="300"/>
      <c r="F29" s="300"/>
      <c r="G29" s="300"/>
      <c r="H29" s="300"/>
      <c r="I29" s="300"/>
      <c r="J29" s="300"/>
      <c r="K29" s="300"/>
      <c r="L29" s="300"/>
      <c r="M29" s="300"/>
      <c r="N29" s="300"/>
      <c r="O29" s="300"/>
      <c r="P29" s="300"/>
      <c r="Q29" s="300"/>
      <c r="R29" s="300"/>
      <c r="S29" s="300"/>
      <c r="T29" s="300"/>
      <c r="U29" s="300"/>
      <c r="V29" s="300"/>
      <c r="W29" s="300"/>
      <c r="X29" s="300"/>
      <c r="Y29" s="300"/>
    </row>
    <row r="30" spans="1:25" s="301" customFormat="1" x14ac:dyDescent="0.2">
      <c r="A30" s="300"/>
      <c r="B30" s="300"/>
      <c r="C30" s="300"/>
      <c r="D30" s="300"/>
      <c r="E30" s="300"/>
      <c r="F30" s="300"/>
      <c r="G30" s="300"/>
      <c r="H30" s="300"/>
      <c r="I30" s="300"/>
      <c r="J30" s="300"/>
      <c r="K30" s="300"/>
      <c r="L30" s="300"/>
      <c r="M30" s="300"/>
      <c r="N30" s="300"/>
      <c r="O30" s="300"/>
      <c r="P30" s="300"/>
      <c r="Q30" s="300"/>
      <c r="R30" s="300"/>
      <c r="S30" s="300"/>
      <c r="T30" s="300"/>
      <c r="U30" s="300"/>
      <c r="V30" s="300"/>
      <c r="W30" s="300"/>
      <c r="X30" s="300"/>
      <c r="Y30" s="300"/>
    </row>
    <row r="31" spans="1:25" s="301" customFormat="1" x14ac:dyDescent="0.2">
      <c r="A31" s="300"/>
      <c r="B31" s="300"/>
      <c r="C31" s="300"/>
      <c r="D31" s="300"/>
      <c r="E31" s="300"/>
      <c r="F31" s="300"/>
      <c r="G31" s="300"/>
      <c r="H31" s="300"/>
      <c r="I31" s="300"/>
      <c r="J31" s="300"/>
      <c r="K31" s="300"/>
      <c r="L31" s="300"/>
      <c r="M31" s="300"/>
      <c r="N31" s="300"/>
      <c r="O31" s="300"/>
      <c r="P31" s="300"/>
      <c r="Q31" s="300"/>
      <c r="R31" s="300"/>
      <c r="S31" s="300"/>
      <c r="T31" s="300"/>
      <c r="U31" s="300"/>
      <c r="V31" s="300"/>
      <c r="W31" s="300"/>
      <c r="X31" s="300"/>
      <c r="Y31" s="300"/>
    </row>
    <row r="32" spans="1:25" s="301" customFormat="1" x14ac:dyDescent="0.2">
      <c r="A32" s="300"/>
      <c r="B32" s="300"/>
      <c r="C32" s="300"/>
      <c r="D32" s="300"/>
      <c r="E32" s="300"/>
      <c r="F32" s="300"/>
      <c r="G32" s="300"/>
      <c r="H32" s="300"/>
      <c r="I32" s="300"/>
      <c r="J32" s="300"/>
      <c r="K32" s="300"/>
      <c r="L32" s="300"/>
      <c r="M32" s="300"/>
      <c r="N32" s="300"/>
      <c r="O32" s="300"/>
      <c r="P32" s="300"/>
      <c r="Q32" s="300"/>
      <c r="R32" s="300"/>
      <c r="S32" s="300"/>
      <c r="T32" s="300"/>
      <c r="U32" s="300"/>
      <c r="V32" s="300"/>
      <c r="W32" s="300"/>
      <c r="X32" s="300"/>
      <c r="Y32" s="300"/>
    </row>
    <row r="33" spans="1:25" s="301" customFormat="1" x14ac:dyDescent="0.2">
      <c r="A33" s="300"/>
      <c r="B33" s="300"/>
      <c r="C33" s="300"/>
      <c r="D33" s="300"/>
      <c r="E33" s="300"/>
      <c r="F33" s="300"/>
      <c r="G33" s="300"/>
      <c r="H33" s="300"/>
      <c r="I33" s="300"/>
      <c r="J33" s="300"/>
      <c r="K33" s="300"/>
      <c r="L33" s="300"/>
      <c r="M33" s="300"/>
      <c r="N33" s="300"/>
      <c r="O33" s="300"/>
      <c r="P33" s="300"/>
      <c r="Q33" s="300"/>
      <c r="R33" s="300"/>
      <c r="S33" s="300"/>
      <c r="T33" s="300"/>
      <c r="U33" s="300"/>
      <c r="V33" s="300"/>
      <c r="W33" s="300"/>
      <c r="X33" s="300"/>
      <c r="Y33" s="300"/>
    </row>
    <row r="34" spans="1:25" s="301" customFormat="1" x14ac:dyDescent="0.2">
      <c r="A34" s="300"/>
      <c r="B34" s="300"/>
      <c r="C34" s="300"/>
      <c r="D34" s="300"/>
      <c r="E34" s="300"/>
      <c r="F34" s="300"/>
      <c r="G34" s="300"/>
      <c r="H34" s="300"/>
      <c r="I34" s="300"/>
      <c r="J34" s="300"/>
      <c r="K34" s="300"/>
      <c r="L34" s="300"/>
      <c r="M34" s="300"/>
      <c r="N34" s="300"/>
      <c r="O34" s="300"/>
      <c r="P34" s="300"/>
      <c r="Q34" s="300"/>
      <c r="R34" s="300"/>
      <c r="S34" s="300"/>
      <c r="T34" s="300"/>
      <c r="U34" s="300"/>
      <c r="V34" s="300"/>
      <c r="W34" s="300"/>
      <c r="X34" s="300"/>
      <c r="Y34" s="300"/>
    </row>
    <row r="35" spans="1:25" s="301" customFormat="1" x14ac:dyDescent="0.2">
      <c r="A35" s="300"/>
      <c r="B35" s="300"/>
      <c r="C35" s="300"/>
      <c r="D35" s="300"/>
      <c r="E35" s="300"/>
      <c r="F35" s="300"/>
      <c r="G35" s="300"/>
      <c r="H35" s="300"/>
      <c r="I35" s="300"/>
      <c r="J35" s="300"/>
      <c r="K35" s="300"/>
      <c r="L35" s="300"/>
      <c r="M35" s="300"/>
      <c r="N35" s="300"/>
      <c r="O35" s="300"/>
      <c r="P35" s="300"/>
      <c r="Q35" s="300"/>
      <c r="R35" s="300"/>
      <c r="S35" s="300"/>
      <c r="T35" s="300"/>
      <c r="U35" s="300"/>
      <c r="V35" s="300"/>
      <c r="W35" s="300"/>
      <c r="X35" s="300"/>
      <c r="Y35" s="300"/>
    </row>
    <row r="36" spans="1:25" s="301" customFormat="1" x14ac:dyDescent="0.2">
      <c r="A36" s="300"/>
      <c r="B36" s="300"/>
      <c r="C36" s="300"/>
      <c r="D36" s="300"/>
      <c r="E36" s="300"/>
      <c r="F36" s="300"/>
      <c r="G36" s="300"/>
      <c r="H36" s="300"/>
      <c r="I36" s="300"/>
      <c r="J36" s="300"/>
      <c r="K36" s="300"/>
      <c r="L36" s="300"/>
      <c r="M36" s="300"/>
      <c r="N36" s="300"/>
      <c r="O36" s="300"/>
      <c r="P36" s="300"/>
      <c r="Q36" s="300"/>
      <c r="R36" s="300"/>
      <c r="S36" s="300"/>
      <c r="T36" s="300"/>
      <c r="U36" s="300"/>
      <c r="V36" s="300"/>
      <c r="W36" s="300"/>
      <c r="X36" s="300"/>
      <c r="Y36" s="300"/>
    </row>
    <row r="37" spans="1:25" s="301" customFormat="1" x14ac:dyDescent="0.2">
      <c r="A37" s="300"/>
      <c r="B37" s="300"/>
      <c r="C37" s="300"/>
      <c r="D37" s="300"/>
      <c r="E37" s="300"/>
      <c r="F37" s="300"/>
      <c r="G37" s="300"/>
      <c r="H37" s="300"/>
      <c r="I37" s="300"/>
      <c r="J37" s="300"/>
      <c r="K37" s="300"/>
      <c r="L37" s="300"/>
      <c r="M37" s="300"/>
      <c r="N37" s="300"/>
      <c r="O37" s="300"/>
      <c r="P37" s="300"/>
      <c r="Q37" s="300"/>
      <c r="R37" s="300"/>
      <c r="S37" s="300"/>
      <c r="T37" s="300"/>
      <c r="U37" s="300"/>
      <c r="V37" s="300"/>
      <c r="W37" s="300"/>
      <c r="X37" s="300"/>
      <c r="Y37" s="300"/>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B1:L17"/>
  <sheetViews>
    <sheetView workbookViewId="0">
      <selection activeCell="L3" sqref="L3:L4"/>
    </sheetView>
  </sheetViews>
  <sheetFormatPr defaultRowHeight="11.25" x14ac:dyDescent="0.2"/>
  <cols>
    <col min="1" max="2" width="2.7109375" style="1" customWidth="1"/>
    <col min="3" max="3" width="6" style="1" bestFit="1" customWidth="1"/>
    <col min="4" max="4" width="11" style="1" bestFit="1" customWidth="1"/>
    <col min="5" max="5" width="18.28515625" style="1" bestFit="1" customWidth="1"/>
    <col min="6" max="6" width="23.42578125" style="1" bestFit="1" customWidth="1"/>
    <col min="7" max="7" width="28.5703125" style="1" bestFit="1" customWidth="1"/>
    <col min="8" max="8" width="25.7109375" style="1" customWidth="1"/>
    <col min="9" max="9" width="2.7109375" style="1" customWidth="1"/>
    <col min="10" max="16384" width="9.140625" style="1"/>
  </cols>
  <sheetData>
    <row r="1" spans="2:12" x14ac:dyDescent="0.2">
      <c r="B1" s="233"/>
      <c r="C1" s="232"/>
      <c r="D1" s="232"/>
      <c r="E1" s="232"/>
      <c r="F1" s="232"/>
      <c r="G1" s="232"/>
      <c r="H1" s="232"/>
      <c r="I1" s="231"/>
    </row>
    <row r="2" spans="2:12" s="239" customFormat="1" ht="21" customHeight="1" thickBot="1" x14ac:dyDescent="0.3">
      <c r="B2" s="299"/>
      <c r="C2" s="52" t="s">
        <v>107</v>
      </c>
      <c r="D2" s="52" t="s">
        <v>189</v>
      </c>
      <c r="E2" s="51" t="s">
        <v>188</v>
      </c>
      <c r="F2" s="51" t="s">
        <v>187</v>
      </c>
      <c r="G2" s="50" t="s">
        <v>90</v>
      </c>
      <c r="H2" s="52" t="s">
        <v>59</v>
      </c>
      <c r="I2" s="298"/>
    </row>
    <row r="3" spans="2:12" ht="15" x14ac:dyDescent="0.25">
      <c r="B3" s="236"/>
      <c r="C3" s="297" t="s">
        <v>58</v>
      </c>
      <c r="D3" s="297" t="str">
        <f ca="1">Euribor!D9</f>
        <v>EUR3M</v>
      </c>
      <c r="E3" s="297" t="str">
        <f ca="1">Euribor!$D$4</f>
        <v>EURON</v>
      </c>
      <c r="F3" s="297" t="str">
        <f t="shared" ref="F3:F16" si="0">PROPER(Currency)&amp;FamilyName&amp;"Swap"&amp;FixingType&amp;C3</f>
        <v>EuriborSwapIsdaFixA1Y</v>
      </c>
      <c r="G3" s="297" t="e">
        <f ca="1">_xll.qlEuriborSwapIsdaFixA(F3,C3,D3,E3,Permanent,Trigger,ObjectOverwrite)</f>
        <v>#NAME?</v>
      </c>
      <c r="H3" s="296" t="e">
        <f ca="1">_xll.ohRangeRetrieveError(G3)</f>
        <v>#NAME?</v>
      </c>
      <c r="I3" s="295"/>
      <c r="K3" s="1361" t="s">
        <v>529</v>
      </c>
      <c r="L3" s="1364" t="e">
        <f ca="1">_xll.ohTrigger('General Settings'!Trigger)</f>
        <v>#NAME?</v>
      </c>
    </row>
    <row r="4" spans="2:12" ht="15.75" thickBot="1" x14ac:dyDescent="0.3">
      <c r="B4" s="236"/>
      <c r="C4" s="85" t="s">
        <v>54</v>
      </c>
      <c r="D4" s="85" t="str">
        <f ca="1">Euribor!$D$10</f>
        <v>EUR6M</v>
      </c>
      <c r="E4" s="85" t="str">
        <f ca="1">Euribor!$D$4</f>
        <v>EURON</v>
      </c>
      <c r="F4" s="85" t="str">
        <f t="shared" si="0"/>
        <v>EuriborSwapIsdaFixA2Y</v>
      </c>
      <c r="G4" s="85" t="e">
        <f ca="1">_xll.qlEuriborSwapIsdaFixA(F4,C4,D4,E4,Permanent,Trigger,ObjectOverwrite)</f>
        <v>#NAME?</v>
      </c>
      <c r="H4" s="83" t="e">
        <f ca="1">_xll.ohRangeRetrieveError(G4)</f>
        <v>#NAME?</v>
      </c>
      <c r="I4" s="295"/>
      <c r="K4" s="1362" t="s">
        <v>530</v>
      </c>
      <c r="L4" s="1365" t="e">
        <f ca="1">_xll.ohTrigger(G3:G16)</f>
        <v>#NAME?</v>
      </c>
    </row>
    <row r="5" spans="2:12" x14ac:dyDescent="0.2">
      <c r="B5" s="236"/>
      <c r="C5" s="85" t="s">
        <v>53</v>
      </c>
      <c r="D5" s="85" t="str">
        <f ca="1">Euribor!$D$10</f>
        <v>EUR6M</v>
      </c>
      <c r="E5" s="85" t="str">
        <f ca="1">Euribor!$D$4</f>
        <v>EURON</v>
      </c>
      <c r="F5" s="85" t="str">
        <f t="shared" si="0"/>
        <v>EuriborSwapIsdaFixA3Y</v>
      </c>
      <c r="G5" s="85" t="e">
        <f ca="1">_xll.qlEuriborSwapIsdaFixA(F5,C5,D5,E5,Permanent,Trigger,ObjectOverwrite)</f>
        <v>#NAME?</v>
      </c>
      <c r="H5" s="83" t="e">
        <f ca="1">_xll.ohRangeRetrieveError(G5)</f>
        <v>#NAME?</v>
      </c>
      <c r="I5" s="295"/>
    </row>
    <row r="6" spans="2:12" x14ac:dyDescent="0.2">
      <c r="B6" s="236"/>
      <c r="C6" s="85" t="s">
        <v>52</v>
      </c>
      <c r="D6" s="85" t="str">
        <f ca="1">Euribor!$D$10</f>
        <v>EUR6M</v>
      </c>
      <c r="E6" s="85" t="str">
        <f ca="1">Euribor!$D$4</f>
        <v>EURON</v>
      </c>
      <c r="F6" s="85" t="str">
        <f t="shared" si="0"/>
        <v>EuriborSwapIsdaFixA4Y</v>
      </c>
      <c r="G6" s="85" t="e">
        <f ca="1">_xll.qlEuriborSwapIsdaFixA(F6,C6,D6,E6,Permanent,Trigger,ObjectOverwrite)</f>
        <v>#NAME?</v>
      </c>
      <c r="H6" s="83" t="e">
        <f ca="1">_xll.ohRangeRetrieveError(G6)</f>
        <v>#NAME?</v>
      </c>
      <c r="I6" s="295"/>
    </row>
    <row r="7" spans="2:12" x14ac:dyDescent="0.2">
      <c r="B7" s="236"/>
      <c r="C7" s="85" t="s">
        <v>51</v>
      </c>
      <c r="D7" s="85" t="str">
        <f ca="1">Euribor!$D$10</f>
        <v>EUR6M</v>
      </c>
      <c r="E7" s="85" t="str">
        <f ca="1">Euribor!$D$4</f>
        <v>EURON</v>
      </c>
      <c r="F7" s="85" t="str">
        <f t="shared" si="0"/>
        <v>EuriborSwapIsdaFixA5Y</v>
      </c>
      <c r="G7" s="85" t="e">
        <f ca="1">_xll.qlEuriborSwapIsdaFixA(F7,C7,D7,E7,Permanent,Trigger,ObjectOverwrite)</f>
        <v>#NAME?</v>
      </c>
      <c r="H7" s="83" t="e">
        <f ca="1">_xll.ohRangeRetrieveError(G7)</f>
        <v>#NAME?</v>
      </c>
      <c r="I7" s="295"/>
    </row>
    <row r="8" spans="2:12" x14ac:dyDescent="0.2">
      <c r="B8" s="236"/>
      <c r="C8" s="85" t="s">
        <v>50</v>
      </c>
      <c r="D8" s="85" t="str">
        <f ca="1">Euribor!$D$10</f>
        <v>EUR6M</v>
      </c>
      <c r="E8" s="85" t="str">
        <f ca="1">Euribor!$D$4</f>
        <v>EURON</v>
      </c>
      <c r="F8" s="85" t="str">
        <f t="shared" si="0"/>
        <v>EuriborSwapIsdaFixA6Y</v>
      </c>
      <c r="G8" s="85" t="e">
        <f ca="1">_xll.qlEuriborSwapIsdaFixA(F8,C8,D8,E8,Permanent,Trigger,ObjectOverwrite)</f>
        <v>#NAME?</v>
      </c>
      <c r="H8" s="83" t="e">
        <f ca="1">_xll.ohRangeRetrieveError(G8)</f>
        <v>#NAME?</v>
      </c>
      <c r="I8" s="295"/>
    </row>
    <row r="9" spans="2:12" x14ac:dyDescent="0.2">
      <c r="B9" s="236"/>
      <c r="C9" s="85" t="s">
        <v>49</v>
      </c>
      <c r="D9" s="85" t="str">
        <f ca="1">Euribor!$D$10</f>
        <v>EUR6M</v>
      </c>
      <c r="E9" s="85" t="str">
        <f ca="1">Euribor!$D$4</f>
        <v>EURON</v>
      </c>
      <c r="F9" s="85" t="str">
        <f t="shared" si="0"/>
        <v>EuriborSwapIsdaFixA7Y</v>
      </c>
      <c r="G9" s="85" t="e">
        <f ca="1">_xll.qlEuriborSwapIsdaFixA(F9,C9,D9,E9,Permanent,Trigger,ObjectOverwrite)</f>
        <v>#NAME?</v>
      </c>
      <c r="H9" s="83" t="e">
        <f ca="1">_xll.ohRangeRetrieveError(G9)</f>
        <v>#NAME?</v>
      </c>
      <c r="I9" s="295"/>
    </row>
    <row r="10" spans="2:12" x14ac:dyDescent="0.2">
      <c r="B10" s="236"/>
      <c r="C10" s="85" t="s">
        <v>48</v>
      </c>
      <c r="D10" s="85" t="str">
        <f ca="1">Euribor!$D$10</f>
        <v>EUR6M</v>
      </c>
      <c r="E10" s="85" t="str">
        <f ca="1">Euribor!$D$4</f>
        <v>EURON</v>
      </c>
      <c r="F10" s="85" t="str">
        <f t="shared" si="0"/>
        <v>EuriborSwapIsdaFixA8Y</v>
      </c>
      <c r="G10" s="85" t="e">
        <f ca="1">_xll.qlEuriborSwapIsdaFixA(F10,C10,D10,E10,Permanent,Trigger,ObjectOverwrite)</f>
        <v>#NAME?</v>
      </c>
      <c r="H10" s="83" t="e">
        <f ca="1">_xll.ohRangeRetrieveError(G10)</f>
        <v>#NAME?</v>
      </c>
      <c r="I10" s="295"/>
    </row>
    <row r="11" spans="2:12" x14ac:dyDescent="0.2">
      <c r="B11" s="236"/>
      <c r="C11" s="85" t="s">
        <v>47</v>
      </c>
      <c r="D11" s="85" t="str">
        <f ca="1">Euribor!$D$10</f>
        <v>EUR6M</v>
      </c>
      <c r="E11" s="85" t="str">
        <f ca="1">Euribor!$D$4</f>
        <v>EURON</v>
      </c>
      <c r="F11" s="85" t="str">
        <f t="shared" si="0"/>
        <v>EuriborSwapIsdaFixA9Y</v>
      </c>
      <c r="G11" s="85" t="e">
        <f ca="1">_xll.qlEuriborSwapIsdaFixA(F11,C11,D11,E11,Permanent,Trigger,ObjectOverwrite)</f>
        <v>#NAME?</v>
      </c>
      <c r="H11" s="83" t="e">
        <f ca="1">_xll.ohRangeRetrieveError(G11)</f>
        <v>#NAME?</v>
      </c>
      <c r="I11" s="295"/>
    </row>
    <row r="12" spans="2:12" x14ac:dyDescent="0.2">
      <c r="B12" s="236"/>
      <c r="C12" s="85" t="s">
        <v>46</v>
      </c>
      <c r="D12" s="85" t="str">
        <f ca="1">Euribor!$D$10</f>
        <v>EUR6M</v>
      </c>
      <c r="E12" s="85" t="str">
        <f ca="1">Euribor!$D$4</f>
        <v>EURON</v>
      </c>
      <c r="F12" s="85" t="str">
        <f t="shared" si="0"/>
        <v>EuriborSwapIsdaFixA10Y</v>
      </c>
      <c r="G12" s="85" t="e">
        <f ca="1">_xll.qlEuriborSwapIsdaFixA(F12,C12,D12,E12,Permanent,Trigger,ObjectOverwrite)</f>
        <v>#NAME?</v>
      </c>
      <c r="H12" s="83" t="e">
        <f ca="1">_xll.ohRangeRetrieveError(G12)</f>
        <v>#NAME?</v>
      </c>
      <c r="I12" s="295"/>
    </row>
    <row r="13" spans="2:12" x14ac:dyDescent="0.2">
      <c r="B13" s="236"/>
      <c r="C13" s="85" t="s">
        <v>44</v>
      </c>
      <c r="D13" s="85" t="str">
        <f ca="1">Euribor!$D$10</f>
        <v>EUR6M</v>
      </c>
      <c r="E13" s="85" t="str">
        <f ca="1">Euribor!$D$4</f>
        <v>EURON</v>
      </c>
      <c r="F13" s="85" t="str">
        <f t="shared" si="0"/>
        <v>EuriborSwapIsdaFixA12Y</v>
      </c>
      <c r="G13" s="85" t="e">
        <f ca="1">_xll.qlEuriborSwapIsdaFixA(F13,C13,D13,E13,Permanent,Trigger,ObjectOverwrite)</f>
        <v>#NAME?</v>
      </c>
      <c r="H13" s="83" t="e">
        <f ca="1">_xll.ohRangeRetrieveError(G13)</f>
        <v>#NAME?</v>
      </c>
      <c r="I13" s="295"/>
    </row>
    <row r="14" spans="2:12" x14ac:dyDescent="0.2">
      <c r="B14" s="236"/>
      <c r="C14" s="85" t="s">
        <v>36</v>
      </c>
      <c r="D14" s="85" t="str">
        <f ca="1">Euribor!$D$10</f>
        <v>EUR6M</v>
      </c>
      <c r="E14" s="85" t="str">
        <f ca="1">Euribor!$D$4</f>
        <v>EURON</v>
      </c>
      <c r="F14" s="85" t="str">
        <f t="shared" si="0"/>
        <v>EuriborSwapIsdaFixA20Y</v>
      </c>
      <c r="G14" s="85" t="e">
        <f ca="1">_xll.qlEuriborSwapIsdaFixA(F14,C14,D14,E14,Permanent,Trigger,ObjectOverwrite)</f>
        <v>#NAME?</v>
      </c>
      <c r="H14" s="83" t="e">
        <f ca="1">_xll.ohRangeRetrieveError(G14)</f>
        <v>#NAME?</v>
      </c>
      <c r="I14" s="295"/>
    </row>
    <row r="15" spans="2:12" x14ac:dyDescent="0.2">
      <c r="B15" s="236"/>
      <c r="C15" s="85" t="s">
        <v>31</v>
      </c>
      <c r="D15" s="85" t="str">
        <f ca="1">Euribor!$D$10</f>
        <v>EUR6M</v>
      </c>
      <c r="E15" s="85" t="str">
        <f ca="1">Euribor!$D$4</f>
        <v>EURON</v>
      </c>
      <c r="F15" s="85" t="str">
        <f t="shared" si="0"/>
        <v>EuriborSwapIsdaFixA25Y</v>
      </c>
      <c r="G15" s="85" t="e">
        <f ca="1">_xll.qlEuriborSwapIsdaFixA(F15,C15,D15,E15,Permanent,Trigger,ObjectOverwrite)</f>
        <v>#NAME?</v>
      </c>
      <c r="H15" s="83" t="e">
        <f ca="1">_xll.ohRangeRetrieveError(G15)</f>
        <v>#NAME?</v>
      </c>
      <c r="I15" s="295"/>
    </row>
    <row r="16" spans="2:12" x14ac:dyDescent="0.2">
      <c r="B16" s="236"/>
      <c r="C16" s="74" t="s">
        <v>26</v>
      </c>
      <c r="D16" s="74" t="str">
        <f ca="1">Euribor!$D$10</f>
        <v>EUR6M</v>
      </c>
      <c r="E16" s="74" t="str">
        <f ca="1">Euribor!$D$4</f>
        <v>EURON</v>
      </c>
      <c r="F16" s="74" t="str">
        <f t="shared" si="0"/>
        <v>EuriborSwapIsdaFixA30Y</v>
      </c>
      <c r="G16" s="74" t="e">
        <f ca="1">_xll.qlEuriborSwapIsdaFixA(F16,C16,D16,E16,Permanent,Trigger,ObjectOverwrite)</f>
        <v>#NAME?</v>
      </c>
      <c r="H16" s="72" t="e">
        <f ca="1">_xll.ohRangeRetrieveError(G16)</f>
        <v>#NAME?</v>
      </c>
      <c r="I16" s="295"/>
    </row>
    <row r="17" spans="2:9" x14ac:dyDescent="0.2">
      <c r="B17" s="235"/>
      <c r="C17" s="234"/>
      <c r="D17" s="234"/>
      <c r="E17" s="234"/>
      <c r="F17" s="234"/>
      <c r="G17" s="234"/>
      <c r="H17" s="234"/>
      <c r="I17" s="294"/>
    </row>
  </sheetData>
  <pageMargins left="0.7" right="0.7" top="0.75" bottom="0.75" header="0.3" footer="0.3"/>
  <pageSetup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W16"/>
  <sheetViews>
    <sheetView topLeftCell="I1" workbookViewId="0">
      <selection activeCell="W2" sqref="W2:W3"/>
    </sheetView>
  </sheetViews>
  <sheetFormatPr defaultColWidth="25.42578125" defaultRowHeight="11.25" customHeight="1" outlineLevelCol="1" x14ac:dyDescent="0.2"/>
  <cols>
    <col min="1" max="1" width="3.140625" style="30" hidden="1" customWidth="1" outlineLevel="1"/>
    <col min="2" max="2" width="6" style="30" hidden="1" customWidth="1" outlineLevel="1"/>
    <col min="3" max="3" width="3.140625" style="30" hidden="1" customWidth="1" outlineLevel="1"/>
    <col min="4" max="4" width="2" style="30" hidden="1" customWidth="1" outlineLevel="1"/>
    <col min="5" max="5" width="21.42578125" style="30" hidden="1" customWidth="1" outlineLevel="1"/>
    <col min="6" max="6" width="20.140625" style="30" hidden="1" customWidth="1" outlineLevel="1"/>
    <col min="7" max="7" width="25.42578125" style="30" hidden="1" customWidth="1" outlineLevel="1"/>
    <col min="8" max="8" width="2.7109375" style="30" hidden="1" customWidth="1" outlineLevel="1"/>
    <col min="9" max="9" width="2.5703125" style="30" customWidth="1" collapsed="1"/>
    <col min="10" max="10" width="2.7109375" style="30" customWidth="1"/>
    <col min="11" max="11" width="4.28515625" style="30" customWidth="1"/>
    <col min="12" max="13" width="14.85546875" style="30" customWidth="1"/>
    <col min="14" max="14" width="10.7109375" style="30" customWidth="1"/>
    <col min="15" max="15" width="2.7109375" style="30" customWidth="1"/>
    <col min="16" max="16" width="10.7109375" style="30" customWidth="1"/>
    <col min="17" max="17" width="2.7109375" style="30" customWidth="1"/>
    <col min="18" max="19" width="10.7109375" style="30" customWidth="1"/>
    <col min="20" max="20" width="2.7109375" style="30" customWidth="1"/>
    <col min="21" max="21" width="5.7109375" style="30" customWidth="1"/>
    <col min="22" max="22" width="9.42578125" style="30" bestFit="1" customWidth="1"/>
    <col min="23" max="23" width="15" style="30" bestFit="1" customWidth="1"/>
    <col min="24" max="24" width="9.85546875" style="30" bestFit="1" customWidth="1"/>
    <col min="25" max="26" width="8.7109375" style="30" bestFit="1" customWidth="1"/>
    <col min="27" max="16384" width="25.42578125" style="30"/>
  </cols>
  <sheetData>
    <row r="1" spans="1:23" ht="11.25" customHeight="1" thickBot="1" x14ac:dyDescent="0.25">
      <c r="A1" s="190"/>
      <c r="B1" s="190"/>
      <c r="C1" s="190"/>
      <c r="D1" s="54"/>
      <c r="E1" s="54"/>
      <c r="F1" s="54"/>
      <c r="G1" s="54"/>
      <c r="H1" s="53"/>
      <c r="J1" s="127" t="s">
        <v>186</v>
      </c>
      <c r="K1" s="123"/>
      <c r="L1" s="123"/>
      <c r="M1" s="123"/>
      <c r="N1" s="123"/>
      <c r="O1" s="123"/>
      <c r="P1" s="123"/>
      <c r="Q1" s="123"/>
      <c r="R1" s="123"/>
      <c r="S1" s="123"/>
      <c r="T1" s="171"/>
    </row>
    <row r="2" spans="1:23" ht="11.25" customHeight="1" x14ac:dyDescent="0.25">
      <c r="A2" s="121"/>
      <c r="B2" s="109"/>
      <c r="C2" s="109"/>
      <c r="D2" s="109"/>
      <c r="E2" s="109"/>
      <c r="F2" s="109"/>
      <c r="G2" s="109"/>
      <c r="H2" s="120"/>
      <c r="J2" s="113"/>
      <c r="K2" s="110"/>
      <c r="L2" s="170"/>
      <c r="M2" s="119" t="str">
        <f>VLOOKUP(J1,AreaTable,2,FALSE)</f>
        <v>KLIEM</v>
      </c>
      <c r="N2" s="111"/>
      <c r="O2" s="111"/>
      <c r="P2" s="111"/>
      <c r="Q2" s="111"/>
      <c r="R2" s="111"/>
      <c r="S2" s="118" t="e">
        <f ca="1">_xll.ohTrigger(S5:S15)</f>
        <v>#NAME?</v>
      </c>
      <c r="T2" s="36"/>
      <c r="V2" s="1361" t="s">
        <v>529</v>
      </c>
      <c r="W2" s="1364" t="e">
        <f ca="1">_xll.ohTrigger('General Settings'!Trigger)</f>
        <v>#NAME?</v>
      </c>
    </row>
    <row r="3" spans="1:23" ht="11.25" customHeight="1" thickBot="1" x14ac:dyDescent="0.3">
      <c r="A3" s="191"/>
      <c r="B3" s="151"/>
      <c r="C3" s="151"/>
      <c r="D3" s="109"/>
      <c r="E3" s="109"/>
      <c r="F3" s="109"/>
      <c r="G3" s="109"/>
      <c r="H3" s="120"/>
      <c r="J3" s="135"/>
      <c r="K3" s="111"/>
      <c r="L3" s="110"/>
      <c r="M3" s="110"/>
      <c r="N3" s="110"/>
      <c r="O3" s="111"/>
      <c r="P3" s="111"/>
      <c r="Q3" s="111"/>
      <c r="R3" s="110"/>
      <c r="S3" s="168"/>
      <c r="T3" s="130"/>
      <c r="V3" s="1362" t="s">
        <v>530</v>
      </c>
      <c r="W3" s="1365" t="e">
        <f ca="1">_xll.ohTrigger(S5:S15)</f>
        <v>#NAME?</v>
      </c>
    </row>
    <row r="4" spans="1:23" ht="21" customHeight="1" x14ac:dyDescent="0.2">
      <c r="A4" s="135"/>
      <c r="B4" s="266" t="s">
        <v>107</v>
      </c>
      <c r="C4" s="52"/>
      <c r="D4" s="50"/>
      <c r="E4" s="52" t="s">
        <v>91</v>
      </c>
      <c r="F4" s="51" t="s">
        <v>90</v>
      </c>
      <c r="G4" s="51" t="e">
        <f ca="1">_xll.ohRangeRetrieveError(F4)</f>
        <v>#NAME?</v>
      </c>
      <c r="H4" s="120"/>
      <c r="J4" s="135"/>
      <c r="K4" s="293"/>
      <c r="L4" s="146" t="s">
        <v>101</v>
      </c>
      <c r="M4" s="148" t="e">
        <f ca="1">_xll.RData(M5:M7,N4:N4,,ReutersRtMode,,N5)</f>
        <v>#NAME?</v>
      </c>
      <c r="N4" s="52" t="s">
        <v>83</v>
      </c>
      <c r="O4" s="111"/>
      <c r="P4" s="147" t="s">
        <v>78</v>
      </c>
      <c r="Q4" s="111"/>
      <c r="R4" s="103" t="s">
        <v>77</v>
      </c>
      <c r="S4" s="292" t="s">
        <v>76</v>
      </c>
      <c r="T4" s="130"/>
    </row>
    <row r="5" spans="1:23" ht="11.25" customHeight="1" x14ac:dyDescent="0.2">
      <c r="A5" s="135"/>
      <c r="B5" s="291" t="str">
        <f t="shared" ref="B5:B15" si="0">K5</f>
        <v>ON</v>
      </c>
      <c r="C5" s="290"/>
      <c r="D5" s="289" t="s">
        <v>182</v>
      </c>
      <c r="E5" s="95" t="str">
        <f t="shared" ref="E5:E15" si="1">Currency&amp;B5&amp;$D5&amp;QuoteSuffix</f>
        <v>EUROND_Quote</v>
      </c>
      <c r="F5" s="95" t="e">
        <f ca="1">_xll.qlSimpleQuote(E5,,RateTickValue,Permanent,Trigger,ObjectOverwrite)</f>
        <v>#NAME?</v>
      </c>
      <c r="G5" s="288" t="e">
        <f ca="1">_xll.ohRangeRetrieveError(F5)</f>
        <v>#NAME?</v>
      </c>
      <c r="H5" s="120"/>
      <c r="J5" s="135"/>
      <c r="K5" s="287" t="s">
        <v>185</v>
      </c>
      <c r="L5" s="163" t="str">
        <f>Currency&amp;K5</f>
        <v>EURON</v>
      </c>
      <c r="M5" s="163" t="str">
        <f>L5&amp;"D="&amp;VLOOKUP(Contributor,ContributorTable,2,FALSE)</f>
        <v>EUROND=CKCC</v>
      </c>
      <c r="N5" s="89">
        <v>-0.11000000000000001</v>
      </c>
      <c r="O5" s="115"/>
      <c r="P5" s="89">
        <v>-0.11000000000000001</v>
      </c>
      <c r="Q5" s="275"/>
      <c r="R5" s="89">
        <f t="array" ref="R5:R15">QuoteStatic</f>
        <v>-0.11000000000000001</v>
      </c>
      <c r="S5" s="286" t="e">
        <f ca="1">_xll.qlSimpleQuoteSetValue(F5,R5/100,Trigger)</f>
        <v>#NAME?</v>
      </c>
      <c r="T5" s="130"/>
    </row>
    <row r="6" spans="1:23" ht="11.25" customHeight="1" x14ac:dyDescent="0.2">
      <c r="A6" s="135"/>
      <c r="B6" s="285" t="str">
        <f t="shared" si="0"/>
        <v>TN</v>
      </c>
      <c r="C6" s="284"/>
      <c r="D6" s="283" t="s">
        <v>182</v>
      </c>
      <c r="E6" s="84" t="str">
        <f t="shared" si="1"/>
        <v>EURTND_Quote</v>
      </c>
      <c r="F6" s="84" t="e">
        <f ca="1">_xll.qlSimpleQuote(E6,,RateTickValue,Permanent,Trigger,ObjectOverwrite)</f>
        <v>#NAME?</v>
      </c>
      <c r="G6" s="282" t="e">
        <f ca="1">_xll.ohRangeRetrieveError(F6)</f>
        <v>#NAME?</v>
      </c>
      <c r="H6" s="120"/>
      <c r="J6" s="135"/>
      <c r="K6" s="281" t="s">
        <v>184</v>
      </c>
      <c r="L6" s="140" t="str">
        <f>Currency&amp;K6</f>
        <v>EURTN</v>
      </c>
      <c r="M6" s="140" t="str">
        <f>L6&amp;"D="&amp;VLOOKUP(Contributor,ContributorTable,2,FALSE)</f>
        <v>EURTND=CKCC</v>
      </c>
      <c r="N6" s="78">
        <v>-0.12</v>
      </c>
      <c r="O6" s="115"/>
      <c r="P6" s="78">
        <v>-0.12</v>
      </c>
      <c r="Q6" s="275"/>
      <c r="R6" s="78">
        <v>-0.12</v>
      </c>
      <c r="S6" s="180" t="e">
        <f ca="1">_xll.qlSimpleQuoteSetValue(F6,R6/100,Trigger)</f>
        <v>#NAME?</v>
      </c>
      <c r="T6" s="130"/>
    </row>
    <row r="7" spans="1:23" ht="11.25" customHeight="1" x14ac:dyDescent="0.2">
      <c r="A7" s="135"/>
      <c r="B7" s="280" t="str">
        <f t="shared" si="0"/>
        <v>SN</v>
      </c>
      <c r="C7" s="279"/>
      <c r="D7" s="278" t="s">
        <v>182</v>
      </c>
      <c r="E7" s="73" t="str">
        <f t="shared" si="1"/>
        <v>EURSND_Quote</v>
      </c>
      <c r="F7" s="73" t="e">
        <f ca="1">_xll.qlSimpleQuote(E7,,RateTickValue,Permanent,Trigger,ObjectOverwrite)</f>
        <v>#NAME?</v>
      </c>
      <c r="G7" s="277" t="e">
        <f ca="1">_xll.ohRangeRetrieveError(F7)</f>
        <v>#NAME?</v>
      </c>
      <c r="H7" s="120"/>
      <c r="J7" s="135"/>
      <c r="K7" s="276" t="s">
        <v>183</v>
      </c>
      <c r="L7" s="133" t="str">
        <f>Currency&amp;K7</f>
        <v>EURSN</v>
      </c>
      <c r="M7" s="133" t="str">
        <f>L7&amp;"D="&amp;VLOOKUP(Contributor,ContributorTable,2,FALSE)</f>
        <v>EURSND=CKCC</v>
      </c>
      <c r="N7" s="65">
        <v>-0.12</v>
      </c>
      <c r="O7" s="115"/>
      <c r="P7" s="65">
        <v>-0.12</v>
      </c>
      <c r="Q7" s="275"/>
      <c r="R7" s="65">
        <v>-0.12</v>
      </c>
      <c r="S7" s="192" t="e">
        <f ca="1">_xll.qlSimpleQuoteSetValue(F7,R7/100,Trigger)</f>
        <v>#NAME?</v>
      </c>
      <c r="T7" s="130"/>
    </row>
    <row r="8" spans="1:23" ht="11.25" customHeight="1" x14ac:dyDescent="0.2">
      <c r="A8" s="135"/>
      <c r="B8" s="285" t="str">
        <f t="shared" si="0"/>
        <v>SW</v>
      </c>
      <c r="C8" s="284"/>
      <c r="D8" s="283" t="s">
        <v>182</v>
      </c>
      <c r="E8" s="84" t="str">
        <f t="shared" si="1"/>
        <v>EURSWD_Quote</v>
      </c>
      <c r="F8" s="84" t="e">
        <f ca="1">_xll.qlSimpleQuote(E8,,RateTickValue,Permanent,Trigger,ObjectOverwrite)</f>
        <v>#NAME?</v>
      </c>
      <c r="G8" s="282" t="e">
        <f ca="1">_xll.ohRangeRetrieveError(F8)</f>
        <v>#NAME?</v>
      </c>
      <c r="H8" s="120"/>
      <c r="J8" s="135"/>
      <c r="K8" s="281" t="s">
        <v>178</v>
      </c>
      <c r="L8" s="140" t="str">
        <f t="shared" ref="L8:L15" si="2">Currency&amp;"IBOR"&amp;K8</f>
        <v>EURIBORSW</v>
      </c>
      <c r="M8" s="140" t="str">
        <f>Euribor!H5</f>
        <v>EURIBORSWD=</v>
      </c>
      <c r="N8" s="78">
        <f>Euribor!J5</f>
        <v>-0.14499999999999999</v>
      </c>
      <c r="O8" s="115"/>
      <c r="P8" s="78">
        <v>-0.14499999999999999</v>
      </c>
      <c r="Q8" s="275"/>
      <c r="R8" s="78">
        <v>-0.14499999999999999</v>
      </c>
      <c r="S8" s="180" t="e">
        <f ca="1">_xll.qlSimpleQuoteSetValue(F8,R8/100,Trigger)</f>
        <v>#NAME?</v>
      </c>
      <c r="T8" s="130"/>
    </row>
    <row r="9" spans="1:23" ht="11.25" customHeight="1" x14ac:dyDescent="0.2">
      <c r="A9" s="135"/>
      <c r="B9" s="285" t="str">
        <f t="shared" si="0"/>
        <v>2W</v>
      </c>
      <c r="C9" s="284"/>
      <c r="D9" s="283" t="s">
        <v>182</v>
      </c>
      <c r="E9" s="84" t="str">
        <f t="shared" si="1"/>
        <v>EUR2WD_Quote</v>
      </c>
      <c r="F9" s="84" t="e">
        <f ca="1">_xll.qlSimpleQuote(E9,,RateTickValue,Permanent,Trigger,ObjectOverwrite)</f>
        <v>#NAME?</v>
      </c>
      <c r="G9" s="282" t="e">
        <f ca="1">_xll.ohRangeRetrieveError(F9)</f>
        <v>#NAME?</v>
      </c>
      <c r="H9" s="130"/>
      <c r="J9" s="135"/>
      <c r="K9" s="281" t="s">
        <v>177</v>
      </c>
      <c r="L9" s="140" t="str">
        <f t="shared" si="2"/>
        <v>EURIBOR2W</v>
      </c>
      <c r="M9" s="140" t="str">
        <f>Euribor!H6</f>
        <v>EURIBOR2WD=</v>
      </c>
      <c r="N9" s="78">
        <f>Euribor!J6</f>
        <v>-0.14299999999999999</v>
      </c>
      <c r="O9" s="115"/>
      <c r="P9" s="78">
        <v>-0.14299999999999999</v>
      </c>
      <c r="Q9" s="275"/>
      <c r="R9" s="78">
        <v>-0.14299999999999999</v>
      </c>
      <c r="S9" s="180" t="e">
        <f ca="1">_xll.qlSimpleQuoteSetValue(F9,R9/100,Trigger)</f>
        <v>#NAME?</v>
      </c>
      <c r="T9" s="130"/>
    </row>
    <row r="10" spans="1:23" ht="11.25" customHeight="1" x14ac:dyDescent="0.2">
      <c r="A10" s="135"/>
      <c r="B10" s="285" t="str">
        <f t="shared" si="0"/>
        <v>1M</v>
      </c>
      <c r="C10" s="284"/>
      <c r="D10" s="283" t="s">
        <v>182</v>
      </c>
      <c r="E10" s="84" t="str">
        <f t="shared" si="1"/>
        <v>EUR1MD_Quote</v>
      </c>
      <c r="F10" s="84" t="e">
        <f ca="1">_xll.qlSimpleQuote(E10,,RateTickValue,Permanent,Trigger,ObjectOverwrite)</f>
        <v>#NAME?</v>
      </c>
      <c r="G10" s="282" t="e">
        <f ca="1">_xll.ohRangeRetrieveError(F10)</f>
        <v>#NAME?</v>
      </c>
      <c r="H10" s="130"/>
      <c r="J10" s="135"/>
      <c r="K10" s="281" t="s">
        <v>175</v>
      </c>
      <c r="L10" s="140" t="str">
        <f t="shared" si="2"/>
        <v>EURIBOR1M</v>
      </c>
      <c r="M10" s="140" t="str">
        <f>Euribor!H7</f>
        <v>EURIBOR1MD=</v>
      </c>
      <c r="N10" s="78">
        <f>Euribor!J7</f>
        <v>-0.11299999999999999</v>
      </c>
      <c r="O10" s="115"/>
      <c r="P10" s="78">
        <v>-0.11299999999999999</v>
      </c>
      <c r="Q10" s="275"/>
      <c r="R10" s="78">
        <v>-0.11299999999999999</v>
      </c>
      <c r="S10" s="180" t="e">
        <f ca="1">_xll.qlSimpleQuoteSetValue(F10,R10/100,Trigger)</f>
        <v>#NAME?</v>
      </c>
      <c r="T10" s="130"/>
    </row>
    <row r="11" spans="1:23" ht="11.25" customHeight="1" x14ac:dyDescent="0.2">
      <c r="A11" s="135"/>
      <c r="B11" s="285" t="str">
        <f t="shared" si="0"/>
        <v>2M</v>
      </c>
      <c r="C11" s="284"/>
      <c r="D11" s="283" t="s">
        <v>182</v>
      </c>
      <c r="E11" s="84" t="str">
        <f t="shared" si="1"/>
        <v>EUR2MD_Quote</v>
      </c>
      <c r="F11" s="84" t="e">
        <f ca="1">_xll.qlSimpleQuote(E11,,RateTickValue,Permanent,Trigger,ObjectOverwrite)</f>
        <v>#NAME?</v>
      </c>
      <c r="G11" s="282" t="e">
        <f ca="1">_xll.ohRangeRetrieveError(F11)</f>
        <v>#NAME?</v>
      </c>
      <c r="H11" s="130"/>
      <c r="J11" s="135"/>
      <c r="K11" s="281" t="s">
        <v>174</v>
      </c>
      <c r="L11" s="140" t="str">
        <f t="shared" si="2"/>
        <v>EURIBOR2M</v>
      </c>
      <c r="M11" s="140" t="str">
        <f>Euribor!H8</f>
        <v>EURIBOR2MD=</v>
      </c>
      <c r="N11" s="78">
        <f>Euribor!J8</f>
        <v>-6.9999999999999993E-2</v>
      </c>
      <c r="O11" s="115"/>
      <c r="P11" s="78">
        <v>-6.9999999999999993E-2</v>
      </c>
      <c r="Q11" s="275"/>
      <c r="R11" s="78">
        <v>-6.9999999999999993E-2</v>
      </c>
      <c r="S11" s="180" t="e">
        <f ca="1">_xll.qlSimpleQuoteSetValue(F11,R11/100,Trigger)</f>
        <v>#NAME?</v>
      </c>
      <c r="T11" s="130"/>
    </row>
    <row r="12" spans="1:23" ht="11.25" customHeight="1" x14ac:dyDescent="0.2">
      <c r="A12" s="135"/>
      <c r="B12" s="285" t="str">
        <f t="shared" si="0"/>
        <v>3M</v>
      </c>
      <c r="C12" s="284"/>
      <c r="D12" s="283" t="s">
        <v>182</v>
      </c>
      <c r="E12" s="84" t="str">
        <f t="shared" si="1"/>
        <v>EUR3MD_Quote</v>
      </c>
      <c r="F12" s="84" t="e">
        <f ca="1">_xll.qlSimpleQuote(E12,,RateTickValue,Permanent,Trigger,ObjectOverwrite)</f>
        <v>#NAME?</v>
      </c>
      <c r="G12" s="282" t="e">
        <f ca="1">_xll.ohRangeRetrieveError(F12)</f>
        <v>#NAME?</v>
      </c>
      <c r="H12" s="130"/>
      <c r="J12" s="135"/>
      <c r="K12" s="281" t="s">
        <v>127</v>
      </c>
      <c r="L12" s="140" t="str">
        <f t="shared" si="2"/>
        <v>EURIBOR3M</v>
      </c>
      <c r="M12" s="140" t="str">
        <f>Euribor!H9</f>
        <v>EURIBOR3MD=</v>
      </c>
      <c r="N12" s="78">
        <f>Euribor!J9</f>
        <v>-0.04</v>
      </c>
      <c r="O12" s="115"/>
      <c r="P12" s="78">
        <v>-0.04</v>
      </c>
      <c r="Q12" s="275"/>
      <c r="R12" s="78">
        <v>-0.04</v>
      </c>
      <c r="S12" s="180" t="e">
        <f ca="1">_xll.qlSimpleQuoteSetValue(F12,R12/100,Trigger)</f>
        <v>#NAME?</v>
      </c>
      <c r="T12" s="130"/>
    </row>
    <row r="13" spans="1:23" ht="11.25" customHeight="1" x14ac:dyDescent="0.2">
      <c r="A13" s="135"/>
      <c r="B13" s="285" t="str">
        <f t="shared" si="0"/>
        <v>6M</v>
      </c>
      <c r="C13" s="284"/>
      <c r="D13" s="283" t="s">
        <v>182</v>
      </c>
      <c r="E13" s="84" t="str">
        <f t="shared" si="1"/>
        <v>EUR6MD_Quote</v>
      </c>
      <c r="F13" s="84" t="e">
        <f ca="1">_xll.qlSimpleQuote(E13,,RateTickValue,Permanent,Trigger,ObjectOverwrite)</f>
        <v>#NAME?</v>
      </c>
      <c r="G13" s="282" t="e">
        <f ca="1">_xll.ohRangeRetrieveError(F13)</f>
        <v>#NAME?</v>
      </c>
      <c r="H13" s="130"/>
      <c r="J13" s="135"/>
      <c r="K13" s="281" t="s">
        <v>92</v>
      </c>
      <c r="L13" s="140" t="str">
        <f t="shared" si="2"/>
        <v>EURIBOR6M</v>
      </c>
      <c r="M13" s="140" t="str">
        <f>Euribor!H10</f>
        <v>EURIBOR6MD=</v>
      </c>
      <c r="N13" s="78">
        <f>Euribor!J10</f>
        <v>2.8999999999999998E-2</v>
      </c>
      <c r="O13" s="115"/>
      <c r="P13" s="78">
        <v>2.8999999999999998E-2</v>
      </c>
      <c r="Q13" s="275"/>
      <c r="R13" s="78">
        <v>2.8999999999999998E-2</v>
      </c>
      <c r="S13" s="180" t="e">
        <f ca="1">_xll.qlSimpleQuoteSetValue(F13,R13/100,Trigger)</f>
        <v>#NAME?</v>
      </c>
      <c r="T13" s="130"/>
    </row>
    <row r="14" spans="1:23" ht="11.25" customHeight="1" x14ac:dyDescent="0.2">
      <c r="A14" s="135"/>
      <c r="B14" s="285" t="str">
        <f t="shared" si="0"/>
        <v>9M</v>
      </c>
      <c r="C14" s="284"/>
      <c r="D14" s="283" t="s">
        <v>182</v>
      </c>
      <c r="E14" s="84" t="str">
        <f t="shared" si="1"/>
        <v>EUR9MD_Quote</v>
      </c>
      <c r="F14" s="84" t="e">
        <f ca="1">_xll.qlSimpleQuote(E14,,RateTickValue,Permanent,Trigger,ObjectOverwrite)</f>
        <v>#NAME?</v>
      </c>
      <c r="G14" s="282" t="e">
        <f ca="1">_xll.ohRangeRetrieveError(F14)</f>
        <v>#NAME?</v>
      </c>
      <c r="H14" s="130"/>
      <c r="J14" s="135"/>
      <c r="K14" s="281" t="s">
        <v>169</v>
      </c>
      <c r="L14" s="140" t="str">
        <f t="shared" si="2"/>
        <v>EURIBOR9M</v>
      </c>
      <c r="M14" s="140" t="str">
        <f>Euribor!H11</f>
        <v>EURIBOR9MD=</v>
      </c>
      <c r="N14" s="78">
        <f>Euribor!J11</f>
        <v>7.8E-2</v>
      </c>
      <c r="O14" s="115"/>
      <c r="P14" s="78">
        <v>7.8E-2</v>
      </c>
      <c r="Q14" s="275"/>
      <c r="R14" s="78">
        <v>7.8E-2</v>
      </c>
      <c r="S14" s="180" t="e">
        <f ca="1">_xll.qlSimpleQuoteSetValue(F14,R14/100,Trigger)</f>
        <v>#NAME?</v>
      </c>
      <c r="T14" s="130"/>
    </row>
    <row r="15" spans="1:23" ht="11.25" customHeight="1" x14ac:dyDescent="0.2">
      <c r="A15" s="135"/>
      <c r="B15" s="280" t="str">
        <f t="shared" si="0"/>
        <v>1Y</v>
      </c>
      <c r="C15" s="279"/>
      <c r="D15" s="278" t="s">
        <v>182</v>
      </c>
      <c r="E15" s="73" t="str">
        <f t="shared" si="1"/>
        <v>EUR1YD_Quote</v>
      </c>
      <c r="F15" s="73" t="e">
        <f ca="1">_xll.qlSimpleQuote(E15,,RateTickValue,Permanent,Trigger,ObjectOverwrite)</f>
        <v>#NAME?</v>
      </c>
      <c r="G15" s="277" t="e">
        <f ca="1">_xll.ohRangeRetrieveError(F15)</f>
        <v>#NAME?</v>
      </c>
      <c r="H15" s="130"/>
      <c r="J15" s="135"/>
      <c r="K15" s="276" t="s">
        <v>58</v>
      </c>
      <c r="L15" s="133" t="str">
        <f t="shared" si="2"/>
        <v>EURIBOR1Y</v>
      </c>
      <c r="M15" s="133" t="str">
        <f>Euribor!H12</f>
        <v>EURIBOR1YD=</v>
      </c>
      <c r="N15" s="65">
        <f>Euribor!J12</f>
        <v>0.14199999999999999</v>
      </c>
      <c r="O15" s="115"/>
      <c r="P15" s="65">
        <v>0.14199999999999999</v>
      </c>
      <c r="Q15" s="275"/>
      <c r="R15" s="65">
        <v>0.14199999999999999</v>
      </c>
      <c r="S15" s="192" t="e">
        <f ca="1">_xll.qlSimpleQuoteSetValue(F15,R15/100,Trigger)</f>
        <v>#NAME?</v>
      </c>
      <c r="T15" s="130"/>
    </row>
    <row r="16" spans="1:23" ht="11.25" customHeight="1" x14ac:dyDescent="0.2">
      <c r="A16" s="35"/>
      <c r="B16" s="34"/>
      <c r="C16" s="34"/>
      <c r="D16" s="34"/>
      <c r="E16" s="34"/>
      <c r="F16" s="34"/>
      <c r="G16" s="34"/>
      <c r="H16" s="32"/>
      <c r="J16" s="35"/>
      <c r="K16" s="34"/>
      <c r="L16" s="34"/>
      <c r="M16" s="34"/>
      <c r="N16" s="34"/>
      <c r="O16" s="34"/>
      <c r="P16" s="34"/>
      <c r="Q16" s="34"/>
      <c r="R16" s="34"/>
      <c r="S16" s="34"/>
      <c r="T16" s="32"/>
    </row>
  </sheetData>
  <conditionalFormatting sqref="S8:S15">
    <cfRule type="cellIs" dxfId="43" priority="1" stopIfTrue="1" operator="greaterThan">
      <formula>0</formula>
    </cfRule>
    <cfRule type="cellIs" dxfId="42" priority="2" stopIfTrue="1" operator="lessThan">
      <formula>0</formula>
    </cfRule>
  </conditionalFormatting>
  <conditionalFormatting sqref="S5:S7">
    <cfRule type="cellIs" dxfId="41" priority="3" stopIfTrue="1" operator="greaterThan">
      <formula>0</formula>
    </cfRule>
    <cfRule type="cellIs" dxfId="40" priority="4" stopIfTrue="1" operator="lessThan">
      <formula>0</formula>
    </cfRule>
  </conditionalFormatting>
  <dataValidations count="1">
    <dataValidation showInputMessage="1" showErrorMessage="1" sqref="M2"/>
  </dataValidations>
  <pageMargins left="0.75" right="0.75" top="1" bottom="1" header="0.5" footer="0.5"/>
  <pageSetup orientation="portrait"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B59"/>
  <sheetViews>
    <sheetView topLeftCell="I1" workbookViewId="0">
      <selection activeCell="AB2" sqref="AB2:AB3"/>
    </sheetView>
  </sheetViews>
  <sheetFormatPr defaultRowHeight="11.25" outlineLevelCol="1" x14ac:dyDescent="0.2"/>
  <cols>
    <col min="1" max="3" width="2.7109375" style="30" hidden="1" customWidth="1" outlineLevel="1"/>
    <col min="4" max="4" width="5" style="30" hidden="1" customWidth="1" outlineLevel="1"/>
    <col min="5" max="5" width="16.140625" style="30" hidden="1" customWidth="1" outlineLevel="1"/>
    <col min="6" max="6" width="21.42578125" style="30" hidden="1" customWidth="1" outlineLevel="1"/>
    <col min="7" max="7" width="25.7109375" style="31"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26" width="10" style="30" bestFit="1" customWidth="1"/>
    <col min="27" max="16384" width="9.140625" style="30"/>
  </cols>
  <sheetData>
    <row r="1" spans="1:28" ht="12" thickBot="1" x14ac:dyDescent="0.25">
      <c r="A1" s="274"/>
      <c r="B1" s="272"/>
      <c r="C1" s="272"/>
      <c r="D1" s="272"/>
      <c r="E1" s="272"/>
      <c r="F1" s="273"/>
      <c r="G1" s="272"/>
      <c r="H1" s="271"/>
      <c r="J1" s="178" t="s">
        <v>181</v>
      </c>
      <c r="K1" s="54"/>
      <c r="L1" s="54"/>
      <c r="M1" s="54"/>
      <c r="N1" s="54"/>
      <c r="O1" s="54"/>
      <c r="P1" s="54"/>
      <c r="Q1" s="54"/>
      <c r="R1" s="54"/>
      <c r="S1" s="54"/>
      <c r="T1" s="54"/>
      <c r="U1" s="54"/>
      <c r="V1" s="54"/>
      <c r="W1" s="54"/>
      <c r="X1" s="54"/>
      <c r="Y1" s="53"/>
    </row>
    <row r="2" spans="1:28" ht="15" x14ac:dyDescent="0.25">
      <c r="A2" s="270"/>
      <c r="B2" s="269"/>
      <c r="C2" s="269"/>
      <c r="D2" s="269"/>
      <c r="E2" s="269"/>
      <c r="F2" s="269"/>
      <c r="G2" s="268"/>
      <c r="H2" s="267"/>
      <c r="J2" s="121"/>
      <c r="K2" s="109"/>
      <c r="L2" s="109"/>
      <c r="M2" s="109"/>
      <c r="N2" s="109"/>
      <c r="O2" s="119" t="str">
        <f>VLOOKUP(J1,AreaTable,2,FALSE)</f>
        <v>ICAP</v>
      </c>
      <c r="P2" s="109"/>
      <c r="Q2" s="109"/>
      <c r="R2" s="115"/>
      <c r="S2" s="115"/>
      <c r="T2" s="115"/>
      <c r="U2" s="115"/>
      <c r="V2" s="115"/>
      <c r="W2" s="115"/>
      <c r="X2" s="152" t="e">
        <f ca="1">_xll.ohTrigger(X5:X58)</f>
        <v>#NAME?</v>
      </c>
      <c r="Y2" s="120"/>
      <c r="AA2" s="1361" t="s">
        <v>529</v>
      </c>
      <c r="AB2" s="1364" t="e">
        <f ca="1">_xll.ohTrigger('General Settings'!Trigger)</f>
        <v>#NAME?</v>
      </c>
    </row>
    <row r="3" spans="1:28" ht="15.75" thickBot="1" x14ac:dyDescent="0.3">
      <c r="A3" s="270"/>
      <c r="B3" s="269"/>
      <c r="C3" s="269"/>
      <c r="D3" s="269"/>
      <c r="E3" s="269"/>
      <c r="F3" s="269"/>
      <c r="G3" s="268"/>
      <c r="H3" s="267"/>
      <c r="J3" s="41"/>
      <c r="K3" s="109"/>
      <c r="L3" s="109"/>
      <c r="M3" s="115"/>
      <c r="N3" s="109"/>
      <c r="O3" s="109"/>
      <c r="P3" s="109"/>
      <c r="Q3" s="109"/>
      <c r="R3" s="109"/>
      <c r="S3" s="109"/>
      <c r="T3" s="115"/>
      <c r="U3" s="115"/>
      <c r="V3" s="115"/>
      <c r="W3" s="109"/>
      <c r="X3" s="109"/>
      <c r="Y3" s="255"/>
      <c r="AA3" s="1362" t="s">
        <v>530</v>
      </c>
      <c r="AB3" s="1365" t="e">
        <f ca="1">_xll.ohTrigger(X5:X58)</f>
        <v>#NAME?</v>
      </c>
    </row>
    <row r="4" spans="1:28" ht="21" customHeight="1" x14ac:dyDescent="0.2">
      <c r="A4" s="135"/>
      <c r="B4" s="266"/>
      <c r="C4" s="265"/>
      <c r="D4" s="50"/>
      <c r="E4" s="52" t="s">
        <v>91</v>
      </c>
      <c r="F4" s="51" t="s">
        <v>90</v>
      </c>
      <c r="G4" s="51" t="e">
        <f ca="1">_xll.ohRangeRetrieveError(F4)</f>
        <v>#NAME?</v>
      </c>
      <c r="H4" s="36"/>
      <c r="J4" s="41"/>
      <c r="K4" s="150"/>
      <c r="L4" s="150"/>
      <c r="M4" s="150"/>
      <c r="N4" s="52" t="s">
        <v>101</v>
      </c>
      <c r="O4" s="148" t="e">
        <f ca="1">_xll.RData(O5:O58,P4:Q4,,ReutersRtMode,,P5)</f>
        <v>#NAME?</v>
      </c>
      <c r="P4" s="147" t="s">
        <v>84</v>
      </c>
      <c r="Q4" s="147" t="s">
        <v>83</v>
      </c>
      <c r="R4" s="147" t="s">
        <v>106</v>
      </c>
      <c r="S4" s="147" t="s">
        <v>79</v>
      </c>
      <c r="T4" s="115"/>
      <c r="U4" s="147" t="s">
        <v>78</v>
      </c>
      <c r="V4" s="115"/>
      <c r="W4" s="147" t="s">
        <v>77</v>
      </c>
      <c r="X4" s="147" t="s">
        <v>76</v>
      </c>
      <c r="Y4" s="255"/>
    </row>
    <row r="5" spans="1:28" x14ac:dyDescent="0.2">
      <c r="A5" s="135"/>
      <c r="B5" s="95">
        <f t="shared" ref="B5:B36" si="0">K5</f>
        <v>1</v>
      </c>
      <c r="C5" s="95" t="str">
        <f t="shared" ref="C5:C36" si="1">L5</f>
        <v>x</v>
      </c>
      <c r="D5" s="95" t="str">
        <f t="shared" ref="D5:D36" si="2">M5</f>
        <v>4F</v>
      </c>
      <c r="E5" s="96" t="str">
        <f t="shared" ref="E5:E36" si="3">Currency&amp;$B5&amp;C5&amp;$D5&amp;QuoteSuffix</f>
        <v>EUR1x4F_Quote</v>
      </c>
      <c r="F5" s="95" t="e">
        <f ca="1">_xll.qlSimpleQuote(E5,,RateTickValue,Permanent,Trigger,ObjectOverwrite)</f>
        <v>#NAME?</v>
      </c>
      <c r="G5" s="94" t="e">
        <f ca="1">_xll.ohRangeRetrieveError(F5)</f>
        <v>#NAME?</v>
      </c>
      <c r="H5" s="36"/>
      <c r="J5" s="41"/>
      <c r="K5" s="263">
        <v>1</v>
      </c>
      <c r="L5" s="263" t="s">
        <v>180</v>
      </c>
      <c r="M5" s="263" t="str">
        <f t="shared" ref="M5:M16" si="4">K5+3&amp;"F"</f>
        <v>4F</v>
      </c>
      <c r="N5" s="264" t="str">
        <f t="shared" ref="N5:N36" si="5">Currency&amp;$K5&amp;L5&amp;$M5</f>
        <v>EUR1x4F</v>
      </c>
      <c r="O5" s="226" t="str">
        <f t="array" ref="O5:O58">UPPER(Instruments)&amp;"="&amp;VLOOKUP(Contributor,ContributorTable,2,FALSE)</f>
        <v>EUR1X4F=ICAP</v>
      </c>
      <c r="P5" s="89">
        <v>-7.0999999999999994E-2</v>
      </c>
      <c r="Q5" s="89">
        <v>-2.1000000000000001E-2</v>
      </c>
      <c r="R5" s="89">
        <f t="shared" ref="R5:R36" si="6">IF(ISERROR(AVERAGE(P5,Q5)),#NUM!,AVERAGE(P5,Q5))</f>
        <v>-4.5999999999999999E-2</v>
      </c>
      <c r="S5" s="89">
        <f t="shared" ref="S5:S36" si="7">(R5-P5)*2</f>
        <v>4.9999999999999989E-2</v>
      </c>
      <c r="T5" s="115"/>
      <c r="U5" s="89">
        <v>-4.5999999999999999E-2</v>
      </c>
      <c r="V5" s="115"/>
      <c r="W5" s="228">
        <f t="array" ref="W5:W58">QuoteStatic</f>
        <v>-4.5999999999999999E-2</v>
      </c>
      <c r="X5" s="261" t="e">
        <f ca="1">_xll.qlSimpleQuoteSetValue(F5,W5/100,Trigger)</f>
        <v>#NAME?</v>
      </c>
      <c r="Y5" s="255"/>
    </row>
    <row r="6" spans="1:28" x14ac:dyDescent="0.2">
      <c r="A6" s="135"/>
      <c r="B6" s="84">
        <f t="shared" si="0"/>
        <v>2</v>
      </c>
      <c r="C6" s="84" t="str">
        <f t="shared" si="1"/>
        <v>x</v>
      </c>
      <c r="D6" s="84" t="str">
        <f t="shared" si="2"/>
        <v>5F</v>
      </c>
      <c r="E6" s="85" t="str">
        <f t="shared" si="3"/>
        <v>EUR2x5F_Quote</v>
      </c>
      <c r="F6" s="84" t="e">
        <f ca="1">_xll.qlSimpleQuote(E6,,RateTickValue,Permanent,Trigger,ObjectOverwrite)</f>
        <v>#NAME?</v>
      </c>
      <c r="G6" s="83" t="e">
        <f ca="1">_xll.ohRangeRetrieveError(F6)</f>
        <v>#NAME?</v>
      </c>
      <c r="H6" s="36"/>
      <c r="J6" s="41"/>
      <c r="K6" s="258">
        <v>2</v>
      </c>
      <c r="L6" s="258" t="s">
        <v>180</v>
      </c>
      <c r="M6" s="258" t="str">
        <f t="shared" si="4"/>
        <v>5F</v>
      </c>
      <c r="N6" s="256" t="str">
        <f t="shared" si="5"/>
        <v>EUR2x5F</v>
      </c>
      <c r="O6" s="186" t="str">
        <v>EUR2X5F=ICAP</v>
      </c>
      <c r="P6" s="78">
        <v>-7.3999999999999996E-2</v>
      </c>
      <c r="Q6" s="78">
        <v>-2.4E-2</v>
      </c>
      <c r="R6" s="78">
        <f t="shared" si="6"/>
        <v>-4.9000000000000002E-2</v>
      </c>
      <c r="S6" s="78">
        <f t="shared" si="7"/>
        <v>4.9999999999999989E-2</v>
      </c>
      <c r="T6" s="115"/>
      <c r="U6" s="78">
        <v>-4.9000000000000002E-2</v>
      </c>
      <c r="V6" s="115"/>
      <c r="W6" s="219">
        <v>-4.9000000000000002E-2</v>
      </c>
      <c r="X6" s="222" t="e">
        <f ca="1">_xll.qlSimpleQuoteSetValue(F6,W6/100,Trigger)</f>
        <v>#NAME?</v>
      </c>
      <c r="Y6" s="255"/>
    </row>
    <row r="7" spans="1:28" x14ac:dyDescent="0.2">
      <c r="A7" s="135"/>
      <c r="B7" s="84">
        <f t="shared" si="0"/>
        <v>3</v>
      </c>
      <c r="C7" s="84" t="str">
        <f t="shared" si="1"/>
        <v>x</v>
      </c>
      <c r="D7" s="84" t="str">
        <f t="shared" si="2"/>
        <v>6F</v>
      </c>
      <c r="E7" s="85" t="str">
        <f t="shared" si="3"/>
        <v>EUR3x6F_Quote</v>
      </c>
      <c r="F7" s="84" t="e">
        <f ca="1">_xll.qlSimpleQuote(E7,,RateTickValue,Permanent,Trigger,ObjectOverwrite)</f>
        <v>#NAME?</v>
      </c>
      <c r="G7" s="83" t="e">
        <f ca="1">_xll.ohRangeRetrieveError(F7)</f>
        <v>#NAME?</v>
      </c>
      <c r="H7" s="36"/>
      <c r="J7" s="41"/>
      <c r="K7" s="258">
        <v>3</v>
      </c>
      <c r="L7" s="258" t="s">
        <v>180</v>
      </c>
      <c r="M7" s="258" t="str">
        <f t="shared" si="4"/>
        <v>6F</v>
      </c>
      <c r="N7" s="256" t="str">
        <f t="shared" si="5"/>
        <v>EUR3x6F</v>
      </c>
      <c r="O7" s="186" t="str">
        <v>EUR3X6F=ICAP</v>
      </c>
      <c r="P7" s="78">
        <v>-7.8E-2</v>
      </c>
      <c r="Q7" s="78">
        <v>-2.7999999999999997E-2</v>
      </c>
      <c r="R7" s="78">
        <f t="shared" si="6"/>
        <v>-5.2999999999999999E-2</v>
      </c>
      <c r="S7" s="78">
        <f t="shared" si="7"/>
        <v>0.05</v>
      </c>
      <c r="T7" s="115"/>
      <c r="U7" s="78">
        <v>-5.2999999999999999E-2</v>
      </c>
      <c r="V7" s="115"/>
      <c r="W7" s="219">
        <v>-5.2999999999999999E-2</v>
      </c>
      <c r="X7" s="222" t="e">
        <f ca="1">_xll.qlSimpleQuoteSetValue(F7,W7/100,Trigger)</f>
        <v>#NAME?</v>
      </c>
      <c r="Y7" s="255"/>
    </row>
    <row r="8" spans="1:28" x14ac:dyDescent="0.2">
      <c r="A8" s="135"/>
      <c r="B8" s="84">
        <f t="shared" si="0"/>
        <v>4</v>
      </c>
      <c r="C8" s="84" t="str">
        <f t="shared" si="1"/>
        <v>x</v>
      </c>
      <c r="D8" s="84" t="str">
        <f t="shared" si="2"/>
        <v>7F</v>
      </c>
      <c r="E8" s="85" t="str">
        <f t="shared" si="3"/>
        <v>EUR4x7F_Quote</v>
      </c>
      <c r="F8" s="84" t="e">
        <f ca="1">_xll.qlSimpleQuote(E8,,RateTickValue,Permanent,Trigger,ObjectOverwrite)</f>
        <v>#NAME?</v>
      </c>
      <c r="G8" s="83" t="e">
        <f ca="1">_xll.ohRangeRetrieveError(F8)</f>
        <v>#NAME?</v>
      </c>
      <c r="H8" s="36"/>
      <c r="J8" s="41"/>
      <c r="K8" s="258">
        <v>4</v>
      </c>
      <c r="L8" s="258" t="s">
        <v>180</v>
      </c>
      <c r="M8" s="258" t="str">
        <f t="shared" si="4"/>
        <v>7F</v>
      </c>
      <c r="N8" s="256" t="str">
        <f t="shared" si="5"/>
        <v>EUR4x7F</v>
      </c>
      <c r="O8" s="186" t="str">
        <v>EUR4X7F=ICAP</v>
      </c>
      <c r="P8" s="78">
        <v>-0.08</v>
      </c>
      <c r="Q8" s="78">
        <v>-0.03</v>
      </c>
      <c r="R8" s="78">
        <f t="shared" si="6"/>
        <v>-5.5E-2</v>
      </c>
      <c r="S8" s="78">
        <f t="shared" si="7"/>
        <v>0.05</v>
      </c>
      <c r="T8" s="115"/>
      <c r="U8" s="78">
        <v>-5.5E-2</v>
      </c>
      <c r="V8" s="115"/>
      <c r="W8" s="219">
        <v>-5.5E-2</v>
      </c>
      <c r="X8" s="222" t="e">
        <f ca="1">_xll.qlSimpleQuoteSetValue(F8,W8/100,Trigger)</f>
        <v>#NAME?</v>
      </c>
      <c r="Y8" s="255"/>
    </row>
    <row r="9" spans="1:28" x14ac:dyDescent="0.2">
      <c r="A9" s="135"/>
      <c r="B9" s="84">
        <f t="shared" si="0"/>
        <v>5</v>
      </c>
      <c r="C9" s="84" t="str">
        <f t="shared" si="1"/>
        <v>x</v>
      </c>
      <c r="D9" s="84" t="str">
        <f t="shared" si="2"/>
        <v>8F</v>
      </c>
      <c r="E9" s="85" t="str">
        <f t="shared" si="3"/>
        <v>EUR5x8F_Quote</v>
      </c>
      <c r="F9" s="84" t="e">
        <f ca="1">_xll.qlSimpleQuote(E9,,RateTickValue,Permanent,Trigger,ObjectOverwrite)</f>
        <v>#NAME?</v>
      </c>
      <c r="G9" s="83" t="e">
        <f ca="1">_xll.ohRangeRetrieveError(F9)</f>
        <v>#NAME?</v>
      </c>
      <c r="H9" s="36"/>
      <c r="J9" s="41"/>
      <c r="K9" s="258">
        <v>5</v>
      </c>
      <c r="L9" s="258" t="s">
        <v>180</v>
      </c>
      <c r="M9" s="258" t="str">
        <f t="shared" si="4"/>
        <v>8F</v>
      </c>
      <c r="N9" s="256" t="str">
        <f t="shared" si="5"/>
        <v>EUR5x8F</v>
      </c>
      <c r="O9" s="186" t="str">
        <v>EUR5X8F=ICAP</v>
      </c>
      <c r="P9" s="78">
        <v>-8.199999999999999E-2</v>
      </c>
      <c r="Q9" s="78">
        <v>-3.2000000000000001E-2</v>
      </c>
      <c r="R9" s="78">
        <f t="shared" si="6"/>
        <v>-5.6999999999999995E-2</v>
      </c>
      <c r="S9" s="78">
        <f t="shared" si="7"/>
        <v>4.9999999999999989E-2</v>
      </c>
      <c r="T9" s="115"/>
      <c r="U9" s="78">
        <v>-5.6999999999999995E-2</v>
      </c>
      <c r="V9" s="115"/>
      <c r="W9" s="219">
        <v>-5.6999999999999995E-2</v>
      </c>
      <c r="X9" s="222" t="e">
        <f ca="1">_xll.qlSimpleQuoteSetValue(F9,W9/100,Trigger)</f>
        <v>#NAME?</v>
      </c>
      <c r="Y9" s="255"/>
    </row>
    <row r="10" spans="1:28" x14ac:dyDescent="0.2">
      <c r="A10" s="135"/>
      <c r="B10" s="84">
        <f t="shared" si="0"/>
        <v>6</v>
      </c>
      <c r="C10" s="84" t="str">
        <f t="shared" si="1"/>
        <v>x</v>
      </c>
      <c r="D10" s="84" t="str">
        <f t="shared" si="2"/>
        <v>9F</v>
      </c>
      <c r="E10" s="85" t="str">
        <f t="shared" si="3"/>
        <v>EUR6x9F_Quote</v>
      </c>
      <c r="F10" s="84" t="e">
        <f ca="1">_xll.qlSimpleQuote(E10,,RateTickValue,Permanent,Trigger,ObjectOverwrite)</f>
        <v>#NAME?</v>
      </c>
      <c r="G10" s="83" t="e">
        <f ca="1">_xll.ohRangeRetrieveError(F10)</f>
        <v>#NAME?</v>
      </c>
      <c r="H10" s="36"/>
      <c r="J10" s="41"/>
      <c r="K10" s="258">
        <v>6</v>
      </c>
      <c r="L10" s="258" t="s">
        <v>180</v>
      </c>
      <c r="M10" s="258" t="str">
        <f t="shared" si="4"/>
        <v>9F</v>
      </c>
      <c r="N10" s="256" t="str">
        <f t="shared" si="5"/>
        <v>EUR6x9F</v>
      </c>
      <c r="O10" s="186" t="str">
        <v>EUR6X9F=ICAP</v>
      </c>
      <c r="P10" s="78">
        <v>-8.4999999999999992E-2</v>
      </c>
      <c r="Q10" s="78">
        <v>-3.4999999999999996E-2</v>
      </c>
      <c r="R10" s="78">
        <f t="shared" si="6"/>
        <v>-0.06</v>
      </c>
      <c r="S10" s="78">
        <f t="shared" si="7"/>
        <v>4.9999999999999989E-2</v>
      </c>
      <c r="T10" s="115"/>
      <c r="U10" s="78">
        <v>-0.06</v>
      </c>
      <c r="V10" s="115"/>
      <c r="W10" s="219">
        <v>-0.06</v>
      </c>
      <c r="X10" s="222" t="e">
        <f ca="1">_xll.qlSimpleQuoteSetValue(F10,W10/100,Trigger)</f>
        <v>#NAME?</v>
      </c>
      <c r="Y10" s="255"/>
    </row>
    <row r="11" spans="1:28" x14ac:dyDescent="0.2">
      <c r="A11" s="135"/>
      <c r="B11" s="84">
        <f t="shared" si="0"/>
        <v>7</v>
      </c>
      <c r="C11" s="84" t="str">
        <f t="shared" si="1"/>
        <v>x</v>
      </c>
      <c r="D11" s="84" t="str">
        <f t="shared" si="2"/>
        <v>10F</v>
      </c>
      <c r="E11" s="85" t="str">
        <f t="shared" si="3"/>
        <v>EUR7x10F_Quote</v>
      </c>
      <c r="F11" s="84" t="e">
        <f ca="1">_xll.qlSimpleQuote(E11,,RateTickValue,Permanent,Trigger,ObjectOverwrite)</f>
        <v>#NAME?</v>
      </c>
      <c r="G11" s="83" t="e">
        <f ca="1">_xll.ohRangeRetrieveError(F11)</f>
        <v>#NAME?</v>
      </c>
      <c r="H11" s="36"/>
      <c r="J11" s="41"/>
      <c r="K11" s="258">
        <v>7</v>
      </c>
      <c r="L11" s="258" t="s">
        <v>180</v>
      </c>
      <c r="M11" s="258" t="str">
        <f t="shared" si="4"/>
        <v>10F</v>
      </c>
      <c r="N11" s="256" t="str">
        <f t="shared" si="5"/>
        <v>EUR7x10F</v>
      </c>
      <c r="O11" s="186" t="str">
        <v>EUR7X10F=ICAP</v>
      </c>
      <c r="P11" s="78">
        <v>-8.6999999999999994E-2</v>
      </c>
      <c r="Q11" s="78">
        <v>-3.6999999999999998E-2</v>
      </c>
      <c r="R11" s="78">
        <f t="shared" si="6"/>
        <v>-6.2E-2</v>
      </c>
      <c r="S11" s="78">
        <f t="shared" si="7"/>
        <v>4.9999999999999989E-2</v>
      </c>
      <c r="T11" s="115"/>
      <c r="U11" s="78">
        <v>-6.2E-2</v>
      </c>
      <c r="V11" s="115"/>
      <c r="W11" s="219">
        <v>-6.2E-2</v>
      </c>
      <c r="X11" s="222" t="e">
        <f ca="1">_xll.qlSimpleQuoteSetValue(F11,W11/100,Trigger)</f>
        <v>#NAME?</v>
      </c>
      <c r="Y11" s="255"/>
    </row>
    <row r="12" spans="1:28" x14ac:dyDescent="0.2">
      <c r="A12" s="135"/>
      <c r="B12" s="84">
        <f t="shared" si="0"/>
        <v>8</v>
      </c>
      <c r="C12" s="84" t="str">
        <f t="shared" si="1"/>
        <v>x</v>
      </c>
      <c r="D12" s="84" t="str">
        <f t="shared" si="2"/>
        <v>11F</v>
      </c>
      <c r="E12" s="85" t="str">
        <f t="shared" si="3"/>
        <v>EUR8x11F_Quote</v>
      </c>
      <c r="F12" s="84" t="e">
        <f ca="1">_xll.qlSimpleQuote(E12,,RateTickValue,Permanent,Trigger,ObjectOverwrite)</f>
        <v>#NAME?</v>
      </c>
      <c r="G12" s="83" t="e">
        <f ca="1">_xll.ohRangeRetrieveError(F12)</f>
        <v>#NAME?</v>
      </c>
      <c r="H12" s="36"/>
      <c r="J12" s="41"/>
      <c r="K12" s="258">
        <v>8</v>
      </c>
      <c r="L12" s="258" t="s">
        <v>180</v>
      </c>
      <c r="M12" s="258" t="str">
        <f t="shared" si="4"/>
        <v>11F</v>
      </c>
      <c r="N12" s="256" t="str">
        <f t="shared" si="5"/>
        <v>EUR8x11F</v>
      </c>
      <c r="O12" s="186" t="str">
        <v>EUR8X11F=ICAP</v>
      </c>
      <c r="P12" s="78">
        <v>-0.09</v>
      </c>
      <c r="Q12" s="78">
        <v>-0.04</v>
      </c>
      <c r="R12" s="78">
        <f t="shared" si="6"/>
        <v>-6.5000000000000002E-2</v>
      </c>
      <c r="S12" s="78">
        <f t="shared" si="7"/>
        <v>4.9999999999999989E-2</v>
      </c>
      <c r="T12" s="115"/>
      <c r="U12" s="78">
        <v>-6.5000000000000002E-2</v>
      </c>
      <c r="V12" s="115"/>
      <c r="W12" s="219">
        <v>-6.5000000000000002E-2</v>
      </c>
      <c r="X12" s="222" t="e">
        <f ca="1">_xll.qlSimpleQuoteSetValue(F12,W12/100,Trigger)</f>
        <v>#NAME?</v>
      </c>
      <c r="Y12" s="255"/>
    </row>
    <row r="13" spans="1:28" x14ac:dyDescent="0.2">
      <c r="A13" s="135"/>
      <c r="B13" s="84">
        <f t="shared" si="0"/>
        <v>9</v>
      </c>
      <c r="C13" s="84" t="str">
        <f t="shared" si="1"/>
        <v>x</v>
      </c>
      <c r="D13" s="84" t="str">
        <f t="shared" si="2"/>
        <v>12F</v>
      </c>
      <c r="E13" s="85" t="str">
        <f t="shared" si="3"/>
        <v>EUR9x12F_Quote</v>
      </c>
      <c r="F13" s="84" t="e">
        <f ca="1">_xll.qlSimpleQuote(E13,,RateTickValue,Permanent,Trigger,ObjectOverwrite)</f>
        <v>#NAME?</v>
      </c>
      <c r="G13" s="83" t="e">
        <f ca="1">_xll.ohRangeRetrieveError(F13)</f>
        <v>#NAME?</v>
      </c>
      <c r="H13" s="36"/>
      <c r="J13" s="41"/>
      <c r="K13" s="258">
        <v>9</v>
      </c>
      <c r="L13" s="258" t="s">
        <v>180</v>
      </c>
      <c r="M13" s="258" t="str">
        <f t="shared" si="4"/>
        <v>12F</v>
      </c>
      <c r="N13" s="256" t="str">
        <f t="shared" si="5"/>
        <v>EUR9x12F</v>
      </c>
      <c r="O13" s="186" t="str">
        <v>EUR9X12F=ICAP</v>
      </c>
      <c r="P13" s="78">
        <v>-0.09</v>
      </c>
      <c r="Q13" s="78">
        <v>-0.04</v>
      </c>
      <c r="R13" s="78">
        <f t="shared" si="6"/>
        <v>-6.5000000000000002E-2</v>
      </c>
      <c r="S13" s="78">
        <f t="shared" si="7"/>
        <v>4.9999999999999989E-2</v>
      </c>
      <c r="T13" s="115"/>
      <c r="U13" s="78">
        <v>-6.5000000000000002E-2</v>
      </c>
      <c r="V13" s="115"/>
      <c r="W13" s="219">
        <v>-6.5000000000000002E-2</v>
      </c>
      <c r="X13" s="222" t="e">
        <f ca="1">_xll.qlSimpleQuoteSetValue(F13,W13/100,Trigger)</f>
        <v>#NAME?</v>
      </c>
      <c r="Y13" s="255"/>
    </row>
    <row r="14" spans="1:28" x14ac:dyDescent="0.2">
      <c r="A14" s="135"/>
      <c r="B14" s="84">
        <f t="shared" si="0"/>
        <v>10</v>
      </c>
      <c r="C14" s="84" t="str">
        <f t="shared" si="1"/>
        <v>x</v>
      </c>
      <c r="D14" s="84" t="str">
        <f t="shared" si="2"/>
        <v>13F</v>
      </c>
      <c r="E14" s="85" t="str">
        <f t="shared" si="3"/>
        <v>EUR10x13F_Quote</v>
      </c>
      <c r="F14" s="84" t="e">
        <f ca="1">_xll.qlSimpleQuote(E14,,RateTickValue,Permanent,Trigger,ObjectOverwrite)</f>
        <v>#NAME?</v>
      </c>
      <c r="G14" s="83" t="e">
        <f ca="1">_xll.ohRangeRetrieveError(F14)</f>
        <v>#NAME?</v>
      </c>
      <c r="H14" s="36"/>
      <c r="J14" s="41"/>
      <c r="K14" s="258">
        <v>10</v>
      </c>
      <c r="L14" s="258" t="s">
        <v>180</v>
      </c>
      <c r="M14" s="258" t="str">
        <f t="shared" si="4"/>
        <v>13F</v>
      </c>
      <c r="N14" s="256" t="str">
        <f t="shared" si="5"/>
        <v>EUR10x13F</v>
      </c>
      <c r="O14" s="186" t="str">
        <v>EUR10X13F=ICAP</v>
      </c>
      <c r="P14" s="78">
        <v>-0.09</v>
      </c>
      <c r="Q14" s="78">
        <v>-0.04</v>
      </c>
      <c r="R14" s="78">
        <f t="shared" si="6"/>
        <v>-6.5000000000000002E-2</v>
      </c>
      <c r="S14" s="78">
        <f t="shared" si="7"/>
        <v>4.9999999999999989E-2</v>
      </c>
      <c r="T14" s="115"/>
      <c r="U14" s="78">
        <v>-6.5000000000000002E-2</v>
      </c>
      <c r="V14" s="115"/>
      <c r="W14" s="219">
        <v>-6.5000000000000002E-2</v>
      </c>
      <c r="X14" s="222" t="e">
        <f ca="1">_xll.qlSimpleQuoteSetValue(F14,W14/100,Trigger)</f>
        <v>#NAME?</v>
      </c>
      <c r="Y14" s="255"/>
    </row>
    <row r="15" spans="1:28" x14ac:dyDescent="0.2">
      <c r="A15" s="135"/>
      <c r="B15" s="84">
        <f t="shared" si="0"/>
        <v>11</v>
      </c>
      <c r="C15" s="84" t="str">
        <f t="shared" si="1"/>
        <v>x</v>
      </c>
      <c r="D15" s="84" t="str">
        <f t="shared" si="2"/>
        <v>14F</v>
      </c>
      <c r="E15" s="85" t="str">
        <f t="shared" si="3"/>
        <v>EUR11x14F_Quote</v>
      </c>
      <c r="F15" s="84" t="e">
        <f ca="1">_xll.qlSimpleQuote(E15,,RateTickValue,Permanent,Trigger,ObjectOverwrite)</f>
        <v>#NAME?</v>
      </c>
      <c r="G15" s="83" t="e">
        <f ca="1">_xll.ohRangeRetrieveError(F15)</f>
        <v>#NAME?</v>
      </c>
      <c r="H15" s="36"/>
      <c r="J15" s="41"/>
      <c r="K15" s="258">
        <v>11</v>
      </c>
      <c r="L15" s="258" t="s">
        <v>180</v>
      </c>
      <c r="M15" s="258" t="str">
        <f t="shared" si="4"/>
        <v>14F</v>
      </c>
      <c r="N15" s="256" t="str">
        <f t="shared" si="5"/>
        <v>EUR11x14F</v>
      </c>
      <c r="O15" s="186" t="str">
        <v>EUR11X14F=ICAP</v>
      </c>
      <c r="P15" s="78">
        <v>-8.8999999999999996E-2</v>
      </c>
      <c r="Q15" s="78">
        <v>-3.9E-2</v>
      </c>
      <c r="R15" s="78">
        <f t="shared" si="6"/>
        <v>-6.4000000000000001E-2</v>
      </c>
      <c r="S15" s="78">
        <f t="shared" si="7"/>
        <v>4.9999999999999989E-2</v>
      </c>
      <c r="T15" s="115"/>
      <c r="U15" s="78">
        <v>-6.4000000000000001E-2</v>
      </c>
      <c r="V15" s="115"/>
      <c r="W15" s="219">
        <v>-6.4000000000000001E-2</v>
      </c>
      <c r="X15" s="222" t="e">
        <f ca="1">_xll.qlSimpleQuoteSetValue(F15,W15/100,Trigger)</f>
        <v>#NAME?</v>
      </c>
      <c r="Y15" s="255"/>
    </row>
    <row r="16" spans="1:28" x14ac:dyDescent="0.2">
      <c r="A16" s="135"/>
      <c r="B16" s="84">
        <f t="shared" si="0"/>
        <v>12</v>
      </c>
      <c r="C16" s="84" t="str">
        <f t="shared" si="1"/>
        <v>x</v>
      </c>
      <c r="D16" s="84" t="str">
        <f t="shared" si="2"/>
        <v>15F</v>
      </c>
      <c r="E16" s="85" t="str">
        <f t="shared" si="3"/>
        <v>EUR12x15F_Quote</v>
      </c>
      <c r="F16" s="84" t="e">
        <f ca="1">_xll.qlSimpleQuote(E16,,RateTickValue,Permanent,Trigger,ObjectOverwrite)</f>
        <v>#NAME?</v>
      </c>
      <c r="G16" s="83" t="e">
        <f ca="1">_xll.ohRangeRetrieveError(F16)</f>
        <v>#NAME?</v>
      </c>
      <c r="H16" s="36"/>
      <c r="J16" s="41"/>
      <c r="K16" s="258">
        <v>12</v>
      </c>
      <c r="L16" s="258" t="s">
        <v>180</v>
      </c>
      <c r="M16" s="258" t="str">
        <f t="shared" si="4"/>
        <v>15F</v>
      </c>
      <c r="N16" s="256" t="str">
        <f t="shared" si="5"/>
        <v>EUR12x15F</v>
      </c>
      <c r="O16" s="186" t="str">
        <v>EUR12X15F=ICAP</v>
      </c>
      <c r="P16" s="78">
        <v>-8.4000000000000005E-2</v>
      </c>
      <c r="Q16" s="78">
        <v>-3.3999999999999996E-2</v>
      </c>
      <c r="R16" s="78">
        <f t="shared" si="6"/>
        <v>-5.8999999999999997E-2</v>
      </c>
      <c r="S16" s="78">
        <f t="shared" si="7"/>
        <v>5.0000000000000017E-2</v>
      </c>
      <c r="T16" s="115"/>
      <c r="U16" s="78">
        <v>-5.8999999999999997E-2</v>
      </c>
      <c r="V16" s="115"/>
      <c r="W16" s="219">
        <v>-5.8999999999999997E-2</v>
      </c>
      <c r="X16" s="222" t="e">
        <f ca="1">_xll.qlSimpleQuoteSetValue(F16,W16/100,Trigger)</f>
        <v>#NAME?</v>
      </c>
      <c r="Y16" s="255"/>
    </row>
    <row r="17" spans="1:25" x14ac:dyDescent="0.2">
      <c r="A17" s="135"/>
      <c r="B17" s="84">
        <f t="shared" si="0"/>
        <v>1</v>
      </c>
      <c r="C17" s="84" t="str">
        <f t="shared" si="1"/>
        <v>x</v>
      </c>
      <c r="D17" s="84" t="str">
        <f t="shared" si="2"/>
        <v>7F</v>
      </c>
      <c r="E17" s="85" t="str">
        <f t="shared" si="3"/>
        <v>EUR1x7F_Quote</v>
      </c>
      <c r="F17" s="84" t="e">
        <f ca="1">_xll.qlSimpleQuote(E17,,RateTickValue,Permanent,Trigger,ObjectOverwrite)</f>
        <v>#NAME?</v>
      </c>
      <c r="G17" s="83" t="e">
        <f ca="1">_xll.ohRangeRetrieveError(F17)</f>
        <v>#NAME?</v>
      </c>
      <c r="H17" s="36"/>
      <c r="J17" s="41"/>
      <c r="K17" s="263">
        <v>1</v>
      </c>
      <c r="L17" s="263" t="s">
        <v>180</v>
      </c>
      <c r="M17" s="263" t="str">
        <f t="shared" ref="M17:M34" si="8">K17+6&amp;"F"</f>
        <v>7F</v>
      </c>
      <c r="N17" s="262" t="str">
        <f t="shared" si="5"/>
        <v>EUR1x7F</v>
      </c>
      <c r="O17" s="226" t="str">
        <v>EUR1X7F=ICAP</v>
      </c>
      <c r="P17" s="89">
        <v>0</v>
      </c>
      <c r="Q17" s="89">
        <v>0.05</v>
      </c>
      <c r="R17" s="89">
        <f t="shared" si="6"/>
        <v>2.5000000000000001E-2</v>
      </c>
      <c r="S17" s="89">
        <f t="shared" si="7"/>
        <v>0.05</v>
      </c>
      <c r="T17" s="115"/>
      <c r="U17" s="89">
        <v>2.5000000000000001E-2</v>
      </c>
      <c r="V17" s="115"/>
      <c r="W17" s="228">
        <v>2.5000000000000001E-2</v>
      </c>
      <c r="X17" s="261" t="e">
        <f ca="1">_xll.qlSimpleQuoteSetValue(F17,W17/100,Trigger)</f>
        <v>#NAME?</v>
      </c>
      <c r="Y17" s="255"/>
    </row>
    <row r="18" spans="1:25" x14ac:dyDescent="0.2">
      <c r="A18" s="135"/>
      <c r="B18" s="84">
        <f t="shared" si="0"/>
        <v>2</v>
      </c>
      <c r="C18" s="84" t="str">
        <f t="shared" si="1"/>
        <v>x</v>
      </c>
      <c r="D18" s="84" t="str">
        <f t="shared" si="2"/>
        <v>8F</v>
      </c>
      <c r="E18" s="85" t="str">
        <f t="shared" si="3"/>
        <v>EUR2x8F_Quote</v>
      </c>
      <c r="F18" s="84" t="e">
        <f ca="1">_xll.qlSimpleQuote(E18,,RateTickValue,Permanent,Trigger,ObjectOverwrite)</f>
        <v>#NAME?</v>
      </c>
      <c r="G18" s="83" t="e">
        <f ca="1">_xll.ohRangeRetrieveError(F18)</f>
        <v>#NAME?</v>
      </c>
      <c r="H18" s="36"/>
      <c r="J18" s="41"/>
      <c r="K18" s="258">
        <v>2</v>
      </c>
      <c r="L18" s="258" t="s">
        <v>180</v>
      </c>
      <c r="M18" s="258" t="str">
        <f t="shared" si="8"/>
        <v>8F</v>
      </c>
      <c r="N18" s="260" t="str">
        <f t="shared" si="5"/>
        <v>EUR2x8F</v>
      </c>
      <c r="O18" s="186" t="str">
        <v>EUR2X8F=ICAP</v>
      </c>
      <c r="P18" s="78">
        <v>-2E-3</v>
      </c>
      <c r="Q18" s="78">
        <v>4.8000000000000001E-2</v>
      </c>
      <c r="R18" s="78">
        <f t="shared" si="6"/>
        <v>2.3E-2</v>
      </c>
      <c r="S18" s="78">
        <f t="shared" si="7"/>
        <v>0.05</v>
      </c>
      <c r="T18" s="115"/>
      <c r="U18" s="78">
        <v>2.3E-2</v>
      </c>
      <c r="V18" s="115"/>
      <c r="W18" s="219">
        <v>2.3E-2</v>
      </c>
      <c r="X18" s="222" t="e">
        <f ca="1">_xll.qlSimpleQuoteSetValue(F18,W18/100,Trigger)</f>
        <v>#NAME?</v>
      </c>
      <c r="Y18" s="255"/>
    </row>
    <row r="19" spans="1:25" x14ac:dyDescent="0.2">
      <c r="A19" s="135"/>
      <c r="B19" s="84">
        <f t="shared" si="0"/>
        <v>3</v>
      </c>
      <c r="C19" s="84" t="str">
        <f t="shared" si="1"/>
        <v>x</v>
      </c>
      <c r="D19" s="84" t="str">
        <f t="shared" si="2"/>
        <v>9F</v>
      </c>
      <c r="E19" s="85" t="str">
        <f t="shared" si="3"/>
        <v>EUR3x9F_Quote</v>
      </c>
      <c r="F19" s="84" t="e">
        <f ca="1">_xll.qlSimpleQuote(E19,,RateTickValue,Permanent,Trigger,ObjectOverwrite)</f>
        <v>#NAME?</v>
      </c>
      <c r="G19" s="83" t="e">
        <f ca="1">_xll.ohRangeRetrieveError(F19)</f>
        <v>#NAME?</v>
      </c>
      <c r="H19" s="36"/>
      <c r="J19" s="41"/>
      <c r="K19" s="258">
        <v>3</v>
      </c>
      <c r="L19" s="258" t="s">
        <v>180</v>
      </c>
      <c r="M19" s="258" t="str">
        <f t="shared" si="8"/>
        <v>9F</v>
      </c>
      <c r="N19" s="260" t="str">
        <f t="shared" si="5"/>
        <v>EUR3x9F</v>
      </c>
      <c r="O19" s="186" t="str">
        <v>EUR3X9F=ICAP</v>
      </c>
      <c r="P19" s="78">
        <v>-3.0000000000000001E-3</v>
      </c>
      <c r="Q19" s="78">
        <v>4.7E-2</v>
      </c>
      <c r="R19" s="78">
        <f t="shared" si="6"/>
        <v>2.1999999999999999E-2</v>
      </c>
      <c r="S19" s="78">
        <f t="shared" si="7"/>
        <v>4.9999999999999996E-2</v>
      </c>
      <c r="T19" s="115"/>
      <c r="U19" s="78">
        <v>2.1999999999999999E-2</v>
      </c>
      <c r="V19" s="115"/>
      <c r="W19" s="219">
        <v>2.1999999999999999E-2</v>
      </c>
      <c r="X19" s="222" t="e">
        <f ca="1">_xll.qlSimpleQuoteSetValue(F19,W19/100,Trigger)</f>
        <v>#NAME?</v>
      </c>
      <c r="Y19" s="255"/>
    </row>
    <row r="20" spans="1:25" x14ac:dyDescent="0.2">
      <c r="A20" s="135"/>
      <c r="B20" s="84">
        <f t="shared" si="0"/>
        <v>4</v>
      </c>
      <c r="C20" s="84" t="str">
        <f t="shared" si="1"/>
        <v>x</v>
      </c>
      <c r="D20" s="84" t="str">
        <f t="shared" si="2"/>
        <v>10F</v>
      </c>
      <c r="E20" s="85" t="str">
        <f t="shared" si="3"/>
        <v>EUR4x10F_Quote</v>
      </c>
      <c r="F20" s="84" t="e">
        <f ca="1">_xll.qlSimpleQuote(E20,,RateTickValue,Permanent,Trigger,ObjectOverwrite)</f>
        <v>#NAME?</v>
      </c>
      <c r="G20" s="83" t="e">
        <f ca="1">_xll.ohRangeRetrieveError(F20)</f>
        <v>#NAME?</v>
      </c>
      <c r="H20" s="36"/>
      <c r="J20" s="41"/>
      <c r="K20" s="258">
        <v>4</v>
      </c>
      <c r="L20" s="258" t="s">
        <v>180</v>
      </c>
      <c r="M20" s="258" t="str">
        <f t="shared" si="8"/>
        <v>10F</v>
      </c>
      <c r="N20" s="260" t="str">
        <f t="shared" si="5"/>
        <v>EUR4x10F</v>
      </c>
      <c r="O20" s="186" t="str">
        <v>EUR4X10F=ICAP</v>
      </c>
      <c r="P20" s="78">
        <v>-4.0000000000000001E-3</v>
      </c>
      <c r="Q20" s="78">
        <v>4.5999999999999999E-2</v>
      </c>
      <c r="R20" s="78">
        <f t="shared" si="6"/>
        <v>2.0999999999999998E-2</v>
      </c>
      <c r="S20" s="78">
        <f t="shared" si="7"/>
        <v>4.9999999999999996E-2</v>
      </c>
      <c r="T20" s="115"/>
      <c r="U20" s="78">
        <v>2.0999999999999998E-2</v>
      </c>
      <c r="V20" s="115"/>
      <c r="W20" s="219">
        <v>2.0999999999999998E-2</v>
      </c>
      <c r="X20" s="222" t="e">
        <f ca="1">_xll.qlSimpleQuoteSetValue(F20,W20/100,Trigger)</f>
        <v>#NAME?</v>
      </c>
      <c r="Y20" s="255"/>
    </row>
    <row r="21" spans="1:25" x14ac:dyDescent="0.2">
      <c r="A21" s="135"/>
      <c r="B21" s="84">
        <f t="shared" si="0"/>
        <v>5</v>
      </c>
      <c r="C21" s="84" t="str">
        <f t="shared" si="1"/>
        <v>x</v>
      </c>
      <c r="D21" s="84" t="str">
        <f t="shared" si="2"/>
        <v>11F</v>
      </c>
      <c r="E21" s="85" t="str">
        <f t="shared" si="3"/>
        <v>EUR5x11F_Quote</v>
      </c>
      <c r="F21" s="84" t="e">
        <f ca="1">_xll.qlSimpleQuote(E21,,RateTickValue,Permanent,Trigger,ObjectOverwrite)</f>
        <v>#NAME?</v>
      </c>
      <c r="G21" s="83" t="e">
        <f ca="1">_xll.ohRangeRetrieveError(F21)</f>
        <v>#NAME?</v>
      </c>
      <c r="H21" s="36"/>
      <c r="J21" s="41"/>
      <c r="K21" s="258">
        <v>5</v>
      </c>
      <c r="L21" s="258" t="s">
        <v>180</v>
      </c>
      <c r="M21" s="258" t="str">
        <f t="shared" si="8"/>
        <v>11F</v>
      </c>
      <c r="N21" s="260" t="str">
        <f t="shared" si="5"/>
        <v>EUR5x11F</v>
      </c>
      <c r="O21" s="186" t="str">
        <v>EUR5X11F=ICAP</v>
      </c>
      <c r="P21" s="78">
        <v>-5.0000000000000001E-3</v>
      </c>
      <c r="Q21" s="78">
        <v>4.4999999999999998E-2</v>
      </c>
      <c r="R21" s="78">
        <f t="shared" si="6"/>
        <v>0.02</v>
      </c>
      <c r="S21" s="78">
        <f t="shared" si="7"/>
        <v>0.05</v>
      </c>
      <c r="T21" s="115"/>
      <c r="U21" s="78">
        <v>0.02</v>
      </c>
      <c r="V21" s="115"/>
      <c r="W21" s="219">
        <v>0.02</v>
      </c>
      <c r="X21" s="222" t="e">
        <f ca="1">_xll.qlSimpleQuoteSetValue(F21,W21/100,Trigger)</f>
        <v>#NAME?</v>
      </c>
      <c r="Y21" s="255"/>
    </row>
    <row r="22" spans="1:25" x14ac:dyDescent="0.2">
      <c r="A22" s="135"/>
      <c r="B22" s="84">
        <f t="shared" si="0"/>
        <v>6</v>
      </c>
      <c r="C22" s="84" t="str">
        <f t="shared" si="1"/>
        <v>x</v>
      </c>
      <c r="D22" s="84" t="str">
        <f t="shared" si="2"/>
        <v>12F</v>
      </c>
      <c r="E22" s="85" t="str">
        <f t="shared" si="3"/>
        <v>EUR6x12F_Quote</v>
      </c>
      <c r="F22" s="84" t="e">
        <f ca="1">_xll.qlSimpleQuote(E22,,RateTickValue,Permanent,Trigger,ObjectOverwrite)</f>
        <v>#NAME?</v>
      </c>
      <c r="G22" s="83" t="e">
        <f ca="1">_xll.ohRangeRetrieveError(F22)</f>
        <v>#NAME?</v>
      </c>
      <c r="H22" s="36"/>
      <c r="J22" s="41"/>
      <c r="K22" s="258">
        <v>6</v>
      </c>
      <c r="L22" s="258" t="s">
        <v>180</v>
      </c>
      <c r="M22" s="258" t="str">
        <f t="shared" si="8"/>
        <v>12F</v>
      </c>
      <c r="N22" s="260" t="str">
        <f t="shared" si="5"/>
        <v>EUR6x12F</v>
      </c>
      <c r="O22" s="186" t="str">
        <v>EUR6X12F=ICAP</v>
      </c>
      <c r="P22" s="78">
        <v>-5.0000000000000001E-3</v>
      </c>
      <c r="Q22" s="78">
        <v>4.4999999999999998E-2</v>
      </c>
      <c r="R22" s="78">
        <f t="shared" si="6"/>
        <v>0.02</v>
      </c>
      <c r="S22" s="78">
        <f t="shared" si="7"/>
        <v>0.05</v>
      </c>
      <c r="T22" s="115"/>
      <c r="U22" s="78">
        <v>0.02</v>
      </c>
      <c r="V22" s="115"/>
      <c r="W22" s="219">
        <v>0.02</v>
      </c>
      <c r="X22" s="222" t="e">
        <f ca="1">_xll.qlSimpleQuoteSetValue(F22,W22/100,Trigger)</f>
        <v>#NAME?</v>
      </c>
      <c r="Y22" s="255"/>
    </row>
    <row r="23" spans="1:25" x14ac:dyDescent="0.2">
      <c r="A23" s="135"/>
      <c r="B23" s="84">
        <f t="shared" si="0"/>
        <v>7</v>
      </c>
      <c r="C23" s="84" t="str">
        <f t="shared" si="1"/>
        <v>x</v>
      </c>
      <c r="D23" s="84" t="str">
        <f t="shared" si="2"/>
        <v>13F</v>
      </c>
      <c r="E23" s="85" t="str">
        <f t="shared" si="3"/>
        <v>EUR7x13F_Quote</v>
      </c>
      <c r="F23" s="84" t="e">
        <f ca="1">_xll.qlSimpleQuote(E23,,RateTickValue,Permanent,Trigger,ObjectOverwrite)</f>
        <v>#NAME?</v>
      </c>
      <c r="G23" s="83" t="e">
        <f ca="1">_xll.ohRangeRetrieveError(F23)</f>
        <v>#NAME?</v>
      </c>
      <c r="H23" s="36"/>
      <c r="J23" s="41"/>
      <c r="K23" s="258">
        <v>7</v>
      </c>
      <c r="L23" s="258" t="s">
        <v>180</v>
      </c>
      <c r="M23" s="258" t="str">
        <f t="shared" si="8"/>
        <v>13F</v>
      </c>
      <c r="N23" s="260" t="str">
        <f t="shared" si="5"/>
        <v>EUR7x13F</v>
      </c>
      <c r="O23" s="186" t="str">
        <v>EUR7X13F=ICAP</v>
      </c>
      <c r="P23" s="78">
        <v>-4.0000000000000001E-3</v>
      </c>
      <c r="Q23" s="78">
        <v>4.5999999999999999E-2</v>
      </c>
      <c r="R23" s="78">
        <f t="shared" si="6"/>
        <v>2.0999999999999998E-2</v>
      </c>
      <c r="S23" s="78">
        <f t="shared" si="7"/>
        <v>4.9999999999999996E-2</v>
      </c>
      <c r="T23" s="115"/>
      <c r="U23" s="78">
        <v>2.0999999999999998E-2</v>
      </c>
      <c r="V23" s="115"/>
      <c r="W23" s="219">
        <v>2.0999999999999998E-2</v>
      </c>
      <c r="X23" s="222" t="e">
        <f ca="1">_xll.qlSimpleQuoteSetValue(F23,W23/100,Trigger)</f>
        <v>#NAME?</v>
      </c>
      <c r="Y23" s="255"/>
    </row>
    <row r="24" spans="1:25" x14ac:dyDescent="0.2">
      <c r="A24" s="135"/>
      <c r="B24" s="84">
        <f t="shared" si="0"/>
        <v>8</v>
      </c>
      <c r="C24" s="84" t="str">
        <f t="shared" si="1"/>
        <v>x</v>
      </c>
      <c r="D24" s="84" t="str">
        <f t="shared" si="2"/>
        <v>14F</v>
      </c>
      <c r="E24" s="85" t="str">
        <f t="shared" si="3"/>
        <v>EUR8x14F_Quote</v>
      </c>
      <c r="F24" s="84" t="e">
        <f ca="1">_xll.qlSimpleQuote(E24,,RateTickValue,Permanent,Trigger,ObjectOverwrite)</f>
        <v>#NAME?</v>
      </c>
      <c r="G24" s="83" t="e">
        <f ca="1">_xll.ohRangeRetrieveError(F24)</f>
        <v>#NAME?</v>
      </c>
      <c r="H24" s="36"/>
      <c r="J24" s="41"/>
      <c r="K24" s="258">
        <v>8</v>
      </c>
      <c r="L24" s="258" t="s">
        <v>180</v>
      </c>
      <c r="M24" s="258" t="str">
        <f t="shared" si="8"/>
        <v>14F</v>
      </c>
      <c r="N24" s="260" t="str">
        <f t="shared" si="5"/>
        <v>EUR8x14F</v>
      </c>
      <c r="O24" s="186" t="str">
        <v>EUR8X14F=ICAP</v>
      </c>
      <c r="P24" s="78">
        <v>-4.0000000000000001E-3</v>
      </c>
      <c r="Q24" s="78">
        <v>4.5999999999999999E-2</v>
      </c>
      <c r="R24" s="78">
        <f t="shared" si="6"/>
        <v>2.0999999999999998E-2</v>
      </c>
      <c r="S24" s="78">
        <f t="shared" si="7"/>
        <v>4.9999999999999996E-2</v>
      </c>
      <c r="T24" s="115"/>
      <c r="U24" s="78">
        <v>2.0999999999999998E-2</v>
      </c>
      <c r="V24" s="115"/>
      <c r="W24" s="219">
        <v>2.0999999999999998E-2</v>
      </c>
      <c r="X24" s="222" t="e">
        <f ca="1">_xll.qlSimpleQuoteSetValue(F24,W24/100,Trigger)</f>
        <v>#NAME?</v>
      </c>
      <c r="Y24" s="255"/>
    </row>
    <row r="25" spans="1:25" x14ac:dyDescent="0.2">
      <c r="A25" s="135"/>
      <c r="B25" s="84">
        <f t="shared" si="0"/>
        <v>9</v>
      </c>
      <c r="C25" s="84" t="str">
        <f t="shared" si="1"/>
        <v>x</v>
      </c>
      <c r="D25" s="84" t="str">
        <f t="shared" si="2"/>
        <v>15F</v>
      </c>
      <c r="E25" s="85" t="str">
        <f t="shared" si="3"/>
        <v>EUR9x15F_Quote</v>
      </c>
      <c r="F25" s="84" t="e">
        <f ca="1">_xll.qlSimpleQuote(E25,,RateTickValue,Permanent,Trigger,ObjectOverwrite)</f>
        <v>#NAME?</v>
      </c>
      <c r="G25" s="83" t="e">
        <f ca="1">_xll.ohRangeRetrieveError(F25)</f>
        <v>#NAME?</v>
      </c>
      <c r="H25" s="36"/>
      <c r="J25" s="41"/>
      <c r="K25" s="258">
        <v>9</v>
      </c>
      <c r="L25" s="258" t="s">
        <v>180</v>
      </c>
      <c r="M25" s="258" t="str">
        <f t="shared" si="8"/>
        <v>15F</v>
      </c>
      <c r="N25" s="260" t="str">
        <f t="shared" si="5"/>
        <v>EUR9x15F</v>
      </c>
      <c r="O25" s="186" t="str">
        <v>EUR9X15F=ICAP</v>
      </c>
      <c r="P25" s="78">
        <v>0</v>
      </c>
      <c r="Q25" s="78">
        <v>0.05</v>
      </c>
      <c r="R25" s="78">
        <f t="shared" si="6"/>
        <v>2.5000000000000001E-2</v>
      </c>
      <c r="S25" s="78">
        <f t="shared" si="7"/>
        <v>0.05</v>
      </c>
      <c r="T25" s="115"/>
      <c r="U25" s="78">
        <v>2.5000000000000001E-2</v>
      </c>
      <c r="V25" s="115"/>
      <c r="W25" s="219">
        <v>2.5000000000000001E-2</v>
      </c>
      <c r="X25" s="222" t="e">
        <f ca="1">_xll.qlSimpleQuoteSetValue(F25,W25/100,Trigger)</f>
        <v>#NAME?</v>
      </c>
      <c r="Y25" s="255"/>
    </row>
    <row r="26" spans="1:25" x14ac:dyDescent="0.2">
      <c r="A26" s="135"/>
      <c r="B26" s="84">
        <f t="shared" si="0"/>
        <v>10</v>
      </c>
      <c r="C26" s="84" t="str">
        <f t="shared" si="1"/>
        <v>x</v>
      </c>
      <c r="D26" s="84" t="str">
        <f t="shared" si="2"/>
        <v>16F</v>
      </c>
      <c r="E26" s="85" t="str">
        <f t="shared" si="3"/>
        <v>EUR10x16F_Quote</v>
      </c>
      <c r="F26" s="84" t="e">
        <f ca="1">_xll.qlSimpleQuote(E26,,RateTickValue,Permanent,Trigger,ObjectOverwrite)</f>
        <v>#NAME?</v>
      </c>
      <c r="G26" s="83" t="e">
        <f ca="1">_xll.ohRangeRetrieveError(F26)</f>
        <v>#NAME?</v>
      </c>
      <c r="H26" s="36"/>
      <c r="J26" s="41"/>
      <c r="K26" s="258">
        <v>10</v>
      </c>
      <c r="L26" s="258" t="s">
        <v>180</v>
      </c>
      <c r="M26" s="258" t="str">
        <f t="shared" si="8"/>
        <v>16F</v>
      </c>
      <c r="N26" s="260" t="str">
        <f t="shared" si="5"/>
        <v>EUR10x16F</v>
      </c>
      <c r="O26" s="186" t="str">
        <v>EUR10X16F=ICAP</v>
      </c>
      <c r="P26" s="78">
        <v>4.0000000000000001E-3</v>
      </c>
      <c r="Q26" s="78">
        <v>5.4000000000000006E-2</v>
      </c>
      <c r="R26" s="78">
        <f t="shared" si="6"/>
        <v>2.9000000000000005E-2</v>
      </c>
      <c r="S26" s="78">
        <f t="shared" si="7"/>
        <v>5.000000000000001E-2</v>
      </c>
      <c r="T26" s="115"/>
      <c r="U26" s="78">
        <v>2.9000000000000005E-2</v>
      </c>
      <c r="V26" s="115"/>
      <c r="W26" s="219">
        <v>2.9000000000000005E-2</v>
      </c>
      <c r="X26" s="222" t="e">
        <f ca="1">_xll.qlSimpleQuoteSetValue(F26,W26/100,Trigger)</f>
        <v>#NAME?</v>
      </c>
      <c r="Y26" s="255"/>
    </row>
    <row r="27" spans="1:25" x14ac:dyDescent="0.2">
      <c r="A27" s="135"/>
      <c r="B27" s="84">
        <f t="shared" si="0"/>
        <v>11</v>
      </c>
      <c r="C27" s="84" t="str">
        <f t="shared" si="1"/>
        <v>x</v>
      </c>
      <c r="D27" s="84" t="str">
        <f t="shared" si="2"/>
        <v>17F</v>
      </c>
      <c r="E27" s="85" t="str">
        <f t="shared" si="3"/>
        <v>EUR11x17F_Quote</v>
      </c>
      <c r="F27" s="84" t="e">
        <f ca="1">_xll.qlSimpleQuote(E27,,RateTickValue,Permanent,Trigger,ObjectOverwrite)</f>
        <v>#NAME?</v>
      </c>
      <c r="G27" s="83" t="e">
        <f ca="1">_xll.ohRangeRetrieveError(F27)</f>
        <v>#NAME?</v>
      </c>
      <c r="H27" s="36"/>
      <c r="J27" s="41"/>
      <c r="K27" s="258">
        <v>11</v>
      </c>
      <c r="L27" s="258" t="s">
        <v>180</v>
      </c>
      <c r="M27" s="258" t="str">
        <f t="shared" si="8"/>
        <v>17F</v>
      </c>
      <c r="N27" s="260" t="str">
        <f t="shared" si="5"/>
        <v>EUR11x17F</v>
      </c>
      <c r="O27" s="186" t="str">
        <v>EUR11X17F=ICAP</v>
      </c>
      <c r="P27" s="78">
        <v>8.0000000000000002E-3</v>
      </c>
      <c r="Q27" s="78">
        <v>5.7999999999999996E-2</v>
      </c>
      <c r="R27" s="78">
        <f t="shared" si="6"/>
        <v>3.3000000000000002E-2</v>
      </c>
      <c r="S27" s="78">
        <f t="shared" si="7"/>
        <v>0.05</v>
      </c>
      <c r="T27" s="115"/>
      <c r="U27" s="78">
        <v>3.3000000000000002E-2</v>
      </c>
      <c r="V27" s="115"/>
      <c r="W27" s="219">
        <v>3.3000000000000002E-2</v>
      </c>
      <c r="X27" s="222" t="e">
        <f ca="1">_xll.qlSimpleQuoteSetValue(F27,W27/100,Trigger)</f>
        <v>#NAME?</v>
      </c>
      <c r="Y27" s="255"/>
    </row>
    <row r="28" spans="1:25" x14ac:dyDescent="0.2">
      <c r="A28" s="135"/>
      <c r="B28" s="84">
        <f t="shared" si="0"/>
        <v>12</v>
      </c>
      <c r="C28" s="84" t="str">
        <f t="shared" si="1"/>
        <v>x</v>
      </c>
      <c r="D28" s="84" t="str">
        <f t="shared" si="2"/>
        <v>18F</v>
      </c>
      <c r="E28" s="85" t="str">
        <f t="shared" si="3"/>
        <v>EUR12x18F_Quote</v>
      </c>
      <c r="F28" s="84" t="e">
        <f ca="1">_xll.qlSimpleQuote(E28,,RateTickValue,Permanent,Trigger,ObjectOverwrite)</f>
        <v>#NAME?</v>
      </c>
      <c r="G28" s="83" t="e">
        <f ca="1">_xll.ohRangeRetrieveError(F28)</f>
        <v>#NAME?</v>
      </c>
      <c r="H28" s="36"/>
      <c r="J28" s="41"/>
      <c r="K28" s="258">
        <v>12</v>
      </c>
      <c r="L28" s="258" t="s">
        <v>180</v>
      </c>
      <c r="M28" s="258" t="str">
        <f t="shared" si="8"/>
        <v>18F</v>
      </c>
      <c r="N28" s="260" t="str">
        <f t="shared" si="5"/>
        <v>EUR12x18F</v>
      </c>
      <c r="O28" s="186" t="str">
        <v>EUR12X18F=ICAP</v>
      </c>
      <c r="P28" s="78">
        <v>1.3999999999999999E-2</v>
      </c>
      <c r="Q28" s="78">
        <v>6.4000000000000001E-2</v>
      </c>
      <c r="R28" s="78">
        <f t="shared" si="6"/>
        <v>3.9E-2</v>
      </c>
      <c r="S28" s="78">
        <f t="shared" si="7"/>
        <v>0.05</v>
      </c>
      <c r="T28" s="115"/>
      <c r="U28" s="78">
        <v>3.9E-2</v>
      </c>
      <c r="V28" s="115"/>
      <c r="W28" s="219">
        <v>3.9E-2</v>
      </c>
      <c r="X28" s="222" t="e">
        <f ca="1">_xll.qlSimpleQuoteSetValue(F28,W28/100,Trigger)</f>
        <v>#NAME?</v>
      </c>
      <c r="Y28" s="255"/>
    </row>
    <row r="29" spans="1:25" x14ac:dyDescent="0.2">
      <c r="A29" s="135"/>
      <c r="B29" s="84">
        <f t="shared" si="0"/>
        <v>13</v>
      </c>
      <c r="C29" s="84" t="str">
        <f t="shared" si="1"/>
        <v>x</v>
      </c>
      <c r="D29" s="84" t="str">
        <f t="shared" si="2"/>
        <v>19F</v>
      </c>
      <c r="E29" s="85" t="str">
        <f t="shared" si="3"/>
        <v>EUR13x19F_Quote</v>
      </c>
      <c r="F29" s="84" t="e">
        <f ca="1">_xll.qlSimpleQuote(E29,,RateTickValue,Permanent,Trigger,ObjectOverwrite)</f>
        <v>#NAME?</v>
      </c>
      <c r="G29" s="83" t="e">
        <f ca="1">_xll.ohRangeRetrieveError(F29)</f>
        <v>#NAME?</v>
      </c>
      <c r="H29" s="36"/>
      <c r="J29" s="41"/>
      <c r="K29" s="258">
        <v>13</v>
      </c>
      <c r="L29" s="258" t="s">
        <v>180</v>
      </c>
      <c r="M29" s="258" t="str">
        <f t="shared" si="8"/>
        <v>19F</v>
      </c>
      <c r="N29" s="260" t="str">
        <f t="shared" si="5"/>
        <v>EUR13x19F</v>
      </c>
      <c r="O29" s="186" t="str">
        <v>EUR13X19F=ICAP</v>
      </c>
      <c r="P29" s="78">
        <v>2.3E-2</v>
      </c>
      <c r="Q29" s="78">
        <v>7.2999999999999995E-2</v>
      </c>
      <c r="R29" s="78">
        <f t="shared" si="6"/>
        <v>4.8000000000000001E-2</v>
      </c>
      <c r="S29" s="78">
        <f t="shared" si="7"/>
        <v>0.05</v>
      </c>
      <c r="T29" s="115"/>
      <c r="U29" s="78">
        <v>4.8000000000000001E-2</v>
      </c>
      <c r="V29" s="115"/>
      <c r="W29" s="219">
        <v>4.8000000000000001E-2</v>
      </c>
      <c r="X29" s="222" t="e">
        <f ca="1">_xll.qlSimpleQuoteSetValue(F29,W29/100,Trigger)</f>
        <v>#NAME?</v>
      </c>
      <c r="Y29" s="255"/>
    </row>
    <row r="30" spans="1:25" x14ac:dyDescent="0.2">
      <c r="A30" s="135"/>
      <c r="B30" s="84">
        <f t="shared" si="0"/>
        <v>14</v>
      </c>
      <c r="C30" s="84" t="str">
        <f t="shared" si="1"/>
        <v>x</v>
      </c>
      <c r="D30" s="84" t="str">
        <f t="shared" si="2"/>
        <v>20F</v>
      </c>
      <c r="E30" s="85" t="str">
        <f t="shared" si="3"/>
        <v>EUR14x20F_Quote</v>
      </c>
      <c r="F30" s="84" t="e">
        <f ca="1">_xll.qlSimpleQuote(E30,,RateTickValue,Permanent,Trigger,ObjectOverwrite)</f>
        <v>#NAME?</v>
      </c>
      <c r="G30" s="83" t="e">
        <f ca="1">_xll.ohRangeRetrieveError(F30)</f>
        <v>#NAME?</v>
      </c>
      <c r="H30" s="36"/>
      <c r="J30" s="41"/>
      <c r="K30" s="258">
        <v>14</v>
      </c>
      <c r="L30" s="258" t="s">
        <v>180</v>
      </c>
      <c r="M30" s="258" t="str">
        <f t="shared" si="8"/>
        <v>20F</v>
      </c>
      <c r="N30" s="260" t="str">
        <f t="shared" si="5"/>
        <v>EUR14x20F</v>
      </c>
      <c r="O30" s="186" t="str">
        <v>EUR14X20F=ICAP</v>
      </c>
      <c r="P30" s="78">
        <v>3.1E-2</v>
      </c>
      <c r="Q30" s="78">
        <v>8.0999999999999989E-2</v>
      </c>
      <c r="R30" s="78">
        <f t="shared" si="6"/>
        <v>5.5999999999999994E-2</v>
      </c>
      <c r="S30" s="78">
        <f t="shared" si="7"/>
        <v>4.9999999999999989E-2</v>
      </c>
      <c r="T30" s="115"/>
      <c r="U30" s="78">
        <v>5.5999999999999994E-2</v>
      </c>
      <c r="V30" s="115"/>
      <c r="W30" s="219">
        <v>5.5999999999999994E-2</v>
      </c>
      <c r="X30" s="222" t="e">
        <f ca="1">_xll.qlSimpleQuoteSetValue(F30,W30/100,Trigger)</f>
        <v>#NAME?</v>
      </c>
      <c r="Y30" s="255"/>
    </row>
    <row r="31" spans="1:25" x14ac:dyDescent="0.2">
      <c r="A31" s="135"/>
      <c r="B31" s="84">
        <f t="shared" si="0"/>
        <v>15</v>
      </c>
      <c r="C31" s="84" t="str">
        <f t="shared" si="1"/>
        <v>x</v>
      </c>
      <c r="D31" s="84" t="str">
        <f t="shared" si="2"/>
        <v>21F</v>
      </c>
      <c r="E31" s="85" t="str">
        <f t="shared" si="3"/>
        <v>EUR15x21F_Quote</v>
      </c>
      <c r="F31" s="84" t="e">
        <f ca="1">_xll.qlSimpleQuote(E31,,RateTickValue,Permanent,Trigger,ObjectOverwrite)</f>
        <v>#NAME?</v>
      </c>
      <c r="G31" s="83" t="e">
        <f ca="1">_xll.ohRangeRetrieveError(F31)</f>
        <v>#NAME?</v>
      </c>
      <c r="H31" s="36"/>
      <c r="J31" s="41"/>
      <c r="K31" s="258">
        <v>15</v>
      </c>
      <c r="L31" s="258" t="s">
        <v>180</v>
      </c>
      <c r="M31" s="258" t="str">
        <f t="shared" si="8"/>
        <v>21F</v>
      </c>
      <c r="N31" s="260" t="str">
        <f t="shared" si="5"/>
        <v>EUR15x21F</v>
      </c>
      <c r="O31" s="186" t="str">
        <v>EUR15X21F=ICAP</v>
      </c>
      <c r="P31" s="78">
        <v>4.0999999999999995E-2</v>
      </c>
      <c r="Q31" s="78">
        <v>9.0999999999999998E-2</v>
      </c>
      <c r="R31" s="78">
        <f t="shared" si="6"/>
        <v>6.6000000000000003E-2</v>
      </c>
      <c r="S31" s="78">
        <f t="shared" si="7"/>
        <v>5.0000000000000017E-2</v>
      </c>
      <c r="T31" s="115"/>
      <c r="U31" s="78">
        <v>6.6000000000000003E-2</v>
      </c>
      <c r="V31" s="115"/>
      <c r="W31" s="219">
        <v>6.6000000000000003E-2</v>
      </c>
      <c r="X31" s="222" t="e">
        <f ca="1">_xll.qlSimpleQuoteSetValue(F31,W31/100,Trigger)</f>
        <v>#NAME?</v>
      </c>
      <c r="Y31" s="255"/>
    </row>
    <row r="32" spans="1:25" x14ac:dyDescent="0.2">
      <c r="A32" s="135"/>
      <c r="B32" s="84">
        <f t="shared" si="0"/>
        <v>16</v>
      </c>
      <c r="C32" s="84" t="str">
        <f t="shared" si="1"/>
        <v>x</v>
      </c>
      <c r="D32" s="84" t="str">
        <f t="shared" si="2"/>
        <v>22F</v>
      </c>
      <c r="E32" s="85" t="str">
        <f t="shared" si="3"/>
        <v>EUR16x22F_Quote</v>
      </c>
      <c r="F32" s="84" t="e">
        <f ca="1">_xll.qlSimpleQuote(E32,,RateTickValue,Permanent,Trigger,ObjectOverwrite)</f>
        <v>#NAME?</v>
      </c>
      <c r="G32" s="83" t="e">
        <f ca="1">_xll.ohRangeRetrieveError(F32)</f>
        <v>#NAME?</v>
      </c>
      <c r="H32" s="36"/>
      <c r="J32" s="41"/>
      <c r="K32" s="258">
        <v>16</v>
      </c>
      <c r="L32" s="258" t="s">
        <v>180</v>
      </c>
      <c r="M32" s="258" t="str">
        <f t="shared" si="8"/>
        <v>22F</v>
      </c>
      <c r="N32" s="260" t="str">
        <f t="shared" si="5"/>
        <v>EUR16x22F</v>
      </c>
      <c r="O32" s="186" t="str">
        <v>EUR16X22F=ICAP</v>
      </c>
      <c r="P32" s="78">
        <v>5.2000000000000005E-2</v>
      </c>
      <c r="Q32" s="78">
        <v>0.10200000000000001</v>
      </c>
      <c r="R32" s="78">
        <f t="shared" si="6"/>
        <v>7.7000000000000013E-2</v>
      </c>
      <c r="S32" s="78">
        <f t="shared" si="7"/>
        <v>5.0000000000000017E-2</v>
      </c>
      <c r="T32" s="115"/>
      <c r="U32" s="78">
        <v>7.7000000000000013E-2</v>
      </c>
      <c r="V32" s="115"/>
      <c r="W32" s="219">
        <v>7.7000000000000013E-2</v>
      </c>
      <c r="X32" s="222" t="e">
        <f ca="1">_xll.qlSimpleQuoteSetValue(F32,W32/100,Trigger)</f>
        <v>#NAME?</v>
      </c>
      <c r="Y32" s="255"/>
    </row>
    <row r="33" spans="1:25" x14ac:dyDescent="0.2">
      <c r="A33" s="135"/>
      <c r="B33" s="84">
        <f t="shared" si="0"/>
        <v>17</v>
      </c>
      <c r="C33" s="84" t="str">
        <f t="shared" si="1"/>
        <v>x</v>
      </c>
      <c r="D33" s="84" t="str">
        <f t="shared" si="2"/>
        <v>23F</v>
      </c>
      <c r="E33" s="85" t="str">
        <f t="shared" si="3"/>
        <v>EUR17x23F_Quote</v>
      </c>
      <c r="F33" s="84" t="e">
        <f ca="1">_xll.qlSimpleQuote(E33,,RateTickValue,Permanent,Trigger,ObjectOverwrite)</f>
        <v>#NAME?</v>
      </c>
      <c r="G33" s="83" t="e">
        <f ca="1">_xll.ohRangeRetrieveError(F33)</f>
        <v>#NAME?</v>
      </c>
      <c r="H33" s="36"/>
      <c r="J33" s="41"/>
      <c r="K33" s="258">
        <v>17</v>
      </c>
      <c r="L33" s="258" t="s">
        <v>180</v>
      </c>
      <c r="M33" s="258" t="str">
        <f t="shared" si="8"/>
        <v>23F</v>
      </c>
      <c r="N33" s="260" t="str">
        <f t="shared" si="5"/>
        <v>EUR17x23F</v>
      </c>
      <c r="O33" s="186" t="str">
        <v>EUR17X23F=ICAP</v>
      </c>
      <c r="P33" s="78">
        <v>6.3E-2</v>
      </c>
      <c r="Q33" s="78">
        <v>0.11299999999999999</v>
      </c>
      <c r="R33" s="78">
        <f t="shared" si="6"/>
        <v>8.7999999999999995E-2</v>
      </c>
      <c r="S33" s="78">
        <f t="shared" si="7"/>
        <v>4.9999999999999989E-2</v>
      </c>
      <c r="T33" s="115"/>
      <c r="U33" s="78">
        <v>8.7999999999999995E-2</v>
      </c>
      <c r="V33" s="115"/>
      <c r="W33" s="219">
        <v>8.7999999999999995E-2</v>
      </c>
      <c r="X33" s="222" t="e">
        <f ca="1">_xll.qlSimpleQuoteSetValue(F33,W33/100,Trigger)</f>
        <v>#NAME?</v>
      </c>
      <c r="Y33" s="255"/>
    </row>
    <row r="34" spans="1:25" x14ac:dyDescent="0.2">
      <c r="A34" s="135"/>
      <c r="B34" s="84">
        <f t="shared" si="0"/>
        <v>18</v>
      </c>
      <c r="C34" s="84" t="str">
        <f t="shared" si="1"/>
        <v>x</v>
      </c>
      <c r="D34" s="84" t="str">
        <f t="shared" si="2"/>
        <v>24F</v>
      </c>
      <c r="E34" s="85" t="str">
        <f t="shared" si="3"/>
        <v>EUR18x24F_Quote</v>
      </c>
      <c r="F34" s="84" t="e">
        <f ca="1">_xll.qlSimpleQuote(E34,,RateTickValue,Permanent,Trigger,ObjectOverwrite)</f>
        <v>#NAME?</v>
      </c>
      <c r="G34" s="83" t="e">
        <f ca="1">_xll.ohRangeRetrieveError(F34)</f>
        <v>#NAME?</v>
      </c>
      <c r="H34" s="36"/>
      <c r="J34" s="41"/>
      <c r="K34" s="257">
        <v>18</v>
      </c>
      <c r="L34" s="257" t="s">
        <v>180</v>
      </c>
      <c r="M34" s="257" t="str">
        <f t="shared" si="8"/>
        <v>24F</v>
      </c>
      <c r="N34" s="259" t="str">
        <f t="shared" si="5"/>
        <v>EUR18x24F</v>
      </c>
      <c r="O34" s="194" t="str">
        <v>EUR18X24F=ICAP</v>
      </c>
      <c r="P34" s="65">
        <v>7.4999999999999997E-2</v>
      </c>
      <c r="Q34" s="65">
        <v>0.125</v>
      </c>
      <c r="R34" s="65">
        <f t="shared" si="6"/>
        <v>0.1</v>
      </c>
      <c r="S34" s="65">
        <f t="shared" si="7"/>
        <v>5.0000000000000017E-2</v>
      </c>
      <c r="T34" s="115"/>
      <c r="U34" s="65">
        <v>0.1</v>
      </c>
      <c r="V34" s="115"/>
      <c r="W34" s="218">
        <v>0.1</v>
      </c>
      <c r="X34" s="217" t="e">
        <f ca="1">_xll.qlSimpleQuoteSetValue(F34,W34/100,Trigger)</f>
        <v>#NAME?</v>
      </c>
      <c r="Y34" s="255"/>
    </row>
    <row r="35" spans="1:25" x14ac:dyDescent="0.2">
      <c r="A35" s="135"/>
      <c r="B35" s="84">
        <f t="shared" si="0"/>
        <v>1</v>
      </c>
      <c r="C35" s="84" t="str">
        <f t="shared" si="1"/>
        <v>x</v>
      </c>
      <c r="D35" s="84" t="str">
        <f t="shared" si="2"/>
        <v>13F</v>
      </c>
      <c r="E35" s="85" t="str">
        <f t="shared" si="3"/>
        <v>EUR1x13F_Quote</v>
      </c>
      <c r="F35" s="84" t="e">
        <f ca="1">_xll.qlSimpleQuote(E35,,RateTickValue,Permanent,Trigger,ObjectOverwrite)</f>
        <v>#NAME?</v>
      </c>
      <c r="G35" s="83" t="e">
        <f ca="1">_xll.ohRangeRetrieveError(F35)</f>
        <v>#NAME?</v>
      </c>
      <c r="H35" s="36"/>
      <c r="J35" s="41"/>
      <c r="K35" s="258">
        <v>1</v>
      </c>
      <c r="L35" s="258" t="s">
        <v>180</v>
      </c>
      <c r="M35" s="258" t="str">
        <f t="shared" ref="M35:M58" si="9">K35+12&amp;"F"</f>
        <v>13F</v>
      </c>
      <c r="N35" s="256" t="str">
        <f t="shared" si="5"/>
        <v>EUR1x13F</v>
      </c>
      <c r="O35" s="186" t="str">
        <v>EUR1X13F=ICAP</v>
      </c>
      <c r="P35" s="78">
        <v>0.11499999999999999</v>
      </c>
      <c r="Q35" s="78">
        <v>0.16499999999999998</v>
      </c>
      <c r="R35" s="78">
        <f t="shared" si="6"/>
        <v>0.13999999999999999</v>
      </c>
      <c r="S35" s="78">
        <f t="shared" si="7"/>
        <v>4.9999999999999989E-2</v>
      </c>
      <c r="T35" s="115"/>
      <c r="U35" s="78">
        <v>0.13999999999999999</v>
      </c>
      <c r="V35" s="115"/>
      <c r="W35" s="219">
        <v>0.13999999999999999</v>
      </c>
      <c r="X35" s="222" t="e">
        <f ca="1">_xll.qlSimpleQuoteSetValue(F35,W35/100,Trigger)</f>
        <v>#NAME?</v>
      </c>
      <c r="Y35" s="255"/>
    </row>
    <row r="36" spans="1:25" x14ac:dyDescent="0.2">
      <c r="A36" s="135"/>
      <c r="B36" s="84">
        <f t="shared" si="0"/>
        <v>2</v>
      </c>
      <c r="C36" s="84" t="str">
        <f t="shared" si="1"/>
        <v>x</v>
      </c>
      <c r="D36" s="84" t="str">
        <f t="shared" si="2"/>
        <v>14F</v>
      </c>
      <c r="E36" s="85" t="str">
        <f t="shared" si="3"/>
        <v>EUR2x14F_Quote</v>
      </c>
      <c r="F36" s="84" t="e">
        <f ca="1">_xll.qlSimpleQuote(E36,,RateTickValue,Permanent,Trigger,ObjectOverwrite)</f>
        <v>#NAME?</v>
      </c>
      <c r="G36" s="83" t="e">
        <f ca="1">_xll.ohRangeRetrieveError(F36)</f>
        <v>#NAME?</v>
      </c>
      <c r="H36" s="36"/>
      <c r="J36" s="41"/>
      <c r="K36" s="258">
        <v>2</v>
      </c>
      <c r="L36" s="258" t="s">
        <v>180</v>
      </c>
      <c r="M36" s="258" t="str">
        <f t="shared" si="9"/>
        <v>14F</v>
      </c>
      <c r="N36" s="256" t="str">
        <f t="shared" si="5"/>
        <v>EUR2x14F</v>
      </c>
      <c r="O36" s="186" t="str">
        <v>EUR2X14F=ICAP</v>
      </c>
      <c r="P36" s="78">
        <v>0.11499999999999999</v>
      </c>
      <c r="Q36" s="78">
        <v>0.16499999999999998</v>
      </c>
      <c r="R36" s="78">
        <f t="shared" si="6"/>
        <v>0.13999999999999999</v>
      </c>
      <c r="S36" s="78">
        <f t="shared" si="7"/>
        <v>4.9999999999999989E-2</v>
      </c>
      <c r="T36" s="115"/>
      <c r="U36" s="78">
        <v>0.13999999999999999</v>
      </c>
      <c r="V36" s="115"/>
      <c r="W36" s="219">
        <v>0.13999999999999999</v>
      </c>
      <c r="X36" s="222" t="e">
        <f ca="1">_xll.qlSimpleQuoteSetValue(F36,W36/100,Trigger)</f>
        <v>#NAME?</v>
      </c>
      <c r="Y36" s="255"/>
    </row>
    <row r="37" spans="1:25" x14ac:dyDescent="0.2">
      <c r="A37" s="135"/>
      <c r="B37" s="84">
        <f t="shared" ref="B37:B58" si="10">K37</f>
        <v>3</v>
      </c>
      <c r="C37" s="84" t="str">
        <f t="shared" ref="C37:C58" si="11">L37</f>
        <v>x</v>
      </c>
      <c r="D37" s="84" t="str">
        <f t="shared" ref="D37:D58" si="12">M37</f>
        <v>15F</v>
      </c>
      <c r="E37" s="85" t="str">
        <f t="shared" ref="E37:E58" si="13">Currency&amp;$B37&amp;C37&amp;$D37&amp;QuoteSuffix</f>
        <v>EUR3x15F_Quote</v>
      </c>
      <c r="F37" s="84" t="e">
        <f ca="1">_xll.qlSimpleQuote(E37,,RateTickValue,Permanent,Trigger,ObjectOverwrite)</f>
        <v>#NAME?</v>
      </c>
      <c r="G37" s="83" t="e">
        <f ca="1">_xll.ohRangeRetrieveError(F37)</f>
        <v>#NAME?</v>
      </c>
      <c r="H37" s="36"/>
      <c r="J37" s="41"/>
      <c r="K37" s="258">
        <v>3</v>
      </c>
      <c r="L37" s="258" t="s">
        <v>180</v>
      </c>
      <c r="M37" s="258" t="str">
        <f t="shared" si="9"/>
        <v>15F</v>
      </c>
      <c r="N37" s="256" t="str">
        <f t="shared" ref="N37:N58" si="14">Currency&amp;$K37&amp;L37&amp;$M37</f>
        <v>EUR3x15F</v>
      </c>
      <c r="O37" s="186" t="str">
        <v>EUR3X15F=ICAP</v>
      </c>
      <c r="P37" s="78">
        <v>0.11699999999999999</v>
      </c>
      <c r="Q37" s="78">
        <v>0.16699999999999998</v>
      </c>
      <c r="R37" s="78">
        <f t="shared" ref="R37:R58" si="15">IF(ISERROR(AVERAGE(P37,Q37)),#NUM!,AVERAGE(P37,Q37))</f>
        <v>0.14199999999999999</v>
      </c>
      <c r="S37" s="78">
        <f t="shared" ref="S37:S58" si="16">(R37-P37)*2</f>
        <v>4.9999999999999989E-2</v>
      </c>
      <c r="T37" s="115"/>
      <c r="U37" s="78">
        <v>0.14199999999999999</v>
      </c>
      <c r="V37" s="115"/>
      <c r="W37" s="219">
        <v>0.14199999999999999</v>
      </c>
      <c r="X37" s="222" t="e">
        <f ca="1">_xll.qlSimpleQuoteSetValue(F37,W37/100,Trigger)</f>
        <v>#NAME?</v>
      </c>
      <c r="Y37" s="255"/>
    </row>
    <row r="38" spans="1:25" x14ac:dyDescent="0.2">
      <c r="A38" s="135"/>
      <c r="B38" s="84">
        <f t="shared" si="10"/>
        <v>4</v>
      </c>
      <c r="C38" s="84" t="str">
        <f t="shared" si="11"/>
        <v>x</v>
      </c>
      <c r="D38" s="84" t="str">
        <f t="shared" si="12"/>
        <v>16F</v>
      </c>
      <c r="E38" s="85" t="str">
        <f t="shared" si="13"/>
        <v>EUR4x16F_Quote</v>
      </c>
      <c r="F38" s="84" t="e">
        <f ca="1">_xll.qlSimpleQuote(E38,,RateTickValue,Permanent,Trigger,ObjectOverwrite)</f>
        <v>#NAME?</v>
      </c>
      <c r="G38" s="83" t="e">
        <f ca="1">_xll.ohRangeRetrieveError(F38)</f>
        <v>#NAME?</v>
      </c>
      <c r="H38" s="36"/>
      <c r="J38" s="41"/>
      <c r="K38" s="258">
        <v>4</v>
      </c>
      <c r="L38" s="258" t="s">
        <v>180</v>
      </c>
      <c r="M38" s="258" t="str">
        <f t="shared" si="9"/>
        <v>16F</v>
      </c>
      <c r="N38" s="256" t="str">
        <f t="shared" si="14"/>
        <v>EUR4x16F</v>
      </c>
      <c r="O38" s="186" t="str">
        <v>EUR4X16F=ICAP</v>
      </c>
      <c r="P38" s="78">
        <v>0.121</v>
      </c>
      <c r="Q38" s="78">
        <v>0.17099999999999999</v>
      </c>
      <c r="R38" s="78">
        <f t="shared" si="15"/>
        <v>0.14599999999999999</v>
      </c>
      <c r="S38" s="78">
        <f t="shared" si="16"/>
        <v>4.9999999999999989E-2</v>
      </c>
      <c r="T38" s="115"/>
      <c r="U38" s="78">
        <v>0.14599999999999999</v>
      </c>
      <c r="V38" s="115"/>
      <c r="W38" s="219">
        <v>0.14599999999999999</v>
      </c>
      <c r="X38" s="222" t="e">
        <f ca="1">_xll.qlSimpleQuoteSetValue(F38,W38/100,Trigger)</f>
        <v>#NAME?</v>
      </c>
      <c r="Y38" s="255"/>
    </row>
    <row r="39" spans="1:25" x14ac:dyDescent="0.2">
      <c r="A39" s="135"/>
      <c r="B39" s="84">
        <f t="shared" si="10"/>
        <v>5</v>
      </c>
      <c r="C39" s="84" t="str">
        <f t="shared" si="11"/>
        <v>x</v>
      </c>
      <c r="D39" s="84" t="str">
        <f t="shared" si="12"/>
        <v>17F</v>
      </c>
      <c r="E39" s="85" t="str">
        <f t="shared" si="13"/>
        <v>EUR5x17F_Quote</v>
      </c>
      <c r="F39" s="84" t="e">
        <f ca="1">_xll.qlSimpleQuote(E39,,RateTickValue,Permanent,Trigger,ObjectOverwrite)</f>
        <v>#NAME?</v>
      </c>
      <c r="G39" s="83" t="e">
        <f ca="1">_xll.ohRangeRetrieveError(F39)</f>
        <v>#NAME?</v>
      </c>
      <c r="H39" s="36"/>
      <c r="J39" s="41"/>
      <c r="K39" s="258">
        <v>5</v>
      </c>
      <c r="L39" s="258" t="s">
        <v>180</v>
      </c>
      <c r="M39" s="258" t="str">
        <f t="shared" si="9"/>
        <v>17F</v>
      </c>
      <c r="N39" s="256" t="str">
        <f t="shared" si="14"/>
        <v>EUR5x17F</v>
      </c>
      <c r="O39" s="186" t="str">
        <v>EUR5X17F=ICAP</v>
      </c>
      <c r="P39" s="78">
        <v>0.124</v>
      </c>
      <c r="Q39" s="78">
        <v>0.17399999999999999</v>
      </c>
      <c r="R39" s="78">
        <f t="shared" si="15"/>
        <v>0.14899999999999999</v>
      </c>
      <c r="S39" s="78">
        <f t="shared" si="16"/>
        <v>4.9999999999999989E-2</v>
      </c>
      <c r="T39" s="115"/>
      <c r="U39" s="78">
        <v>0.14899999999999999</v>
      </c>
      <c r="V39" s="115"/>
      <c r="W39" s="219">
        <v>0.14899999999999999</v>
      </c>
      <c r="X39" s="222" t="e">
        <f ca="1">_xll.qlSimpleQuoteSetValue(F39,W39/100,Trigger)</f>
        <v>#NAME?</v>
      </c>
      <c r="Y39" s="255"/>
    </row>
    <row r="40" spans="1:25" x14ac:dyDescent="0.2">
      <c r="A40" s="135"/>
      <c r="B40" s="84">
        <f t="shared" si="10"/>
        <v>6</v>
      </c>
      <c r="C40" s="84" t="str">
        <f t="shared" si="11"/>
        <v>x</v>
      </c>
      <c r="D40" s="84" t="str">
        <f t="shared" si="12"/>
        <v>18F</v>
      </c>
      <c r="E40" s="85" t="str">
        <f t="shared" si="13"/>
        <v>EUR6x18F_Quote</v>
      </c>
      <c r="F40" s="84" t="e">
        <f ca="1">_xll.qlSimpleQuote(E40,,RateTickValue,Permanent,Trigger,ObjectOverwrite)</f>
        <v>#NAME?</v>
      </c>
      <c r="G40" s="83" t="e">
        <f ca="1">_xll.ohRangeRetrieveError(F40)</f>
        <v>#NAME?</v>
      </c>
      <c r="H40" s="36"/>
      <c r="J40" s="41"/>
      <c r="K40" s="258">
        <v>6</v>
      </c>
      <c r="L40" s="258" t="s">
        <v>180</v>
      </c>
      <c r="M40" s="258" t="str">
        <f t="shared" si="9"/>
        <v>18F</v>
      </c>
      <c r="N40" s="256" t="str">
        <f t="shared" si="14"/>
        <v>EUR6x18F</v>
      </c>
      <c r="O40" s="186" t="str">
        <v>EUR6X18F=ICAP</v>
      </c>
      <c r="P40" s="78">
        <v>0.13</v>
      </c>
      <c r="Q40" s="78">
        <v>0.18</v>
      </c>
      <c r="R40" s="78">
        <f t="shared" si="15"/>
        <v>0.155</v>
      </c>
      <c r="S40" s="78">
        <f t="shared" si="16"/>
        <v>4.9999999999999989E-2</v>
      </c>
      <c r="T40" s="115"/>
      <c r="U40" s="78">
        <v>0.155</v>
      </c>
      <c r="V40" s="115"/>
      <c r="W40" s="219">
        <v>0.155</v>
      </c>
      <c r="X40" s="222" t="e">
        <f ca="1">_xll.qlSimpleQuoteSetValue(F40,W40/100,Trigger)</f>
        <v>#NAME?</v>
      </c>
      <c r="Y40" s="255"/>
    </row>
    <row r="41" spans="1:25" x14ac:dyDescent="0.2">
      <c r="A41" s="135"/>
      <c r="B41" s="84">
        <f t="shared" si="10"/>
        <v>7</v>
      </c>
      <c r="C41" s="84" t="str">
        <f t="shared" si="11"/>
        <v>x</v>
      </c>
      <c r="D41" s="84" t="str">
        <f t="shared" si="12"/>
        <v>19F</v>
      </c>
      <c r="E41" s="85" t="str">
        <f t="shared" si="13"/>
        <v>EUR7x19F_Quote</v>
      </c>
      <c r="F41" s="84" t="e">
        <f ca="1">_xll.qlSimpleQuote(E41,,RateTickValue,Permanent,Trigger,ObjectOverwrite)</f>
        <v>#NAME?</v>
      </c>
      <c r="G41" s="83" t="e">
        <f ca="1">_xll.ohRangeRetrieveError(F41)</f>
        <v>#NAME?</v>
      </c>
      <c r="H41" s="36"/>
      <c r="J41" s="41"/>
      <c r="K41" s="258">
        <v>7</v>
      </c>
      <c r="L41" s="258" t="s">
        <v>180</v>
      </c>
      <c r="M41" s="258" t="str">
        <f t="shared" si="9"/>
        <v>19F</v>
      </c>
      <c r="N41" s="256" t="str">
        <f t="shared" si="14"/>
        <v>EUR7x19F</v>
      </c>
      <c r="O41" s="186" t="str">
        <v>EUR7X19F=ICAP</v>
      </c>
      <c r="P41" s="78">
        <v>0.13599999999999998</v>
      </c>
      <c r="Q41" s="78">
        <v>0.186</v>
      </c>
      <c r="R41" s="78">
        <f t="shared" si="15"/>
        <v>0.16099999999999998</v>
      </c>
      <c r="S41" s="78">
        <f t="shared" si="16"/>
        <v>4.9999999999999989E-2</v>
      </c>
      <c r="T41" s="115"/>
      <c r="U41" s="78">
        <v>0.16099999999999998</v>
      </c>
      <c r="V41" s="115"/>
      <c r="W41" s="219">
        <v>0.16099999999999998</v>
      </c>
      <c r="X41" s="222" t="e">
        <f ca="1">_xll.qlSimpleQuoteSetValue(F41,W41/100,Trigger)</f>
        <v>#NAME?</v>
      </c>
      <c r="Y41" s="255"/>
    </row>
    <row r="42" spans="1:25" x14ac:dyDescent="0.2">
      <c r="A42" s="135"/>
      <c r="B42" s="84">
        <f t="shared" si="10"/>
        <v>8</v>
      </c>
      <c r="C42" s="84" t="str">
        <f t="shared" si="11"/>
        <v>x</v>
      </c>
      <c r="D42" s="84" t="str">
        <f t="shared" si="12"/>
        <v>20F</v>
      </c>
      <c r="E42" s="85" t="str">
        <f t="shared" si="13"/>
        <v>EUR8x20F_Quote</v>
      </c>
      <c r="F42" s="84" t="e">
        <f ca="1">_xll.qlSimpleQuote(E42,,RateTickValue,Permanent,Trigger,ObjectOverwrite)</f>
        <v>#NAME?</v>
      </c>
      <c r="G42" s="83" t="e">
        <f ca="1">_xll.ohRangeRetrieveError(F42)</f>
        <v>#NAME?</v>
      </c>
      <c r="H42" s="36"/>
      <c r="J42" s="41"/>
      <c r="K42" s="258">
        <v>8</v>
      </c>
      <c r="L42" s="258" t="s">
        <v>180</v>
      </c>
      <c r="M42" s="258" t="str">
        <f t="shared" si="9"/>
        <v>20F</v>
      </c>
      <c r="N42" s="256" t="str">
        <f t="shared" si="14"/>
        <v>EUR8x20F</v>
      </c>
      <c r="O42" s="186" t="str">
        <v>EUR8X20F=ICAP</v>
      </c>
      <c r="P42" s="78">
        <v>0.14199999999999999</v>
      </c>
      <c r="Q42" s="78">
        <v>0.192</v>
      </c>
      <c r="R42" s="78">
        <f t="shared" si="15"/>
        <v>0.16699999999999998</v>
      </c>
      <c r="S42" s="78">
        <f t="shared" si="16"/>
        <v>4.9999999999999989E-2</v>
      </c>
      <c r="T42" s="115"/>
      <c r="U42" s="78">
        <v>0.16699999999999998</v>
      </c>
      <c r="V42" s="115"/>
      <c r="W42" s="219">
        <v>0.16699999999999998</v>
      </c>
      <c r="X42" s="222" t="e">
        <f ca="1">_xll.qlSimpleQuoteSetValue(F42,W42/100,Trigger)</f>
        <v>#NAME?</v>
      </c>
      <c r="Y42" s="255"/>
    </row>
    <row r="43" spans="1:25" x14ac:dyDescent="0.2">
      <c r="A43" s="135"/>
      <c r="B43" s="84">
        <f t="shared" si="10"/>
        <v>9</v>
      </c>
      <c r="C43" s="84" t="str">
        <f t="shared" si="11"/>
        <v>x</v>
      </c>
      <c r="D43" s="84" t="str">
        <f t="shared" si="12"/>
        <v>21F</v>
      </c>
      <c r="E43" s="85" t="str">
        <f t="shared" si="13"/>
        <v>EUR9x21F_Quote</v>
      </c>
      <c r="F43" s="84" t="e">
        <f ca="1">_xll.qlSimpleQuote(E43,,RateTickValue,Permanent,Trigger,ObjectOverwrite)</f>
        <v>#NAME?</v>
      </c>
      <c r="G43" s="83" t="e">
        <f ca="1">_xll.ohRangeRetrieveError(F43)</f>
        <v>#NAME?</v>
      </c>
      <c r="H43" s="36"/>
      <c r="J43" s="41"/>
      <c r="K43" s="258">
        <v>9</v>
      </c>
      <c r="L43" s="258" t="s">
        <v>180</v>
      </c>
      <c r="M43" s="258" t="str">
        <f t="shared" si="9"/>
        <v>21F</v>
      </c>
      <c r="N43" s="256" t="str">
        <f t="shared" si="14"/>
        <v>EUR9x21F</v>
      </c>
      <c r="O43" s="186" t="str">
        <v>EUR9X21F=ICAP</v>
      </c>
      <c r="P43" s="78">
        <v>0.15</v>
      </c>
      <c r="Q43" s="78">
        <v>0.2</v>
      </c>
      <c r="R43" s="78">
        <f t="shared" si="15"/>
        <v>0.17499999999999999</v>
      </c>
      <c r="S43" s="78">
        <f t="shared" si="16"/>
        <v>4.9999999999999989E-2</v>
      </c>
      <c r="T43" s="115"/>
      <c r="U43" s="78">
        <v>0.17499999999999999</v>
      </c>
      <c r="V43" s="115"/>
      <c r="W43" s="219">
        <v>0.17499999999999999</v>
      </c>
      <c r="X43" s="222" t="e">
        <f ca="1">_xll.qlSimpleQuoteSetValue(F43,W43/100,Trigger)</f>
        <v>#NAME?</v>
      </c>
      <c r="Y43" s="255"/>
    </row>
    <row r="44" spans="1:25" x14ac:dyDescent="0.2">
      <c r="A44" s="135"/>
      <c r="B44" s="84">
        <f t="shared" si="10"/>
        <v>10</v>
      </c>
      <c r="C44" s="84" t="str">
        <f t="shared" si="11"/>
        <v>x</v>
      </c>
      <c r="D44" s="84" t="str">
        <f t="shared" si="12"/>
        <v>22F</v>
      </c>
      <c r="E44" s="85" t="str">
        <f t="shared" si="13"/>
        <v>EUR10x22F_Quote</v>
      </c>
      <c r="F44" s="84" t="e">
        <f ca="1">_xll.qlSimpleQuote(E44,,RateTickValue,Permanent,Trigger,ObjectOverwrite)</f>
        <v>#NAME?</v>
      </c>
      <c r="G44" s="83" t="e">
        <f ca="1">_xll.ohRangeRetrieveError(F44)</f>
        <v>#NAME?</v>
      </c>
      <c r="H44" s="36"/>
      <c r="J44" s="41"/>
      <c r="K44" s="258">
        <v>10</v>
      </c>
      <c r="L44" s="258" t="s">
        <v>180</v>
      </c>
      <c r="M44" s="258" t="str">
        <f t="shared" si="9"/>
        <v>22F</v>
      </c>
      <c r="N44" s="256" t="str">
        <f t="shared" si="14"/>
        <v>EUR10x22F</v>
      </c>
      <c r="O44" s="186" t="str">
        <v>EUR10X22F=ICAP</v>
      </c>
      <c r="P44" s="78">
        <v>0.158</v>
      </c>
      <c r="Q44" s="78">
        <v>0.20800000000000002</v>
      </c>
      <c r="R44" s="78">
        <f t="shared" si="15"/>
        <v>0.183</v>
      </c>
      <c r="S44" s="78">
        <f t="shared" si="16"/>
        <v>4.9999999999999989E-2</v>
      </c>
      <c r="T44" s="115"/>
      <c r="U44" s="78">
        <v>0.183</v>
      </c>
      <c r="V44" s="115"/>
      <c r="W44" s="219">
        <v>0.183</v>
      </c>
      <c r="X44" s="222" t="e">
        <f ca="1">_xll.qlSimpleQuoteSetValue(F44,W44/100,Trigger)</f>
        <v>#NAME?</v>
      </c>
      <c r="Y44" s="255"/>
    </row>
    <row r="45" spans="1:25" x14ac:dyDescent="0.2">
      <c r="A45" s="135"/>
      <c r="B45" s="84">
        <f t="shared" si="10"/>
        <v>11</v>
      </c>
      <c r="C45" s="84" t="str">
        <f t="shared" si="11"/>
        <v>x</v>
      </c>
      <c r="D45" s="84" t="str">
        <f t="shared" si="12"/>
        <v>23F</v>
      </c>
      <c r="E45" s="85" t="str">
        <f t="shared" si="13"/>
        <v>EUR11x23F_Quote</v>
      </c>
      <c r="F45" s="84" t="e">
        <f ca="1">_xll.qlSimpleQuote(E45,,RateTickValue,Permanent,Trigger,ObjectOverwrite)</f>
        <v>#NAME?</v>
      </c>
      <c r="G45" s="83" t="e">
        <f ca="1">_xll.ohRangeRetrieveError(F45)</f>
        <v>#NAME?</v>
      </c>
      <c r="H45" s="36"/>
      <c r="J45" s="41"/>
      <c r="K45" s="258">
        <v>11</v>
      </c>
      <c r="L45" s="258" t="s">
        <v>180</v>
      </c>
      <c r="M45" s="258" t="str">
        <f t="shared" si="9"/>
        <v>23F</v>
      </c>
      <c r="N45" s="256" t="str">
        <f t="shared" si="14"/>
        <v>EUR11x23F</v>
      </c>
      <c r="O45" s="186" t="str">
        <v>EUR11X23F=ICAP</v>
      </c>
      <c r="P45" s="78">
        <v>0.16699999999999998</v>
      </c>
      <c r="Q45" s="78">
        <v>0.217</v>
      </c>
      <c r="R45" s="78">
        <f t="shared" si="15"/>
        <v>0.192</v>
      </c>
      <c r="S45" s="78">
        <f t="shared" si="16"/>
        <v>5.0000000000000044E-2</v>
      </c>
      <c r="T45" s="115"/>
      <c r="U45" s="78">
        <v>0.192</v>
      </c>
      <c r="V45" s="115"/>
      <c r="W45" s="219">
        <v>0.192</v>
      </c>
      <c r="X45" s="222" t="e">
        <f ca="1">_xll.qlSimpleQuoteSetValue(F45,W45/100,Trigger)</f>
        <v>#NAME?</v>
      </c>
      <c r="Y45" s="255"/>
    </row>
    <row r="46" spans="1:25" x14ac:dyDescent="0.2">
      <c r="A46" s="135"/>
      <c r="B46" s="84">
        <f t="shared" si="10"/>
        <v>12</v>
      </c>
      <c r="C46" s="84" t="str">
        <f t="shared" si="11"/>
        <v>x</v>
      </c>
      <c r="D46" s="84" t="str">
        <f t="shared" si="12"/>
        <v>24F</v>
      </c>
      <c r="E46" s="85" t="str">
        <f t="shared" si="13"/>
        <v>EUR12x24F_Quote</v>
      </c>
      <c r="F46" s="84" t="e">
        <f ca="1">_xll.qlSimpleQuote(E46,,RateTickValue,Permanent,Trigger,ObjectOverwrite)</f>
        <v>#NAME?</v>
      </c>
      <c r="G46" s="83" t="e">
        <f ca="1">_xll.ohRangeRetrieveError(F46)</f>
        <v>#NAME?</v>
      </c>
      <c r="H46" s="36"/>
      <c r="J46" s="41"/>
      <c r="K46" s="258">
        <v>12</v>
      </c>
      <c r="L46" s="258" t="s">
        <v>180</v>
      </c>
      <c r="M46" s="258" t="str">
        <f t="shared" si="9"/>
        <v>24F</v>
      </c>
      <c r="N46" s="256" t="str">
        <f t="shared" si="14"/>
        <v>EUR12x24F</v>
      </c>
      <c r="O46" s="186" t="str">
        <v>EUR12X24F=ICAP</v>
      </c>
      <c r="P46" s="78">
        <v>0.17799999999999999</v>
      </c>
      <c r="Q46" s="78">
        <v>0.22799999999999998</v>
      </c>
      <c r="R46" s="78">
        <f t="shared" si="15"/>
        <v>0.20299999999999999</v>
      </c>
      <c r="S46" s="78">
        <f t="shared" si="16"/>
        <v>4.9999999999999989E-2</v>
      </c>
      <c r="T46" s="115"/>
      <c r="U46" s="78">
        <v>0.20299999999999999</v>
      </c>
      <c r="V46" s="115"/>
      <c r="W46" s="219">
        <v>0.20299999999999999</v>
      </c>
      <c r="X46" s="222" t="e">
        <f ca="1">_xll.qlSimpleQuoteSetValue(F46,W46/100,Trigger)</f>
        <v>#NAME?</v>
      </c>
      <c r="Y46" s="255"/>
    </row>
    <row r="47" spans="1:25" x14ac:dyDescent="0.2">
      <c r="A47" s="135"/>
      <c r="B47" s="84">
        <f t="shared" si="10"/>
        <v>13</v>
      </c>
      <c r="C47" s="84" t="str">
        <f t="shared" si="11"/>
        <v>x</v>
      </c>
      <c r="D47" s="84" t="str">
        <f t="shared" si="12"/>
        <v>25F</v>
      </c>
      <c r="E47" s="85" t="str">
        <f t="shared" si="13"/>
        <v>EUR13x25F_Quote</v>
      </c>
      <c r="F47" s="84" t="e">
        <f ca="1">_xll.qlSimpleQuote(E47,,RateTickValue,Permanent,Trigger,ObjectOverwrite)</f>
        <v>#NAME?</v>
      </c>
      <c r="G47" s="83" t="e">
        <f ca="1">_xll.ohRangeRetrieveError(F47)</f>
        <v>#NAME?</v>
      </c>
      <c r="H47" s="36"/>
      <c r="J47" s="41"/>
      <c r="K47" s="258">
        <v>13</v>
      </c>
      <c r="L47" s="258" t="s">
        <v>180</v>
      </c>
      <c r="M47" s="258" t="str">
        <f t="shared" si="9"/>
        <v>25F</v>
      </c>
      <c r="N47" s="256" t="str">
        <f t="shared" si="14"/>
        <v>EUR13x25F</v>
      </c>
      <c r="O47" s="186" t="str">
        <v>EUR13X25F=ICAP</v>
      </c>
      <c r="P47" s="78" t="s">
        <v>109</v>
      </c>
      <c r="Q47" s="78" t="s">
        <v>109</v>
      </c>
      <c r="R47" s="78" t="e">
        <f t="shared" si="15"/>
        <v>#NUM!</v>
      </c>
      <c r="S47" s="78" t="e">
        <f t="shared" si="16"/>
        <v>#NUM!</v>
      </c>
      <c r="T47" s="115"/>
      <c r="U47" s="78" t="e">
        <v>#NUM!</v>
      </c>
      <c r="V47" s="115"/>
      <c r="W47" s="219" t="e">
        <v>#NUM!</v>
      </c>
      <c r="X47" s="222" t="e">
        <f ca="1">_xll.qlSimpleQuoteSetValue(F47,W47/100,Trigger)</f>
        <v>#NAME?</v>
      </c>
      <c r="Y47" s="255"/>
    </row>
    <row r="48" spans="1:25" x14ac:dyDescent="0.2">
      <c r="A48" s="135"/>
      <c r="B48" s="84">
        <f t="shared" si="10"/>
        <v>14</v>
      </c>
      <c r="C48" s="84" t="str">
        <f t="shared" si="11"/>
        <v>x</v>
      </c>
      <c r="D48" s="84" t="str">
        <f t="shared" si="12"/>
        <v>26F</v>
      </c>
      <c r="E48" s="85" t="str">
        <f t="shared" si="13"/>
        <v>EUR14x26F_Quote</v>
      </c>
      <c r="F48" s="84" t="e">
        <f ca="1">_xll.qlSimpleQuote(E48,,RateTickValue,Permanent,Trigger,ObjectOverwrite)</f>
        <v>#NAME?</v>
      </c>
      <c r="G48" s="83" t="e">
        <f ca="1">_xll.ohRangeRetrieveError(F48)</f>
        <v>#NAME?</v>
      </c>
      <c r="H48" s="36"/>
      <c r="J48" s="41"/>
      <c r="K48" s="258">
        <v>14</v>
      </c>
      <c r="L48" s="258" t="s">
        <v>180</v>
      </c>
      <c r="M48" s="258" t="str">
        <f t="shared" si="9"/>
        <v>26F</v>
      </c>
      <c r="N48" s="256" t="str">
        <f t="shared" si="14"/>
        <v>EUR14x26F</v>
      </c>
      <c r="O48" s="186" t="str">
        <v>EUR14X26F=ICAP</v>
      </c>
      <c r="P48" s="78" t="s">
        <v>109</v>
      </c>
      <c r="Q48" s="78" t="s">
        <v>109</v>
      </c>
      <c r="R48" s="78" t="e">
        <f t="shared" si="15"/>
        <v>#NUM!</v>
      </c>
      <c r="S48" s="78" t="e">
        <f t="shared" si="16"/>
        <v>#NUM!</v>
      </c>
      <c r="T48" s="115"/>
      <c r="U48" s="78" t="e">
        <v>#NUM!</v>
      </c>
      <c r="V48" s="115"/>
      <c r="W48" s="219" t="e">
        <v>#NUM!</v>
      </c>
      <c r="X48" s="222" t="e">
        <f ca="1">_xll.qlSimpleQuoteSetValue(F48,W48/100,Trigger)</f>
        <v>#NAME?</v>
      </c>
      <c r="Y48" s="255"/>
    </row>
    <row r="49" spans="1:25" x14ac:dyDescent="0.2">
      <c r="A49" s="135"/>
      <c r="B49" s="84">
        <f t="shared" si="10"/>
        <v>15</v>
      </c>
      <c r="C49" s="84" t="str">
        <f t="shared" si="11"/>
        <v>x</v>
      </c>
      <c r="D49" s="84" t="str">
        <f t="shared" si="12"/>
        <v>27F</v>
      </c>
      <c r="E49" s="85" t="str">
        <f t="shared" si="13"/>
        <v>EUR15x27F_Quote</v>
      </c>
      <c r="F49" s="84" t="e">
        <f ca="1">_xll.qlSimpleQuote(E49,,RateTickValue,Permanent,Trigger,ObjectOverwrite)</f>
        <v>#NAME?</v>
      </c>
      <c r="G49" s="83" t="e">
        <f ca="1">_xll.ohRangeRetrieveError(F49)</f>
        <v>#NAME?</v>
      </c>
      <c r="H49" s="36"/>
      <c r="J49" s="41"/>
      <c r="K49" s="258">
        <v>15</v>
      </c>
      <c r="L49" s="258" t="s">
        <v>180</v>
      </c>
      <c r="M49" s="258" t="str">
        <f t="shared" si="9"/>
        <v>27F</v>
      </c>
      <c r="N49" s="256" t="str">
        <f t="shared" si="14"/>
        <v>EUR15x27F</v>
      </c>
      <c r="O49" s="186" t="str">
        <v>EUR15X27F=ICAP</v>
      </c>
      <c r="P49" s="78" t="s">
        <v>109</v>
      </c>
      <c r="Q49" s="78" t="s">
        <v>109</v>
      </c>
      <c r="R49" s="78" t="e">
        <f t="shared" si="15"/>
        <v>#NUM!</v>
      </c>
      <c r="S49" s="78" t="e">
        <f t="shared" si="16"/>
        <v>#NUM!</v>
      </c>
      <c r="T49" s="115"/>
      <c r="U49" s="78" t="e">
        <v>#NUM!</v>
      </c>
      <c r="V49" s="115"/>
      <c r="W49" s="219" t="e">
        <v>#NUM!</v>
      </c>
      <c r="X49" s="222" t="e">
        <f ca="1">_xll.qlSimpleQuoteSetValue(F49,W49/100,Trigger)</f>
        <v>#NAME?</v>
      </c>
      <c r="Y49" s="255"/>
    </row>
    <row r="50" spans="1:25" x14ac:dyDescent="0.2">
      <c r="A50" s="135"/>
      <c r="B50" s="84">
        <f t="shared" si="10"/>
        <v>16</v>
      </c>
      <c r="C50" s="84" t="str">
        <f t="shared" si="11"/>
        <v>x</v>
      </c>
      <c r="D50" s="84" t="str">
        <f t="shared" si="12"/>
        <v>28F</v>
      </c>
      <c r="E50" s="85" t="str">
        <f t="shared" si="13"/>
        <v>EUR16x28F_Quote</v>
      </c>
      <c r="F50" s="84" t="e">
        <f ca="1">_xll.qlSimpleQuote(E50,,RateTickValue,Permanent,Trigger,ObjectOverwrite)</f>
        <v>#NAME?</v>
      </c>
      <c r="G50" s="83" t="e">
        <f ca="1">_xll.ohRangeRetrieveError(F50)</f>
        <v>#NAME?</v>
      </c>
      <c r="H50" s="36"/>
      <c r="J50" s="41"/>
      <c r="K50" s="258">
        <v>16</v>
      </c>
      <c r="L50" s="258" t="s">
        <v>180</v>
      </c>
      <c r="M50" s="258" t="str">
        <f t="shared" si="9"/>
        <v>28F</v>
      </c>
      <c r="N50" s="256" t="str">
        <f t="shared" si="14"/>
        <v>EUR16x28F</v>
      </c>
      <c r="O50" s="186" t="str">
        <v>EUR16X28F=ICAP</v>
      </c>
      <c r="P50" s="78" t="s">
        <v>109</v>
      </c>
      <c r="Q50" s="78" t="s">
        <v>109</v>
      </c>
      <c r="R50" s="78" t="e">
        <f t="shared" si="15"/>
        <v>#NUM!</v>
      </c>
      <c r="S50" s="78" t="e">
        <f t="shared" si="16"/>
        <v>#NUM!</v>
      </c>
      <c r="T50" s="115"/>
      <c r="U50" s="78" t="e">
        <v>#NUM!</v>
      </c>
      <c r="V50" s="115"/>
      <c r="W50" s="219" t="e">
        <v>#NUM!</v>
      </c>
      <c r="X50" s="222" t="e">
        <f ca="1">_xll.qlSimpleQuoteSetValue(F50,W50/100,Trigger)</f>
        <v>#NAME?</v>
      </c>
      <c r="Y50" s="255"/>
    </row>
    <row r="51" spans="1:25" x14ac:dyDescent="0.2">
      <c r="A51" s="135"/>
      <c r="B51" s="84">
        <f t="shared" si="10"/>
        <v>17</v>
      </c>
      <c r="C51" s="84" t="str">
        <f t="shared" si="11"/>
        <v>x</v>
      </c>
      <c r="D51" s="84" t="str">
        <f t="shared" si="12"/>
        <v>29F</v>
      </c>
      <c r="E51" s="85" t="str">
        <f t="shared" si="13"/>
        <v>EUR17x29F_Quote</v>
      </c>
      <c r="F51" s="84" t="e">
        <f ca="1">_xll.qlSimpleQuote(E51,,RateTickValue,Permanent,Trigger,ObjectOverwrite)</f>
        <v>#NAME?</v>
      </c>
      <c r="G51" s="83" t="e">
        <f ca="1">_xll.ohRangeRetrieveError(F51)</f>
        <v>#NAME?</v>
      </c>
      <c r="H51" s="36"/>
      <c r="J51" s="41"/>
      <c r="K51" s="258">
        <v>17</v>
      </c>
      <c r="L51" s="258" t="s">
        <v>180</v>
      </c>
      <c r="M51" s="258" t="str">
        <f t="shared" si="9"/>
        <v>29F</v>
      </c>
      <c r="N51" s="256" t="str">
        <f t="shared" si="14"/>
        <v>EUR17x29F</v>
      </c>
      <c r="O51" s="186" t="str">
        <v>EUR17X29F=ICAP</v>
      </c>
      <c r="P51" s="78" t="s">
        <v>109</v>
      </c>
      <c r="Q51" s="78" t="s">
        <v>109</v>
      </c>
      <c r="R51" s="78" t="e">
        <f t="shared" si="15"/>
        <v>#NUM!</v>
      </c>
      <c r="S51" s="78" t="e">
        <f t="shared" si="16"/>
        <v>#NUM!</v>
      </c>
      <c r="T51" s="115"/>
      <c r="U51" s="78" t="e">
        <v>#NUM!</v>
      </c>
      <c r="V51" s="115"/>
      <c r="W51" s="219" t="e">
        <v>#NUM!</v>
      </c>
      <c r="X51" s="222" t="e">
        <f ca="1">_xll.qlSimpleQuoteSetValue(F51,W51/100,Trigger)</f>
        <v>#NAME?</v>
      </c>
      <c r="Y51" s="255"/>
    </row>
    <row r="52" spans="1:25" x14ac:dyDescent="0.2">
      <c r="A52" s="135"/>
      <c r="B52" s="84">
        <f t="shared" si="10"/>
        <v>18</v>
      </c>
      <c r="C52" s="84" t="str">
        <f t="shared" si="11"/>
        <v>x</v>
      </c>
      <c r="D52" s="84" t="str">
        <f t="shared" si="12"/>
        <v>30F</v>
      </c>
      <c r="E52" s="85" t="str">
        <f t="shared" si="13"/>
        <v>EUR18x30F_Quote</v>
      </c>
      <c r="F52" s="84" t="e">
        <f ca="1">_xll.qlSimpleQuote(E52,,RateTickValue,Permanent,Trigger,ObjectOverwrite)</f>
        <v>#NAME?</v>
      </c>
      <c r="G52" s="83" t="e">
        <f ca="1">_xll.ohRangeRetrieveError(F52)</f>
        <v>#NAME?</v>
      </c>
      <c r="H52" s="36"/>
      <c r="J52" s="41"/>
      <c r="K52" s="258">
        <v>18</v>
      </c>
      <c r="L52" s="258" t="s">
        <v>180</v>
      </c>
      <c r="M52" s="258" t="str">
        <f t="shared" si="9"/>
        <v>30F</v>
      </c>
      <c r="N52" s="256" t="str">
        <f t="shared" si="14"/>
        <v>EUR18x30F</v>
      </c>
      <c r="O52" s="186" t="str">
        <v>EUR18X30F=ICAP</v>
      </c>
      <c r="P52" s="78" t="s">
        <v>109</v>
      </c>
      <c r="Q52" s="78" t="s">
        <v>109</v>
      </c>
      <c r="R52" s="78" t="e">
        <f t="shared" si="15"/>
        <v>#NUM!</v>
      </c>
      <c r="S52" s="78" t="e">
        <f t="shared" si="16"/>
        <v>#NUM!</v>
      </c>
      <c r="T52" s="115"/>
      <c r="U52" s="78" t="e">
        <v>#NUM!</v>
      </c>
      <c r="V52" s="115"/>
      <c r="W52" s="219" t="e">
        <v>#NUM!</v>
      </c>
      <c r="X52" s="222" t="e">
        <f ca="1">_xll.qlSimpleQuoteSetValue(F52,W52/100,Trigger)</f>
        <v>#NAME?</v>
      </c>
      <c r="Y52" s="255"/>
    </row>
    <row r="53" spans="1:25" x14ac:dyDescent="0.2">
      <c r="A53" s="135"/>
      <c r="B53" s="84">
        <f t="shared" si="10"/>
        <v>19</v>
      </c>
      <c r="C53" s="84" t="str">
        <f t="shared" si="11"/>
        <v>x</v>
      </c>
      <c r="D53" s="84" t="str">
        <f t="shared" si="12"/>
        <v>31F</v>
      </c>
      <c r="E53" s="85" t="str">
        <f t="shared" si="13"/>
        <v>EUR19x31F_Quote</v>
      </c>
      <c r="F53" s="84" t="e">
        <f ca="1">_xll.qlSimpleQuote(E53,,RateTickValue,Permanent,Trigger,ObjectOverwrite)</f>
        <v>#NAME?</v>
      </c>
      <c r="G53" s="83" t="e">
        <f ca="1">_xll.ohRangeRetrieveError(F53)</f>
        <v>#NAME?</v>
      </c>
      <c r="H53" s="36"/>
      <c r="J53" s="41"/>
      <c r="K53" s="258">
        <v>19</v>
      </c>
      <c r="L53" s="258" t="s">
        <v>180</v>
      </c>
      <c r="M53" s="258" t="str">
        <f t="shared" si="9"/>
        <v>31F</v>
      </c>
      <c r="N53" s="256" t="str">
        <f t="shared" si="14"/>
        <v>EUR19x31F</v>
      </c>
      <c r="O53" s="186" t="str">
        <v>EUR19X31F=ICAP</v>
      </c>
      <c r="P53" s="78" t="s">
        <v>109</v>
      </c>
      <c r="Q53" s="78" t="s">
        <v>109</v>
      </c>
      <c r="R53" s="78" t="e">
        <f t="shared" si="15"/>
        <v>#NUM!</v>
      </c>
      <c r="S53" s="78" t="e">
        <f t="shared" si="16"/>
        <v>#NUM!</v>
      </c>
      <c r="T53" s="115"/>
      <c r="U53" s="78" t="e">
        <v>#NUM!</v>
      </c>
      <c r="V53" s="115"/>
      <c r="W53" s="219" t="e">
        <v>#NUM!</v>
      </c>
      <c r="X53" s="222" t="e">
        <f ca="1">_xll.qlSimpleQuoteSetValue(F53,W53/100,Trigger)</f>
        <v>#NAME?</v>
      </c>
      <c r="Y53" s="255"/>
    </row>
    <row r="54" spans="1:25" x14ac:dyDescent="0.2">
      <c r="A54" s="135"/>
      <c r="B54" s="84">
        <f t="shared" si="10"/>
        <v>20</v>
      </c>
      <c r="C54" s="84" t="str">
        <f t="shared" si="11"/>
        <v>x</v>
      </c>
      <c r="D54" s="84" t="str">
        <f t="shared" si="12"/>
        <v>32F</v>
      </c>
      <c r="E54" s="85" t="str">
        <f t="shared" si="13"/>
        <v>EUR20x32F_Quote</v>
      </c>
      <c r="F54" s="84" t="e">
        <f ca="1">_xll.qlSimpleQuote(E54,,RateTickValue,Permanent,Trigger,ObjectOverwrite)</f>
        <v>#NAME?</v>
      </c>
      <c r="G54" s="83" t="e">
        <f ca="1">_xll.ohRangeRetrieveError(F54)</f>
        <v>#NAME?</v>
      </c>
      <c r="H54" s="36"/>
      <c r="J54" s="41"/>
      <c r="K54" s="258">
        <v>20</v>
      </c>
      <c r="L54" s="258" t="s">
        <v>180</v>
      </c>
      <c r="M54" s="258" t="str">
        <f t="shared" si="9"/>
        <v>32F</v>
      </c>
      <c r="N54" s="256" t="str">
        <f t="shared" si="14"/>
        <v>EUR20x32F</v>
      </c>
      <c r="O54" s="186" t="str">
        <v>EUR20X32F=ICAP</v>
      </c>
      <c r="P54" s="78" t="s">
        <v>109</v>
      </c>
      <c r="Q54" s="78" t="s">
        <v>109</v>
      </c>
      <c r="R54" s="78" t="e">
        <f t="shared" si="15"/>
        <v>#NUM!</v>
      </c>
      <c r="S54" s="78" t="e">
        <f t="shared" si="16"/>
        <v>#NUM!</v>
      </c>
      <c r="T54" s="115"/>
      <c r="U54" s="78" t="e">
        <v>#NUM!</v>
      </c>
      <c r="V54" s="115"/>
      <c r="W54" s="219" t="e">
        <v>#NUM!</v>
      </c>
      <c r="X54" s="222" t="e">
        <f ca="1">_xll.qlSimpleQuoteSetValue(F54,W54/100,Trigger)</f>
        <v>#NAME?</v>
      </c>
      <c r="Y54" s="255"/>
    </row>
    <row r="55" spans="1:25" x14ac:dyDescent="0.2">
      <c r="A55" s="135"/>
      <c r="B55" s="84">
        <f t="shared" si="10"/>
        <v>21</v>
      </c>
      <c r="C55" s="84" t="str">
        <f t="shared" si="11"/>
        <v>x</v>
      </c>
      <c r="D55" s="84" t="str">
        <f t="shared" si="12"/>
        <v>33F</v>
      </c>
      <c r="E55" s="85" t="str">
        <f t="shared" si="13"/>
        <v>EUR21x33F_Quote</v>
      </c>
      <c r="F55" s="84" t="e">
        <f ca="1">_xll.qlSimpleQuote(E55,,RateTickValue,Permanent,Trigger,ObjectOverwrite)</f>
        <v>#NAME?</v>
      </c>
      <c r="G55" s="83" t="e">
        <f ca="1">_xll.ohRangeRetrieveError(F55)</f>
        <v>#NAME?</v>
      </c>
      <c r="H55" s="36"/>
      <c r="J55" s="41"/>
      <c r="K55" s="258">
        <v>21</v>
      </c>
      <c r="L55" s="258" t="s">
        <v>180</v>
      </c>
      <c r="M55" s="258" t="str">
        <f t="shared" si="9"/>
        <v>33F</v>
      </c>
      <c r="N55" s="256" t="str">
        <f t="shared" si="14"/>
        <v>EUR21x33F</v>
      </c>
      <c r="O55" s="186" t="str">
        <v>EUR21X33F=ICAP</v>
      </c>
      <c r="P55" s="78" t="s">
        <v>109</v>
      </c>
      <c r="Q55" s="78" t="s">
        <v>109</v>
      </c>
      <c r="R55" s="78" t="e">
        <f t="shared" si="15"/>
        <v>#NUM!</v>
      </c>
      <c r="S55" s="78" t="e">
        <f t="shared" si="16"/>
        <v>#NUM!</v>
      </c>
      <c r="T55" s="115"/>
      <c r="U55" s="78" t="e">
        <v>#NUM!</v>
      </c>
      <c r="V55" s="115"/>
      <c r="W55" s="219" t="e">
        <v>#NUM!</v>
      </c>
      <c r="X55" s="222" t="e">
        <f ca="1">_xll.qlSimpleQuoteSetValue(F55,W55/100,Trigger)</f>
        <v>#NAME?</v>
      </c>
      <c r="Y55" s="255"/>
    </row>
    <row r="56" spans="1:25" x14ac:dyDescent="0.2">
      <c r="A56" s="135"/>
      <c r="B56" s="84">
        <f t="shared" si="10"/>
        <v>22</v>
      </c>
      <c r="C56" s="84" t="str">
        <f t="shared" si="11"/>
        <v>x</v>
      </c>
      <c r="D56" s="84" t="str">
        <f t="shared" si="12"/>
        <v>34F</v>
      </c>
      <c r="E56" s="85" t="str">
        <f t="shared" si="13"/>
        <v>EUR22x34F_Quote</v>
      </c>
      <c r="F56" s="84" t="e">
        <f ca="1">_xll.qlSimpleQuote(E56,,RateTickValue,Permanent,Trigger,ObjectOverwrite)</f>
        <v>#NAME?</v>
      </c>
      <c r="G56" s="83" t="e">
        <f ca="1">_xll.ohRangeRetrieveError(F56)</f>
        <v>#NAME?</v>
      </c>
      <c r="H56" s="36"/>
      <c r="J56" s="41"/>
      <c r="K56" s="258">
        <v>22</v>
      </c>
      <c r="L56" s="258" t="s">
        <v>180</v>
      </c>
      <c r="M56" s="258" t="str">
        <f t="shared" si="9"/>
        <v>34F</v>
      </c>
      <c r="N56" s="256" t="str">
        <f t="shared" si="14"/>
        <v>EUR22x34F</v>
      </c>
      <c r="O56" s="186" t="str">
        <v>EUR22X34F=ICAP</v>
      </c>
      <c r="P56" s="78" t="s">
        <v>109</v>
      </c>
      <c r="Q56" s="78" t="s">
        <v>109</v>
      </c>
      <c r="R56" s="78" t="e">
        <f t="shared" si="15"/>
        <v>#NUM!</v>
      </c>
      <c r="S56" s="78" t="e">
        <f t="shared" si="16"/>
        <v>#NUM!</v>
      </c>
      <c r="T56" s="115"/>
      <c r="U56" s="78" t="e">
        <v>#NUM!</v>
      </c>
      <c r="V56" s="115"/>
      <c r="W56" s="219" t="e">
        <v>#NUM!</v>
      </c>
      <c r="X56" s="222" t="e">
        <f ca="1">_xll.qlSimpleQuoteSetValue(F56,W56/100,Trigger)</f>
        <v>#NAME?</v>
      </c>
      <c r="Y56" s="255"/>
    </row>
    <row r="57" spans="1:25" x14ac:dyDescent="0.2">
      <c r="A57" s="135"/>
      <c r="B57" s="84">
        <f t="shared" si="10"/>
        <v>23</v>
      </c>
      <c r="C57" s="84" t="str">
        <f t="shared" si="11"/>
        <v>x</v>
      </c>
      <c r="D57" s="84" t="str">
        <f t="shared" si="12"/>
        <v>35F</v>
      </c>
      <c r="E57" s="85" t="str">
        <f t="shared" si="13"/>
        <v>EUR23x35F_Quote</v>
      </c>
      <c r="F57" s="84" t="e">
        <f ca="1">_xll.qlSimpleQuote(E57,,RateTickValue,Permanent,Trigger,ObjectOverwrite)</f>
        <v>#NAME?</v>
      </c>
      <c r="G57" s="83" t="e">
        <f ca="1">_xll.ohRangeRetrieveError(F57)</f>
        <v>#NAME?</v>
      </c>
      <c r="H57" s="36"/>
      <c r="J57" s="41"/>
      <c r="K57" s="258">
        <v>23</v>
      </c>
      <c r="L57" s="258" t="s">
        <v>180</v>
      </c>
      <c r="M57" s="258" t="str">
        <f t="shared" si="9"/>
        <v>35F</v>
      </c>
      <c r="N57" s="256" t="str">
        <f t="shared" si="14"/>
        <v>EUR23x35F</v>
      </c>
      <c r="O57" s="186" t="str">
        <v>EUR23X35F=ICAP</v>
      </c>
      <c r="P57" s="78" t="s">
        <v>109</v>
      </c>
      <c r="Q57" s="78" t="s">
        <v>109</v>
      </c>
      <c r="R57" s="78" t="e">
        <f t="shared" si="15"/>
        <v>#NUM!</v>
      </c>
      <c r="S57" s="78" t="e">
        <f t="shared" si="16"/>
        <v>#NUM!</v>
      </c>
      <c r="T57" s="115"/>
      <c r="U57" s="78" t="e">
        <v>#NUM!</v>
      </c>
      <c r="V57" s="115"/>
      <c r="W57" s="219" t="e">
        <v>#NUM!</v>
      </c>
      <c r="X57" s="222" t="e">
        <f ca="1">_xll.qlSimpleQuoteSetValue(F57,W57/100,Trigger)</f>
        <v>#NAME?</v>
      </c>
      <c r="Y57" s="255"/>
    </row>
    <row r="58" spans="1:25" x14ac:dyDescent="0.2">
      <c r="A58" s="135"/>
      <c r="B58" s="73">
        <f t="shared" si="10"/>
        <v>24</v>
      </c>
      <c r="C58" s="73" t="str">
        <f t="shared" si="11"/>
        <v>x</v>
      </c>
      <c r="D58" s="73" t="str">
        <f t="shared" si="12"/>
        <v>36F</v>
      </c>
      <c r="E58" s="74" t="str">
        <f t="shared" si="13"/>
        <v>EUR24x36F_Quote</v>
      </c>
      <c r="F58" s="73" t="e">
        <f ca="1">_xll.qlSimpleQuote(E58,,RateTickValue,Permanent,Trigger,ObjectOverwrite)</f>
        <v>#NAME?</v>
      </c>
      <c r="G58" s="72" t="e">
        <f ca="1">_xll.ohRangeRetrieveError(F58)</f>
        <v>#NAME?</v>
      </c>
      <c r="H58" s="36"/>
      <c r="J58" s="41"/>
      <c r="K58" s="257">
        <v>24</v>
      </c>
      <c r="L58" s="257" t="s">
        <v>180</v>
      </c>
      <c r="M58" s="257" t="str">
        <f t="shared" si="9"/>
        <v>36F</v>
      </c>
      <c r="N58" s="256" t="str">
        <f t="shared" si="14"/>
        <v>EUR24x36F</v>
      </c>
      <c r="O58" s="186" t="str">
        <v>EUR24X36F=ICAP</v>
      </c>
      <c r="P58" s="78">
        <v>0.38</v>
      </c>
      <c r="Q58" s="78">
        <v>0.43</v>
      </c>
      <c r="R58" s="78">
        <f t="shared" si="15"/>
        <v>0.40500000000000003</v>
      </c>
      <c r="S58" s="65">
        <f t="shared" si="16"/>
        <v>5.0000000000000044E-2</v>
      </c>
      <c r="T58" s="115"/>
      <c r="U58" s="78">
        <v>0.40500000000000003</v>
      </c>
      <c r="V58" s="115"/>
      <c r="W58" s="219">
        <v>0.40500000000000003</v>
      </c>
      <c r="X58" s="222" t="e">
        <f ca="1">_xll.qlSimpleQuoteSetValue(F58,W58/100,Trigger)</f>
        <v>#NAME?</v>
      </c>
      <c r="Y58" s="255"/>
    </row>
    <row r="59" spans="1:25" x14ac:dyDescent="0.2">
      <c r="A59" s="35"/>
      <c r="B59" s="34"/>
      <c r="C59" s="34"/>
      <c r="D59" s="34"/>
      <c r="E59" s="34"/>
      <c r="F59" s="33"/>
      <c r="G59" s="33"/>
      <c r="H59" s="32"/>
      <c r="J59" s="254"/>
      <c r="K59" s="252"/>
      <c r="L59" s="252"/>
      <c r="M59" s="252"/>
      <c r="N59" s="252"/>
      <c r="O59" s="252"/>
      <c r="P59" s="252"/>
      <c r="Q59" s="252"/>
      <c r="R59" s="252"/>
      <c r="S59" s="253"/>
      <c r="T59" s="253"/>
      <c r="U59" s="252"/>
      <c r="V59" s="253"/>
      <c r="W59" s="252"/>
      <c r="X59" s="252"/>
      <c r="Y59" s="15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AB41"/>
  <sheetViews>
    <sheetView showGridLines="0"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6.140625" style="30" hidden="1" customWidth="1" outlineLevel="1"/>
    <col min="6" max="6" width="21.4257812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5" width="2.7109375" style="30" customWidth="1"/>
    <col min="26" max="16384" width="9.140625" style="30"/>
  </cols>
  <sheetData>
    <row r="1" spans="1:28" ht="11.25" customHeight="1" thickBot="1" x14ac:dyDescent="0.25">
      <c r="A1" s="128"/>
      <c r="B1" s="54"/>
      <c r="C1" s="54"/>
      <c r="D1" s="54"/>
      <c r="E1" s="54"/>
      <c r="F1" s="54"/>
      <c r="G1" s="54"/>
      <c r="H1" s="53"/>
      <c r="J1" s="153" t="s">
        <v>135</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09"/>
      <c r="G2" s="109"/>
      <c r="H2" s="120"/>
      <c r="J2" s="113"/>
      <c r="K2" s="110"/>
      <c r="L2" s="110"/>
      <c r="M2" s="110"/>
      <c r="N2" s="110"/>
      <c r="O2" s="119" t="str">
        <f>VLOOKUP(J1,AreaTable,2,FALSE)</f>
        <v>ICAP</v>
      </c>
      <c r="P2" s="110"/>
      <c r="Q2" s="110"/>
      <c r="R2" s="110"/>
      <c r="S2" s="110"/>
      <c r="T2" s="111"/>
      <c r="U2" s="111"/>
      <c r="V2" s="111"/>
      <c r="W2" s="111"/>
      <c r="X2" s="118" t="e">
        <f ca="1">_xll.ohTrigger(X5:X40)</f>
        <v>#NAME?</v>
      </c>
      <c r="Y2" s="36"/>
      <c r="AA2" s="1361" t="s">
        <v>529</v>
      </c>
      <c r="AB2" s="1364" t="e">
        <f ca="1">_xll.ohTrigger('General Settings'!Trigger)</f>
        <v>#NAME?</v>
      </c>
    </row>
    <row r="3" spans="1:28" ht="11.25" customHeight="1" thickBot="1" x14ac:dyDescent="0.3">
      <c r="A3" s="117"/>
      <c r="B3" s="116"/>
      <c r="C3" s="116"/>
      <c r="D3" s="115"/>
      <c r="E3" s="115"/>
      <c r="F3" s="109"/>
      <c r="G3" s="109"/>
      <c r="H3" s="114"/>
      <c r="J3" s="135"/>
      <c r="K3" s="111"/>
      <c r="L3" s="111"/>
      <c r="M3" s="110"/>
      <c r="N3" s="110"/>
      <c r="O3" s="110"/>
      <c r="P3" s="110"/>
      <c r="Q3" s="110"/>
      <c r="R3" s="110"/>
      <c r="S3" s="110"/>
      <c r="T3" s="111"/>
      <c r="U3" s="111"/>
      <c r="V3" s="111"/>
      <c r="W3" s="110"/>
      <c r="X3" s="109"/>
      <c r="Y3" s="130"/>
      <c r="AA3" s="1362" t="s">
        <v>530</v>
      </c>
      <c r="AB3" s="1365" t="e">
        <f ca="1">_xll.ohTrigger(X5:X40)</f>
        <v>#NAME?</v>
      </c>
    </row>
    <row r="4" spans="1:28" ht="21" customHeight="1" x14ac:dyDescent="0.2">
      <c r="A4" s="113"/>
      <c r="B4" s="52" t="s">
        <v>107</v>
      </c>
      <c r="C4" s="107"/>
      <c r="D4" s="107"/>
      <c r="E4" s="52" t="s">
        <v>91</v>
      </c>
      <c r="F4" s="52" t="s">
        <v>90</v>
      </c>
      <c r="G4" s="52" t="s">
        <v>59</v>
      </c>
      <c r="H4" s="36"/>
      <c r="J4" s="135"/>
      <c r="K4" s="119"/>
      <c r="L4" s="119"/>
      <c r="M4" s="119"/>
      <c r="N4" s="251" t="s">
        <v>101</v>
      </c>
      <c r="O4" s="105" t="e">
        <f ca="1">_xll.RData(O5:O40,P4:Q4,,ReutersRtMode,,P5)</f>
        <v>#NAME?</v>
      </c>
      <c r="P4" s="101" t="s">
        <v>84</v>
      </c>
      <c r="Q4" s="101" t="s">
        <v>83</v>
      </c>
      <c r="R4" s="104" t="s">
        <v>179</v>
      </c>
      <c r="S4" s="103" t="s">
        <v>79</v>
      </c>
      <c r="T4" s="111"/>
      <c r="U4" s="147" t="s">
        <v>78</v>
      </c>
      <c r="V4" s="111"/>
      <c r="W4" s="146" t="s">
        <v>77</v>
      </c>
      <c r="X4" s="146" t="s">
        <v>76</v>
      </c>
      <c r="Y4" s="130"/>
    </row>
    <row r="5" spans="1:28" ht="11.25" customHeight="1" x14ac:dyDescent="0.2">
      <c r="A5" s="71"/>
      <c r="B5" s="97" t="str">
        <f t="shared" ref="B5:B40" si="0">K5</f>
        <v>SW</v>
      </c>
      <c r="C5" s="98" t="s">
        <v>117</v>
      </c>
      <c r="D5" s="97"/>
      <c r="E5" s="96" t="str">
        <f t="shared" ref="E5:E40" si="1">Currency&amp;$C5&amp;$B5&amp;QuoteSuffix</f>
        <v>EUREONSW_Quote</v>
      </c>
      <c r="F5" s="95" t="e">
        <f ca="1">_xll.qlSimpleQuote(Currency&amp;$C5&amp;$B5&amp;QuoteSuffix,,RateTickValue,Permanent,Trigger,ObjectOverwrite)</f>
        <v>#NAME?</v>
      </c>
      <c r="G5" s="94" t="e">
        <f ca="1">_xll.ohRangeRetrieveError(F5)</f>
        <v>#NAME?</v>
      </c>
      <c r="H5" s="36"/>
      <c r="J5" s="135"/>
      <c r="K5" s="250" t="s">
        <v>178</v>
      </c>
      <c r="L5" s="250" t="s">
        <v>135</v>
      </c>
      <c r="M5" s="250" t="s">
        <v>117</v>
      </c>
      <c r="N5" s="203" t="str">
        <f t="shared" ref="N5:N40" si="2">Currency&amp;$M5&amp;$K5</f>
        <v>EUREONSW</v>
      </c>
      <c r="O5" s="203" t="str">
        <f t="shared" ref="O5:O40" si="3">N5&amp;"="&amp;VLOOKUP(Contributor,ContributorTable,2,FALSE)</f>
        <v>EUREONSW=ICAP</v>
      </c>
      <c r="P5" s="248">
        <v>-0.193</v>
      </c>
      <c r="Q5" s="248">
        <v>-9.2999999999999999E-2</v>
      </c>
      <c r="R5" s="248">
        <f t="shared" ref="R5:R40" si="4">IF(ISERROR(AVERAGE(P5,Q5)),#NUM!,AVERAGE(P5,Q5))</f>
        <v>-0.14300000000000002</v>
      </c>
      <c r="S5" s="241">
        <f t="shared" ref="S5:S40" si="5">(R5-P5)*2</f>
        <v>9.9999999999999978E-2</v>
      </c>
      <c r="T5" s="242"/>
      <c r="U5" s="249">
        <v>-0.14300000000000002</v>
      </c>
      <c r="V5" s="242"/>
      <c r="W5" s="248">
        <f t="array" ref="W5:W40">QuoteStatic</f>
        <v>-0.14300000000000002</v>
      </c>
      <c r="X5" s="247" t="e">
        <f ca="1">_xll.qlSimpleQuoteSetValue(F5,W5/100,Trigger)</f>
        <v>#NAME?</v>
      </c>
      <c r="Y5" s="130"/>
    </row>
    <row r="6" spans="1:28" ht="11.25" customHeight="1" x14ac:dyDescent="0.2">
      <c r="A6" s="71"/>
      <c r="B6" s="86" t="str">
        <f t="shared" si="0"/>
        <v>2W</v>
      </c>
      <c r="C6" s="87" t="s">
        <v>117</v>
      </c>
      <c r="D6" s="86"/>
      <c r="E6" s="85" t="str">
        <f t="shared" si="1"/>
        <v>EUREON2W_Quote</v>
      </c>
      <c r="F6" s="84" t="e">
        <f ca="1">_xll.qlSimpleQuote(Currency&amp;$C6&amp;$B6&amp;QuoteSuffix,,RateTickValue,Permanent,Trigger,ObjectOverwrite)</f>
        <v>#NAME?</v>
      </c>
      <c r="G6" s="83" t="e">
        <f ca="1">_xll.ohRangeRetrieveError(F6)</f>
        <v>#NAME?</v>
      </c>
      <c r="H6" s="36"/>
      <c r="J6" s="135"/>
      <c r="K6" s="246" t="s">
        <v>177</v>
      </c>
      <c r="L6" s="246" t="s">
        <v>135</v>
      </c>
      <c r="M6" s="246" t="s">
        <v>117</v>
      </c>
      <c r="N6" s="244" t="str">
        <f t="shared" si="2"/>
        <v>EUREON2W</v>
      </c>
      <c r="O6" s="244" t="str">
        <f t="shared" si="3"/>
        <v>EUREON2W=ICAP</v>
      </c>
      <c r="P6" s="241">
        <v>-0.193</v>
      </c>
      <c r="Q6" s="241">
        <v>-9.2999999999999999E-2</v>
      </c>
      <c r="R6" s="241">
        <f t="shared" si="4"/>
        <v>-0.14300000000000002</v>
      </c>
      <c r="S6" s="241">
        <f t="shared" si="5"/>
        <v>9.9999999999999978E-2</v>
      </c>
      <c r="T6" s="242"/>
      <c r="U6" s="243">
        <v>-0.14300000000000002</v>
      </c>
      <c r="V6" s="242"/>
      <c r="W6" s="241">
        <v>-0.14300000000000002</v>
      </c>
      <c r="X6" s="240" t="e">
        <f ca="1">_xll.qlSimpleQuoteSetValue(F6,W6/100,Trigger)</f>
        <v>#NAME?</v>
      </c>
      <c r="Y6" s="130"/>
    </row>
    <row r="7" spans="1:28" ht="11.25" customHeight="1" x14ac:dyDescent="0.2">
      <c r="A7" s="71"/>
      <c r="B7" s="86" t="str">
        <f t="shared" si="0"/>
        <v>3W</v>
      </c>
      <c r="C7" s="87" t="s">
        <v>117</v>
      </c>
      <c r="D7" s="86"/>
      <c r="E7" s="85" t="str">
        <f t="shared" si="1"/>
        <v>EUREON3W_Quote</v>
      </c>
      <c r="F7" s="84" t="e">
        <f ca="1">_xll.qlSimpleQuote(Currency&amp;$C7&amp;$B7&amp;QuoteSuffix,,RateTickValue,Permanent,Trigger,ObjectOverwrite)</f>
        <v>#NAME?</v>
      </c>
      <c r="G7" s="83" t="e">
        <f ca="1">_xll.ohRangeRetrieveError(F7)</f>
        <v>#NAME?</v>
      </c>
      <c r="H7" s="36"/>
      <c r="J7" s="135"/>
      <c r="K7" s="246" t="s">
        <v>176</v>
      </c>
      <c r="L7" s="246" t="s">
        <v>135</v>
      </c>
      <c r="M7" s="246" t="s">
        <v>117</v>
      </c>
      <c r="N7" s="244" t="str">
        <f t="shared" si="2"/>
        <v>EUREON3W</v>
      </c>
      <c r="O7" s="244" t="str">
        <f t="shared" si="3"/>
        <v>EUREON3W=ICAP</v>
      </c>
      <c r="P7" s="241">
        <v>-0.193</v>
      </c>
      <c r="Q7" s="241">
        <v>-9.2999999999999999E-2</v>
      </c>
      <c r="R7" s="241">
        <f t="shared" si="4"/>
        <v>-0.14300000000000002</v>
      </c>
      <c r="S7" s="241">
        <f t="shared" si="5"/>
        <v>9.9999999999999978E-2</v>
      </c>
      <c r="T7" s="242"/>
      <c r="U7" s="243">
        <v>-0.14300000000000002</v>
      </c>
      <c r="V7" s="242"/>
      <c r="W7" s="241">
        <v>-0.14300000000000002</v>
      </c>
      <c r="X7" s="240" t="e">
        <f ca="1">_xll.qlSimpleQuoteSetValue(F7,W7/100,Trigger)</f>
        <v>#NAME?</v>
      </c>
      <c r="Y7" s="130"/>
    </row>
    <row r="8" spans="1:28" ht="11.25" customHeight="1" x14ac:dyDescent="0.2">
      <c r="A8" s="135"/>
      <c r="B8" s="86" t="str">
        <f t="shared" si="0"/>
        <v>1M</v>
      </c>
      <c r="C8" s="87" t="s">
        <v>117</v>
      </c>
      <c r="D8" s="86"/>
      <c r="E8" s="85" t="str">
        <f t="shared" si="1"/>
        <v>EUREON1M_Quote</v>
      </c>
      <c r="F8" s="84" t="e">
        <f ca="1">_xll.qlSimpleQuote(Currency&amp;$C8&amp;$B8&amp;QuoteSuffix,,RateTickValue,Permanent,Trigger,ObjectOverwrite)</f>
        <v>#NAME?</v>
      </c>
      <c r="G8" s="83" t="e">
        <f ca="1">_xll.ohRangeRetrieveError(F8)</f>
        <v>#NAME?</v>
      </c>
      <c r="H8" s="36"/>
      <c r="J8" s="135"/>
      <c r="K8" s="246" t="s">
        <v>175</v>
      </c>
      <c r="L8" s="246" t="s">
        <v>135</v>
      </c>
      <c r="M8" s="246" t="s">
        <v>117</v>
      </c>
      <c r="N8" s="244" t="str">
        <f t="shared" si="2"/>
        <v>EUREON1M</v>
      </c>
      <c r="O8" s="244" t="str">
        <f t="shared" si="3"/>
        <v>EUREON1M=ICAP</v>
      </c>
      <c r="P8" s="241">
        <v>-0.16499999999999998</v>
      </c>
      <c r="Q8" s="241">
        <v>-0.11499999999999999</v>
      </c>
      <c r="R8" s="241">
        <f t="shared" si="4"/>
        <v>-0.13999999999999999</v>
      </c>
      <c r="S8" s="241">
        <f t="shared" si="5"/>
        <v>4.9999999999999989E-2</v>
      </c>
      <c r="T8" s="242"/>
      <c r="U8" s="243">
        <v>-0.13999999999999999</v>
      </c>
      <c r="V8" s="242"/>
      <c r="W8" s="241">
        <v>-0.13999999999999999</v>
      </c>
      <c r="X8" s="240" t="e">
        <f ca="1">_xll.qlSimpleQuoteSetValue(F8,W8/100,Trigger)</f>
        <v>#NAME?</v>
      </c>
      <c r="Y8" s="130"/>
    </row>
    <row r="9" spans="1:28" ht="11.25" customHeight="1" x14ac:dyDescent="0.2">
      <c r="A9" s="135"/>
      <c r="B9" s="86" t="str">
        <f t="shared" si="0"/>
        <v>2M</v>
      </c>
      <c r="C9" s="87" t="s">
        <v>117</v>
      </c>
      <c r="D9" s="86"/>
      <c r="E9" s="85" t="str">
        <f t="shared" si="1"/>
        <v>EUREON2M_Quote</v>
      </c>
      <c r="F9" s="84" t="e">
        <f ca="1">_xll.qlSimpleQuote(Currency&amp;$C9&amp;$B9&amp;QuoteSuffix,,RateTickValue,Permanent,Trigger,ObjectOverwrite)</f>
        <v>#NAME?</v>
      </c>
      <c r="G9" s="83" t="e">
        <f ca="1">_xll.ohRangeRetrieveError(F9)</f>
        <v>#NAME?</v>
      </c>
      <c r="H9" s="36"/>
      <c r="J9" s="135"/>
      <c r="K9" s="246" t="s">
        <v>174</v>
      </c>
      <c r="L9" s="246" t="s">
        <v>135</v>
      </c>
      <c r="M9" s="246" t="s">
        <v>117</v>
      </c>
      <c r="N9" s="244" t="str">
        <f t="shared" si="2"/>
        <v>EUREON2M</v>
      </c>
      <c r="O9" s="244" t="str">
        <f t="shared" si="3"/>
        <v>EUREON2M=ICAP</v>
      </c>
      <c r="P9" s="241">
        <v>-0.16999999999999998</v>
      </c>
      <c r="Q9" s="241">
        <v>-0.12</v>
      </c>
      <c r="R9" s="241">
        <f t="shared" si="4"/>
        <v>-0.14499999999999999</v>
      </c>
      <c r="S9" s="241">
        <f t="shared" si="5"/>
        <v>4.9999999999999989E-2</v>
      </c>
      <c r="T9" s="242"/>
      <c r="U9" s="243">
        <v>-0.14499999999999999</v>
      </c>
      <c r="V9" s="242"/>
      <c r="W9" s="241">
        <v>-0.14499999999999999</v>
      </c>
      <c r="X9" s="240" t="e">
        <f ca="1">_xll.qlSimpleQuoteSetValue(F9,W9/100,Trigger)</f>
        <v>#NAME?</v>
      </c>
      <c r="Y9" s="130"/>
    </row>
    <row r="10" spans="1:28" ht="11.25" customHeight="1" x14ac:dyDescent="0.2">
      <c r="A10" s="135"/>
      <c r="B10" s="86" t="str">
        <f t="shared" si="0"/>
        <v>3M</v>
      </c>
      <c r="C10" s="87" t="s">
        <v>117</v>
      </c>
      <c r="D10" s="86"/>
      <c r="E10" s="85" t="str">
        <f t="shared" si="1"/>
        <v>EUREON3M_Quote</v>
      </c>
      <c r="F10" s="84" t="e">
        <f ca="1">_xll.qlSimpleQuote(Currency&amp;$C10&amp;$B10&amp;QuoteSuffix,,RateTickValue,Permanent,Trigger,ObjectOverwrite)</f>
        <v>#NAME?</v>
      </c>
      <c r="G10" s="83" t="e">
        <f ca="1">_xll.ohRangeRetrieveError(F10)</f>
        <v>#NAME?</v>
      </c>
      <c r="H10" s="36"/>
      <c r="J10" s="135"/>
      <c r="K10" s="246" t="s">
        <v>127</v>
      </c>
      <c r="L10" s="246" t="s">
        <v>135</v>
      </c>
      <c r="M10" s="246" t="s">
        <v>117</v>
      </c>
      <c r="N10" s="244" t="str">
        <f t="shared" si="2"/>
        <v>EUREON3M</v>
      </c>
      <c r="O10" s="244" t="str">
        <f t="shared" si="3"/>
        <v>EUREON3M=ICAP</v>
      </c>
      <c r="P10" s="241">
        <v>-0.16899999999999998</v>
      </c>
      <c r="Q10" s="241">
        <v>-0.11899999999999999</v>
      </c>
      <c r="R10" s="241">
        <f t="shared" si="4"/>
        <v>-0.14399999999999999</v>
      </c>
      <c r="S10" s="241">
        <f t="shared" si="5"/>
        <v>4.9999999999999989E-2</v>
      </c>
      <c r="T10" s="242"/>
      <c r="U10" s="243">
        <v>-0.14399999999999999</v>
      </c>
      <c r="V10" s="242"/>
      <c r="W10" s="241">
        <v>-0.14399999999999999</v>
      </c>
      <c r="X10" s="240" t="e">
        <f ca="1">_xll.qlSimpleQuoteSetValue(F10,W10/100,Trigger)</f>
        <v>#NAME?</v>
      </c>
      <c r="Y10" s="130"/>
    </row>
    <row r="11" spans="1:28" ht="11.25" customHeight="1" x14ac:dyDescent="0.2">
      <c r="A11" s="135"/>
      <c r="B11" s="86" t="str">
        <f t="shared" si="0"/>
        <v>4M</v>
      </c>
      <c r="C11" s="87" t="s">
        <v>117</v>
      </c>
      <c r="D11" s="86"/>
      <c r="E11" s="85" t="str">
        <f t="shared" si="1"/>
        <v>EUREON4M_Quote</v>
      </c>
      <c r="F11" s="84" t="e">
        <f ca="1">_xll.qlSimpleQuote(Currency&amp;$C11&amp;$B11&amp;QuoteSuffix,,RateTickValue,Permanent,Trigger,ObjectOverwrite)</f>
        <v>#NAME?</v>
      </c>
      <c r="G11" s="83" t="e">
        <f ca="1">_xll.ohRangeRetrieveError(F11)</f>
        <v>#NAME?</v>
      </c>
      <c r="H11" s="36"/>
      <c r="J11" s="135"/>
      <c r="K11" s="246" t="s">
        <v>173</v>
      </c>
      <c r="L11" s="246" t="s">
        <v>135</v>
      </c>
      <c r="M11" s="246" t="s">
        <v>117</v>
      </c>
      <c r="N11" s="244" t="str">
        <f t="shared" si="2"/>
        <v>EUREON4M</v>
      </c>
      <c r="O11" s="244" t="str">
        <f t="shared" si="3"/>
        <v>EUREON4M=ICAP</v>
      </c>
      <c r="P11" s="241">
        <v>-0.17299999999999999</v>
      </c>
      <c r="Q11" s="241">
        <v>-0.123</v>
      </c>
      <c r="R11" s="241">
        <f t="shared" si="4"/>
        <v>-0.14799999999999999</v>
      </c>
      <c r="S11" s="241">
        <f t="shared" si="5"/>
        <v>4.9999999999999989E-2</v>
      </c>
      <c r="T11" s="242"/>
      <c r="U11" s="243">
        <v>-0.14799999999999999</v>
      </c>
      <c r="V11" s="242"/>
      <c r="W11" s="241">
        <v>-0.14799999999999999</v>
      </c>
      <c r="X11" s="240" t="e">
        <f ca="1">_xll.qlSimpleQuoteSetValue(F11,W11/100,Trigger)</f>
        <v>#NAME?</v>
      </c>
      <c r="Y11" s="130"/>
    </row>
    <row r="12" spans="1:28" ht="11.25" customHeight="1" x14ac:dyDescent="0.2">
      <c r="A12" s="135"/>
      <c r="B12" s="86" t="str">
        <f t="shared" si="0"/>
        <v>5M</v>
      </c>
      <c r="C12" s="87" t="s">
        <v>117</v>
      </c>
      <c r="D12" s="86"/>
      <c r="E12" s="85" t="str">
        <f t="shared" si="1"/>
        <v>EUREON5M_Quote</v>
      </c>
      <c r="F12" s="84" t="e">
        <f ca="1">_xll.qlSimpleQuote(Currency&amp;$C12&amp;$B12&amp;QuoteSuffix,,RateTickValue,Permanent,Trigger,ObjectOverwrite)</f>
        <v>#NAME?</v>
      </c>
      <c r="G12" s="83" t="e">
        <f ca="1">_xll.ohRangeRetrieveError(F12)</f>
        <v>#NAME?</v>
      </c>
      <c r="H12" s="36"/>
      <c r="J12" s="135"/>
      <c r="K12" s="246" t="s">
        <v>172</v>
      </c>
      <c r="L12" s="246" t="s">
        <v>135</v>
      </c>
      <c r="M12" s="246" t="s">
        <v>117</v>
      </c>
      <c r="N12" s="244" t="str">
        <f t="shared" si="2"/>
        <v>EUREON5M</v>
      </c>
      <c r="O12" s="244" t="str">
        <f t="shared" si="3"/>
        <v>EUREON5M=ICAP</v>
      </c>
      <c r="P12" s="241">
        <v>-0.17799999999999999</v>
      </c>
      <c r="Q12" s="241">
        <v>-0.128</v>
      </c>
      <c r="R12" s="241">
        <f t="shared" si="4"/>
        <v>-0.153</v>
      </c>
      <c r="S12" s="241">
        <f t="shared" si="5"/>
        <v>4.9999999999999989E-2</v>
      </c>
      <c r="T12" s="242"/>
      <c r="U12" s="243">
        <v>-0.153</v>
      </c>
      <c r="V12" s="242"/>
      <c r="W12" s="241">
        <v>-0.153</v>
      </c>
      <c r="X12" s="240" t="e">
        <f ca="1">_xll.qlSimpleQuoteSetValue(F12,W12/100,Trigger)</f>
        <v>#NAME?</v>
      </c>
      <c r="Y12" s="130"/>
    </row>
    <row r="13" spans="1:28" ht="11.25" customHeight="1" x14ac:dyDescent="0.2">
      <c r="A13" s="135"/>
      <c r="B13" s="86" t="str">
        <f t="shared" si="0"/>
        <v>6M</v>
      </c>
      <c r="C13" s="87" t="s">
        <v>117</v>
      </c>
      <c r="D13" s="86"/>
      <c r="E13" s="85" t="str">
        <f t="shared" si="1"/>
        <v>EUREON6M_Quote</v>
      </c>
      <c r="F13" s="84" t="e">
        <f ca="1">_xll.qlSimpleQuote(Currency&amp;$C13&amp;$B13&amp;QuoteSuffix,,RateTickValue,Permanent,Trigger,ObjectOverwrite)</f>
        <v>#NAME?</v>
      </c>
      <c r="G13" s="83" t="e">
        <f ca="1">_xll.ohRangeRetrieveError(F13)</f>
        <v>#NAME?</v>
      </c>
      <c r="H13" s="36"/>
      <c r="J13" s="135"/>
      <c r="K13" s="246" t="s">
        <v>92</v>
      </c>
      <c r="L13" s="246" t="s">
        <v>135</v>
      </c>
      <c r="M13" s="246" t="s">
        <v>117</v>
      </c>
      <c r="N13" s="244" t="str">
        <f t="shared" si="2"/>
        <v>EUREON6M</v>
      </c>
      <c r="O13" s="244" t="str">
        <f t="shared" si="3"/>
        <v>EUREON6M=ICAP</v>
      </c>
      <c r="P13" s="241">
        <v>-0.18099999999999999</v>
      </c>
      <c r="Q13" s="241">
        <v>-0.13100000000000001</v>
      </c>
      <c r="R13" s="241">
        <f t="shared" si="4"/>
        <v>-0.156</v>
      </c>
      <c r="S13" s="241">
        <f t="shared" si="5"/>
        <v>4.9999999999999989E-2</v>
      </c>
      <c r="T13" s="242"/>
      <c r="U13" s="243">
        <v>-0.156</v>
      </c>
      <c r="V13" s="242"/>
      <c r="W13" s="241">
        <v>-0.156</v>
      </c>
      <c r="X13" s="240" t="e">
        <f ca="1">_xll.qlSimpleQuoteSetValue(F13,W13/100,Trigger)</f>
        <v>#NAME?</v>
      </c>
      <c r="Y13" s="130"/>
    </row>
    <row r="14" spans="1:28" ht="11.25" customHeight="1" x14ac:dyDescent="0.2">
      <c r="A14" s="135"/>
      <c r="B14" s="86" t="str">
        <f t="shared" si="0"/>
        <v>7M</v>
      </c>
      <c r="C14" s="87" t="s">
        <v>117</v>
      </c>
      <c r="D14" s="86"/>
      <c r="E14" s="85" t="str">
        <f t="shared" si="1"/>
        <v>EUREON7M_Quote</v>
      </c>
      <c r="F14" s="84" t="e">
        <f ca="1">_xll.qlSimpleQuote(Currency&amp;$C14&amp;$B14&amp;QuoteSuffix,,RateTickValue,Permanent,Trigger,ObjectOverwrite)</f>
        <v>#NAME?</v>
      </c>
      <c r="G14" s="83" t="e">
        <f ca="1">_xll.ohRangeRetrieveError(F14)</f>
        <v>#NAME?</v>
      </c>
      <c r="H14" s="36"/>
      <c r="J14" s="135"/>
      <c r="K14" s="246" t="s">
        <v>171</v>
      </c>
      <c r="L14" s="246" t="s">
        <v>135</v>
      </c>
      <c r="M14" s="246" t="s">
        <v>117</v>
      </c>
      <c r="N14" s="244" t="str">
        <f t="shared" si="2"/>
        <v>EUREON7M</v>
      </c>
      <c r="O14" s="244" t="str">
        <f t="shared" si="3"/>
        <v>EUREON7M=ICAP</v>
      </c>
      <c r="P14" s="241">
        <v>-0.184</v>
      </c>
      <c r="Q14" s="241">
        <v>-0.13399999999999998</v>
      </c>
      <c r="R14" s="241">
        <f t="shared" si="4"/>
        <v>-0.15899999999999997</v>
      </c>
      <c r="S14" s="241">
        <f t="shared" si="5"/>
        <v>5.0000000000000044E-2</v>
      </c>
      <c r="T14" s="242"/>
      <c r="U14" s="243">
        <v>-0.15899999999999997</v>
      </c>
      <c r="V14" s="242"/>
      <c r="W14" s="241">
        <v>-0.15899999999999997</v>
      </c>
      <c r="X14" s="240" t="e">
        <f ca="1">_xll.qlSimpleQuoteSetValue(F14,W14/100,Trigger)</f>
        <v>#NAME?</v>
      </c>
      <c r="Y14" s="130"/>
    </row>
    <row r="15" spans="1:28" ht="11.25" customHeight="1" x14ac:dyDescent="0.2">
      <c r="A15" s="135"/>
      <c r="B15" s="86" t="str">
        <f t="shared" si="0"/>
        <v>8M</v>
      </c>
      <c r="C15" s="87" t="s">
        <v>117</v>
      </c>
      <c r="D15" s="86"/>
      <c r="E15" s="85" t="str">
        <f t="shared" si="1"/>
        <v>EUREON8M_Quote</v>
      </c>
      <c r="F15" s="84" t="e">
        <f ca="1">_xll.qlSimpleQuote(Currency&amp;$C15&amp;$B15&amp;QuoteSuffix,,RateTickValue,Permanent,Trigger,ObjectOverwrite)</f>
        <v>#NAME?</v>
      </c>
      <c r="G15" s="83" t="e">
        <f ca="1">_xll.ohRangeRetrieveError(F15)</f>
        <v>#NAME?</v>
      </c>
      <c r="H15" s="36"/>
      <c r="J15" s="135"/>
      <c r="K15" s="246" t="s">
        <v>170</v>
      </c>
      <c r="L15" s="246" t="s">
        <v>135</v>
      </c>
      <c r="M15" s="246" t="s">
        <v>117</v>
      </c>
      <c r="N15" s="244" t="str">
        <f t="shared" si="2"/>
        <v>EUREON8M</v>
      </c>
      <c r="O15" s="244" t="str">
        <f t="shared" si="3"/>
        <v>EUREON8M=ICAP</v>
      </c>
      <c r="P15" s="241">
        <v>-0.187</v>
      </c>
      <c r="Q15" s="241">
        <v>-0.13700000000000001</v>
      </c>
      <c r="R15" s="241">
        <f t="shared" si="4"/>
        <v>-0.16200000000000001</v>
      </c>
      <c r="S15" s="241">
        <f t="shared" si="5"/>
        <v>4.9999999999999989E-2</v>
      </c>
      <c r="T15" s="242"/>
      <c r="U15" s="243">
        <v>-0.16200000000000001</v>
      </c>
      <c r="V15" s="242"/>
      <c r="W15" s="241">
        <v>-0.16200000000000001</v>
      </c>
      <c r="X15" s="240" t="e">
        <f ca="1">_xll.qlSimpleQuoteSetValue(F15,W15/100,Trigger)</f>
        <v>#NAME?</v>
      </c>
      <c r="Y15" s="130"/>
    </row>
    <row r="16" spans="1:28" ht="11.25" customHeight="1" x14ac:dyDescent="0.2">
      <c r="A16" s="135"/>
      <c r="B16" s="86" t="str">
        <f t="shared" si="0"/>
        <v>9M</v>
      </c>
      <c r="C16" s="87" t="s">
        <v>117</v>
      </c>
      <c r="D16" s="86"/>
      <c r="E16" s="85" t="str">
        <f t="shared" si="1"/>
        <v>EUREON9M_Quote</v>
      </c>
      <c r="F16" s="84" t="e">
        <f ca="1">_xll.qlSimpleQuote(Currency&amp;$C16&amp;$B16&amp;QuoteSuffix,,RateTickValue,Permanent,Trigger,ObjectOverwrite)</f>
        <v>#NAME?</v>
      </c>
      <c r="G16" s="83" t="e">
        <f ca="1">_xll.ohRangeRetrieveError(F16)</f>
        <v>#NAME?</v>
      </c>
      <c r="H16" s="36"/>
      <c r="J16" s="135"/>
      <c r="K16" s="246" t="s">
        <v>169</v>
      </c>
      <c r="L16" s="246" t="s">
        <v>135</v>
      </c>
      <c r="M16" s="246" t="s">
        <v>117</v>
      </c>
      <c r="N16" s="244" t="str">
        <f t="shared" si="2"/>
        <v>EUREON9M</v>
      </c>
      <c r="O16" s="244" t="str">
        <f t="shared" si="3"/>
        <v>EUREON9M=ICAP</v>
      </c>
      <c r="P16" s="241">
        <v>-0.191</v>
      </c>
      <c r="Q16" s="241">
        <v>-0.14099999999999999</v>
      </c>
      <c r="R16" s="241">
        <f t="shared" si="4"/>
        <v>-0.16599999999999998</v>
      </c>
      <c r="S16" s="241">
        <f t="shared" si="5"/>
        <v>5.0000000000000044E-2</v>
      </c>
      <c r="T16" s="242"/>
      <c r="U16" s="243">
        <v>-0.16599999999999998</v>
      </c>
      <c r="V16" s="242"/>
      <c r="W16" s="241">
        <v>-0.16599999999999998</v>
      </c>
      <c r="X16" s="240" t="e">
        <f ca="1">_xll.qlSimpleQuoteSetValue(F16,W16/100,Trigger)</f>
        <v>#NAME?</v>
      </c>
      <c r="Y16" s="130"/>
    </row>
    <row r="17" spans="1:25" ht="11.25" customHeight="1" x14ac:dyDescent="0.2">
      <c r="A17" s="135"/>
      <c r="B17" s="86" t="str">
        <f t="shared" si="0"/>
        <v>10M</v>
      </c>
      <c r="C17" s="87" t="s">
        <v>117</v>
      </c>
      <c r="D17" s="86"/>
      <c r="E17" s="85" t="str">
        <f t="shared" si="1"/>
        <v>EUREON10M_Quote</v>
      </c>
      <c r="F17" s="84" t="e">
        <f ca="1">_xll.qlSimpleQuote(Currency&amp;$C17&amp;$B17&amp;QuoteSuffix,,RateTickValue,Permanent,Trigger,ObjectOverwrite)</f>
        <v>#NAME?</v>
      </c>
      <c r="G17" s="83" t="e">
        <f ca="1">_xll.ohRangeRetrieveError(F17)</f>
        <v>#NAME?</v>
      </c>
      <c r="H17" s="36"/>
      <c r="J17" s="135"/>
      <c r="K17" s="246" t="s">
        <v>168</v>
      </c>
      <c r="L17" s="246" t="s">
        <v>135</v>
      </c>
      <c r="M17" s="246" t="s">
        <v>117</v>
      </c>
      <c r="N17" s="244" t="str">
        <f t="shared" si="2"/>
        <v>EUREON10M</v>
      </c>
      <c r="O17" s="244" t="str">
        <f t="shared" si="3"/>
        <v>EUREON10M=ICAP</v>
      </c>
      <c r="P17" s="241">
        <v>-0.193</v>
      </c>
      <c r="Q17" s="241">
        <v>-0.14299999999999999</v>
      </c>
      <c r="R17" s="241">
        <f t="shared" si="4"/>
        <v>-0.16799999999999998</v>
      </c>
      <c r="S17" s="241">
        <f t="shared" si="5"/>
        <v>5.0000000000000044E-2</v>
      </c>
      <c r="T17" s="242"/>
      <c r="U17" s="243">
        <v>-0.16799999999999998</v>
      </c>
      <c r="V17" s="242"/>
      <c r="W17" s="241">
        <v>-0.16799999999999998</v>
      </c>
      <c r="X17" s="240" t="e">
        <f ca="1">_xll.qlSimpleQuoteSetValue(F17,W17/100,Trigger)</f>
        <v>#NAME?</v>
      </c>
      <c r="Y17" s="130"/>
    </row>
    <row r="18" spans="1:25" ht="11.25" customHeight="1" x14ac:dyDescent="0.2">
      <c r="A18" s="135"/>
      <c r="B18" s="86" t="str">
        <f t="shared" si="0"/>
        <v>11M</v>
      </c>
      <c r="C18" s="87" t="s">
        <v>117</v>
      </c>
      <c r="D18" s="86"/>
      <c r="E18" s="85" t="str">
        <f t="shared" si="1"/>
        <v>EUREON11M_Quote</v>
      </c>
      <c r="F18" s="84" t="e">
        <f ca="1">_xll.qlSimpleQuote(Currency&amp;$C18&amp;$B18&amp;QuoteSuffix,,RateTickValue,Permanent,Trigger,ObjectOverwrite)</f>
        <v>#NAME?</v>
      </c>
      <c r="G18" s="83" t="e">
        <f ca="1">_xll.ohRangeRetrieveError(F18)</f>
        <v>#NAME?</v>
      </c>
      <c r="H18" s="36"/>
      <c r="J18" s="135"/>
      <c r="K18" s="246" t="s">
        <v>167</v>
      </c>
      <c r="L18" s="246" t="s">
        <v>135</v>
      </c>
      <c r="M18" s="246" t="s">
        <v>117</v>
      </c>
      <c r="N18" s="244" t="str">
        <f t="shared" si="2"/>
        <v>EUREON11M</v>
      </c>
      <c r="O18" s="244" t="str">
        <f t="shared" si="3"/>
        <v>EUREON11M=ICAP</v>
      </c>
      <c r="P18" s="241">
        <v>-0.19600000000000001</v>
      </c>
      <c r="Q18" s="241">
        <v>-0.14599999999999999</v>
      </c>
      <c r="R18" s="241">
        <f t="shared" si="4"/>
        <v>-0.17099999999999999</v>
      </c>
      <c r="S18" s="241">
        <f t="shared" si="5"/>
        <v>5.0000000000000044E-2</v>
      </c>
      <c r="T18" s="242"/>
      <c r="U18" s="243">
        <v>-0.17099999999999999</v>
      </c>
      <c r="V18" s="242"/>
      <c r="W18" s="241">
        <v>-0.17099999999999999</v>
      </c>
      <c r="X18" s="240" t="e">
        <f ca="1">_xll.qlSimpleQuoteSetValue(F18,W18/100,Trigger)</f>
        <v>#NAME?</v>
      </c>
      <c r="Y18" s="130"/>
    </row>
    <row r="19" spans="1:25" ht="11.25" customHeight="1" x14ac:dyDescent="0.2">
      <c r="A19" s="135"/>
      <c r="B19" s="86" t="str">
        <f t="shared" si="0"/>
        <v>1Y</v>
      </c>
      <c r="C19" s="87" t="s">
        <v>117</v>
      </c>
      <c r="D19" s="86"/>
      <c r="E19" s="85" t="str">
        <f t="shared" si="1"/>
        <v>EUREON1Y_Quote</v>
      </c>
      <c r="F19" s="84" t="e">
        <f ca="1">_xll.qlSimpleQuote(Currency&amp;$C19&amp;$B19&amp;QuoteSuffix,,RateTickValue,Permanent,Trigger,ObjectOverwrite)</f>
        <v>#NAME?</v>
      </c>
      <c r="G19" s="83" t="e">
        <f ca="1">_xll.ohRangeRetrieveError(F19)</f>
        <v>#NAME?</v>
      </c>
      <c r="H19" s="36"/>
      <c r="J19" s="135"/>
      <c r="K19" s="246" t="s">
        <v>58</v>
      </c>
      <c r="L19" s="246" t="s">
        <v>135</v>
      </c>
      <c r="M19" s="246" t="s">
        <v>117</v>
      </c>
      <c r="N19" s="244" t="str">
        <f t="shared" si="2"/>
        <v>EUREON1Y</v>
      </c>
      <c r="O19" s="244" t="str">
        <f t="shared" si="3"/>
        <v>EUREON1Y=ICAP</v>
      </c>
      <c r="P19" s="241">
        <v>-0.20699999999999999</v>
      </c>
      <c r="Q19" s="241">
        <v>-0.13700000000000001</v>
      </c>
      <c r="R19" s="241">
        <f t="shared" si="4"/>
        <v>-0.17199999999999999</v>
      </c>
      <c r="S19" s="241">
        <f t="shared" si="5"/>
        <v>7.0000000000000007E-2</v>
      </c>
      <c r="T19" s="242"/>
      <c r="U19" s="243">
        <v>-0.17199999999999999</v>
      </c>
      <c r="V19" s="242"/>
      <c r="W19" s="241">
        <v>-0.17199999999999999</v>
      </c>
      <c r="X19" s="240" t="e">
        <f ca="1">_xll.qlSimpleQuoteSetValue(F19,W19/100,Trigger)</f>
        <v>#NAME?</v>
      </c>
      <c r="Y19" s="130"/>
    </row>
    <row r="20" spans="1:25" ht="11.25" customHeight="1" x14ac:dyDescent="0.2">
      <c r="A20" s="135"/>
      <c r="B20" s="86" t="str">
        <f t="shared" si="0"/>
        <v>15M</v>
      </c>
      <c r="C20" s="87" t="s">
        <v>117</v>
      </c>
      <c r="D20" s="86"/>
      <c r="E20" s="85" t="str">
        <f t="shared" si="1"/>
        <v>EUREON15M_Quote</v>
      </c>
      <c r="F20" s="84" t="e">
        <f ca="1">_xll.qlSimpleQuote(Currency&amp;$C20&amp;$B20&amp;QuoteSuffix,,RateTickValue,Permanent,Trigger,ObjectOverwrite)</f>
        <v>#NAME?</v>
      </c>
      <c r="G20" s="83" t="e">
        <f ca="1">_xll.ohRangeRetrieveError(F20)</f>
        <v>#NAME?</v>
      </c>
      <c r="H20" s="36"/>
      <c r="J20" s="135"/>
      <c r="K20" s="246" t="s">
        <v>57</v>
      </c>
      <c r="L20" s="246" t="s">
        <v>135</v>
      </c>
      <c r="M20" s="246" t="s">
        <v>117</v>
      </c>
      <c r="N20" s="244" t="str">
        <f t="shared" si="2"/>
        <v>EUREON15M</v>
      </c>
      <c r="O20" s="244" t="str">
        <f t="shared" si="3"/>
        <v>EUREON15M=ICAP</v>
      </c>
      <c r="P20" s="241">
        <v>-0.20200000000000001</v>
      </c>
      <c r="Q20" s="241">
        <v>-0.152</v>
      </c>
      <c r="R20" s="241">
        <f t="shared" si="4"/>
        <v>-0.17699999999999999</v>
      </c>
      <c r="S20" s="241">
        <f t="shared" si="5"/>
        <v>5.0000000000000044E-2</v>
      </c>
      <c r="T20" s="242"/>
      <c r="U20" s="243">
        <v>-0.17699999999999999</v>
      </c>
      <c r="V20" s="242"/>
      <c r="W20" s="241">
        <v>-0.17699999999999999</v>
      </c>
      <c r="X20" s="240" t="e">
        <f ca="1">_xll.qlSimpleQuoteSetValue(F20,W20/100,Trigger)</f>
        <v>#NAME?</v>
      </c>
      <c r="Y20" s="130"/>
    </row>
    <row r="21" spans="1:25" ht="11.25" customHeight="1" x14ac:dyDescent="0.2">
      <c r="A21" s="135"/>
      <c r="B21" s="86" t="str">
        <f t="shared" si="0"/>
        <v>18M</v>
      </c>
      <c r="C21" s="87" t="s">
        <v>117</v>
      </c>
      <c r="D21" s="86"/>
      <c r="E21" s="85" t="str">
        <f t="shared" si="1"/>
        <v>EUREON18M_Quote</v>
      </c>
      <c r="F21" s="84" t="e">
        <f ca="1">_xll.qlSimpleQuote(Currency&amp;$C21&amp;$B21&amp;QuoteSuffix,,RateTickValue,Permanent,Trigger,ObjectOverwrite)</f>
        <v>#NAME?</v>
      </c>
      <c r="G21" s="83" t="e">
        <f ca="1">_xll.ohRangeRetrieveError(F21)</f>
        <v>#NAME?</v>
      </c>
      <c r="H21" s="36"/>
      <c r="J21" s="135"/>
      <c r="K21" s="246" t="s">
        <v>56</v>
      </c>
      <c r="L21" s="246" t="s">
        <v>135</v>
      </c>
      <c r="M21" s="246" t="s">
        <v>117</v>
      </c>
      <c r="N21" s="244" t="str">
        <f t="shared" si="2"/>
        <v>EUREON18M</v>
      </c>
      <c r="O21" s="244" t="str">
        <f t="shared" si="3"/>
        <v>EUREON18M=ICAP</v>
      </c>
      <c r="P21" s="241">
        <v>-0.20299999999999999</v>
      </c>
      <c r="Q21" s="241">
        <v>-0.153</v>
      </c>
      <c r="R21" s="241">
        <f t="shared" si="4"/>
        <v>-0.17799999999999999</v>
      </c>
      <c r="S21" s="241">
        <f t="shared" si="5"/>
        <v>4.9999999999999989E-2</v>
      </c>
      <c r="T21" s="242"/>
      <c r="U21" s="243">
        <v>-0.17799999999999999</v>
      </c>
      <c r="V21" s="242"/>
      <c r="W21" s="241">
        <v>-0.17799999999999999</v>
      </c>
      <c r="X21" s="240" t="e">
        <f ca="1">_xll.qlSimpleQuoteSetValue(F21,W21/100,Trigger)</f>
        <v>#NAME?</v>
      </c>
      <c r="Y21" s="130"/>
    </row>
    <row r="22" spans="1:25" ht="11.25" customHeight="1" x14ac:dyDescent="0.2">
      <c r="A22" s="135"/>
      <c r="B22" s="86" t="str">
        <f t="shared" si="0"/>
        <v>21M</v>
      </c>
      <c r="C22" s="87" t="s">
        <v>117</v>
      </c>
      <c r="D22" s="86"/>
      <c r="E22" s="85" t="str">
        <f t="shared" si="1"/>
        <v>EUREON21M_Quote</v>
      </c>
      <c r="F22" s="84" t="e">
        <f ca="1">_xll.qlSimpleQuote(Currency&amp;$C22&amp;$B22&amp;QuoteSuffix,,RateTickValue,Permanent,Trigger,ObjectOverwrite)</f>
        <v>#NAME?</v>
      </c>
      <c r="G22" s="83" t="e">
        <f ca="1">_xll.ohRangeRetrieveError(F22)</f>
        <v>#NAME?</v>
      </c>
      <c r="H22" s="36"/>
      <c r="J22" s="135"/>
      <c r="K22" s="246" t="s">
        <v>55</v>
      </c>
      <c r="L22" s="246" t="s">
        <v>135</v>
      </c>
      <c r="M22" s="246" t="s">
        <v>117</v>
      </c>
      <c r="N22" s="244" t="str">
        <f t="shared" si="2"/>
        <v>EUREON21M</v>
      </c>
      <c r="O22" s="244" t="str">
        <f t="shared" si="3"/>
        <v>EUREON21M=ICAP</v>
      </c>
      <c r="P22" s="241">
        <v>-0.20099999999999998</v>
      </c>
      <c r="Q22" s="241">
        <v>-0.151</v>
      </c>
      <c r="R22" s="241">
        <f t="shared" si="4"/>
        <v>-0.17599999999999999</v>
      </c>
      <c r="S22" s="241">
        <f t="shared" si="5"/>
        <v>4.9999999999999989E-2</v>
      </c>
      <c r="T22" s="242"/>
      <c r="U22" s="243">
        <v>-0.17599999999999999</v>
      </c>
      <c r="V22" s="242"/>
      <c r="W22" s="241">
        <v>-0.17599999999999999</v>
      </c>
      <c r="X22" s="240" t="e">
        <f ca="1">_xll.qlSimpleQuoteSetValue(F22,W22/100,Trigger)</f>
        <v>#NAME?</v>
      </c>
      <c r="Y22" s="130"/>
    </row>
    <row r="23" spans="1:25" ht="11.25" customHeight="1" x14ac:dyDescent="0.2">
      <c r="A23" s="135"/>
      <c r="B23" s="86" t="str">
        <f t="shared" si="0"/>
        <v>2Y</v>
      </c>
      <c r="C23" s="87" t="s">
        <v>117</v>
      </c>
      <c r="D23" s="86"/>
      <c r="E23" s="85" t="str">
        <f t="shared" si="1"/>
        <v>EUREON2Y_Quote</v>
      </c>
      <c r="F23" s="84" t="e">
        <f ca="1">_xll.qlSimpleQuote(Currency&amp;$C23&amp;$B23&amp;QuoteSuffix,,RateTickValue,Permanent,Trigger,ObjectOverwrite)</f>
        <v>#NAME?</v>
      </c>
      <c r="G23" s="83" t="e">
        <f ca="1">_xll.ohRangeRetrieveError(F23)</f>
        <v>#NAME?</v>
      </c>
      <c r="H23" s="36"/>
      <c r="J23" s="135"/>
      <c r="K23" s="246" t="s">
        <v>54</v>
      </c>
      <c r="L23" s="246" t="s">
        <v>135</v>
      </c>
      <c r="M23" s="246" t="s">
        <v>117</v>
      </c>
      <c r="N23" s="244" t="str">
        <f t="shared" si="2"/>
        <v>EUREON2Y</v>
      </c>
      <c r="O23" s="244" t="str">
        <f t="shared" si="3"/>
        <v>EUREON2Y=ICAP</v>
      </c>
      <c r="P23" s="241">
        <v>-0.20600000000000002</v>
      </c>
      <c r="Q23" s="241">
        <v>-0.13599999999999998</v>
      </c>
      <c r="R23" s="241">
        <f t="shared" si="4"/>
        <v>-0.17099999999999999</v>
      </c>
      <c r="S23" s="241">
        <f t="shared" si="5"/>
        <v>7.0000000000000062E-2</v>
      </c>
      <c r="T23" s="242"/>
      <c r="U23" s="243">
        <v>-0.17099999999999999</v>
      </c>
      <c r="V23" s="242"/>
      <c r="W23" s="241">
        <v>-0.17099999999999999</v>
      </c>
      <c r="X23" s="240" t="e">
        <f ca="1">_xll.qlSimpleQuoteSetValue(F23,W23/100,Trigger)</f>
        <v>#NAME?</v>
      </c>
      <c r="Y23" s="130"/>
    </row>
    <row r="24" spans="1:25" ht="11.25" customHeight="1" x14ac:dyDescent="0.2">
      <c r="A24" s="135"/>
      <c r="B24" s="86" t="str">
        <f t="shared" si="0"/>
        <v>3Y</v>
      </c>
      <c r="C24" s="87" t="s">
        <v>117</v>
      </c>
      <c r="D24" s="86"/>
      <c r="E24" s="85" t="str">
        <f t="shared" si="1"/>
        <v>EUREON3Y_Quote</v>
      </c>
      <c r="F24" s="84" t="e">
        <f ca="1">_xll.qlSimpleQuote(Currency&amp;$C24&amp;$B24&amp;QuoteSuffix,,RateTickValue,Permanent,Trigger,ObjectOverwrite)</f>
        <v>#NAME?</v>
      </c>
      <c r="G24" s="83" t="e">
        <f ca="1">_xll.ohRangeRetrieveError(F24)</f>
        <v>#NAME?</v>
      </c>
      <c r="H24" s="36"/>
      <c r="J24" s="135"/>
      <c r="K24" s="246" t="s">
        <v>53</v>
      </c>
      <c r="L24" s="246" t="s">
        <v>135</v>
      </c>
      <c r="M24" s="246" t="s">
        <v>117</v>
      </c>
      <c r="N24" s="244" t="str">
        <f t="shared" si="2"/>
        <v>EUREON3Y</v>
      </c>
      <c r="O24" s="244" t="str">
        <f t="shared" si="3"/>
        <v>EUREON3Y=ICAP</v>
      </c>
      <c r="P24" s="241">
        <v>-0.153</v>
      </c>
      <c r="Q24" s="241">
        <v>-8.3000000000000004E-2</v>
      </c>
      <c r="R24" s="241">
        <f t="shared" si="4"/>
        <v>-0.11799999999999999</v>
      </c>
      <c r="S24" s="241">
        <f t="shared" si="5"/>
        <v>7.0000000000000007E-2</v>
      </c>
      <c r="T24" s="242"/>
      <c r="U24" s="243">
        <v>-0.11799999999999999</v>
      </c>
      <c r="V24" s="242"/>
      <c r="W24" s="241">
        <v>-0.11799999999999999</v>
      </c>
      <c r="X24" s="240" t="e">
        <f ca="1">_xll.qlSimpleQuoteSetValue(F24,W24/100,Trigger)</f>
        <v>#NAME?</v>
      </c>
      <c r="Y24" s="130"/>
    </row>
    <row r="25" spans="1:25" ht="11.25" customHeight="1" x14ac:dyDescent="0.2">
      <c r="A25" s="135"/>
      <c r="B25" s="86" t="str">
        <f t="shared" si="0"/>
        <v>4Y</v>
      </c>
      <c r="C25" s="87" t="s">
        <v>117</v>
      </c>
      <c r="D25" s="86"/>
      <c r="E25" s="85" t="str">
        <f t="shared" si="1"/>
        <v>EUREON4Y_Quote</v>
      </c>
      <c r="F25" s="84" t="e">
        <f ca="1">_xll.qlSimpleQuote(Currency&amp;$C25&amp;$B25&amp;QuoteSuffix,,RateTickValue,Permanent,Trigger,ObjectOverwrite)</f>
        <v>#NAME?</v>
      </c>
      <c r="G25" s="83" t="e">
        <f ca="1">_xll.ohRangeRetrieveError(F25)</f>
        <v>#NAME?</v>
      </c>
      <c r="H25" s="36"/>
      <c r="J25" s="135"/>
      <c r="K25" s="246" t="s">
        <v>52</v>
      </c>
      <c r="L25" s="246" t="s">
        <v>135</v>
      </c>
      <c r="M25" s="246" t="s">
        <v>117</v>
      </c>
      <c r="N25" s="244" t="str">
        <f t="shared" si="2"/>
        <v>EUREON4Y</v>
      </c>
      <c r="O25" s="244" t="str">
        <f t="shared" si="3"/>
        <v>EUREON4Y=ICAP</v>
      </c>
      <c r="P25" s="241">
        <v>-6.3E-2</v>
      </c>
      <c r="Q25" s="241">
        <v>6.9999999999999993E-3</v>
      </c>
      <c r="R25" s="241">
        <f t="shared" si="4"/>
        <v>-2.8000000000000001E-2</v>
      </c>
      <c r="S25" s="241">
        <f t="shared" si="5"/>
        <v>7.0000000000000007E-2</v>
      </c>
      <c r="T25" s="242"/>
      <c r="U25" s="243">
        <v>-2.8000000000000001E-2</v>
      </c>
      <c r="V25" s="242"/>
      <c r="W25" s="241">
        <v>-2.8000000000000001E-2</v>
      </c>
      <c r="X25" s="240" t="e">
        <f ca="1">_xll.qlSimpleQuoteSetValue(F25,W25/100,Trigger)</f>
        <v>#NAME?</v>
      </c>
      <c r="Y25" s="130"/>
    </row>
    <row r="26" spans="1:25" ht="11.25" customHeight="1" x14ac:dyDescent="0.2">
      <c r="A26" s="135"/>
      <c r="B26" s="86" t="str">
        <f t="shared" si="0"/>
        <v>5Y</v>
      </c>
      <c r="C26" s="87" t="s">
        <v>117</v>
      </c>
      <c r="D26" s="86"/>
      <c r="E26" s="85" t="str">
        <f t="shared" si="1"/>
        <v>EUREON5Y_Quote</v>
      </c>
      <c r="F26" s="84" t="e">
        <f ca="1">_xll.qlSimpleQuote(Currency&amp;$C26&amp;$B26&amp;QuoteSuffix,,RateTickValue,Permanent,Trigger,ObjectOverwrite)</f>
        <v>#NAME?</v>
      </c>
      <c r="G26" s="83" t="e">
        <f ca="1">_xll.ohRangeRetrieveError(F26)</f>
        <v>#NAME?</v>
      </c>
      <c r="H26" s="36"/>
      <c r="J26" s="135"/>
      <c r="K26" s="246" t="s">
        <v>51</v>
      </c>
      <c r="L26" s="246" t="s">
        <v>135</v>
      </c>
      <c r="M26" s="246" t="s">
        <v>117</v>
      </c>
      <c r="N26" s="244" t="str">
        <f t="shared" si="2"/>
        <v>EUREON5Y</v>
      </c>
      <c r="O26" s="244" t="str">
        <f t="shared" si="3"/>
        <v>EUREON5Y=ICAP</v>
      </c>
      <c r="P26" s="241">
        <v>4.7E-2</v>
      </c>
      <c r="Q26" s="241">
        <v>0.11699999999999999</v>
      </c>
      <c r="R26" s="241">
        <f t="shared" si="4"/>
        <v>8.199999999999999E-2</v>
      </c>
      <c r="S26" s="241">
        <f t="shared" si="5"/>
        <v>6.9999999999999979E-2</v>
      </c>
      <c r="T26" s="242"/>
      <c r="U26" s="243">
        <v>8.199999999999999E-2</v>
      </c>
      <c r="V26" s="242"/>
      <c r="W26" s="241">
        <v>8.199999999999999E-2</v>
      </c>
      <c r="X26" s="240" t="e">
        <f ca="1">_xll.qlSimpleQuoteSetValue(F26,W26/100,Trigger)</f>
        <v>#NAME?</v>
      </c>
      <c r="Y26" s="130"/>
    </row>
    <row r="27" spans="1:25" ht="11.25" customHeight="1" x14ac:dyDescent="0.2">
      <c r="A27" s="135"/>
      <c r="B27" s="86" t="str">
        <f t="shared" si="0"/>
        <v>6Y</v>
      </c>
      <c r="C27" s="87" t="s">
        <v>117</v>
      </c>
      <c r="D27" s="86"/>
      <c r="E27" s="85" t="str">
        <f t="shared" si="1"/>
        <v>EUREON6Y_Quote</v>
      </c>
      <c r="F27" s="84" t="e">
        <f ca="1">_xll.qlSimpleQuote(Currency&amp;$C27&amp;$B27&amp;QuoteSuffix,,RateTickValue,Permanent,Trigger,ObjectOverwrite)</f>
        <v>#NAME?</v>
      </c>
      <c r="G27" s="83" t="e">
        <f ca="1">_xll.ohRangeRetrieveError(F27)</f>
        <v>#NAME?</v>
      </c>
      <c r="H27" s="36"/>
      <c r="J27" s="135"/>
      <c r="K27" s="246" t="s">
        <v>50</v>
      </c>
      <c r="L27" s="246" t="s">
        <v>135</v>
      </c>
      <c r="M27" s="246" t="s">
        <v>117</v>
      </c>
      <c r="N27" s="244" t="str">
        <f t="shared" si="2"/>
        <v>EUREON6Y</v>
      </c>
      <c r="O27" s="244" t="str">
        <f t="shared" si="3"/>
        <v>EUREON6Y=ICAP</v>
      </c>
      <c r="P27" s="241">
        <v>0.17799999999999999</v>
      </c>
      <c r="Q27" s="241">
        <v>0.248</v>
      </c>
      <c r="R27" s="241">
        <f t="shared" si="4"/>
        <v>0.21299999999999999</v>
      </c>
      <c r="S27" s="241">
        <f t="shared" si="5"/>
        <v>7.0000000000000007E-2</v>
      </c>
      <c r="T27" s="242"/>
      <c r="U27" s="243">
        <v>0.21299999999999999</v>
      </c>
      <c r="V27" s="242"/>
      <c r="W27" s="241">
        <v>0.21299999999999999</v>
      </c>
      <c r="X27" s="240" t="e">
        <f ca="1">_xll.qlSimpleQuoteSetValue(F27,W27/100,Trigger)</f>
        <v>#NAME?</v>
      </c>
      <c r="Y27" s="130"/>
    </row>
    <row r="28" spans="1:25" ht="11.25" customHeight="1" x14ac:dyDescent="0.2">
      <c r="A28" s="135"/>
      <c r="B28" s="86" t="str">
        <f t="shared" si="0"/>
        <v>7Y</v>
      </c>
      <c r="C28" s="87" t="s">
        <v>117</v>
      </c>
      <c r="D28" s="86"/>
      <c r="E28" s="85" t="str">
        <f t="shared" si="1"/>
        <v>EUREON7Y_Quote</v>
      </c>
      <c r="F28" s="84" t="e">
        <f ca="1">_xll.qlSimpleQuote(Currency&amp;$C28&amp;$B28&amp;QuoteSuffix,,RateTickValue,Permanent,Trigger,ObjectOverwrite)</f>
        <v>#NAME?</v>
      </c>
      <c r="G28" s="83" t="e">
        <f ca="1">_xll.ohRangeRetrieveError(F28)</f>
        <v>#NAME?</v>
      </c>
      <c r="H28" s="36"/>
      <c r="J28" s="135"/>
      <c r="K28" s="246" t="s">
        <v>49</v>
      </c>
      <c r="L28" s="246" t="s">
        <v>135</v>
      </c>
      <c r="M28" s="246" t="s">
        <v>117</v>
      </c>
      <c r="N28" s="244" t="str">
        <f t="shared" si="2"/>
        <v>EUREON7Y</v>
      </c>
      <c r="O28" s="244" t="str">
        <f t="shared" si="3"/>
        <v>EUREON7Y=ICAP</v>
      </c>
      <c r="P28" s="241">
        <v>0.312</v>
      </c>
      <c r="Q28" s="241">
        <v>0.38200000000000001</v>
      </c>
      <c r="R28" s="241">
        <f t="shared" si="4"/>
        <v>0.34699999999999998</v>
      </c>
      <c r="S28" s="241">
        <f t="shared" si="5"/>
        <v>6.9999999999999951E-2</v>
      </c>
      <c r="T28" s="242"/>
      <c r="U28" s="243">
        <v>0.34699999999999998</v>
      </c>
      <c r="V28" s="242"/>
      <c r="W28" s="241">
        <v>0.34699999999999998</v>
      </c>
      <c r="X28" s="240" t="e">
        <f ca="1">_xll.qlSimpleQuoteSetValue(F28,W28/100,Trigger)</f>
        <v>#NAME?</v>
      </c>
      <c r="Y28" s="130"/>
    </row>
    <row r="29" spans="1:25" ht="11.25" customHeight="1" x14ac:dyDescent="0.2">
      <c r="A29" s="135"/>
      <c r="B29" s="86" t="str">
        <f t="shared" si="0"/>
        <v>8Y</v>
      </c>
      <c r="C29" s="87" t="s">
        <v>117</v>
      </c>
      <c r="D29" s="86"/>
      <c r="E29" s="85" t="str">
        <f t="shared" si="1"/>
        <v>EUREON8Y_Quote</v>
      </c>
      <c r="F29" s="84" t="e">
        <f ca="1">_xll.qlSimpleQuote(Currency&amp;$C29&amp;$B29&amp;QuoteSuffix,,RateTickValue,Permanent,Trigger,ObjectOverwrite)</f>
        <v>#NAME?</v>
      </c>
      <c r="G29" s="83" t="e">
        <f ca="1">_xll.ohRangeRetrieveError(F29)</f>
        <v>#NAME?</v>
      </c>
      <c r="H29" s="36"/>
      <c r="J29" s="135"/>
      <c r="K29" s="246" t="s">
        <v>48</v>
      </c>
      <c r="L29" s="246" t="s">
        <v>135</v>
      </c>
      <c r="M29" s="246" t="s">
        <v>117</v>
      </c>
      <c r="N29" s="244" t="str">
        <f t="shared" si="2"/>
        <v>EUREON8Y</v>
      </c>
      <c r="O29" s="244" t="str">
        <f t="shared" si="3"/>
        <v>EUREON8Y=ICAP</v>
      </c>
      <c r="P29" s="241">
        <v>0.441</v>
      </c>
      <c r="Q29" s="241">
        <v>0.51100000000000001</v>
      </c>
      <c r="R29" s="241">
        <f t="shared" si="4"/>
        <v>0.47599999999999998</v>
      </c>
      <c r="S29" s="241">
        <f t="shared" si="5"/>
        <v>6.9999999999999951E-2</v>
      </c>
      <c r="T29" s="242"/>
      <c r="U29" s="243">
        <v>0.47599999999999998</v>
      </c>
      <c r="V29" s="242"/>
      <c r="W29" s="241">
        <v>0.47599999999999998</v>
      </c>
      <c r="X29" s="240" t="e">
        <f ca="1">_xll.qlSimpleQuoteSetValue(F29,W29/100,Trigger)</f>
        <v>#NAME?</v>
      </c>
      <c r="Y29" s="130"/>
    </row>
    <row r="30" spans="1:25" ht="11.25" customHeight="1" x14ac:dyDescent="0.2">
      <c r="A30" s="135"/>
      <c r="B30" s="86" t="str">
        <f t="shared" si="0"/>
        <v>9Y</v>
      </c>
      <c r="C30" s="87" t="s">
        <v>117</v>
      </c>
      <c r="D30" s="86"/>
      <c r="E30" s="85" t="str">
        <f t="shared" si="1"/>
        <v>EUREON9Y_Quote</v>
      </c>
      <c r="F30" s="84" t="e">
        <f ca="1">_xll.qlSimpleQuote(Currency&amp;$C30&amp;$B30&amp;QuoteSuffix,,RateTickValue,Permanent,Trigger,ObjectOverwrite)</f>
        <v>#NAME?</v>
      </c>
      <c r="G30" s="83" t="e">
        <f ca="1">_xll.ohRangeRetrieveError(F30)</f>
        <v>#NAME?</v>
      </c>
      <c r="H30" s="36"/>
      <c r="J30" s="135"/>
      <c r="K30" s="246" t="s">
        <v>47</v>
      </c>
      <c r="L30" s="246" t="s">
        <v>135</v>
      </c>
      <c r="M30" s="246" t="s">
        <v>117</v>
      </c>
      <c r="N30" s="244" t="str">
        <f t="shared" si="2"/>
        <v>EUREON9Y</v>
      </c>
      <c r="O30" s="244" t="str">
        <f t="shared" si="3"/>
        <v>EUREON9Y=ICAP</v>
      </c>
      <c r="P30" s="241">
        <v>0.56200000000000006</v>
      </c>
      <c r="Q30" s="241">
        <v>0.63200000000000001</v>
      </c>
      <c r="R30" s="241">
        <f t="shared" si="4"/>
        <v>0.59699999999999998</v>
      </c>
      <c r="S30" s="241">
        <f t="shared" si="5"/>
        <v>6.999999999999984E-2</v>
      </c>
      <c r="T30" s="242"/>
      <c r="U30" s="243">
        <v>0.59699999999999998</v>
      </c>
      <c r="V30" s="242"/>
      <c r="W30" s="241">
        <v>0.59699999999999998</v>
      </c>
      <c r="X30" s="240" t="e">
        <f ca="1">_xll.qlSimpleQuoteSetValue(F30,W30/100,Trigger)</f>
        <v>#NAME?</v>
      </c>
      <c r="Y30" s="130"/>
    </row>
    <row r="31" spans="1:25" ht="11.25" customHeight="1" x14ac:dyDescent="0.2">
      <c r="A31" s="135"/>
      <c r="B31" s="86" t="str">
        <f t="shared" si="0"/>
        <v>10Y</v>
      </c>
      <c r="C31" s="87" t="s">
        <v>117</v>
      </c>
      <c r="D31" s="86"/>
      <c r="E31" s="85" t="str">
        <f t="shared" si="1"/>
        <v>EUREON10Y_Quote</v>
      </c>
      <c r="F31" s="84" t="e">
        <f ca="1">_xll.qlSimpleQuote(Currency&amp;$C31&amp;$B31&amp;QuoteSuffix,,RateTickValue,Permanent,Trigger,ObjectOverwrite)</f>
        <v>#NAME?</v>
      </c>
      <c r="G31" s="83" t="e">
        <f ca="1">_xll.ohRangeRetrieveError(F31)</f>
        <v>#NAME?</v>
      </c>
      <c r="H31" s="36"/>
      <c r="J31" s="135"/>
      <c r="K31" s="246" t="s">
        <v>46</v>
      </c>
      <c r="L31" s="246" t="s">
        <v>135</v>
      </c>
      <c r="M31" s="246" t="s">
        <v>117</v>
      </c>
      <c r="N31" s="244" t="str">
        <f t="shared" si="2"/>
        <v>EUREON10Y</v>
      </c>
      <c r="O31" s="244" t="str">
        <f t="shared" si="3"/>
        <v>EUREON10Y=ICAP</v>
      </c>
      <c r="P31" s="241">
        <v>0.67</v>
      </c>
      <c r="Q31" s="241">
        <v>0.74</v>
      </c>
      <c r="R31" s="241">
        <f t="shared" si="4"/>
        <v>0.70500000000000007</v>
      </c>
      <c r="S31" s="241">
        <f t="shared" si="5"/>
        <v>7.0000000000000062E-2</v>
      </c>
      <c r="T31" s="242"/>
      <c r="U31" s="243">
        <v>0.70500000000000007</v>
      </c>
      <c r="V31" s="242"/>
      <c r="W31" s="241">
        <v>0.70500000000000007</v>
      </c>
      <c r="X31" s="240" t="e">
        <f ca="1">_xll.qlSimpleQuoteSetValue(F31,W31/100,Trigger)</f>
        <v>#NAME?</v>
      </c>
      <c r="Y31" s="130"/>
    </row>
    <row r="32" spans="1:25" ht="11.25" customHeight="1" x14ac:dyDescent="0.2">
      <c r="A32" s="135"/>
      <c r="B32" s="86" t="str">
        <f t="shared" si="0"/>
        <v>11Y</v>
      </c>
      <c r="C32" s="87" t="s">
        <v>117</v>
      </c>
      <c r="D32" s="86"/>
      <c r="E32" s="85" t="str">
        <f t="shared" si="1"/>
        <v>EUREON11Y_Quote</v>
      </c>
      <c r="F32" s="84" t="e">
        <f ca="1">_xll.qlSimpleQuote(Currency&amp;$C32&amp;$B32&amp;QuoteSuffix,,RateTickValue,Permanent,Trigger,ObjectOverwrite)</f>
        <v>#NAME?</v>
      </c>
      <c r="G32" s="83" t="e">
        <f ca="1">_xll.ohRangeRetrieveError(F32)</f>
        <v>#NAME?</v>
      </c>
      <c r="H32" s="36"/>
      <c r="J32" s="135"/>
      <c r="K32" s="246" t="s">
        <v>45</v>
      </c>
      <c r="L32" s="246" t="s">
        <v>135</v>
      </c>
      <c r="M32" s="246" t="s">
        <v>117</v>
      </c>
      <c r="N32" s="244" t="str">
        <f t="shared" si="2"/>
        <v>EUREON11Y</v>
      </c>
      <c r="O32" s="244" t="str">
        <f t="shared" si="3"/>
        <v>EUREON11Y=ICAP</v>
      </c>
      <c r="P32" s="241">
        <v>0.76900000000000002</v>
      </c>
      <c r="Q32" s="241">
        <v>0.83900000000000008</v>
      </c>
      <c r="R32" s="241">
        <f t="shared" si="4"/>
        <v>0.80400000000000005</v>
      </c>
      <c r="S32" s="241">
        <f t="shared" si="5"/>
        <v>7.0000000000000062E-2</v>
      </c>
      <c r="T32" s="242"/>
      <c r="U32" s="243">
        <v>0.80400000000000005</v>
      </c>
      <c r="V32" s="242"/>
      <c r="W32" s="241">
        <v>0.80400000000000005</v>
      </c>
      <c r="X32" s="240" t="e">
        <f ca="1">_xll.qlSimpleQuoteSetValue(F32,W32/100,Trigger)</f>
        <v>#NAME?</v>
      </c>
      <c r="Y32" s="130"/>
    </row>
    <row r="33" spans="1:25" ht="11.25" customHeight="1" x14ac:dyDescent="0.2">
      <c r="A33" s="135"/>
      <c r="B33" s="86" t="str">
        <f t="shared" si="0"/>
        <v>12Y</v>
      </c>
      <c r="C33" s="87" t="s">
        <v>117</v>
      </c>
      <c r="D33" s="86"/>
      <c r="E33" s="85" t="str">
        <f t="shared" si="1"/>
        <v>EUREON12Y_Quote</v>
      </c>
      <c r="F33" s="84" t="e">
        <f ca="1">_xll.qlSimpleQuote(Currency&amp;$C33&amp;$B33&amp;QuoteSuffix,,RateTickValue,Permanent,Trigger,ObjectOverwrite)</f>
        <v>#NAME?</v>
      </c>
      <c r="G33" s="83" t="e">
        <f ca="1">_xll.ohRangeRetrieveError(F33)</f>
        <v>#NAME?</v>
      </c>
      <c r="H33" s="36"/>
      <c r="J33" s="135"/>
      <c r="K33" s="246" t="s">
        <v>44</v>
      </c>
      <c r="L33" s="246" t="s">
        <v>135</v>
      </c>
      <c r="M33" s="246" t="s">
        <v>117</v>
      </c>
      <c r="N33" s="244" t="str">
        <f t="shared" si="2"/>
        <v>EUREON12Y</v>
      </c>
      <c r="O33" s="244" t="str">
        <f t="shared" si="3"/>
        <v>EUREON12Y=ICAP</v>
      </c>
      <c r="P33" s="241">
        <v>0.85699999999999998</v>
      </c>
      <c r="Q33" s="241">
        <v>0.92699999999999994</v>
      </c>
      <c r="R33" s="241">
        <f t="shared" si="4"/>
        <v>0.8919999999999999</v>
      </c>
      <c r="S33" s="241">
        <f t="shared" si="5"/>
        <v>6.999999999999984E-2</v>
      </c>
      <c r="T33" s="242"/>
      <c r="U33" s="243">
        <v>0.8919999999999999</v>
      </c>
      <c r="V33" s="242"/>
      <c r="W33" s="241">
        <v>0.8919999999999999</v>
      </c>
      <c r="X33" s="240" t="e">
        <f ca="1">_xll.qlSimpleQuoteSetValue(F33,W33/100,Trigger)</f>
        <v>#NAME?</v>
      </c>
      <c r="Y33" s="130"/>
    </row>
    <row r="34" spans="1:25" ht="11.25" customHeight="1" x14ac:dyDescent="0.2">
      <c r="A34" s="135"/>
      <c r="B34" s="86" t="str">
        <f t="shared" si="0"/>
        <v>15Y</v>
      </c>
      <c r="C34" s="87" t="s">
        <v>117</v>
      </c>
      <c r="D34" s="86"/>
      <c r="E34" s="85" t="str">
        <f t="shared" si="1"/>
        <v>EUREON15Y_Quote</v>
      </c>
      <c r="F34" s="84" t="e">
        <f ca="1">_xll.qlSimpleQuote(Currency&amp;$C34&amp;$B34&amp;QuoteSuffix,,RateTickValue,Permanent,Trigger,ObjectOverwrite)</f>
        <v>#NAME?</v>
      </c>
      <c r="G34" s="83" t="e">
        <f ca="1">_xll.ohRangeRetrieveError(F34)</f>
        <v>#NAME?</v>
      </c>
      <c r="H34" s="36"/>
      <c r="J34" s="135"/>
      <c r="K34" s="246" t="s">
        <v>41</v>
      </c>
      <c r="L34" s="246" t="s">
        <v>135</v>
      </c>
      <c r="M34" s="246" t="s">
        <v>117</v>
      </c>
      <c r="N34" s="244" t="str">
        <f t="shared" si="2"/>
        <v>EUREON15Y</v>
      </c>
      <c r="O34" s="244" t="str">
        <f t="shared" si="3"/>
        <v>EUREON15Y=ICAP</v>
      </c>
      <c r="P34" s="241">
        <v>1.0640000000000001</v>
      </c>
      <c r="Q34" s="241">
        <v>1.1339999999999999</v>
      </c>
      <c r="R34" s="241">
        <f t="shared" si="4"/>
        <v>1.099</v>
      </c>
      <c r="S34" s="241">
        <f t="shared" si="5"/>
        <v>6.999999999999984E-2</v>
      </c>
      <c r="T34" s="242"/>
      <c r="U34" s="243">
        <v>1.099</v>
      </c>
      <c r="V34" s="242"/>
      <c r="W34" s="241">
        <v>1.099</v>
      </c>
      <c r="X34" s="240" t="e">
        <f ca="1">_xll.qlSimpleQuoteSetValue(F34,W34/100,Trigger)</f>
        <v>#NAME?</v>
      </c>
      <c r="Y34" s="130"/>
    </row>
    <row r="35" spans="1:25" ht="11.25" customHeight="1" x14ac:dyDescent="0.2">
      <c r="A35" s="135"/>
      <c r="B35" s="86" t="str">
        <f t="shared" si="0"/>
        <v>20Y</v>
      </c>
      <c r="C35" s="87" t="s">
        <v>117</v>
      </c>
      <c r="D35" s="86"/>
      <c r="E35" s="85" t="str">
        <f t="shared" si="1"/>
        <v>EUREON20Y_Quote</v>
      </c>
      <c r="F35" s="84" t="e">
        <f ca="1">_xll.qlSimpleQuote(Currency&amp;$C35&amp;$B35&amp;QuoteSuffix,,RateTickValue,Permanent,Trigger,ObjectOverwrite)</f>
        <v>#NAME?</v>
      </c>
      <c r="G35" s="83" t="e">
        <f ca="1">_xll.ohRangeRetrieveError(F35)</f>
        <v>#NAME?</v>
      </c>
      <c r="H35" s="36"/>
      <c r="J35" s="135"/>
      <c r="K35" s="246" t="s">
        <v>36</v>
      </c>
      <c r="L35" s="246" t="s">
        <v>135</v>
      </c>
      <c r="M35" s="246" t="s">
        <v>117</v>
      </c>
      <c r="N35" s="244" t="str">
        <f t="shared" si="2"/>
        <v>EUREON20Y</v>
      </c>
      <c r="O35" s="244" t="str">
        <f t="shared" si="3"/>
        <v>EUREON20Y=ICAP</v>
      </c>
      <c r="P35" s="241">
        <v>1.246</v>
      </c>
      <c r="Q35" s="241">
        <v>1.3160000000000001</v>
      </c>
      <c r="R35" s="241">
        <f t="shared" si="4"/>
        <v>1.2810000000000001</v>
      </c>
      <c r="S35" s="241">
        <f t="shared" si="5"/>
        <v>7.0000000000000284E-2</v>
      </c>
      <c r="T35" s="242"/>
      <c r="U35" s="243">
        <v>1.2810000000000001</v>
      </c>
      <c r="V35" s="242"/>
      <c r="W35" s="241">
        <v>1.2810000000000001</v>
      </c>
      <c r="X35" s="240" t="e">
        <f ca="1">_xll.qlSimpleQuoteSetValue(F35,W35/100,Trigger)</f>
        <v>#NAME?</v>
      </c>
      <c r="Y35" s="130"/>
    </row>
    <row r="36" spans="1:25" ht="11.25" customHeight="1" x14ac:dyDescent="0.2">
      <c r="A36" s="135"/>
      <c r="B36" s="86" t="str">
        <f t="shared" si="0"/>
        <v>25Y</v>
      </c>
      <c r="C36" s="87" t="s">
        <v>117</v>
      </c>
      <c r="D36" s="86"/>
      <c r="E36" s="85" t="str">
        <f t="shared" si="1"/>
        <v>EUREON25Y_Quote</v>
      </c>
      <c r="F36" s="84" t="e">
        <f ca="1">_xll.qlSimpleQuote(Currency&amp;$C36&amp;$B36&amp;QuoteSuffix,,RateTickValue,Permanent,Trigger,ObjectOverwrite)</f>
        <v>#NAME?</v>
      </c>
      <c r="G36" s="83" t="e">
        <f ca="1">_xll.ohRangeRetrieveError(F36)</f>
        <v>#NAME?</v>
      </c>
      <c r="H36" s="36"/>
      <c r="J36" s="135"/>
      <c r="K36" s="246" t="s">
        <v>31</v>
      </c>
      <c r="L36" s="246" t="s">
        <v>135</v>
      </c>
      <c r="M36" s="246" t="s">
        <v>117</v>
      </c>
      <c r="N36" s="244" t="str">
        <f t="shared" si="2"/>
        <v>EUREON25Y</v>
      </c>
      <c r="O36" s="244" t="str">
        <f t="shared" si="3"/>
        <v>EUREON25Y=ICAP</v>
      </c>
      <c r="P36" s="241">
        <v>1.302</v>
      </c>
      <c r="Q36" s="241">
        <v>1.3719999999999999</v>
      </c>
      <c r="R36" s="241">
        <f t="shared" si="4"/>
        <v>1.337</v>
      </c>
      <c r="S36" s="241">
        <f t="shared" si="5"/>
        <v>6.999999999999984E-2</v>
      </c>
      <c r="T36" s="242"/>
      <c r="U36" s="243">
        <v>1.337</v>
      </c>
      <c r="V36" s="242"/>
      <c r="W36" s="241">
        <v>1.337</v>
      </c>
      <c r="X36" s="240" t="e">
        <f ca="1">_xll.qlSimpleQuoteSetValue(F36,W36/100,Trigger)</f>
        <v>#NAME?</v>
      </c>
      <c r="Y36" s="130"/>
    </row>
    <row r="37" spans="1:25" ht="11.25" customHeight="1" x14ac:dyDescent="0.2">
      <c r="A37" s="135"/>
      <c r="B37" s="86" t="str">
        <f t="shared" si="0"/>
        <v>30Y</v>
      </c>
      <c r="C37" s="87" t="s">
        <v>117</v>
      </c>
      <c r="D37" s="86"/>
      <c r="E37" s="85" t="str">
        <f t="shared" si="1"/>
        <v>EUREON30Y_Quote</v>
      </c>
      <c r="F37" s="84" t="e">
        <f ca="1">_xll.qlSimpleQuote(Currency&amp;$C37&amp;$B37&amp;QuoteSuffix,,RateTickValue,Permanent,Trigger,ObjectOverwrite)</f>
        <v>#NAME?</v>
      </c>
      <c r="G37" s="83" t="e">
        <f ca="1">_xll.ohRangeRetrieveError(F37)</f>
        <v>#NAME?</v>
      </c>
      <c r="H37" s="36"/>
      <c r="J37" s="135"/>
      <c r="K37" s="246" t="s">
        <v>26</v>
      </c>
      <c r="L37" s="246" t="s">
        <v>135</v>
      </c>
      <c r="M37" s="246" t="s">
        <v>117</v>
      </c>
      <c r="N37" s="244" t="str">
        <f t="shared" si="2"/>
        <v>EUREON30Y</v>
      </c>
      <c r="O37" s="244" t="str">
        <f t="shared" si="3"/>
        <v>EUREON30Y=ICAP</v>
      </c>
      <c r="P37" s="241">
        <v>1.321</v>
      </c>
      <c r="Q37" s="241">
        <v>1.391</v>
      </c>
      <c r="R37" s="241">
        <f t="shared" si="4"/>
        <v>1.3559999999999999</v>
      </c>
      <c r="S37" s="241">
        <f t="shared" si="5"/>
        <v>6.999999999999984E-2</v>
      </c>
      <c r="T37" s="242"/>
      <c r="U37" s="243">
        <v>1.3559999999999999</v>
      </c>
      <c r="V37" s="242"/>
      <c r="W37" s="241">
        <v>1.3559999999999999</v>
      </c>
      <c r="X37" s="240" t="e">
        <f ca="1">_xll.qlSimpleQuoteSetValue(F37,W37/100,Trigger)</f>
        <v>#NAME?</v>
      </c>
      <c r="Y37" s="130"/>
    </row>
    <row r="38" spans="1:25" ht="11.25" customHeight="1" x14ac:dyDescent="0.2">
      <c r="A38" s="135"/>
      <c r="B38" s="86" t="str">
        <f t="shared" si="0"/>
        <v>40Y</v>
      </c>
      <c r="C38" s="87" t="s">
        <v>117</v>
      </c>
      <c r="D38" s="86"/>
      <c r="E38" s="85" t="str">
        <f t="shared" si="1"/>
        <v>EUREON40Y_Quote</v>
      </c>
      <c r="F38" s="84" t="e">
        <f ca="1">_xll.qlSimpleQuote(Currency&amp;$C38&amp;$B38&amp;QuoteSuffix,,RateTickValue,Permanent,Trigger,ObjectOverwrite)</f>
        <v>#NAME?</v>
      </c>
      <c r="G38" s="83" t="e">
        <f ca="1">_xll.ohRangeRetrieveError(F38)</f>
        <v>#NAME?</v>
      </c>
      <c r="H38" s="36"/>
      <c r="J38" s="135"/>
      <c r="K38" s="246" t="s">
        <v>24</v>
      </c>
      <c r="L38" s="246" t="s">
        <v>135</v>
      </c>
      <c r="M38" s="246" t="s">
        <v>117</v>
      </c>
      <c r="N38" s="244" t="str">
        <f t="shared" si="2"/>
        <v>EUREON40Y</v>
      </c>
      <c r="O38" s="244" t="str">
        <f t="shared" si="3"/>
        <v>EUREON40Y=ICAP</v>
      </c>
      <c r="P38" s="241">
        <v>1.347</v>
      </c>
      <c r="Q38" s="241">
        <v>1.417</v>
      </c>
      <c r="R38" s="241">
        <f t="shared" si="4"/>
        <v>1.3820000000000001</v>
      </c>
      <c r="S38" s="241">
        <f t="shared" si="5"/>
        <v>7.0000000000000284E-2</v>
      </c>
      <c r="T38" s="242"/>
      <c r="U38" s="243">
        <v>1.3820000000000001</v>
      </c>
      <c r="V38" s="242"/>
      <c r="W38" s="241">
        <v>1.3820000000000001</v>
      </c>
      <c r="X38" s="240" t="e">
        <f ca="1">_xll.qlSimpleQuoteSetValue(F38,W38/100,Trigger)</f>
        <v>#NAME?</v>
      </c>
      <c r="Y38" s="130"/>
    </row>
    <row r="39" spans="1:25" ht="11.25" customHeight="1" x14ac:dyDescent="0.2">
      <c r="A39" s="135"/>
      <c r="B39" s="86" t="str">
        <f t="shared" si="0"/>
        <v>50Y</v>
      </c>
      <c r="C39" s="87" t="s">
        <v>117</v>
      </c>
      <c r="D39" s="86"/>
      <c r="E39" s="85" t="str">
        <f t="shared" si="1"/>
        <v>EUREON50Y_Quote</v>
      </c>
      <c r="F39" s="84" t="e">
        <f ca="1">_xll.qlSimpleQuote(Currency&amp;$C39&amp;$B39&amp;QuoteSuffix,,RateTickValue,Permanent,Trigger,ObjectOverwrite)</f>
        <v>#NAME?</v>
      </c>
      <c r="G39" s="83" t="e">
        <f ca="1">_xll.ohRangeRetrieveError(F39)</f>
        <v>#NAME?</v>
      </c>
      <c r="H39" s="36"/>
      <c r="J39" s="135"/>
      <c r="K39" s="246" t="s">
        <v>23</v>
      </c>
      <c r="L39" s="246" t="s">
        <v>135</v>
      </c>
      <c r="M39" s="246" t="s">
        <v>117</v>
      </c>
      <c r="N39" s="244" t="str">
        <f t="shared" si="2"/>
        <v>EUREON50Y</v>
      </c>
      <c r="O39" s="244" t="str">
        <f t="shared" si="3"/>
        <v>EUREON50Y=ICAP</v>
      </c>
      <c r="P39" s="241">
        <v>1.3169999999999999</v>
      </c>
      <c r="Q39" s="241">
        <v>1.387</v>
      </c>
      <c r="R39" s="241">
        <f t="shared" si="4"/>
        <v>1.3519999999999999</v>
      </c>
      <c r="S39" s="241">
        <f t="shared" si="5"/>
        <v>6.999999999999984E-2</v>
      </c>
      <c r="T39" s="242"/>
      <c r="U39" s="243">
        <v>1.3519999999999999</v>
      </c>
      <c r="V39" s="242"/>
      <c r="W39" s="241">
        <v>1.3519999999999999</v>
      </c>
      <c r="X39" s="240" t="e">
        <f ca="1">_xll.qlSimpleQuoteSetValue(F39,W39/100,Trigger)</f>
        <v>#NAME?</v>
      </c>
      <c r="Y39" s="130"/>
    </row>
    <row r="40" spans="1:25" ht="11.25" customHeight="1" x14ac:dyDescent="0.2">
      <c r="A40" s="135"/>
      <c r="B40" s="86" t="str">
        <f t="shared" si="0"/>
        <v>60Y</v>
      </c>
      <c r="C40" s="87" t="s">
        <v>117</v>
      </c>
      <c r="D40" s="86"/>
      <c r="E40" s="85" t="str">
        <f t="shared" si="1"/>
        <v>EUREON60Y_Quote</v>
      </c>
      <c r="F40" s="84" t="e">
        <f ca="1">_xll.qlSimpleQuote(Currency&amp;$C40&amp;$B40&amp;QuoteSuffix,,RateTickValue,Permanent,Trigger,ObjectOverwrite)</f>
        <v>#NAME?</v>
      </c>
      <c r="G40" s="83" t="e">
        <f ca="1">_xll.ohRangeRetrieveError(F40)</f>
        <v>#NAME?</v>
      </c>
      <c r="H40" s="36"/>
      <c r="J40" s="135"/>
      <c r="K40" s="245" t="s">
        <v>22</v>
      </c>
      <c r="L40" s="245" t="s">
        <v>135</v>
      </c>
      <c r="M40" s="245" t="s">
        <v>117</v>
      </c>
      <c r="N40" s="244" t="str">
        <f t="shared" si="2"/>
        <v>EUREON60Y</v>
      </c>
      <c r="O40" s="244" t="str">
        <f t="shared" si="3"/>
        <v>EUREON60Y=ICAP</v>
      </c>
      <c r="P40" s="241">
        <v>1.3120000000000001</v>
      </c>
      <c r="Q40" s="241">
        <v>1.3820000000000001</v>
      </c>
      <c r="R40" s="241">
        <f t="shared" si="4"/>
        <v>1.347</v>
      </c>
      <c r="S40" s="205">
        <f t="shared" si="5"/>
        <v>6.999999999999984E-2</v>
      </c>
      <c r="T40" s="242"/>
      <c r="U40" s="243">
        <v>1.347</v>
      </c>
      <c r="V40" s="242"/>
      <c r="W40" s="241">
        <v>1.347</v>
      </c>
      <c r="X40" s="240" t="e">
        <f ca="1">_xll.qlSimpleQuoteSetValue(F40,W40/100,Trigger)</f>
        <v>#NAME?</v>
      </c>
      <c r="Y40" s="130"/>
    </row>
    <row r="41" spans="1:25" ht="11.25" customHeight="1" x14ac:dyDescent="0.2">
      <c r="A41" s="35"/>
      <c r="B41" s="172"/>
      <c r="C41" s="172"/>
      <c r="D41" s="172"/>
      <c r="E41" s="172"/>
      <c r="F41" s="172"/>
      <c r="G41" s="172"/>
      <c r="H41" s="32"/>
      <c r="J41" s="35"/>
      <c r="K41" s="172"/>
      <c r="L41" s="172"/>
      <c r="M41" s="172"/>
      <c r="N41" s="172"/>
      <c r="O41" s="172"/>
      <c r="P41" s="172"/>
      <c r="Q41" s="172"/>
      <c r="R41" s="172"/>
      <c r="S41" s="34"/>
      <c r="T41" s="34"/>
      <c r="U41" s="172"/>
      <c r="V41" s="34"/>
      <c r="W41" s="172"/>
      <c r="X41" s="172"/>
      <c r="Y41" s="129"/>
    </row>
  </sheetData>
  <conditionalFormatting sqref="X16:X40">
    <cfRule type="cellIs" dxfId="39" priority="1" stopIfTrue="1" operator="greaterThan">
      <formula>0</formula>
    </cfRule>
    <cfRule type="cellIs" dxfId="38" priority="2" stopIfTrue="1" operator="lessThan">
      <formula>0</formula>
    </cfRule>
  </conditionalFormatting>
  <conditionalFormatting sqref="X5:X15">
    <cfRule type="cellIs" dxfId="37" priority="3" stopIfTrue="1" operator="greaterThan">
      <formula>0</formula>
    </cfRule>
    <cfRule type="cellIs" dxfId="36" priority="4"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AD40"/>
  <sheetViews>
    <sheetView showGridLines="0" topLeftCell="J1" workbookViewId="0">
      <selection activeCell="AD2" sqref="AD2:AD3"/>
    </sheetView>
  </sheetViews>
  <sheetFormatPr defaultRowHeight="11.25" customHeight="1" outlineLevelCol="1" x14ac:dyDescent="0.2"/>
  <cols>
    <col min="1" max="1" width="2.7109375" style="1" hidden="1" customWidth="1" outlineLevel="1"/>
    <col min="2" max="2" width="17.28515625" style="1" hidden="1" customWidth="1" outlineLevel="1"/>
    <col min="3" max="4" width="4" style="1" hidden="1" customWidth="1" outlineLevel="1"/>
    <col min="5" max="5" width="6" style="1" hidden="1" customWidth="1" outlineLevel="1"/>
    <col min="6" max="6" width="21.42578125" style="1" hidden="1" customWidth="1" outlineLevel="1"/>
    <col min="7" max="7" width="26.5703125" style="1" hidden="1" customWidth="1" outlineLevel="1"/>
    <col min="8" max="8" width="15.5703125" style="1" hidden="1" customWidth="1" outlineLevel="1"/>
    <col min="9" max="9" width="2.7109375" style="1" hidden="1" customWidth="1" outlineLevel="1"/>
    <col min="10" max="10" width="2.7109375" style="1" customWidth="1" collapsed="1"/>
    <col min="11" max="11" width="2.7109375" style="1" customWidth="1"/>
    <col min="12" max="14" width="4.28515625" style="1" customWidth="1"/>
    <col min="15" max="15" width="14.7109375" style="1" customWidth="1"/>
    <col min="16" max="16" width="18.7109375" style="1" customWidth="1"/>
    <col min="17" max="21" width="10.7109375" style="1" customWidth="1"/>
    <col min="22" max="22" width="2.7109375" style="1" customWidth="1"/>
    <col min="23" max="23" width="10.7109375" style="1" customWidth="1"/>
    <col min="24" max="24" width="2.7109375" style="1" customWidth="1"/>
    <col min="25" max="26" width="10.7109375" style="1" customWidth="1"/>
    <col min="27" max="27" width="2.7109375" style="1" customWidth="1"/>
    <col min="28" max="16384" width="9.140625" style="1"/>
  </cols>
  <sheetData>
    <row r="1" spans="1:30" ht="11.25" customHeight="1" thickBot="1" x14ac:dyDescent="0.25">
      <c r="A1" s="178"/>
      <c r="B1" s="54"/>
      <c r="C1" s="54"/>
      <c r="D1" s="54"/>
      <c r="E1" s="54"/>
      <c r="F1" s="54"/>
      <c r="G1" s="54"/>
      <c r="H1" s="54"/>
      <c r="I1" s="53"/>
      <c r="K1" s="127" t="s">
        <v>166</v>
      </c>
      <c r="L1" s="123"/>
      <c r="M1" s="232"/>
      <c r="N1" s="232"/>
      <c r="O1" s="232"/>
      <c r="P1" s="232"/>
      <c r="Q1" s="232"/>
      <c r="R1" s="232"/>
      <c r="S1" s="232"/>
      <c r="T1" s="232"/>
      <c r="U1" s="232"/>
      <c r="V1" s="232"/>
      <c r="W1" s="232"/>
      <c r="X1" s="232"/>
      <c r="Y1" s="232"/>
      <c r="Z1" s="123"/>
      <c r="AA1" s="171"/>
    </row>
    <row r="2" spans="1:30" ht="11.25" customHeight="1" x14ac:dyDescent="0.25">
      <c r="A2" s="121"/>
      <c r="B2" s="109"/>
      <c r="C2" s="109"/>
      <c r="D2" s="109"/>
      <c r="E2" s="109"/>
      <c r="F2" s="109"/>
      <c r="G2" s="109"/>
      <c r="H2" s="109"/>
      <c r="I2" s="120"/>
      <c r="K2" s="113"/>
      <c r="L2" s="110"/>
      <c r="M2" s="110"/>
      <c r="N2" s="110"/>
      <c r="O2" s="110"/>
      <c r="P2" s="119" t="str">
        <f>VLOOKUP(K1,AreaTable,2,FALSE)</f>
        <v>ICAP</v>
      </c>
      <c r="Q2" s="110"/>
      <c r="R2" s="110"/>
      <c r="S2" s="110"/>
      <c r="T2" s="110"/>
      <c r="U2" s="110"/>
      <c r="V2" s="111"/>
      <c r="W2" s="111"/>
      <c r="X2" s="111"/>
      <c r="Y2" s="111"/>
      <c r="Z2" s="118" t="e">
        <f ca="1">_xll.ohTrigger(Z5:Z16)</f>
        <v>#NAME?</v>
      </c>
      <c r="AA2" s="36"/>
      <c r="AC2" s="1361" t="s">
        <v>529</v>
      </c>
      <c r="AD2" s="1364" t="e">
        <f ca="1">_xll.ohTrigger('General Settings'!Trigger)</f>
        <v>#NAME?</v>
      </c>
    </row>
    <row r="3" spans="1:30" ht="11.25" customHeight="1" thickBot="1" x14ac:dyDescent="0.3">
      <c r="A3" s="117"/>
      <c r="B3" s="116"/>
      <c r="C3" s="116"/>
      <c r="D3" s="116"/>
      <c r="E3" s="115"/>
      <c r="F3" s="115"/>
      <c r="G3" s="109"/>
      <c r="H3" s="109"/>
      <c r="I3" s="114"/>
      <c r="K3" s="135"/>
      <c r="L3" s="111"/>
      <c r="M3" s="110"/>
      <c r="N3" s="110"/>
      <c r="O3" s="110"/>
      <c r="P3" s="110"/>
      <c r="Q3" s="110"/>
      <c r="R3" s="110"/>
      <c r="S3" s="110"/>
      <c r="T3" s="110"/>
      <c r="U3" s="110"/>
      <c r="V3" s="111"/>
      <c r="W3" s="111"/>
      <c r="X3" s="111"/>
      <c r="Y3" s="110"/>
      <c r="Z3" s="230"/>
      <c r="AA3" s="130"/>
      <c r="AC3" s="1362" t="s">
        <v>530</v>
      </c>
      <c r="AD3" s="1365" t="e">
        <f ca="1">_xll.ohTrigger(Z5:Z16)</f>
        <v>#NAME?</v>
      </c>
    </row>
    <row r="4" spans="1:30" s="239" customFormat="1" ht="21" customHeight="1" x14ac:dyDescent="0.25">
      <c r="A4" s="106"/>
      <c r="B4" s="52" t="s">
        <v>165</v>
      </c>
      <c r="C4" s="52"/>
      <c r="D4" s="107"/>
      <c r="E4" s="107" t="s">
        <v>144</v>
      </c>
      <c r="F4" s="52" t="s">
        <v>91</v>
      </c>
      <c r="G4" s="52" t="s">
        <v>90</v>
      </c>
      <c r="H4" s="52" t="s">
        <v>59</v>
      </c>
      <c r="I4" s="100"/>
      <c r="K4" s="106"/>
      <c r="L4" s="101"/>
      <c r="M4" s="101"/>
      <c r="N4" s="101"/>
      <c r="O4" s="101" t="s">
        <v>101</v>
      </c>
      <c r="P4" s="105" t="e">
        <f ca="1">_xll.RData(P5:P16,Q4:S4,,ReutersRtMode,,Q5)</f>
        <v>#NAME?</v>
      </c>
      <c r="Q4" s="101" t="s">
        <v>84</v>
      </c>
      <c r="R4" s="101" t="s">
        <v>83</v>
      </c>
      <c r="S4" s="101" t="s">
        <v>140</v>
      </c>
      <c r="T4" s="104" t="s">
        <v>106</v>
      </c>
      <c r="U4" s="103" t="s">
        <v>79</v>
      </c>
      <c r="V4" s="179"/>
      <c r="W4" s="103" t="s">
        <v>78</v>
      </c>
      <c r="X4" s="179"/>
      <c r="Y4" s="103" t="s">
        <v>77</v>
      </c>
      <c r="Z4" s="103" t="s">
        <v>76</v>
      </c>
      <c r="AA4" s="100"/>
    </row>
    <row r="5" spans="1:30" ht="11.25" customHeight="1" x14ac:dyDescent="0.2">
      <c r="A5" s="71"/>
      <c r="B5" s="229" t="e">
        <f ca="1">_xll.qlECBdate(E5,,Trigger)</f>
        <v>#NAME?</v>
      </c>
      <c r="C5" s="238" t="str">
        <f t="shared" ref="C5:C16" si="0">M5</f>
        <v>ECB</v>
      </c>
      <c r="D5" s="237" t="str">
        <f t="shared" ref="D5:D16" si="1">N5</f>
        <v>OIS</v>
      </c>
      <c r="E5" s="97" t="e">
        <f ca="1">_xll.qlECBNextCode(_xll.qlCalendarAdvance("TARGET",EvaluationDate,"2D"),Trigger)</f>
        <v>#NAME?</v>
      </c>
      <c r="F5" s="96" t="e">
        <f t="shared" ref="F5:F16" ca="1" si="2">Currency&amp;$C5&amp;$D5&amp;$E5&amp;QuoteSuffix</f>
        <v>#NAME?</v>
      </c>
      <c r="G5" s="95" t="e">
        <f ca="1">_xll.qlSimpleQuote(Currency&amp;$C5&amp;$D5&amp;$E5&amp;QuoteSuffix,,RateTickValue,Permanent,Trigger,ObjectOverwrite)</f>
        <v>#NAME?</v>
      </c>
      <c r="H5" s="94" t="e">
        <f ca="1">_xll.ohRangeRetrieveError(G5)</f>
        <v>#NAME?</v>
      </c>
      <c r="I5" s="36"/>
      <c r="J5" s="30"/>
      <c r="K5" s="135"/>
      <c r="L5" s="228" t="s">
        <v>164</v>
      </c>
      <c r="M5" s="228" t="s">
        <v>146</v>
      </c>
      <c r="N5" s="228" t="s">
        <v>135</v>
      </c>
      <c r="O5" s="89" t="str">
        <f t="shared" ref="O5:O16" si="3">Currency&amp;$M5&amp;$N5&amp;$L5</f>
        <v>EURECBOISM1</v>
      </c>
      <c r="P5" s="226" t="str">
        <f t="array" ref="P5:P16">Instruments&amp;"="&amp;VLOOKUP($P$2,ContributorTable,2,FALSE)</f>
        <v>EURECBOISM1=ICAP</v>
      </c>
      <c r="Q5" s="89">
        <v>-0.16999999999999998</v>
      </c>
      <c r="R5" s="89">
        <v>-0.12</v>
      </c>
      <c r="S5" s="225" t="s">
        <v>163</v>
      </c>
      <c r="T5" s="89">
        <f t="shared" ref="T5:T16" si="4">IF(ISERROR(AVERAGE(Q5,R5)),#NUM!,AVERAGE(Q5,R5))</f>
        <v>-0.14499999999999999</v>
      </c>
      <c r="U5" s="78">
        <f t="shared" ref="U5:U16" si="5">(T5-Q5)*2</f>
        <v>4.9999999999999989E-2</v>
      </c>
      <c r="V5" s="111"/>
      <c r="W5" s="78">
        <v>-0.14499999999999999</v>
      </c>
      <c r="X5" s="111"/>
      <c r="Y5" s="78">
        <f t="array" ref="Y5:Y16">QuoteStatic</f>
        <v>-0.14499999999999999</v>
      </c>
      <c r="Z5" s="222" t="e">
        <f ca="1">_xll.qlSimpleQuoteSetValue(G5,$Y5/100,Trigger)</f>
        <v>#NAME?</v>
      </c>
      <c r="AA5" s="130"/>
    </row>
    <row r="6" spans="1:30" ht="11.25" customHeight="1" x14ac:dyDescent="0.2">
      <c r="A6" s="71"/>
      <c r="B6" s="224" t="e">
        <f ca="1">_xll.qlECBdate(E6,,Trigger)</f>
        <v>#NAME?</v>
      </c>
      <c r="C6" s="86" t="str">
        <f t="shared" si="0"/>
        <v>ECB</v>
      </c>
      <c r="D6" s="87" t="str">
        <f t="shared" si="1"/>
        <v>OIS</v>
      </c>
      <c r="E6" s="86" t="e">
        <f ca="1">_xll.qlECBNextCode(B5,Trigger)</f>
        <v>#NAME?</v>
      </c>
      <c r="F6" s="85" t="e">
        <f t="shared" ca="1" si="2"/>
        <v>#NAME?</v>
      </c>
      <c r="G6" s="84" t="e">
        <f ca="1">_xll.qlSimpleQuote(Currency&amp;$C6&amp;$D6&amp;$E6&amp;QuoteSuffix,,RateTickValue,Permanent,Trigger,ObjectOverwrite)</f>
        <v>#NAME?</v>
      </c>
      <c r="H6" s="83" t="e">
        <f ca="1">_xll.ohRangeRetrieveError(G6)</f>
        <v>#NAME?</v>
      </c>
      <c r="I6" s="36"/>
      <c r="J6" s="30"/>
      <c r="K6" s="135"/>
      <c r="L6" s="219" t="s">
        <v>162</v>
      </c>
      <c r="M6" s="219" t="s">
        <v>146</v>
      </c>
      <c r="N6" s="219" t="s">
        <v>135</v>
      </c>
      <c r="O6" s="78" t="str">
        <f t="shared" si="3"/>
        <v>EURECBOISM2</v>
      </c>
      <c r="P6" s="186" t="str">
        <v>EURECBOISM2=ICAP</v>
      </c>
      <c r="Q6" s="78">
        <v>-0.17799999999999999</v>
      </c>
      <c r="R6" s="78">
        <v>-0.128</v>
      </c>
      <c r="S6" s="223" t="s">
        <v>139</v>
      </c>
      <c r="T6" s="78">
        <f t="shared" si="4"/>
        <v>-0.153</v>
      </c>
      <c r="U6" s="78">
        <f t="shared" si="5"/>
        <v>4.9999999999999989E-2</v>
      </c>
      <c r="V6" s="111"/>
      <c r="W6" s="78">
        <v>-0.153</v>
      </c>
      <c r="X6" s="111"/>
      <c r="Y6" s="78">
        <v>-0.153</v>
      </c>
      <c r="Z6" s="222" t="e">
        <f ca="1">_xll.qlSimpleQuoteSetValue(G6,$Y6/100,Trigger)</f>
        <v>#NAME?</v>
      </c>
      <c r="AA6" s="130"/>
    </row>
    <row r="7" spans="1:30" ht="11.25" customHeight="1" x14ac:dyDescent="0.2">
      <c r="A7" s="71"/>
      <c r="B7" s="224" t="e">
        <f ca="1">_xll.qlECBdate(E7,,Trigger)</f>
        <v>#NAME?</v>
      </c>
      <c r="C7" s="86" t="str">
        <f t="shared" si="0"/>
        <v>ECB</v>
      </c>
      <c r="D7" s="87" t="str">
        <f t="shared" si="1"/>
        <v>OIS</v>
      </c>
      <c r="E7" s="86" t="e">
        <f ca="1">_xll.qlECBNextCode(B6,Trigger)</f>
        <v>#NAME?</v>
      </c>
      <c r="F7" s="85" t="e">
        <f t="shared" ca="1" si="2"/>
        <v>#NAME?</v>
      </c>
      <c r="G7" s="84" t="e">
        <f ca="1">_xll.qlSimpleQuote(Currency&amp;$C7&amp;$D7&amp;$E7&amp;QuoteSuffix,,RateTickValue,Permanent,Trigger,ObjectOverwrite)</f>
        <v>#NAME?</v>
      </c>
      <c r="H7" s="83" t="e">
        <f ca="1">_xll.ohRangeRetrieveError(G7)</f>
        <v>#NAME?</v>
      </c>
      <c r="I7" s="36"/>
      <c r="J7" s="30"/>
      <c r="K7" s="135"/>
      <c r="L7" s="219" t="s">
        <v>161</v>
      </c>
      <c r="M7" s="219" t="s">
        <v>146</v>
      </c>
      <c r="N7" s="219" t="s">
        <v>135</v>
      </c>
      <c r="O7" s="78" t="str">
        <f t="shared" si="3"/>
        <v>EURECBOISM3</v>
      </c>
      <c r="P7" s="186" t="str">
        <v>EURECBOISM3=ICAP</v>
      </c>
      <c r="Q7" s="78">
        <v>-0.193</v>
      </c>
      <c r="R7" s="78">
        <v>-0.14299999999999999</v>
      </c>
      <c r="S7" s="223" t="s">
        <v>160</v>
      </c>
      <c r="T7" s="78">
        <f t="shared" si="4"/>
        <v>-0.16799999999999998</v>
      </c>
      <c r="U7" s="78">
        <f t="shared" si="5"/>
        <v>5.0000000000000044E-2</v>
      </c>
      <c r="V7" s="111"/>
      <c r="W7" s="78">
        <v>-0.16799999999999998</v>
      </c>
      <c r="X7" s="111"/>
      <c r="Y7" s="78">
        <v>-0.16799999999999998</v>
      </c>
      <c r="Z7" s="222" t="e">
        <f ca="1">_xll.qlSimpleQuoteSetValue(G7,$Y7/100,Trigger)</f>
        <v>#NAME?</v>
      </c>
      <c r="AA7" s="130"/>
    </row>
    <row r="8" spans="1:30" ht="11.25" customHeight="1" x14ac:dyDescent="0.2">
      <c r="A8" s="135"/>
      <c r="B8" s="224" t="e">
        <f ca="1">_xll.qlECBdate(E8,,Trigger)</f>
        <v>#NAME?</v>
      </c>
      <c r="C8" s="86" t="str">
        <f t="shared" si="0"/>
        <v>ECB</v>
      </c>
      <c r="D8" s="87" t="str">
        <f t="shared" si="1"/>
        <v>OIS</v>
      </c>
      <c r="E8" s="86" t="e">
        <f ca="1">_xll.qlECBNextCode(B7,Trigger)</f>
        <v>#NAME?</v>
      </c>
      <c r="F8" s="85" t="e">
        <f t="shared" ca="1" si="2"/>
        <v>#NAME?</v>
      </c>
      <c r="G8" s="84" t="e">
        <f ca="1">_xll.qlSimpleQuote(Currency&amp;$C8&amp;$D8&amp;$E8&amp;QuoteSuffix,,RateTickValue,Permanent,Trigger,ObjectOverwrite)</f>
        <v>#NAME?</v>
      </c>
      <c r="H8" s="83" t="e">
        <f ca="1">_xll.ohRangeRetrieveError(G8)</f>
        <v>#NAME?</v>
      </c>
      <c r="I8" s="36"/>
      <c r="J8" s="30"/>
      <c r="K8" s="135"/>
      <c r="L8" s="219" t="s">
        <v>159</v>
      </c>
      <c r="M8" s="219" t="s">
        <v>146</v>
      </c>
      <c r="N8" s="219" t="s">
        <v>135</v>
      </c>
      <c r="O8" s="78" t="str">
        <f t="shared" si="3"/>
        <v>EURECBOISM4</v>
      </c>
      <c r="P8" s="186" t="str">
        <v>EURECBOISM4=ICAP</v>
      </c>
      <c r="Q8" s="78">
        <v>-0.20099999999999998</v>
      </c>
      <c r="R8" s="78">
        <v>-0.151</v>
      </c>
      <c r="S8" s="223" t="s">
        <v>138</v>
      </c>
      <c r="T8" s="78">
        <f t="shared" si="4"/>
        <v>-0.17599999999999999</v>
      </c>
      <c r="U8" s="78">
        <f t="shared" si="5"/>
        <v>4.9999999999999989E-2</v>
      </c>
      <c r="V8" s="111"/>
      <c r="W8" s="78">
        <v>-0.17599999999999999</v>
      </c>
      <c r="X8" s="111"/>
      <c r="Y8" s="78">
        <v>-0.17599999999999999</v>
      </c>
      <c r="Z8" s="222" t="e">
        <f ca="1">_xll.qlSimpleQuoteSetValue(G8,$Y8/100,Trigger)</f>
        <v>#NAME?</v>
      </c>
      <c r="AA8" s="130"/>
    </row>
    <row r="9" spans="1:30" ht="11.25" customHeight="1" x14ac:dyDescent="0.2">
      <c r="A9" s="135"/>
      <c r="B9" s="224" t="e">
        <f ca="1">_xll.qlECBdate(E9,,Trigger)</f>
        <v>#NAME?</v>
      </c>
      <c r="C9" s="86" t="str">
        <f t="shared" si="0"/>
        <v>ECB</v>
      </c>
      <c r="D9" s="87" t="str">
        <f t="shared" si="1"/>
        <v>OIS</v>
      </c>
      <c r="E9" s="86" t="e">
        <f ca="1">_xll.qlECBNextCode(B8,Trigger)</f>
        <v>#NAME?</v>
      </c>
      <c r="F9" s="85" t="e">
        <f t="shared" ca="1" si="2"/>
        <v>#NAME?</v>
      </c>
      <c r="G9" s="84" t="e">
        <f ca="1">_xll.qlSimpleQuote(Currency&amp;$C9&amp;$D9&amp;$E9&amp;QuoteSuffix,,RateTickValue,Permanent,Trigger,ObjectOverwrite)</f>
        <v>#NAME?</v>
      </c>
      <c r="H9" s="83" t="e">
        <f ca="1">_xll.ohRangeRetrieveError(G9)</f>
        <v>#NAME?</v>
      </c>
      <c r="I9" s="36"/>
      <c r="J9" s="30"/>
      <c r="K9" s="135"/>
      <c r="L9" s="219" t="s">
        <v>158</v>
      </c>
      <c r="M9" s="219" t="s">
        <v>146</v>
      </c>
      <c r="N9" s="219" t="s">
        <v>135</v>
      </c>
      <c r="O9" s="78" t="str">
        <f t="shared" si="3"/>
        <v>EURECBOISM5</v>
      </c>
      <c r="P9" s="186" t="str">
        <v>EURECBOISM5=ICAP</v>
      </c>
      <c r="Q9" s="78">
        <v>-0.20899999999999999</v>
      </c>
      <c r="R9" s="78">
        <v>-0.159</v>
      </c>
      <c r="S9" s="223" t="s">
        <v>157</v>
      </c>
      <c r="T9" s="78">
        <f t="shared" si="4"/>
        <v>-0.184</v>
      </c>
      <c r="U9" s="78">
        <f t="shared" si="5"/>
        <v>4.9999999999999989E-2</v>
      </c>
      <c r="V9" s="111"/>
      <c r="W9" s="78">
        <v>-0.184</v>
      </c>
      <c r="X9" s="111"/>
      <c r="Y9" s="78">
        <v>-0.184</v>
      </c>
      <c r="Z9" s="222" t="e">
        <f ca="1">_xll.qlSimpleQuoteSetValue(G9,$Y9/100,Trigger)</f>
        <v>#NAME?</v>
      </c>
      <c r="AA9" s="130"/>
    </row>
    <row r="10" spans="1:30" ht="11.25" customHeight="1" x14ac:dyDescent="0.2">
      <c r="A10" s="135"/>
      <c r="B10" s="224" t="e">
        <f ca="1">_xll.qlECBdate(E10,,Trigger)</f>
        <v>#NAME?</v>
      </c>
      <c r="C10" s="86" t="str">
        <f t="shared" si="0"/>
        <v>ECB</v>
      </c>
      <c r="D10" s="87" t="str">
        <f t="shared" si="1"/>
        <v>OIS</v>
      </c>
      <c r="E10" s="86" t="e">
        <f ca="1">_xll.qlECBNextCode(B9,Trigger)</f>
        <v>#NAME?</v>
      </c>
      <c r="F10" s="85" t="e">
        <f t="shared" ca="1" si="2"/>
        <v>#NAME?</v>
      </c>
      <c r="G10" s="84" t="e">
        <f ca="1">_xll.qlSimpleQuote(Currency&amp;$C10&amp;$D10&amp;$E10&amp;QuoteSuffix,,RateTickValue,Permanent,Trigger,ObjectOverwrite)</f>
        <v>#NAME?</v>
      </c>
      <c r="H10" s="83" t="e">
        <f ca="1">_xll.ohRangeRetrieveError(G10)</f>
        <v>#NAME?</v>
      </c>
      <c r="I10" s="36"/>
      <c r="J10" s="30"/>
      <c r="K10" s="135"/>
      <c r="L10" s="219" t="s">
        <v>156</v>
      </c>
      <c r="M10" s="219" t="s">
        <v>146</v>
      </c>
      <c r="N10" s="219" t="s">
        <v>135</v>
      </c>
      <c r="O10" s="78" t="str">
        <f t="shared" si="3"/>
        <v>EURECBOISM6</v>
      </c>
      <c r="P10" s="186" t="str">
        <v>EURECBOISM6=ICAP</v>
      </c>
      <c r="Q10" s="78">
        <v>-0.217</v>
      </c>
      <c r="R10" s="78">
        <v>-0.16699999999999998</v>
      </c>
      <c r="S10" s="223" t="s">
        <v>137</v>
      </c>
      <c r="T10" s="78">
        <f t="shared" si="4"/>
        <v>-0.192</v>
      </c>
      <c r="U10" s="78">
        <f t="shared" si="5"/>
        <v>4.9999999999999989E-2</v>
      </c>
      <c r="V10" s="111"/>
      <c r="W10" s="78">
        <v>-0.192</v>
      </c>
      <c r="X10" s="111"/>
      <c r="Y10" s="78">
        <v>-0.192</v>
      </c>
      <c r="Z10" s="222" t="e">
        <f ca="1">_xll.qlSimpleQuoteSetValue(G10,$Y10/100,Trigger)</f>
        <v>#NAME?</v>
      </c>
      <c r="AA10" s="130"/>
    </row>
    <row r="11" spans="1:30" ht="11.25" customHeight="1" x14ac:dyDescent="0.2">
      <c r="A11" s="135"/>
      <c r="B11" s="224" t="e">
        <f ca="1">_xll.qlECBdate(E11,,Trigger)</f>
        <v>#NAME?</v>
      </c>
      <c r="C11" s="86" t="str">
        <f t="shared" si="0"/>
        <v>ECB</v>
      </c>
      <c r="D11" s="87" t="str">
        <f t="shared" si="1"/>
        <v>OIS</v>
      </c>
      <c r="E11" s="86" t="e">
        <f ca="1">_xll.qlECBNextCode(B10,Trigger)</f>
        <v>#NAME?</v>
      </c>
      <c r="F11" s="85" t="e">
        <f t="shared" ca="1" si="2"/>
        <v>#NAME?</v>
      </c>
      <c r="G11" s="84" t="e">
        <f ca="1">_xll.qlSimpleQuote(Currency&amp;$C11&amp;$D11&amp;$E11&amp;QuoteSuffix,,RateTickValue,Permanent,Trigger,ObjectOverwrite)</f>
        <v>#NAME?</v>
      </c>
      <c r="H11" s="83" t="e">
        <f ca="1">_xll.ohRangeRetrieveError(G11)</f>
        <v>#NAME?</v>
      </c>
      <c r="I11" s="36"/>
      <c r="J11" s="30"/>
      <c r="K11" s="135"/>
      <c r="L11" s="219" t="s">
        <v>155</v>
      </c>
      <c r="M11" s="219" t="s">
        <v>146</v>
      </c>
      <c r="N11" s="219" t="s">
        <v>135</v>
      </c>
      <c r="O11" s="78" t="str">
        <f t="shared" si="3"/>
        <v>EURECBOISM7</v>
      </c>
      <c r="P11" s="186" t="str">
        <v>EURECBOISM7=ICAP</v>
      </c>
      <c r="Q11" s="78">
        <v>-0.221</v>
      </c>
      <c r="R11" s="78">
        <v>-0.17099999999999999</v>
      </c>
      <c r="S11" s="223" t="s">
        <v>154</v>
      </c>
      <c r="T11" s="78">
        <f t="shared" si="4"/>
        <v>-0.19600000000000001</v>
      </c>
      <c r="U11" s="78">
        <f t="shared" si="5"/>
        <v>4.9999999999999989E-2</v>
      </c>
      <c r="V11" s="111"/>
      <c r="W11" s="78">
        <v>-0.19600000000000001</v>
      </c>
      <c r="X11" s="111"/>
      <c r="Y11" s="78">
        <v>-0.19600000000000001</v>
      </c>
      <c r="Z11" s="222" t="e">
        <f ca="1">_xll.qlSimpleQuoteSetValue(G11,$Y11/100,Trigger)</f>
        <v>#NAME?</v>
      </c>
      <c r="AA11" s="130"/>
    </row>
    <row r="12" spans="1:30" ht="11.25" customHeight="1" x14ac:dyDescent="0.2">
      <c r="A12" s="135"/>
      <c r="B12" s="224" t="e">
        <f ca="1">_xll.qlECBdate(E12,,Trigger)</f>
        <v>#NAME?</v>
      </c>
      <c r="C12" s="86" t="str">
        <f t="shared" si="0"/>
        <v>ECB</v>
      </c>
      <c r="D12" s="87" t="str">
        <f t="shared" si="1"/>
        <v>OIS</v>
      </c>
      <c r="E12" s="86" t="e">
        <f ca="1">_xll.qlECBNextCode(B11,Trigger)</f>
        <v>#NAME?</v>
      </c>
      <c r="F12" s="85" t="e">
        <f t="shared" ca="1" si="2"/>
        <v>#NAME?</v>
      </c>
      <c r="G12" s="84" t="e">
        <f ca="1">_xll.qlSimpleQuote(Currency&amp;$C12&amp;$D12&amp;$E12&amp;QuoteSuffix,,RateTickValue,Permanent,Trigger,ObjectOverwrite)</f>
        <v>#NAME?</v>
      </c>
      <c r="H12" s="83" t="e">
        <f ca="1">_xll.ohRangeRetrieveError(G12)</f>
        <v>#NAME?</v>
      </c>
      <c r="I12" s="36"/>
      <c r="J12" s="30"/>
      <c r="K12" s="135"/>
      <c r="L12" s="219" t="s">
        <v>153</v>
      </c>
      <c r="M12" s="219" t="s">
        <v>146</v>
      </c>
      <c r="N12" s="219" t="s">
        <v>135</v>
      </c>
      <c r="O12" s="78" t="str">
        <f t="shared" si="3"/>
        <v>EURECBOISM8</v>
      </c>
      <c r="P12" s="186" t="str">
        <v>EURECBOISM8=ICAP</v>
      </c>
      <c r="Q12" s="78">
        <v>-0.22400000000000003</v>
      </c>
      <c r="R12" s="78">
        <v>-0.17399999999999999</v>
      </c>
      <c r="S12" s="223" t="s">
        <v>136</v>
      </c>
      <c r="T12" s="78">
        <f t="shared" si="4"/>
        <v>-0.19900000000000001</v>
      </c>
      <c r="U12" s="78">
        <f t="shared" si="5"/>
        <v>5.0000000000000044E-2</v>
      </c>
      <c r="V12" s="111"/>
      <c r="W12" s="78">
        <v>-0.19900000000000001</v>
      </c>
      <c r="X12" s="111"/>
      <c r="Y12" s="78">
        <v>-0.19900000000000001</v>
      </c>
      <c r="Z12" s="222" t="e">
        <f ca="1">_xll.qlSimpleQuoteSetValue(G12,$Y12/100,Trigger)</f>
        <v>#NAME?</v>
      </c>
      <c r="AA12" s="130"/>
    </row>
    <row r="13" spans="1:30" ht="11.25" customHeight="1" x14ac:dyDescent="0.2">
      <c r="A13" s="236"/>
      <c r="B13" s="224" t="e">
        <f ca="1">_xll.qlECBdate(E13,,Trigger)</f>
        <v>#NAME?</v>
      </c>
      <c r="C13" s="86" t="str">
        <f t="shared" si="0"/>
        <v>ECB</v>
      </c>
      <c r="D13" s="87" t="str">
        <f t="shared" si="1"/>
        <v>OIS</v>
      </c>
      <c r="E13" s="86" t="e">
        <f ca="1">_xll.qlECBNextCode(B12,Trigger)</f>
        <v>#NAME?</v>
      </c>
      <c r="F13" s="85" t="e">
        <f t="shared" ca="1" si="2"/>
        <v>#NAME?</v>
      </c>
      <c r="G13" s="84" t="e">
        <f ca="1">_xll.qlSimpleQuote(Currency&amp;$C13&amp;$D13&amp;$E13&amp;QuoteSuffix,,RateTickValue,Permanent,Trigger,ObjectOverwrite)</f>
        <v>#NAME?</v>
      </c>
      <c r="H13" s="83" t="e">
        <f ca="1">_xll.ohRangeRetrieveError(G13)</f>
        <v>#NAME?</v>
      </c>
      <c r="I13" s="36"/>
      <c r="J13" s="30"/>
      <c r="K13" s="135"/>
      <c r="L13" s="219" t="s">
        <v>152</v>
      </c>
      <c r="M13" s="219" t="s">
        <v>146</v>
      </c>
      <c r="N13" s="219" t="s">
        <v>135</v>
      </c>
      <c r="O13" s="78" t="str">
        <f t="shared" si="3"/>
        <v>EURECBOISM9</v>
      </c>
      <c r="P13" s="186" t="str">
        <v>EURECBOISM9=ICAP</v>
      </c>
      <c r="Q13" s="78">
        <v>-0.221</v>
      </c>
      <c r="R13" s="78">
        <v>-0.17099999999999999</v>
      </c>
      <c r="S13" s="223" t="s">
        <v>151</v>
      </c>
      <c r="T13" s="78">
        <f t="shared" si="4"/>
        <v>-0.19600000000000001</v>
      </c>
      <c r="U13" s="78">
        <f t="shared" si="5"/>
        <v>4.9999999999999989E-2</v>
      </c>
      <c r="V13" s="111"/>
      <c r="W13" s="78">
        <v>-0.19600000000000001</v>
      </c>
      <c r="X13" s="111"/>
      <c r="Y13" s="78">
        <v>-0.19600000000000001</v>
      </c>
      <c r="Z13" s="222" t="e">
        <f ca="1">_xll.qlSimpleQuoteSetValue(G13,$Y13/100,Trigger)</f>
        <v>#NAME?</v>
      </c>
      <c r="AA13" s="130"/>
    </row>
    <row r="14" spans="1:30" ht="11.25" customHeight="1" x14ac:dyDescent="0.2">
      <c r="A14" s="236"/>
      <c r="B14" s="224" t="e">
        <f ca="1">_xll.qlECBdate(E14,,Trigger)</f>
        <v>#NAME?</v>
      </c>
      <c r="C14" s="86" t="str">
        <f t="shared" si="0"/>
        <v>ECB</v>
      </c>
      <c r="D14" s="87" t="str">
        <f t="shared" si="1"/>
        <v>OIS</v>
      </c>
      <c r="E14" s="86" t="e">
        <f ca="1">_xll.qlECBNextCode(B13,Trigger)</f>
        <v>#NAME?</v>
      </c>
      <c r="F14" s="85" t="e">
        <f t="shared" ca="1" si="2"/>
        <v>#NAME?</v>
      </c>
      <c r="G14" s="84" t="e">
        <f ca="1">_xll.qlSimpleQuote(Currency&amp;$C14&amp;$D14&amp;$E14&amp;QuoteSuffix,,RateTickValue,Permanent,Trigger,ObjectOverwrite)</f>
        <v>#NAME?</v>
      </c>
      <c r="H14" s="83" t="e">
        <f ca="1">_xll.ohRangeRetrieveError(G14)</f>
        <v>#NAME?</v>
      </c>
      <c r="I14" s="36" t="s">
        <v>148</v>
      </c>
      <c r="J14" s="30"/>
      <c r="K14" s="135"/>
      <c r="L14" s="219" t="s">
        <v>150</v>
      </c>
      <c r="M14" s="219" t="s">
        <v>146</v>
      </c>
      <c r="N14" s="219" t="s">
        <v>135</v>
      </c>
      <c r="O14" s="78" t="str">
        <f t="shared" si="3"/>
        <v>EURECBOISM10</v>
      </c>
      <c r="P14" s="186" t="str">
        <v>EURECBOISM10=ICAP</v>
      </c>
      <c r="Q14" s="78" t="s">
        <v>109</v>
      </c>
      <c r="R14" s="78" t="s">
        <v>109</v>
      </c>
      <c r="S14" s="219" t="s">
        <v>109</v>
      </c>
      <c r="T14" s="78" t="e">
        <f t="shared" si="4"/>
        <v>#NUM!</v>
      </c>
      <c r="U14" s="78" t="e">
        <f t="shared" si="5"/>
        <v>#NUM!</v>
      </c>
      <c r="V14" s="111"/>
      <c r="W14" s="78" t="e">
        <v>#NUM!</v>
      </c>
      <c r="X14" s="111"/>
      <c r="Y14" s="78" t="e">
        <v>#NUM!</v>
      </c>
      <c r="Z14" s="222" t="e">
        <f ca="1">_xll.qlSimpleQuoteSetValue(G14,$Y14/100,Trigger)</f>
        <v>#NAME?</v>
      </c>
      <c r="AA14" s="130"/>
    </row>
    <row r="15" spans="1:30" ht="11.25" customHeight="1" x14ac:dyDescent="0.2">
      <c r="A15" s="236"/>
      <c r="B15" s="224" t="e">
        <f ca="1">_xll.qlECBdate(E15,,Trigger)</f>
        <v>#NAME?</v>
      </c>
      <c r="C15" s="86" t="str">
        <f t="shared" si="0"/>
        <v>ECB</v>
      </c>
      <c r="D15" s="87" t="str">
        <f t="shared" si="1"/>
        <v>OIS</v>
      </c>
      <c r="E15" s="86" t="e">
        <f ca="1">_xll.qlECBNextCode(B14,Trigger)</f>
        <v>#NAME?</v>
      </c>
      <c r="F15" s="85" t="e">
        <f t="shared" ca="1" si="2"/>
        <v>#NAME?</v>
      </c>
      <c r="G15" s="84" t="e">
        <f ca="1">_xll.qlSimpleQuote(Currency&amp;$C15&amp;$D15&amp;$E15&amp;QuoteSuffix,,RateTickValue,Permanent,Trigger,ObjectOverwrite)</f>
        <v>#NAME?</v>
      </c>
      <c r="H15" s="83" t="e">
        <f ca="1">_xll.ohRangeRetrieveError(G15)</f>
        <v>#NAME?</v>
      </c>
      <c r="I15" s="36" t="s">
        <v>148</v>
      </c>
      <c r="J15" s="30"/>
      <c r="K15" s="135"/>
      <c r="L15" s="219" t="s">
        <v>149</v>
      </c>
      <c r="M15" s="219" t="s">
        <v>146</v>
      </c>
      <c r="N15" s="219" t="s">
        <v>135</v>
      </c>
      <c r="O15" s="78" t="str">
        <f t="shared" si="3"/>
        <v>EURECBOISM11</v>
      </c>
      <c r="P15" s="186" t="str">
        <v>EURECBOISM11=ICAP</v>
      </c>
      <c r="Q15" s="78" t="s">
        <v>109</v>
      </c>
      <c r="R15" s="78" t="s">
        <v>109</v>
      </c>
      <c r="S15" s="219" t="s">
        <v>109</v>
      </c>
      <c r="T15" s="78" t="e">
        <f t="shared" si="4"/>
        <v>#NUM!</v>
      </c>
      <c r="U15" s="78" t="e">
        <f t="shared" si="5"/>
        <v>#NUM!</v>
      </c>
      <c r="V15" s="111"/>
      <c r="W15" s="78" t="e">
        <v>#NUM!</v>
      </c>
      <c r="X15" s="111"/>
      <c r="Y15" s="78" t="e">
        <v>#NUM!</v>
      </c>
      <c r="Z15" s="222" t="e">
        <f ca="1">_xll.qlSimpleQuoteSetValue(G15,$Y15/100,Trigger)</f>
        <v>#NAME?</v>
      </c>
      <c r="AA15" s="130"/>
    </row>
    <row r="16" spans="1:30" ht="11.25" customHeight="1" x14ac:dyDescent="0.2">
      <c r="A16" s="236"/>
      <c r="B16" s="221" t="e">
        <f ca="1">_xll.qlECBdate(E16,,Trigger)</f>
        <v>#NAME?</v>
      </c>
      <c r="C16" s="75" t="str">
        <f t="shared" si="0"/>
        <v>ECB</v>
      </c>
      <c r="D16" s="76" t="str">
        <f t="shared" si="1"/>
        <v>OIS</v>
      </c>
      <c r="E16" s="75" t="e">
        <f ca="1">_xll.qlECBNextCode(B15,Trigger)</f>
        <v>#NAME?</v>
      </c>
      <c r="F16" s="74" t="e">
        <f t="shared" ca="1" si="2"/>
        <v>#NAME?</v>
      </c>
      <c r="G16" s="73" t="e">
        <f ca="1">_xll.qlSimpleQuote(Currency&amp;$C16&amp;$D16&amp;$E16&amp;QuoteSuffix,,RateTickValue,Permanent,Trigger,ObjectOverwrite)</f>
        <v>#NAME?</v>
      </c>
      <c r="H16" s="72" t="e">
        <f ca="1">_xll.ohRangeRetrieveError(G16)</f>
        <v>#NAME?</v>
      </c>
      <c r="I16" s="36" t="s">
        <v>148</v>
      </c>
      <c r="J16" s="30"/>
      <c r="K16" s="135"/>
      <c r="L16" s="219" t="s">
        <v>147</v>
      </c>
      <c r="M16" s="219" t="s">
        <v>146</v>
      </c>
      <c r="N16" s="219" t="s">
        <v>135</v>
      </c>
      <c r="O16" s="78" t="str">
        <f t="shared" si="3"/>
        <v>EURECBOISM12</v>
      </c>
      <c r="P16" s="186" t="str">
        <v>EURECBOISM12=ICAP</v>
      </c>
      <c r="Q16" s="78" t="s">
        <v>109</v>
      </c>
      <c r="R16" s="78" t="s">
        <v>109</v>
      </c>
      <c r="S16" s="219" t="s">
        <v>109</v>
      </c>
      <c r="T16" s="78" t="e">
        <f t="shared" si="4"/>
        <v>#NUM!</v>
      </c>
      <c r="U16" s="65" t="e">
        <f t="shared" si="5"/>
        <v>#NUM!</v>
      </c>
      <c r="V16" s="111"/>
      <c r="W16" s="65" t="e">
        <v>#NUM!</v>
      </c>
      <c r="X16" s="111"/>
      <c r="Y16" s="65" t="e">
        <v>#NUM!</v>
      </c>
      <c r="Z16" s="217" t="e">
        <f ca="1">_xll.qlSimpleQuoteSetValue(G16,$Y16/100,Trigger)</f>
        <v>#NAME?</v>
      </c>
      <c r="AA16" s="130"/>
    </row>
    <row r="17" spans="1:27" ht="11.25" customHeight="1" x14ac:dyDescent="0.2">
      <c r="A17" s="235"/>
      <c r="B17" s="234"/>
      <c r="C17" s="215"/>
      <c r="D17" s="215"/>
      <c r="E17" s="215"/>
      <c r="F17" s="215"/>
      <c r="G17" s="215"/>
      <c r="H17" s="215"/>
      <c r="I17" s="32"/>
      <c r="J17" s="30"/>
      <c r="K17" s="35"/>
      <c r="L17" s="172"/>
      <c r="M17" s="172"/>
      <c r="N17" s="172"/>
      <c r="O17" s="172"/>
      <c r="P17" s="172"/>
      <c r="Q17" s="172"/>
      <c r="R17" s="172"/>
      <c r="S17" s="172"/>
      <c r="T17" s="172"/>
      <c r="U17" s="34"/>
      <c r="V17" s="34"/>
      <c r="W17" s="34"/>
      <c r="X17" s="34"/>
      <c r="Y17" s="34"/>
      <c r="Z17" s="34"/>
      <c r="AA17" s="129"/>
    </row>
    <row r="18" spans="1:27" ht="11.25" customHeight="1" x14ac:dyDescent="0.2">
      <c r="J18" s="30"/>
    </row>
    <row r="29" spans="1:27" ht="11.25" customHeight="1" x14ac:dyDescent="0.2">
      <c r="K29" s="30"/>
      <c r="L29" s="30"/>
      <c r="M29" s="30"/>
      <c r="N29" s="30"/>
      <c r="O29" s="30"/>
      <c r="P29" s="30"/>
      <c r="Q29" s="30"/>
      <c r="R29" s="30"/>
      <c r="S29" s="30"/>
      <c r="T29" s="30"/>
      <c r="U29" s="30"/>
      <c r="V29" s="30"/>
      <c r="W29" s="30"/>
      <c r="X29" s="30"/>
      <c r="Y29" s="30"/>
      <c r="Z29" s="30"/>
      <c r="AA29" s="30"/>
    </row>
    <row r="30" spans="1:27" ht="11.25" customHeight="1" x14ac:dyDescent="0.2">
      <c r="K30" s="30"/>
      <c r="L30" s="30"/>
      <c r="M30" s="30"/>
      <c r="N30" s="30"/>
      <c r="O30" s="30"/>
      <c r="P30" s="30"/>
      <c r="Q30" s="30"/>
      <c r="R30" s="30"/>
      <c r="S30" s="30"/>
      <c r="T30" s="30"/>
      <c r="U30" s="30"/>
      <c r="V30" s="30"/>
      <c r="W30" s="30"/>
      <c r="X30" s="30"/>
      <c r="Y30" s="30"/>
      <c r="Z30" s="30"/>
      <c r="AA30" s="30"/>
    </row>
    <row r="31" spans="1:27" ht="11.25" customHeight="1" x14ac:dyDescent="0.2">
      <c r="K31" s="30"/>
      <c r="L31" s="30"/>
      <c r="M31" s="30"/>
      <c r="N31" s="30"/>
      <c r="O31" s="30"/>
      <c r="P31" s="30"/>
      <c r="Q31" s="30"/>
      <c r="R31" s="30"/>
      <c r="S31" s="30"/>
      <c r="T31" s="30"/>
      <c r="U31" s="30"/>
      <c r="V31" s="30"/>
      <c r="W31" s="30"/>
      <c r="X31" s="30"/>
      <c r="Y31" s="30"/>
      <c r="Z31" s="30"/>
      <c r="AA31" s="30"/>
    </row>
    <row r="32" spans="1:27" ht="11.25" customHeight="1" x14ac:dyDescent="0.2">
      <c r="K32" s="30"/>
      <c r="L32" s="30"/>
      <c r="M32" s="30"/>
      <c r="N32" s="30"/>
      <c r="O32" s="30"/>
      <c r="P32" s="30"/>
      <c r="Q32" s="30"/>
      <c r="R32" s="30"/>
      <c r="S32" s="30"/>
      <c r="T32" s="30"/>
      <c r="U32" s="30"/>
      <c r="V32" s="30"/>
      <c r="W32" s="30"/>
      <c r="X32" s="30"/>
      <c r="Y32" s="30"/>
      <c r="Z32" s="30"/>
      <c r="AA32" s="30"/>
    </row>
    <row r="33" spans="11:27" ht="11.25" customHeight="1" x14ac:dyDescent="0.2">
      <c r="K33" s="30"/>
      <c r="L33" s="30"/>
      <c r="M33" s="30"/>
      <c r="N33" s="30"/>
      <c r="O33" s="30"/>
      <c r="P33" s="30"/>
      <c r="Q33" s="30"/>
      <c r="R33" s="30"/>
      <c r="S33" s="30"/>
      <c r="T33" s="30"/>
      <c r="U33" s="30"/>
      <c r="V33" s="30"/>
      <c r="W33" s="30"/>
      <c r="X33" s="30"/>
      <c r="Y33" s="30"/>
      <c r="Z33" s="30"/>
      <c r="AA33" s="30"/>
    </row>
    <row r="34" spans="11:27" ht="11.25" customHeight="1" x14ac:dyDescent="0.2">
      <c r="K34" s="30"/>
      <c r="L34" s="30"/>
      <c r="M34" s="30"/>
      <c r="N34" s="30"/>
      <c r="O34" s="30"/>
      <c r="P34" s="30"/>
      <c r="Q34" s="30"/>
      <c r="R34" s="30"/>
      <c r="S34" s="30"/>
      <c r="T34" s="30"/>
      <c r="U34" s="30"/>
      <c r="V34" s="30"/>
      <c r="W34" s="30"/>
      <c r="X34" s="30"/>
      <c r="Y34" s="30"/>
      <c r="Z34" s="30"/>
      <c r="AA34" s="30"/>
    </row>
    <row r="35" spans="11:27" ht="11.25" customHeight="1" x14ac:dyDescent="0.2">
      <c r="K35" s="30"/>
      <c r="L35" s="30"/>
      <c r="M35" s="30"/>
      <c r="N35" s="30"/>
      <c r="O35" s="30"/>
      <c r="P35" s="30"/>
      <c r="Q35" s="30"/>
      <c r="R35" s="30"/>
      <c r="S35" s="30"/>
      <c r="T35" s="30"/>
      <c r="U35" s="30"/>
      <c r="V35" s="30"/>
      <c r="W35" s="30"/>
      <c r="X35" s="30"/>
      <c r="Y35" s="30"/>
      <c r="Z35" s="30"/>
      <c r="AA35" s="30"/>
    </row>
    <row r="36" spans="11:27" ht="11.25" customHeight="1" x14ac:dyDescent="0.2">
      <c r="K36" s="30"/>
      <c r="L36" s="30"/>
      <c r="M36" s="30"/>
      <c r="N36" s="30"/>
      <c r="O36" s="30"/>
      <c r="P36" s="30"/>
      <c r="Q36" s="30"/>
      <c r="R36" s="30"/>
      <c r="S36" s="30"/>
      <c r="T36" s="30"/>
      <c r="U36" s="30"/>
      <c r="V36" s="30"/>
      <c r="W36" s="30"/>
      <c r="X36" s="30"/>
      <c r="Y36" s="30"/>
      <c r="Z36" s="30"/>
      <c r="AA36" s="30"/>
    </row>
    <row r="37" spans="11:27" ht="11.25" customHeight="1" x14ac:dyDescent="0.2">
      <c r="K37" s="30"/>
      <c r="L37" s="30"/>
      <c r="M37" s="30"/>
      <c r="N37" s="30"/>
      <c r="O37" s="30"/>
      <c r="P37" s="30"/>
      <c r="Q37" s="30"/>
      <c r="R37" s="30"/>
      <c r="S37" s="30"/>
      <c r="T37" s="30"/>
      <c r="U37" s="30"/>
      <c r="V37" s="30"/>
      <c r="W37" s="30"/>
      <c r="X37" s="30"/>
      <c r="Y37" s="30"/>
      <c r="Z37" s="30"/>
      <c r="AA37" s="30"/>
    </row>
    <row r="38" spans="11:27" ht="11.25" customHeight="1" x14ac:dyDescent="0.2">
      <c r="K38" s="30"/>
      <c r="L38" s="30"/>
      <c r="M38" s="30"/>
      <c r="N38" s="30"/>
      <c r="O38" s="30"/>
      <c r="P38" s="30"/>
      <c r="Q38" s="30"/>
      <c r="R38" s="30"/>
      <c r="S38" s="30"/>
      <c r="T38" s="30"/>
      <c r="U38" s="30"/>
      <c r="V38" s="30"/>
      <c r="W38" s="30"/>
      <c r="X38" s="30"/>
      <c r="Y38" s="30"/>
      <c r="Z38" s="30"/>
      <c r="AA38" s="30"/>
    </row>
    <row r="39" spans="11:27" ht="11.25" customHeight="1" x14ac:dyDescent="0.2">
      <c r="K39" s="30"/>
      <c r="L39" s="30"/>
      <c r="M39" s="30"/>
      <c r="N39" s="30"/>
      <c r="O39" s="30"/>
      <c r="P39" s="30"/>
      <c r="Q39" s="30"/>
      <c r="R39" s="30"/>
      <c r="S39" s="30"/>
      <c r="T39" s="30"/>
      <c r="U39" s="30"/>
      <c r="V39" s="30"/>
      <c r="W39" s="30"/>
      <c r="X39" s="30"/>
      <c r="Y39" s="30"/>
      <c r="Z39" s="30"/>
      <c r="AA39" s="30"/>
    </row>
    <row r="40" spans="11:27" ht="11.25" customHeight="1" x14ac:dyDescent="0.2">
      <c r="K40" s="30"/>
      <c r="L40" s="30"/>
      <c r="M40" s="30"/>
      <c r="N40" s="30"/>
      <c r="O40" s="30"/>
      <c r="P40" s="30"/>
      <c r="Q40" s="30"/>
      <c r="R40" s="30"/>
      <c r="S40" s="30"/>
      <c r="T40" s="30"/>
      <c r="U40" s="30"/>
      <c r="V40" s="30"/>
      <c r="W40" s="30"/>
      <c r="X40" s="30"/>
      <c r="Y40" s="30"/>
      <c r="Z40" s="30"/>
      <c r="AA40" s="30"/>
    </row>
  </sheetData>
  <dataValidations count="1">
    <dataValidation showInputMessage="1" showErrorMessage="1" sqref="P2"/>
  </dataValidation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E33"/>
  <sheetViews>
    <sheetView topLeftCell="K1" workbookViewId="0">
      <selection activeCell="AE2" sqref="AE2:AE3"/>
    </sheetView>
  </sheetViews>
  <sheetFormatPr defaultRowHeight="11.25" customHeight="1" outlineLevelCol="1" x14ac:dyDescent="0.2"/>
  <cols>
    <col min="1" max="1" width="2.7109375" style="1" hidden="1" customWidth="1" outlineLevel="1"/>
    <col min="2" max="3" width="4" style="1" hidden="1" customWidth="1" outlineLevel="1"/>
    <col min="4" max="4" width="6" style="1" hidden="1" customWidth="1" outlineLevel="1"/>
    <col min="5" max="7" width="21.42578125" style="1" hidden="1" customWidth="1" outlineLevel="1"/>
    <col min="8" max="8" width="20.28515625" style="1" hidden="1" customWidth="1" outlineLevel="1"/>
    <col min="9" max="9" width="32.85546875" style="1" hidden="1" customWidth="1" outlineLevel="1"/>
    <col min="10" max="10" width="2.7109375" style="1" hidden="1" customWidth="1" outlineLevel="1"/>
    <col min="11" max="11" width="2.7109375" style="1" customWidth="1" collapsed="1"/>
    <col min="12" max="12" width="2.7109375" style="1" customWidth="1"/>
    <col min="13" max="15" width="4.28515625" style="1" customWidth="1"/>
    <col min="16" max="16" width="14.7109375" style="1" customWidth="1"/>
    <col min="17" max="17" width="18.7109375" style="1" customWidth="1"/>
    <col min="18" max="22" width="10.7109375" style="1" customWidth="1"/>
    <col min="23" max="23" width="2.7109375" style="1" customWidth="1"/>
    <col min="24" max="24" width="10.7109375" style="1" customWidth="1"/>
    <col min="25" max="25" width="2.7109375" style="1" customWidth="1"/>
    <col min="26" max="27" width="10.7109375" style="1" customWidth="1"/>
    <col min="28" max="28" width="2.7109375" style="1" customWidth="1"/>
    <col min="29" max="29" width="9.140625" style="1"/>
    <col min="30" max="30" width="9.85546875" style="1" bestFit="1" customWidth="1"/>
    <col min="31" max="16384" width="9.140625" style="1"/>
  </cols>
  <sheetData>
    <row r="1" spans="1:31" ht="11.25" customHeight="1" thickBot="1" x14ac:dyDescent="0.25">
      <c r="A1" s="178"/>
      <c r="B1" s="54"/>
      <c r="C1" s="54"/>
      <c r="D1" s="54"/>
      <c r="E1" s="54"/>
      <c r="F1" s="54"/>
      <c r="G1" s="54"/>
      <c r="H1" s="54"/>
      <c r="I1" s="54"/>
      <c r="J1" s="53"/>
      <c r="L1" s="233" t="s">
        <v>145</v>
      </c>
      <c r="M1" s="232"/>
      <c r="N1" s="232"/>
      <c r="O1" s="232"/>
      <c r="P1" s="232"/>
      <c r="Q1" s="232"/>
      <c r="R1" s="232"/>
      <c r="S1" s="232"/>
      <c r="T1" s="232"/>
      <c r="U1" s="232"/>
      <c r="V1" s="232"/>
      <c r="W1" s="232"/>
      <c r="X1" s="232"/>
      <c r="Y1" s="232"/>
      <c r="Z1" s="232"/>
      <c r="AA1" s="232"/>
      <c r="AB1" s="231"/>
    </row>
    <row r="2" spans="1:31" ht="11.25" customHeight="1" x14ac:dyDescent="0.25">
      <c r="A2" s="121"/>
      <c r="B2" s="109"/>
      <c r="C2" s="109"/>
      <c r="D2" s="109"/>
      <c r="E2" s="109"/>
      <c r="F2" s="109"/>
      <c r="G2" s="109"/>
      <c r="H2" s="109"/>
      <c r="I2" s="109"/>
      <c r="J2" s="120"/>
      <c r="L2" s="113"/>
      <c r="M2" s="110"/>
      <c r="N2" s="110"/>
      <c r="O2" s="110"/>
      <c r="P2" s="110"/>
      <c r="Q2" s="119" t="str">
        <f>VLOOKUP(L1,AreaTable,2,FALSE)</f>
        <v>ICAP</v>
      </c>
      <c r="R2" s="110"/>
      <c r="S2" s="110"/>
      <c r="T2" s="110"/>
      <c r="U2" s="110"/>
      <c r="V2" s="110"/>
      <c r="W2" s="111"/>
      <c r="X2" s="111"/>
      <c r="Y2" s="111"/>
      <c r="Z2" s="111"/>
      <c r="AA2" s="118" t="e">
        <f ca="1">_xll.ohTrigger(AA5:AA9)</f>
        <v>#NAME?</v>
      </c>
      <c r="AB2" s="36"/>
      <c r="AD2" s="1361" t="s">
        <v>529</v>
      </c>
      <c r="AE2" s="1364" t="e">
        <f ca="1">_xll.ohTrigger('General Settings'!Trigger)</f>
        <v>#NAME?</v>
      </c>
    </row>
    <row r="3" spans="1:31" ht="11.25" customHeight="1" thickBot="1" x14ac:dyDescent="0.3">
      <c r="A3" s="117"/>
      <c r="B3" s="116"/>
      <c r="C3" s="116"/>
      <c r="D3" s="116"/>
      <c r="E3" s="115"/>
      <c r="F3" s="115" t="s">
        <v>127</v>
      </c>
      <c r="G3" s="115"/>
      <c r="H3" s="115"/>
      <c r="I3" s="109"/>
      <c r="J3" s="114"/>
      <c r="L3" s="135"/>
      <c r="M3" s="111"/>
      <c r="N3" s="110"/>
      <c r="O3" s="110"/>
      <c r="P3" s="110"/>
      <c r="Q3" s="110"/>
      <c r="R3" s="110"/>
      <c r="S3" s="110"/>
      <c r="T3" s="110"/>
      <c r="U3" s="110"/>
      <c r="V3" s="110"/>
      <c r="W3" s="111"/>
      <c r="X3" s="111"/>
      <c r="Y3" s="111"/>
      <c r="Z3" s="110"/>
      <c r="AA3" s="230"/>
      <c r="AB3" s="130"/>
      <c r="AD3" s="1362" t="s">
        <v>530</v>
      </c>
      <c r="AE3" s="1365" t="e">
        <f ca="1">_xll.ohTrigger(AA5:AA9)</f>
        <v>#NAME?</v>
      </c>
    </row>
    <row r="4" spans="1:31" ht="21" customHeight="1" x14ac:dyDescent="0.2">
      <c r="A4" s="113"/>
      <c r="B4" s="52"/>
      <c r="C4" s="52"/>
      <c r="D4" s="107" t="s">
        <v>144</v>
      </c>
      <c r="E4" s="107" t="s">
        <v>91</v>
      </c>
      <c r="F4" s="52" t="s">
        <v>143</v>
      </c>
      <c r="G4" s="52" t="s">
        <v>142</v>
      </c>
      <c r="H4" s="52" t="s">
        <v>141</v>
      </c>
      <c r="I4" s="150"/>
      <c r="J4" s="36"/>
      <c r="L4" s="135"/>
      <c r="M4" s="101"/>
      <c r="N4" s="101"/>
      <c r="O4" s="101"/>
      <c r="P4" s="101" t="s">
        <v>101</v>
      </c>
      <c r="Q4" s="105" t="e">
        <f ca="1">_xll.RData(Q5:Q9,R4:T4,,ReutersRtMode,,R5)</f>
        <v>#NAME?</v>
      </c>
      <c r="R4" s="101" t="s">
        <v>84</v>
      </c>
      <c r="S4" s="101" t="s">
        <v>83</v>
      </c>
      <c r="T4" s="101" t="s">
        <v>140</v>
      </c>
      <c r="U4" s="104" t="s">
        <v>80</v>
      </c>
      <c r="V4" s="103" t="s">
        <v>79</v>
      </c>
      <c r="W4" s="111"/>
      <c r="X4" s="103" t="s">
        <v>78</v>
      </c>
      <c r="Y4" s="111"/>
      <c r="Z4" s="103" t="s">
        <v>77</v>
      </c>
      <c r="AA4" s="103" t="s">
        <v>76</v>
      </c>
      <c r="AB4" s="130"/>
    </row>
    <row r="5" spans="1:31" ht="11.25" customHeight="1" x14ac:dyDescent="0.2">
      <c r="A5" s="71"/>
      <c r="B5" s="229"/>
      <c r="C5" s="97" t="s">
        <v>135</v>
      </c>
      <c r="D5" s="98" t="e">
        <f ca="1">_xll.qlIMMNextCode(EvaluationDate,,Trigger)</f>
        <v>#NAME?</v>
      </c>
      <c r="E5" s="97" t="e">
        <f ca="1">Currency&amp;$B5&amp;$C5&amp;$D5&amp;QuoteSuffix</f>
        <v>#NAME?</v>
      </c>
      <c r="F5" s="95" t="e">
        <f ca="1">Currency&amp;"FUT"&amp;$F$3&amp;D5&amp;QuoteSuffix</f>
        <v>#NAME?</v>
      </c>
      <c r="G5" s="95" t="e">
        <f ca="1">_xll.qlSimpleQuote(Currency&amp;N5&amp;O5&amp;M5&amp;QuoteSuffix,,RateTickValue,Permanent,Trigger,ObjectOverwrite)</f>
        <v>#NAME?</v>
      </c>
      <c r="H5" s="95" t="e">
        <f ca="1">_xll.qlCompositeQuote(Currency&amp;$B5&amp;$C5&amp;$D5&amp;QuoteSuffix,F5,G5,"+",Permanent,ISERROR(Futures3M!$F$5:$F$46),ObjectOverwrite)</f>
        <v>#NAME?</v>
      </c>
      <c r="I5" s="94" t="e">
        <f ca="1">_xll.ohRangeRetrieveError(H5)</f>
        <v>#NAME?</v>
      </c>
      <c r="J5" s="36"/>
      <c r="K5" s="30"/>
      <c r="L5" s="135"/>
      <c r="M5" s="228" t="s">
        <v>134</v>
      </c>
      <c r="N5" s="228" t="s">
        <v>133</v>
      </c>
      <c r="O5" s="227">
        <v>1</v>
      </c>
      <c r="P5" s="89" t="str">
        <f>Currency&amp;$N5&amp;$O5&amp;$M5</f>
        <v>EURF1SP</v>
      </c>
      <c r="Q5" s="226" t="str">
        <f t="array" ref="Q5:Q9">Instruments&amp;"="&amp;VLOOKUP($Q$2,ContributorTable,2,FALSE)</f>
        <v>EURF1SP=ICAP</v>
      </c>
      <c r="R5" s="89">
        <v>8.5</v>
      </c>
      <c r="S5" s="89">
        <v>13.5</v>
      </c>
      <c r="T5" s="225" t="s">
        <v>139</v>
      </c>
      <c r="U5" s="89">
        <f>IF(ISERROR(AVERAGE(R5,S5)),#NUM!,AVERAGE(R5,S5))</f>
        <v>11</v>
      </c>
      <c r="V5" s="78">
        <f>(U5-R5)*2</f>
        <v>5</v>
      </c>
      <c r="W5" s="111"/>
      <c r="X5" s="78">
        <v>11</v>
      </c>
      <c r="Y5" s="111"/>
      <c r="Z5" s="219">
        <f t="array" ref="Z5:Z9">QuoteStatic</f>
        <v>11</v>
      </c>
      <c r="AA5" s="222" t="e">
        <f ca="1">_xll.qlSimpleQuoteSetValue(G5,Z5/100,Trigger)</f>
        <v>#NAME?</v>
      </c>
      <c r="AB5" s="130"/>
    </row>
    <row r="6" spans="1:31" ht="11.25" customHeight="1" x14ac:dyDescent="0.2">
      <c r="A6" s="71"/>
      <c r="B6" s="224"/>
      <c r="C6" s="86" t="s">
        <v>135</v>
      </c>
      <c r="D6" s="87" t="e">
        <f ca="1">_xll.qlIMMNextCode(D5,,Trigger)</f>
        <v>#NAME?</v>
      </c>
      <c r="E6" s="86" t="e">
        <f ca="1">Currency&amp;$B6&amp;$C6&amp;$D6&amp;QuoteSuffix</f>
        <v>#NAME?</v>
      </c>
      <c r="F6" s="84" t="e">
        <f ca="1">Currency&amp;"FUT"&amp;$F$3&amp;D6&amp;QuoteSuffix</f>
        <v>#NAME?</v>
      </c>
      <c r="G6" s="84" t="e">
        <f ca="1">_xll.qlSimpleQuote(Currency&amp;N6&amp;O6&amp;M6&amp;QuoteSuffix,,RateTickValue,Permanent,Trigger,ObjectOverwrite)</f>
        <v>#NAME?</v>
      </c>
      <c r="H6" s="84" t="e">
        <f ca="1">_xll.qlCompositeQuote(Currency&amp;$B6&amp;$C6&amp;$D6&amp;QuoteSuffix,F6,G6,"+",Permanent,ISERROR(Futures3M!$F$5:$F$46),ObjectOverwrite)</f>
        <v>#NAME?</v>
      </c>
      <c r="I6" s="83" t="e">
        <f ca="1">_xll.ohRangeRetrieveError(H6)</f>
        <v>#NAME?</v>
      </c>
      <c r="J6" s="36"/>
      <c r="K6" s="30"/>
      <c r="L6" s="135"/>
      <c r="M6" s="219" t="s">
        <v>134</v>
      </c>
      <c r="N6" s="219" t="s">
        <v>133</v>
      </c>
      <c r="O6" s="220">
        <v>2</v>
      </c>
      <c r="P6" s="78" t="str">
        <f>Currency&amp;$N6&amp;$O6&amp;$M6</f>
        <v>EURF2SP</v>
      </c>
      <c r="Q6" s="186" t="str">
        <v>EURF2SP=ICAP</v>
      </c>
      <c r="R6" s="78">
        <v>9.6999999999999993</v>
      </c>
      <c r="S6" s="78">
        <v>14.7</v>
      </c>
      <c r="T6" s="223" t="s">
        <v>138</v>
      </c>
      <c r="U6" s="78">
        <f>IF(ISERROR(AVERAGE(R6,S6)),#NUM!,AVERAGE(R6,S6))</f>
        <v>12.2</v>
      </c>
      <c r="V6" s="78">
        <f>(U6-R6)*2</f>
        <v>5</v>
      </c>
      <c r="W6" s="111"/>
      <c r="X6" s="78">
        <v>12.2</v>
      </c>
      <c r="Y6" s="111"/>
      <c r="Z6" s="219">
        <v>12.2</v>
      </c>
      <c r="AA6" s="222" t="e">
        <f ca="1">_xll.qlSimpleQuoteSetValue(G6,Z6/100,Trigger)</f>
        <v>#NAME?</v>
      </c>
      <c r="AB6" s="130"/>
    </row>
    <row r="7" spans="1:31" ht="11.25" customHeight="1" x14ac:dyDescent="0.2">
      <c r="A7" s="71"/>
      <c r="B7" s="224"/>
      <c r="C7" s="86" t="s">
        <v>135</v>
      </c>
      <c r="D7" s="87" t="e">
        <f ca="1">_xll.qlIMMNextCode(D6,,Trigger)</f>
        <v>#NAME?</v>
      </c>
      <c r="E7" s="86" t="e">
        <f ca="1">Currency&amp;$B7&amp;$C7&amp;$D7&amp;QuoteSuffix</f>
        <v>#NAME?</v>
      </c>
      <c r="F7" s="84" t="e">
        <f ca="1">Currency&amp;"FUT"&amp;$F$3&amp;D7&amp;QuoteSuffix</f>
        <v>#NAME?</v>
      </c>
      <c r="G7" s="84" t="e">
        <f ca="1">_xll.qlSimpleQuote(Currency&amp;N7&amp;O7&amp;M7&amp;QuoteSuffix,,RateTickValue,Permanent,Trigger,ObjectOverwrite)</f>
        <v>#NAME?</v>
      </c>
      <c r="H7" s="84" t="e">
        <f ca="1">_xll.qlCompositeQuote(Currency&amp;$B7&amp;$C7&amp;$D7&amp;QuoteSuffix,F7,G7,"+",Permanent,ISERROR(Futures3M!$F$5:$F$46),ObjectOverwrite)</f>
        <v>#NAME?</v>
      </c>
      <c r="I7" s="83" t="e">
        <f ca="1">_xll.ohRangeRetrieveError(H7)</f>
        <v>#NAME?</v>
      </c>
      <c r="J7" s="36"/>
      <c r="K7" s="30"/>
      <c r="L7" s="135"/>
      <c r="M7" s="219" t="s">
        <v>134</v>
      </c>
      <c r="N7" s="219" t="s">
        <v>133</v>
      </c>
      <c r="O7" s="220">
        <v>3</v>
      </c>
      <c r="P7" s="78" t="str">
        <f>Currency&amp;$N7&amp;$O7&amp;$M7</f>
        <v>EURF3SP</v>
      </c>
      <c r="Q7" s="186" t="str">
        <v>EURF3SP=ICAP</v>
      </c>
      <c r="R7" s="78">
        <v>10.4</v>
      </c>
      <c r="S7" s="78">
        <v>15.4</v>
      </c>
      <c r="T7" s="223" t="s">
        <v>137</v>
      </c>
      <c r="U7" s="78">
        <f>IF(ISERROR(AVERAGE(R7,S7)),#NUM!,AVERAGE(R7,S7))</f>
        <v>12.9</v>
      </c>
      <c r="V7" s="78">
        <f>(U7-R7)*2</f>
        <v>5</v>
      </c>
      <c r="W7" s="111"/>
      <c r="X7" s="78">
        <v>12.9</v>
      </c>
      <c r="Y7" s="111"/>
      <c r="Z7" s="219">
        <v>12.9</v>
      </c>
      <c r="AA7" s="222" t="e">
        <f ca="1">_xll.qlSimpleQuoteSetValue(G7,Z7/100,Trigger)</f>
        <v>#NAME?</v>
      </c>
      <c r="AB7" s="130"/>
    </row>
    <row r="8" spans="1:31" ht="11.25" customHeight="1" x14ac:dyDescent="0.2">
      <c r="A8" s="135"/>
      <c r="B8" s="224"/>
      <c r="C8" s="86" t="s">
        <v>135</v>
      </c>
      <c r="D8" s="87" t="e">
        <f ca="1">_xll.qlIMMNextCode(D7,,Trigger)</f>
        <v>#NAME?</v>
      </c>
      <c r="E8" s="86" t="e">
        <f ca="1">Currency&amp;$B8&amp;$C8&amp;$D8&amp;QuoteSuffix</f>
        <v>#NAME?</v>
      </c>
      <c r="F8" s="84" t="e">
        <f ca="1">Currency&amp;"FUT"&amp;$F$3&amp;D8&amp;QuoteSuffix</f>
        <v>#NAME?</v>
      </c>
      <c r="G8" s="84" t="e">
        <f ca="1">_xll.qlSimpleQuote(Currency&amp;N8&amp;O8&amp;M8&amp;QuoteSuffix,,RateTickValue,Permanent,Trigger,ObjectOverwrite)</f>
        <v>#NAME?</v>
      </c>
      <c r="H8" s="84" t="e">
        <f ca="1">_xll.qlCompositeQuote(Currency&amp;$B8&amp;$C8&amp;$D8&amp;QuoteSuffix,F8,G8,"+",Permanent,ISERROR(Futures3M!$F$5:$F$46),ObjectOverwrite)</f>
        <v>#NAME?</v>
      </c>
      <c r="I8" s="83" t="e">
        <f ca="1">_xll.ohRangeRetrieveError(H8)</f>
        <v>#NAME?</v>
      </c>
      <c r="J8" s="36"/>
      <c r="K8" s="30"/>
      <c r="L8" s="135"/>
      <c r="M8" s="219" t="s">
        <v>134</v>
      </c>
      <c r="N8" s="219" t="s">
        <v>133</v>
      </c>
      <c r="O8" s="220">
        <v>4</v>
      </c>
      <c r="P8" s="78" t="str">
        <f>Currency&amp;$N8&amp;$O8&amp;$M8</f>
        <v>EURF4SP</v>
      </c>
      <c r="Q8" s="186" t="str">
        <v>EURF4SP=ICAP</v>
      </c>
      <c r="R8" s="78">
        <v>10.8</v>
      </c>
      <c r="S8" s="78">
        <v>15.8</v>
      </c>
      <c r="T8" s="223" t="s">
        <v>136</v>
      </c>
      <c r="U8" s="78">
        <f>IF(ISERROR(AVERAGE(R8,S8)),#NUM!,AVERAGE(R8,S8))</f>
        <v>13.3</v>
      </c>
      <c r="V8" s="78">
        <f>(U8-R8)*2</f>
        <v>5</v>
      </c>
      <c r="W8" s="111"/>
      <c r="X8" s="78">
        <v>13.3</v>
      </c>
      <c r="Y8" s="111"/>
      <c r="Z8" s="219">
        <v>13.3</v>
      </c>
      <c r="AA8" s="222" t="e">
        <f ca="1">_xll.qlSimpleQuoteSetValue(G8,Z8/100,Trigger)</f>
        <v>#NAME?</v>
      </c>
      <c r="AB8" s="130"/>
    </row>
    <row r="9" spans="1:31" ht="11.25" customHeight="1" x14ac:dyDescent="0.2">
      <c r="A9" s="135"/>
      <c r="B9" s="221"/>
      <c r="C9" s="75" t="s">
        <v>135</v>
      </c>
      <c r="D9" s="76" t="e">
        <f ca="1">_xll.qlIMMNextCode(D8,,Trigger)</f>
        <v>#NAME?</v>
      </c>
      <c r="E9" s="75" t="e">
        <f ca="1">Currency&amp;$B9&amp;$C9&amp;$D9&amp;QuoteSuffix</f>
        <v>#NAME?</v>
      </c>
      <c r="F9" s="73" t="e">
        <f ca="1">Currency&amp;"FUT"&amp;$F$3&amp;D9&amp;QuoteSuffix</f>
        <v>#NAME?</v>
      </c>
      <c r="G9" s="73" t="e">
        <f ca="1">_xll.qlSimpleQuote(Currency&amp;N9&amp;O9&amp;M9&amp;QuoteSuffix,,RateTickValue,Permanent,Trigger,ObjectOverwrite)</f>
        <v>#NAME?</v>
      </c>
      <c r="H9" s="73" t="e">
        <f ca="1">_xll.qlCompositeQuote(Currency&amp;$B9&amp;$C9&amp;$D9&amp;QuoteSuffix,F9,G9,"+",Permanent,ISERROR(Futures3M!$F$5:$F$46),ObjectOverwrite)</f>
        <v>#NAME?</v>
      </c>
      <c r="I9" s="72" t="e">
        <f ca="1">_xll.ohRangeRetrieveError(H9)</f>
        <v>#NAME?</v>
      </c>
      <c r="J9" s="36"/>
      <c r="K9" s="30"/>
      <c r="L9" s="135"/>
      <c r="M9" s="219" t="s">
        <v>134</v>
      </c>
      <c r="N9" s="219" t="s">
        <v>133</v>
      </c>
      <c r="O9" s="220">
        <v>5</v>
      </c>
      <c r="P9" s="78" t="str">
        <f>Currency&amp;$N9&amp;$O9&amp;$M9</f>
        <v>EURF5SP</v>
      </c>
      <c r="Q9" s="186" t="str">
        <v>EURF5SP=ICAP</v>
      </c>
      <c r="R9" s="78" t="s">
        <v>132</v>
      </c>
      <c r="S9" s="78" t="s">
        <v>132</v>
      </c>
      <c r="T9" s="219" t="s">
        <v>132</v>
      </c>
      <c r="U9" s="78" t="e">
        <f>IF(ISERROR(AVERAGE(R9,S9)),#NUM!,AVERAGE(R9,S9))</f>
        <v>#NUM!</v>
      </c>
      <c r="V9" s="65" t="e">
        <f>(U9-R9)*2</f>
        <v>#NUM!</v>
      </c>
      <c r="W9" s="111"/>
      <c r="X9" s="78" t="e">
        <v>#NUM!</v>
      </c>
      <c r="Y9" s="111"/>
      <c r="Z9" s="218" t="e">
        <v>#NUM!</v>
      </c>
      <c r="AA9" s="217" t="e">
        <f ca="1">_xll.qlSimpleQuoteSetValue(G9,Z9/100,Trigger)</f>
        <v>#NAME?</v>
      </c>
      <c r="AB9" s="130"/>
    </row>
    <row r="10" spans="1:31" ht="11.25" customHeight="1" x14ac:dyDescent="0.2">
      <c r="A10" s="216"/>
      <c r="B10" s="215"/>
      <c r="C10" s="215"/>
      <c r="D10" s="215"/>
      <c r="E10" s="215"/>
      <c r="F10" s="215"/>
      <c r="G10" s="215"/>
      <c r="H10" s="215"/>
      <c r="I10" s="215"/>
      <c r="J10" s="32"/>
      <c r="K10" s="30"/>
      <c r="L10" s="35"/>
      <c r="M10" s="172"/>
      <c r="N10" s="172"/>
      <c r="O10" s="172"/>
      <c r="P10" s="172"/>
      <c r="Q10" s="172"/>
      <c r="R10" s="172"/>
      <c r="S10" s="172"/>
      <c r="T10" s="172"/>
      <c r="U10" s="172"/>
      <c r="V10" s="34"/>
      <c r="W10" s="34"/>
      <c r="X10" s="172"/>
      <c r="Y10" s="34"/>
      <c r="Z10" s="34"/>
      <c r="AA10" s="34"/>
      <c r="AB10" s="129"/>
    </row>
    <row r="11" spans="1:31" ht="11.25" customHeight="1" x14ac:dyDescent="0.2">
      <c r="K11" s="30"/>
    </row>
    <row r="12" spans="1:31" ht="11.25" customHeight="1" x14ac:dyDescent="0.2">
      <c r="G12" s="214"/>
    </row>
    <row r="13" spans="1:31" ht="11.25" customHeight="1" x14ac:dyDescent="0.2">
      <c r="G13" s="214"/>
    </row>
    <row r="14" spans="1:31" ht="11.25" customHeight="1" x14ac:dyDescent="0.2">
      <c r="G14" s="214"/>
    </row>
    <row r="15" spans="1:31" ht="11.25" customHeight="1" x14ac:dyDescent="0.2">
      <c r="G15" s="214"/>
    </row>
    <row r="22" spans="12:28" ht="11.25" customHeight="1" x14ac:dyDescent="0.2">
      <c r="L22" s="30"/>
      <c r="M22" s="30"/>
      <c r="N22" s="30"/>
      <c r="O22" s="30"/>
      <c r="P22" s="30"/>
      <c r="Q22" s="30"/>
      <c r="R22" s="30"/>
      <c r="S22" s="30"/>
      <c r="T22" s="30"/>
      <c r="U22" s="30"/>
      <c r="V22" s="30"/>
      <c r="W22" s="30"/>
      <c r="X22" s="30"/>
      <c r="Y22" s="30"/>
      <c r="Z22" s="30"/>
      <c r="AA22" s="30"/>
      <c r="AB22" s="30"/>
    </row>
    <row r="23" spans="12:28" ht="11.25" customHeight="1" x14ac:dyDescent="0.2">
      <c r="L23" s="30"/>
      <c r="M23" s="30"/>
      <c r="N23" s="30"/>
      <c r="O23" s="30"/>
      <c r="P23" s="30"/>
      <c r="Q23" s="30"/>
      <c r="R23" s="30"/>
      <c r="S23" s="30"/>
      <c r="T23" s="30"/>
      <c r="U23" s="30"/>
      <c r="V23" s="30"/>
      <c r="W23" s="30"/>
      <c r="X23" s="30"/>
      <c r="Y23" s="30"/>
      <c r="Z23" s="30"/>
      <c r="AA23" s="30"/>
      <c r="AB23" s="30"/>
    </row>
    <row r="24" spans="12:28" ht="11.25" customHeight="1" x14ac:dyDescent="0.2">
      <c r="L24" s="30"/>
      <c r="M24" s="30"/>
      <c r="N24" s="30"/>
      <c r="O24" s="30"/>
      <c r="P24" s="30"/>
      <c r="Q24" s="30"/>
      <c r="R24" s="30"/>
      <c r="S24" s="30"/>
      <c r="T24" s="30"/>
      <c r="U24" s="30"/>
      <c r="V24" s="30"/>
      <c r="W24" s="30"/>
      <c r="X24" s="30"/>
      <c r="Y24" s="30"/>
      <c r="Z24" s="30"/>
      <c r="AA24" s="30"/>
      <c r="AB24" s="30"/>
    </row>
    <row r="25" spans="12:28" ht="11.25" customHeight="1" x14ac:dyDescent="0.2">
      <c r="L25" s="30"/>
      <c r="M25" s="30"/>
      <c r="N25" s="30"/>
      <c r="O25" s="30"/>
      <c r="P25" s="30"/>
      <c r="Q25" s="30"/>
      <c r="R25" s="30"/>
      <c r="S25" s="30"/>
      <c r="T25" s="30"/>
      <c r="U25" s="30"/>
      <c r="V25" s="30"/>
      <c r="W25" s="30"/>
      <c r="X25" s="30"/>
      <c r="Y25" s="30"/>
      <c r="Z25" s="30"/>
      <c r="AA25" s="30"/>
      <c r="AB25" s="30"/>
    </row>
    <row r="26" spans="12:28" ht="11.25" customHeight="1" x14ac:dyDescent="0.2">
      <c r="L26" s="30"/>
      <c r="M26" s="30"/>
      <c r="N26" s="30"/>
      <c r="O26" s="30"/>
      <c r="P26" s="30"/>
      <c r="Q26" s="30"/>
      <c r="R26" s="30"/>
      <c r="S26" s="30"/>
      <c r="T26" s="30"/>
      <c r="U26" s="30"/>
      <c r="V26" s="30"/>
      <c r="W26" s="30"/>
      <c r="X26" s="30"/>
      <c r="Y26" s="30"/>
      <c r="Z26" s="30"/>
      <c r="AA26" s="30"/>
      <c r="AB26" s="30"/>
    </row>
    <row r="27" spans="12:28" ht="11.25" customHeight="1" x14ac:dyDescent="0.2">
      <c r="L27" s="30"/>
      <c r="M27" s="30"/>
      <c r="N27" s="30"/>
      <c r="O27" s="30"/>
      <c r="P27" s="30"/>
      <c r="Q27" s="30"/>
      <c r="R27" s="30"/>
      <c r="S27" s="30"/>
      <c r="T27" s="30"/>
      <c r="U27" s="30"/>
      <c r="V27" s="30"/>
      <c r="W27" s="30"/>
      <c r="X27" s="30"/>
      <c r="Y27" s="30"/>
      <c r="Z27" s="30"/>
      <c r="AA27" s="30"/>
      <c r="AB27" s="30"/>
    </row>
    <row r="28" spans="12:28" ht="11.25" customHeight="1" x14ac:dyDescent="0.2">
      <c r="L28" s="30"/>
      <c r="M28" s="30"/>
      <c r="N28" s="30"/>
      <c r="O28" s="30"/>
      <c r="P28" s="30"/>
      <c r="Q28" s="30"/>
      <c r="R28" s="30"/>
      <c r="S28" s="30"/>
      <c r="T28" s="30"/>
      <c r="U28" s="30"/>
      <c r="V28" s="30"/>
      <c r="W28" s="30"/>
      <c r="X28" s="30"/>
      <c r="Y28" s="30"/>
      <c r="Z28" s="30"/>
      <c r="AA28" s="30"/>
      <c r="AB28" s="30"/>
    </row>
    <row r="29" spans="12:28" ht="11.25" customHeight="1" x14ac:dyDescent="0.2">
      <c r="L29" s="30"/>
      <c r="M29" s="30"/>
      <c r="N29" s="30"/>
      <c r="O29" s="30"/>
      <c r="P29" s="30"/>
      <c r="Q29" s="30"/>
      <c r="R29" s="30"/>
      <c r="S29" s="30"/>
      <c r="T29" s="30"/>
      <c r="U29" s="30"/>
      <c r="V29" s="30"/>
      <c r="W29" s="30"/>
      <c r="X29" s="30"/>
      <c r="Y29" s="30"/>
      <c r="Z29" s="30"/>
      <c r="AA29" s="30"/>
      <c r="AB29" s="30"/>
    </row>
    <row r="30" spans="12:28" ht="11.25" customHeight="1" x14ac:dyDescent="0.2">
      <c r="L30" s="30"/>
      <c r="M30" s="30"/>
      <c r="N30" s="30"/>
      <c r="O30" s="30"/>
      <c r="P30" s="30"/>
      <c r="Q30" s="30"/>
      <c r="R30" s="30"/>
      <c r="S30" s="30"/>
      <c r="T30" s="30"/>
      <c r="U30" s="30"/>
      <c r="V30" s="30"/>
      <c r="W30" s="30"/>
      <c r="X30" s="30"/>
      <c r="Y30" s="30"/>
      <c r="Z30" s="30"/>
      <c r="AA30" s="30"/>
      <c r="AB30" s="30"/>
    </row>
    <row r="31" spans="12:28" ht="11.25" customHeight="1" x14ac:dyDescent="0.2">
      <c r="L31" s="30"/>
      <c r="M31" s="30"/>
      <c r="N31" s="30"/>
      <c r="O31" s="30"/>
      <c r="P31" s="30"/>
      <c r="Q31" s="30"/>
      <c r="R31" s="30"/>
      <c r="S31" s="30"/>
      <c r="T31" s="30"/>
      <c r="U31" s="30"/>
      <c r="V31" s="30"/>
      <c r="W31" s="30"/>
      <c r="X31" s="30"/>
      <c r="Y31" s="30"/>
      <c r="Z31" s="30"/>
      <c r="AA31" s="30"/>
      <c r="AB31" s="30"/>
    </row>
    <row r="32" spans="12:28" ht="11.25" customHeight="1" x14ac:dyDescent="0.2">
      <c r="L32" s="30"/>
      <c r="M32" s="30"/>
      <c r="N32" s="30"/>
      <c r="O32" s="30"/>
      <c r="P32" s="30"/>
      <c r="Q32" s="30"/>
      <c r="R32" s="30"/>
      <c r="S32" s="30"/>
      <c r="T32" s="30"/>
      <c r="U32" s="30"/>
      <c r="V32" s="30"/>
      <c r="W32" s="30"/>
      <c r="X32" s="30"/>
      <c r="Y32" s="30"/>
      <c r="Z32" s="30"/>
      <c r="AA32" s="30"/>
      <c r="AB32" s="30"/>
    </row>
    <row r="33" spans="12:28" ht="11.25" customHeight="1" x14ac:dyDescent="0.2">
      <c r="L33" s="30"/>
      <c r="M33" s="30"/>
      <c r="N33" s="30"/>
      <c r="O33" s="30"/>
      <c r="P33" s="30"/>
      <c r="Q33" s="30"/>
      <c r="R33" s="30"/>
      <c r="S33" s="30"/>
      <c r="T33" s="30"/>
      <c r="U33" s="30"/>
      <c r="V33" s="30"/>
      <c r="W33" s="30"/>
      <c r="X33" s="30"/>
      <c r="Y33" s="30"/>
      <c r="Z33" s="30"/>
      <c r="AA33" s="30"/>
      <c r="AB33" s="30"/>
    </row>
  </sheetData>
  <dataValidations count="1">
    <dataValidation showInputMessage="1" showErrorMessage="1" sqref="Q2"/>
  </dataValidation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AH47"/>
  <sheetViews>
    <sheetView topLeftCell="V1" workbookViewId="0">
      <selection activeCell="AH2" sqref="AH2:AH3"/>
    </sheetView>
  </sheetViews>
  <sheetFormatPr defaultRowHeight="11.25" outlineLevelCol="1" x14ac:dyDescent="0.2"/>
  <cols>
    <col min="1" max="1" width="2.7109375" style="30" hidden="1" customWidth="1" outlineLevel="1"/>
    <col min="2" max="2" width="3.5703125" style="30" hidden="1" customWidth="1" outlineLevel="1"/>
    <col min="3" max="3" width="5.7109375" style="30" hidden="1" customWidth="1" outlineLevel="1"/>
    <col min="4" max="4" width="6.7109375" style="30" hidden="1" customWidth="1" outlineLevel="1"/>
    <col min="5" max="5" width="19.140625" style="30" hidden="1" customWidth="1" outlineLevel="1"/>
    <col min="6" max="6" width="22.42578125" style="30" hidden="1" customWidth="1" outlineLevel="1"/>
    <col min="7" max="7" width="23.85546875" style="30" hidden="1" customWidth="1" outlineLevel="1"/>
    <col min="8" max="9" width="29.7109375" style="30" hidden="1" customWidth="1" outlineLevel="1"/>
    <col min="10" max="10" width="17.5703125" style="30" hidden="1" customWidth="1" outlineLevel="1"/>
    <col min="11" max="11" width="2.7109375" style="30" hidden="1" customWidth="1" outlineLevel="1"/>
    <col min="12" max="12" width="2.7109375" style="30" customWidth="1" collapsed="1"/>
    <col min="13" max="13" width="2.7109375" style="30" customWidth="1"/>
    <col min="14" max="16" width="9.140625" style="30"/>
    <col min="17" max="17" width="17.28515625" style="30" bestFit="1" customWidth="1"/>
    <col min="18" max="18" width="14" style="30" customWidth="1"/>
    <col min="19" max="25" width="10.7109375" style="30" customWidth="1"/>
    <col min="26" max="26" width="2.7109375" style="30" customWidth="1"/>
    <col min="27" max="27" width="10.7109375" style="30" customWidth="1"/>
    <col min="28" max="28" width="2.7109375" style="30" customWidth="1"/>
    <col min="29" max="30" width="10.7109375" style="30" customWidth="1"/>
    <col min="31" max="32" width="2.7109375" style="30" customWidth="1"/>
    <col min="33" max="16384" width="9.140625" style="30"/>
  </cols>
  <sheetData>
    <row r="1" spans="1:34" ht="12" thickBot="1" x14ac:dyDescent="0.25">
      <c r="A1" s="128"/>
      <c r="B1" s="54"/>
      <c r="C1" s="54"/>
      <c r="D1" s="54"/>
      <c r="E1" s="54"/>
      <c r="F1" s="54"/>
      <c r="G1" s="54"/>
      <c r="H1" s="119" t="s">
        <v>131</v>
      </c>
      <c r="I1" s="118" t="str">
        <f>PROPER(Currency)&amp;"HW_Volatility_Quote"</f>
        <v>EurHW_Volatility_Quote</v>
      </c>
      <c r="J1" s="54"/>
      <c r="K1" s="53"/>
      <c r="M1" s="127" t="s">
        <v>130</v>
      </c>
      <c r="N1" s="123"/>
      <c r="O1" s="126"/>
      <c r="P1" s="126"/>
      <c r="Q1" s="123"/>
      <c r="R1" s="123"/>
      <c r="S1" s="123"/>
      <c r="T1" s="123"/>
      <c r="U1" s="123"/>
      <c r="V1" s="123"/>
      <c r="W1" s="123"/>
      <c r="X1" s="123"/>
      <c r="Y1" s="123"/>
      <c r="Z1" s="124"/>
      <c r="AA1" s="124"/>
      <c r="AB1" s="123"/>
      <c r="AC1" s="124"/>
      <c r="AD1" s="124"/>
      <c r="AE1" s="122"/>
    </row>
    <row r="2" spans="1:34" ht="15" x14ac:dyDescent="0.25">
      <c r="A2" s="121"/>
      <c r="B2" s="109"/>
      <c r="C2" s="109"/>
      <c r="D2" s="109"/>
      <c r="E2" s="109"/>
      <c r="F2" s="109"/>
      <c r="G2" s="109"/>
      <c r="H2" s="119" t="s">
        <v>129</v>
      </c>
      <c r="I2" s="118" t="str">
        <f>PROPER(Currency)&amp;"HW_MeanReversion_Quote"</f>
        <v>EurHW_MeanReversion_Quote</v>
      </c>
      <c r="J2" s="109"/>
      <c r="K2" s="120"/>
      <c r="M2" s="113"/>
      <c r="N2" s="110"/>
      <c r="O2" s="110"/>
      <c r="P2" s="110"/>
      <c r="Q2" s="110"/>
      <c r="R2" s="110"/>
      <c r="S2" s="110"/>
      <c r="T2" s="110"/>
      <c r="U2" s="110"/>
      <c r="V2" s="110"/>
      <c r="W2" s="110"/>
      <c r="X2" s="110"/>
      <c r="Y2" s="110"/>
      <c r="Z2" s="111"/>
      <c r="AA2" s="111"/>
      <c r="AB2" s="110"/>
      <c r="AC2" s="110"/>
      <c r="AD2" s="118" t="e">
        <f ca="1">_xll.ohTrigger(AD5:AD46)</f>
        <v>#NAME?</v>
      </c>
      <c r="AE2" s="108"/>
      <c r="AG2" s="1361" t="s">
        <v>529</v>
      </c>
      <c r="AH2" s="1364" t="e">
        <f ca="1">_xll.ohTrigger('General Settings'!Trigger)</f>
        <v>#NAME?</v>
      </c>
    </row>
    <row r="3" spans="1:34" ht="15.75" thickBot="1" x14ac:dyDescent="0.3">
      <c r="A3" s="117"/>
      <c r="B3" s="116"/>
      <c r="C3" s="116"/>
      <c r="D3" s="115" t="s">
        <v>128</v>
      </c>
      <c r="E3" s="115" t="s">
        <v>127</v>
      </c>
      <c r="F3" s="109"/>
      <c r="G3" s="109"/>
      <c r="H3" s="119" t="s">
        <v>126</v>
      </c>
      <c r="I3" s="118" t="str">
        <f>PROPER(Currency)&amp;FamilyName&amp;E3</f>
        <v>Euribor3M</v>
      </c>
      <c r="J3" s="109"/>
      <c r="K3" s="108"/>
      <c r="M3" s="113"/>
      <c r="N3" s="110"/>
      <c r="O3" s="110"/>
      <c r="P3" s="110"/>
      <c r="Q3" s="110"/>
      <c r="R3" s="110"/>
      <c r="S3" s="110"/>
      <c r="T3" s="110"/>
      <c r="U3" s="110"/>
      <c r="V3" s="110"/>
      <c r="W3" s="110"/>
      <c r="X3" s="110"/>
      <c r="Y3" s="110"/>
      <c r="Z3" s="111"/>
      <c r="AA3" s="111"/>
      <c r="AB3" s="110"/>
      <c r="AC3" s="111"/>
      <c r="AD3" s="168"/>
      <c r="AE3" s="108"/>
      <c r="AG3" s="1362" t="s">
        <v>530</v>
      </c>
      <c r="AH3" s="1365" t="e">
        <f ca="1">_xll.ohTrigger(AD5:AD46)</f>
        <v>#NAME?</v>
      </c>
    </row>
    <row r="4" spans="1:34" s="99" customFormat="1" ht="21" customHeight="1" x14ac:dyDescent="0.25">
      <c r="A4" s="106"/>
      <c r="B4" s="52" t="s">
        <v>89</v>
      </c>
      <c r="C4" s="107" t="s">
        <v>88</v>
      </c>
      <c r="D4" s="107" t="s">
        <v>87</v>
      </c>
      <c r="E4" s="52" t="s">
        <v>91</v>
      </c>
      <c r="F4" s="52" t="s">
        <v>90</v>
      </c>
      <c r="G4" s="52" t="s">
        <v>59</v>
      </c>
      <c r="H4" s="52" t="s">
        <v>125</v>
      </c>
      <c r="I4" s="52" t="s">
        <v>90</v>
      </c>
      <c r="J4" s="52" t="s">
        <v>59</v>
      </c>
      <c r="K4" s="100"/>
      <c r="M4" s="106"/>
      <c r="N4" s="101" t="s">
        <v>89</v>
      </c>
      <c r="O4" s="101" t="s">
        <v>88</v>
      </c>
      <c r="P4" s="101" t="s">
        <v>87</v>
      </c>
      <c r="Q4" s="101" t="s">
        <v>86</v>
      </c>
      <c r="R4" s="105" t="e">
        <f ca="1">_xll.RData(R5:R46,S4:W4,,ReutersRtMode,,S5)</f>
        <v>#NAME?</v>
      </c>
      <c r="S4" s="101" t="s">
        <v>85</v>
      </c>
      <c r="T4" s="101" t="s">
        <v>84</v>
      </c>
      <c r="U4" s="101" t="s">
        <v>83</v>
      </c>
      <c r="V4" s="101" t="s">
        <v>82</v>
      </c>
      <c r="W4" s="101" t="s">
        <v>81</v>
      </c>
      <c r="X4" s="104" t="s">
        <v>106</v>
      </c>
      <c r="Y4" s="103" t="s">
        <v>79</v>
      </c>
      <c r="Z4" s="102"/>
      <c r="AA4" s="101" t="s">
        <v>78</v>
      </c>
      <c r="AB4" s="102"/>
      <c r="AC4" s="101" t="s">
        <v>77</v>
      </c>
      <c r="AD4" s="101" t="s">
        <v>76</v>
      </c>
      <c r="AE4" s="100"/>
    </row>
    <row r="5" spans="1:34" x14ac:dyDescent="0.2">
      <c r="A5" s="71"/>
      <c r="B5" s="97">
        <v>1</v>
      </c>
      <c r="C5" s="98" t="b">
        <v>0</v>
      </c>
      <c r="D5" s="97" t="e">
        <f t="array" aca="1" ref="D5:D46" ca="1">_xll.qlIMMcode(FuturesDates)</f>
        <v>#NAME?</v>
      </c>
      <c r="E5" s="96" t="e">
        <f t="shared" ref="E5:E46" ca="1" si="0">Currency&amp;$D$3&amp;$E$3&amp;$D5&amp;QuoteSuffix</f>
        <v>#NAME?</v>
      </c>
      <c r="F5" s="95" t="e">
        <f ca="1">_xll.qlSimpleQuote(E5,,PriceTickValue,Permanent,Trigger,ObjectOverwrite)</f>
        <v>#NAME?</v>
      </c>
      <c r="G5" s="94" t="e">
        <f ca="1">_xll.ohRangeRetrieveError(F5)</f>
        <v>#NAME?</v>
      </c>
      <c r="H5" s="96" t="e">
        <f t="shared" ref="H5:H46" ca="1" si="1">Currency&amp;"FUT"&amp;$E$3&amp;$D5&amp;"ConvAdj"&amp;QuoteSuffix</f>
        <v>#NAME?</v>
      </c>
      <c r="I5" s="95" t="e">
        <f ca="1">_xll.qlFuturesConvAdjustmentQuote($H5,IborIndex,$D5,$F5,Volatility,MeanReversion,Permanent,Trigger,ObjectOverwrite)</f>
        <v>#NAME?</v>
      </c>
      <c r="J5" s="94" t="e">
        <f ca="1">_xll.ohRangeRetrieveError(I5)</f>
        <v>#NAME?</v>
      </c>
      <c r="K5" s="36"/>
      <c r="M5" s="71"/>
      <c r="N5" s="93">
        <v>1</v>
      </c>
      <c r="O5" s="93" t="b">
        <v>0</v>
      </c>
      <c r="P5" s="88" t="e">
        <f t="array" aca="1" ref="P5:P46" ca="1">_xll.qlIMMcode(FuturesDates)</f>
        <v>#NAME?</v>
      </c>
      <c r="Q5" s="92" t="e">
        <f t="array" aca="1" ref="Q5:Q46" ca="1">_xll.qlIMMNextDates(_xll.qlSettingsEvaluationDate(Trigger)-1,$O5:$O46)</f>
        <v>#NAME?</v>
      </c>
      <c r="R5" s="88" t="e">
        <f t="array" aca="1" ref="R5:R46" ca="1">"FEI"&amp;FuturesCodes</f>
        <v>#NAME?</v>
      </c>
      <c r="S5" s="91">
        <v>42296</v>
      </c>
      <c r="T5" s="89">
        <v>100.04</v>
      </c>
      <c r="U5" s="89">
        <v>100.045</v>
      </c>
      <c r="V5" s="89">
        <v>100.045</v>
      </c>
      <c r="W5" s="89">
        <v>100.05</v>
      </c>
      <c r="X5" s="89" t="e">
        <f ca="1">_xll.qlMidSafe($T5,$U5)</f>
        <v>#NAME?</v>
      </c>
      <c r="Y5" s="78" t="e">
        <f t="shared" ref="Y5:Y46" ca="1" si="2">(X5-T5)*2</f>
        <v>#NAME?</v>
      </c>
      <c r="Z5" s="66"/>
      <c r="AA5" s="90">
        <v>100.0425</v>
      </c>
      <c r="AB5" s="66"/>
      <c r="AC5" s="89">
        <f t="array" ref="AC5:AC46">QuoteStatic</f>
        <v>100.0425</v>
      </c>
      <c r="AD5" s="164" t="e">
        <f ca="1">_xll.qlSimpleQuoteSetValue(F5,AC5,Trigger)</f>
        <v>#NAME?</v>
      </c>
      <c r="AE5" s="36"/>
    </row>
    <row r="6" spans="1:34" x14ac:dyDescent="0.2">
      <c r="A6" s="71"/>
      <c r="B6" s="86">
        <v>2</v>
      </c>
      <c r="C6" s="87" t="b">
        <v>0</v>
      </c>
      <c r="D6" s="86" t="e">
        <f ca="1"/>
        <v>#NAME?</v>
      </c>
      <c r="E6" s="85" t="e">
        <f t="shared" ca="1" si="0"/>
        <v>#NAME?</v>
      </c>
      <c r="F6" s="84" t="e">
        <f ca="1">_xll.qlSimpleQuote(E6,,PriceTickValue,Permanent,Trigger,ObjectOverwrite)</f>
        <v>#NAME?</v>
      </c>
      <c r="G6" s="83" t="e">
        <f ca="1">_xll.ohRangeRetrieveError(F6)</f>
        <v>#NAME?</v>
      </c>
      <c r="H6" s="85" t="e">
        <f t="shared" ca="1" si="1"/>
        <v>#NAME?</v>
      </c>
      <c r="I6" s="84" t="e">
        <f ca="1">_xll.qlFuturesConvAdjustmentQuote($H6,IborIndex,$D6,$F6,Volatility,MeanReversion,Permanent,Trigger,ObjectOverwrite)</f>
        <v>#NAME?</v>
      </c>
      <c r="J6" s="83" t="e">
        <f ca="1">_xll.ohRangeRetrieveError(I6)</f>
        <v>#NAME?</v>
      </c>
      <c r="K6" s="36"/>
      <c r="M6" s="71"/>
      <c r="N6" s="82">
        <v>2</v>
      </c>
      <c r="O6" s="82" t="b">
        <v>0</v>
      </c>
      <c r="P6" s="77" t="e">
        <f ca="1"/>
        <v>#NAME?</v>
      </c>
      <c r="Q6" s="81" t="e">
        <f ca="1"/>
        <v>#NAME?</v>
      </c>
      <c r="R6" s="77" t="e">
        <f ca="1"/>
        <v>#NAME?</v>
      </c>
      <c r="S6" s="80">
        <v>42324</v>
      </c>
      <c r="T6" s="78">
        <v>100.045</v>
      </c>
      <c r="U6" s="78">
        <v>100.05</v>
      </c>
      <c r="V6" s="78">
        <v>100.045</v>
      </c>
      <c r="W6" s="78">
        <v>100.05500000000001</v>
      </c>
      <c r="X6" s="78" t="e">
        <f ca="1">_xll.qlMidSafe($T6,$U6)</f>
        <v>#NAME?</v>
      </c>
      <c r="Y6" s="78" t="e">
        <f t="shared" ca="1" si="2"/>
        <v>#NAME?</v>
      </c>
      <c r="Z6" s="66"/>
      <c r="AA6" s="79">
        <v>100.0475</v>
      </c>
      <c r="AB6" s="66"/>
      <c r="AC6" s="78">
        <v>100.0475</v>
      </c>
      <c r="AD6" s="138" t="e">
        <f ca="1">_xll.qlSimpleQuoteSetValue(F6,AC6,Trigger)</f>
        <v>#NAME?</v>
      </c>
      <c r="AE6" s="36"/>
    </row>
    <row r="7" spans="1:34" x14ac:dyDescent="0.2">
      <c r="A7" s="71"/>
      <c r="B7" s="86">
        <v>3</v>
      </c>
      <c r="C7" s="87" t="b">
        <v>0</v>
      </c>
      <c r="D7" s="86" t="e">
        <f ca="1"/>
        <v>#NAME?</v>
      </c>
      <c r="E7" s="85" t="e">
        <f t="shared" ca="1" si="0"/>
        <v>#NAME?</v>
      </c>
      <c r="F7" s="84" t="e">
        <f ca="1">_xll.qlSimpleQuote(E7,,PriceTickValue,Permanent,Trigger,ObjectOverwrite)</f>
        <v>#NAME?</v>
      </c>
      <c r="G7" s="83" t="e">
        <f ca="1">_xll.ohRangeRetrieveError(F7)</f>
        <v>#NAME?</v>
      </c>
      <c r="H7" s="85" t="e">
        <f t="shared" ca="1" si="1"/>
        <v>#NAME?</v>
      </c>
      <c r="I7" s="84" t="e">
        <f ca="1">_xll.qlFuturesConvAdjustmentQuote($H7,IborIndex,$D7,$F7,Volatility,MeanReversion,Permanent,Trigger,ObjectOverwrite)</f>
        <v>#NAME?</v>
      </c>
      <c r="J7" s="83" t="e">
        <f ca="1">_xll.ohRangeRetrieveError(I7)</f>
        <v>#NAME?</v>
      </c>
      <c r="K7" s="36"/>
      <c r="M7" s="71"/>
      <c r="N7" s="82">
        <v>3</v>
      </c>
      <c r="O7" s="82" t="b">
        <v>0</v>
      </c>
      <c r="P7" s="77" t="e">
        <f ca="1"/>
        <v>#NAME?</v>
      </c>
      <c r="Q7" s="81" t="e">
        <f ca="1"/>
        <v>#NAME?</v>
      </c>
      <c r="R7" s="77" t="e">
        <f ca="1"/>
        <v>#NAME?</v>
      </c>
      <c r="S7" s="80">
        <v>42352</v>
      </c>
      <c r="T7" s="78">
        <v>100.045</v>
      </c>
      <c r="U7" s="78">
        <v>100.05500000000001</v>
      </c>
      <c r="V7" s="78">
        <v>100.045</v>
      </c>
      <c r="W7" s="78">
        <v>100.05500000000001</v>
      </c>
      <c r="X7" s="78" t="e">
        <f ca="1">_xll.qlMidSafe($T7,$U7)</f>
        <v>#NAME?</v>
      </c>
      <c r="Y7" s="78" t="e">
        <f t="shared" ca="1" si="2"/>
        <v>#NAME?</v>
      </c>
      <c r="Z7" s="66"/>
      <c r="AA7" s="79">
        <v>100.05000000000001</v>
      </c>
      <c r="AB7" s="66"/>
      <c r="AC7" s="78">
        <v>100.05000000000001</v>
      </c>
      <c r="AD7" s="138" t="e">
        <f ca="1">_xll.qlSimpleQuoteSetValue(F7,AC7,Trigger)</f>
        <v>#NAME?</v>
      </c>
      <c r="AE7" s="36"/>
    </row>
    <row r="8" spans="1:34" x14ac:dyDescent="0.2">
      <c r="A8" s="71"/>
      <c r="B8" s="86">
        <v>4</v>
      </c>
      <c r="C8" s="87" t="b">
        <v>0</v>
      </c>
      <c r="D8" s="86" t="e">
        <f ca="1"/>
        <v>#NAME?</v>
      </c>
      <c r="E8" s="85" t="e">
        <f t="shared" ca="1" si="0"/>
        <v>#NAME?</v>
      </c>
      <c r="F8" s="84" t="e">
        <f ca="1">_xll.qlSimpleQuote(E8,,PriceTickValue,Permanent,Trigger,ObjectOverwrite)</f>
        <v>#NAME?</v>
      </c>
      <c r="G8" s="83" t="e">
        <f ca="1">_xll.ohRangeRetrieveError(F8)</f>
        <v>#NAME?</v>
      </c>
      <c r="H8" s="85" t="e">
        <f t="shared" ca="1" si="1"/>
        <v>#NAME?</v>
      </c>
      <c r="I8" s="84" t="e">
        <f ca="1">_xll.qlFuturesConvAdjustmentQuote($H8,IborIndex,$D8,$F8,Volatility,MeanReversion,Permanent,Trigger,ObjectOverwrite)</f>
        <v>#NAME?</v>
      </c>
      <c r="J8" s="83" t="e">
        <f ca="1">_xll.ohRangeRetrieveError(I8)</f>
        <v>#NAME?</v>
      </c>
      <c r="K8" s="36"/>
      <c r="M8" s="71"/>
      <c r="N8" s="82">
        <v>4</v>
      </c>
      <c r="O8" s="82" t="b">
        <v>0</v>
      </c>
      <c r="P8" s="77" t="e">
        <f ca="1"/>
        <v>#NAME?</v>
      </c>
      <c r="Q8" s="81" t="e">
        <f ca="1"/>
        <v>#NAME?</v>
      </c>
      <c r="R8" s="77" t="e">
        <f ca="1"/>
        <v>#NAME?</v>
      </c>
      <c r="S8" s="80">
        <v>42387</v>
      </c>
      <c r="T8" s="78">
        <v>0</v>
      </c>
      <c r="U8" s="78">
        <v>0</v>
      </c>
      <c r="V8" s="78">
        <v>0</v>
      </c>
      <c r="W8" s="78">
        <v>100.06</v>
      </c>
      <c r="X8" s="78" t="e">
        <f ca="1">_xll.qlMidSafe($T8,$U8)</f>
        <v>#NAME?</v>
      </c>
      <c r="Y8" s="78" t="e">
        <f t="shared" ca="1" si="2"/>
        <v>#NAME?</v>
      </c>
      <c r="Z8" s="66"/>
      <c r="AA8" s="79" t="e">
        <v>#NUM!</v>
      </c>
      <c r="AB8" s="66"/>
      <c r="AC8" s="78" t="e">
        <v>#NUM!</v>
      </c>
      <c r="AD8" s="138" t="e">
        <f ca="1">_xll.qlSimpleQuoteSetValue(F8,AC8,Trigger)</f>
        <v>#NAME?</v>
      </c>
      <c r="AE8" s="36"/>
    </row>
    <row r="9" spans="1:34" x14ac:dyDescent="0.2">
      <c r="A9" s="71"/>
      <c r="B9" s="86">
        <v>5</v>
      </c>
      <c r="C9" s="87" t="b">
        <v>0</v>
      </c>
      <c r="D9" s="86" t="e">
        <f ca="1"/>
        <v>#NAME?</v>
      </c>
      <c r="E9" s="85" t="e">
        <f t="shared" ca="1" si="0"/>
        <v>#NAME?</v>
      </c>
      <c r="F9" s="84" t="e">
        <f ca="1">_xll.qlSimpleQuote(E9,,PriceTickValue,Permanent,Trigger,ObjectOverwrite)</f>
        <v>#NAME?</v>
      </c>
      <c r="G9" s="83" t="e">
        <f ca="1">_xll.ohRangeRetrieveError(F9)</f>
        <v>#NAME?</v>
      </c>
      <c r="H9" s="85" t="e">
        <f t="shared" ca="1" si="1"/>
        <v>#NAME?</v>
      </c>
      <c r="I9" s="84" t="e">
        <f ca="1">_xll.qlFuturesConvAdjustmentQuote($H9,IborIndex,$D9,$F9,Volatility,MeanReversion,Permanent,Trigger,ObjectOverwrite)</f>
        <v>#NAME?</v>
      </c>
      <c r="J9" s="83" t="e">
        <f ca="1">_xll.ohRangeRetrieveError(I9)</f>
        <v>#NAME?</v>
      </c>
      <c r="K9" s="36"/>
      <c r="M9" s="71"/>
      <c r="N9" s="82">
        <v>5</v>
      </c>
      <c r="O9" s="82" t="b">
        <v>0</v>
      </c>
      <c r="P9" s="77" t="e">
        <f ca="1"/>
        <v>#NAME?</v>
      </c>
      <c r="Q9" s="81" t="e">
        <f ca="1"/>
        <v>#NAME?</v>
      </c>
      <c r="R9" s="77" t="e">
        <f ca="1"/>
        <v>#NAME?</v>
      </c>
      <c r="S9" s="80">
        <v>42415</v>
      </c>
      <c r="T9" s="78">
        <v>0</v>
      </c>
      <c r="U9" s="78">
        <v>0</v>
      </c>
      <c r="V9" s="78">
        <v>0</v>
      </c>
      <c r="W9" s="78">
        <v>100.06</v>
      </c>
      <c r="X9" s="78" t="e">
        <f ca="1">_xll.qlMidSafe($T9,$U9)</f>
        <v>#NAME?</v>
      </c>
      <c r="Y9" s="78" t="e">
        <f t="shared" ca="1" si="2"/>
        <v>#NAME?</v>
      </c>
      <c r="Z9" s="66"/>
      <c r="AA9" s="79" t="e">
        <v>#NUM!</v>
      </c>
      <c r="AB9" s="66"/>
      <c r="AC9" s="78" t="e">
        <v>#NUM!</v>
      </c>
      <c r="AD9" s="138" t="e">
        <f ca="1">_xll.qlSimpleQuoteSetValue(F9,AC9,Trigger)</f>
        <v>#NAME?</v>
      </c>
      <c r="AE9" s="36"/>
    </row>
    <row r="10" spans="1:34" x14ac:dyDescent="0.2">
      <c r="A10" s="71"/>
      <c r="B10" s="86">
        <v>6</v>
      </c>
      <c r="C10" s="87" t="b">
        <v>0</v>
      </c>
      <c r="D10" s="86" t="e">
        <f ca="1"/>
        <v>#NAME?</v>
      </c>
      <c r="E10" s="85" t="e">
        <f t="shared" ca="1" si="0"/>
        <v>#NAME?</v>
      </c>
      <c r="F10" s="84" t="e">
        <f ca="1">_xll.qlSimpleQuote(E10,,PriceTickValue,Permanent,Trigger,ObjectOverwrite)</f>
        <v>#NAME?</v>
      </c>
      <c r="G10" s="83" t="e">
        <f ca="1">_xll.ohRangeRetrieveError(F10)</f>
        <v>#NAME?</v>
      </c>
      <c r="H10" s="85" t="e">
        <f t="shared" ca="1" si="1"/>
        <v>#NAME?</v>
      </c>
      <c r="I10" s="84" t="e">
        <f ca="1">_xll.qlFuturesConvAdjustmentQuote($H10,IborIndex,$D10,$F10,Volatility,MeanReversion,Permanent,Trigger,ObjectOverwrite)</f>
        <v>#NAME?</v>
      </c>
      <c r="J10" s="83" t="e">
        <f ca="1">_xll.ohRangeRetrieveError(I10)</f>
        <v>#NAME?</v>
      </c>
      <c r="K10" s="36"/>
      <c r="M10" s="71"/>
      <c r="N10" s="82">
        <v>6</v>
      </c>
      <c r="O10" s="82" t="b">
        <v>0</v>
      </c>
      <c r="P10" s="77" t="e">
        <f ca="1"/>
        <v>#NAME?</v>
      </c>
      <c r="Q10" s="81" t="e">
        <f ca="1"/>
        <v>#NAME?</v>
      </c>
      <c r="R10" s="77" t="e">
        <f ca="1"/>
        <v>#NAME?</v>
      </c>
      <c r="S10" s="80">
        <v>42443</v>
      </c>
      <c r="T10" s="78">
        <v>100.05500000000001</v>
      </c>
      <c r="U10" s="78">
        <v>100.06</v>
      </c>
      <c r="V10" s="78">
        <v>100.06</v>
      </c>
      <c r="W10" s="78">
        <v>100.06</v>
      </c>
      <c r="X10" s="78" t="e">
        <f ca="1">_xll.qlMidSafe($T10,$U10)</f>
        <v>#NAME?</v>
      </c>
      <c r="Y10" s="78" t="e">
        <f t="shared" ca="1" si="2"/>
        <v>#NAME?</v>
      </c>
      <c r="Z10" s="66"/>
      <c r="AA10" s="79">
        <v>100.0575</v>
      </c>
      <c r="AB10" s="66"/>
      <c r="AC10" s="78">
        <v>100.0575</v>
      </c>
      <c r="AD10" s="138" t="e">
        <f ca="1">_xll.qlSimpleQuoteSetValue(F10,AC10,Trigger)</f>
        <v>#NAME?</v>
      </c>
      <c r="AE10" s="36"/>
    </row>
    <row r="11" spans="1:34" x14ac:dyDescent="0.2">
      <c r="A11" s="71"/>
      <c r="B11" s="86">
        <v>7</v>
      </c>
      <c r="C11" s="87" t="b">
        <v>0</v>
      </c>
      <c r="D11" s="86" t="e">
        <f ca="1"/>
        <v>#NAME?</v>
      </c>
      <c r="E11" s="85" t="e">
        <f t="shared" ca="1" si="0"/>
        <v>#NAME?</v>
      </c>
      <c r="F11" s="84" t="e">
        <f ca="1">_xll.qlSimpleQuote(E11,,PriceTickValue,Permanent,Trigger,ObjectOverwrite)</f>
        <v>#NAME?</v>
      </c>
      <c r="G11" s="83" t="e">
        <f ca="1">_xll.ohRangeRetrieveError(F11)</f>
        <v>#NAME?</v>
      </c>
      <c r="H11" s="85" t="e">
        <f t="shared" ca="1" si="1"/>
        <v>#NAME?</v>
      </c>
      <c r="I11" s="84" t="e">
        <f ca="1">_xll.qlFuturesConvAdjustmentQuote($H11,IborIndex,$D11,$F11,Volatility,MeanReversion,Permanent,Trigger,ObjectOverwrite)</f>
        <v>#NAME?</v>
      </c>
      <c r="J11" s="83" t="e">
        <f ca="1">_xll.ohRangeRetrieveError(I11)</f>
        <v>#NAME?</v>
      </c>
      <c r="K11" s="36"/>
      <c r="M11" s="71"/>
      <c r="N11" s="82">
        <v>7</v>
      </c>
      <c r="O11" s="82" t="b">
        <v>0</v>
      </c>
      <c r="P11" s="77" t="e">
        <f ca="1"/>
        <v>#NAME?</v>
      </c>
      <c r="Q11" s="81" t="e">
        <f ca="1"/>
        <v>#NAME?</v>
      </c>
      <c r="R11" s="77" t="e">
        <f ca="1"/>
        <v>#NAME?</v>
      </c>
      <c r="S11" s="80" t="s">
        <v>109</v>
      </c>
      <c r="T11" s="78" t="s">
        <v>109</v>
      </c>
      <c r="U11" s="78" t="s">
        <v>109</v>
      </c>
      <c r="V11" s="78" t="s">
        <v>109</v>
      </c>
      <c r="W11" s="78" t="s">
        <v>109</v>
      </c>
      <c r="X11" s="78" t="e">
        <f ca="1">_xll.qlMidSafe($T11,$U11)</f>
        <v>#NAME?</v>
      </c>
      <c r="Y11" s="78" t="e">
        <f t="shared" ca="1" si="2"/>
        <v>#NAME?</v>
      </c>
      <c r="Z11" s="66"/>
      <c r="AA11" s="79" t="e">
        <v>#NUM!</v>
      </c>
      <c r="AB11" s="66"/>
      <c r="AC11" s="78" t="e">
        <v>#NUM!</v>
      </c>
      <c r="AD11" s="138" t="e">
        <f ca="1">_xll.qlSimpleQuoteSetValue(F11,AC11,Trigger)</f>
        <v>#NAME?</v>
      </c>
      <c r="AE11" s="36"/>
    </row>
    <row r="12" spans="1:34" x14ac:dyDescent="0.2">
      <c r="A12" s="71"/>
      <c r="B12" s="86">
        <v>8</v>
      </c>
      <c r="C12" s="87" t="b">
        <v>0</v>
      </c>
      <c r="D12" s="86" t="e">
        <f ca="1"/>
        <v>#NAME?</v>
      </c>
      <c r="E12" s="85" t="e">
        <f t="shared" ca="1" si="0"/>
        <v>#NAME?</v>
      </c>
      <c r="F12" s="84" t="e">
        <f ca="1">_xll.qlSimpleQuote(E12,,PriceTickValue,Permanent,Trigger,ObjectOverwrite)</f>
        <v>#NAME?</v>
      </c>
      <c r="G12" s="83" t="e">
        <f ca="1">_xll.ohRangeRetrieveError(F12)</f>
        <v>#NAME?</v>
      </c>
      <c r="H12" s="85" t="e">
        <f t="shared" ca="1" si="1"/>
        <v>#NAME?</v>
      </c>
      <c r="I12" s="84" t="e">
        <f ca="1">_xll.qlFuturesConvAdjustmentQuote($H12,IborIndex,$D12,$F12,Volatility,MeanReversion,Permanent,Trigger,ObjectOverwrite)</f>
        <v>#NAME?</v>
      </c>
      <c r="J12" s="83" t="e">
        <f ca="1">_xll.ohRangeRetrieveError(I12)</f>
        <v>#NAME?</v>
      </c>
      <c r="K12" s="36"/>
      <c r="M12" s="71"/>
      <c r="N12" s="82">
        <v>8</v>
      </c>
      <c r="O12" s="82" t="b">
        <v>0</v>
      </c>
      <c r="P12" s="77" t="e">
        <f ca="1"/>
        <v>#NAME?</v>
      </c>
      <c r="Q12" s="81" t="e">
        <f ca="1"/>
        <v>#NAME?</v>
      </c>
      <c r="R12" s="77" t="e">
        <f ca="1"/>
        <v>#NAME?</v>
      </c>
      <c r="S12" s="80" t="s">
        <v>109</v>
      </c>
      <c r="T12" s="78" t="s">
        <v>109</v>
      </c>
      <c r="U12" s="78" t="s">
        <v>109</v>
      </c>
      <c r="V12" s="78" t="s">
        <v>109</v>
      </c>
      <c r="W12" s="78" t="s">
        <v>109</v>
      </c>
      <c r="X12" s="78" t="e">
        <f ca="1">_xll.qlMidSafe($T12,$U12)</f>
        <v>#NAME?</v>
      </c>
      <c r="Y12" s="78" t="e">
        <f t="shared" ca="1" si="2"/>
        <v>#NAME?</v>
      </c>
      <c r="Z12" s="66"/>
      <c r="AA12" s="79" t="e">
        <v>#NUM!</v>
      </c>
      <c r="AB12" s="66"/>
      <c r="AC12" s="78" t="e">
        <v>#NUM!</v>
      </c>
      <c r="AD12" s="138" t="e">
        <f ca="1">_xll.qlSimpleQuoteSetValue(F12,AC12,Trigger)</f>
        <v>#NAME?</v>
      </c>
      <c r="AE12" s="36"/>
    </row>
    <row r="13" spans="1:34" x14ac:dyDescent="0.2">
      <c r="A13" s="71"/>
      <c r="B13" s="86">
        <v>9</v>
      </c>
      <c r="C13" s="87" t="b">
        <v>0</v>
      </c>
      <c r="D13" s="86" t="e">
        <f ca="1"/>
        <v>#NAME?</v>
      </c>
      <c r="E13" s="85" t="e">
        <f t="shared" ca="1" si="0"/>
        <v>#NAME?</v>
      </c>
      <c r="F13" s="84" t="e">
        <f ca="1">_xll.qlSimpleQuote(E13,,PriceTickValue,Permanent,Trigger,ObjectOverwrite)</f>
        <v>#NAME?</v>
      </c>
      <c r="G13" s="83" t="e">
        <f ca="1">_xll.ohRangeRetrieveError(F13)</f>
        <v>#NAME?</v>
      </c>
      <c r="H13" s="85" t="e">
        <f t="shared" ca="1" si="1"/>
        <v>#NAME?</v>
      </c>
      <c r="I13" s="84" t="e">
        <f ca="1">_xll.qlFuturesConvAdjustmentQuote($H13,IborIndex,$D13,$F13,Volatility,MeanReversion,Permanent,Trigger,ObjectOverwrite)</f>
        <v>#NAME?</v>
      </c>
      <c r="J13" s="83" t="e">
        <f ca="1">_xll.ohRangeRetrieveError(I13)</f>
        <v>#NAME?</v>
      </c>
      <c r="K13" s="36"/>
      <c r="M13" s="71"/>
      <c r="N13" s="82">
        <v>9</v>
      </c>
      <c r="O13" s="82" t="b">
        <v>0</v>
      </c>
      <c r="P13" s="77" t="e">
        <f ca="1"/>
        <v>#NAME?</v>
      </c>
      <c r="Q13" s="81" t="e">
        <f ca="1"/>
        <v>#NAME?</v>
      </c>
      <c r="R13" s="77" t="e">
        <f ca="1"/>
        <v>#NAME?</v>
      </c>
      <c r="S13" s="80">
        <v>42534</v>
      </c>
      <c r="T13" s="78">
        <v>100.065</v>
      </c>
      <c r="U13" s="78">
        <v>100.07</v>
      </c>
      <c r="V13" s="78">
        <v>100.065</v>
      </c>
      <c r="W13" s="78">
        <v>100.065</v>
      </c>
      <c r="X13" s="78" t="e">
        <f ca="1">_xll.qlMidSafe($T13,$U13)</f>
        <v>#NAME?</v>
      </c>
      <c r="Y13" s="78" t="e">
        <f t="shared" ca="1" si="2"/>
        <v>#NAME?</v>
      </c>
      <c r="Z13" s="66"/>
      <c r="AA13" s="79">
        <v>100.0675</v>
      </c>
      <c r="AB13" s="66"/>
      <c r="AC13" s="78">
        <v>100.0675</v>
      </c>
      <c r="AD13" s="138" t="e">
        <f ca="1">_xll.qlSimpleQuoteSetValue(F13,AC13,Trigger)</f>
        <v>#NAME?</v>
      </c>
      <c r="AE13" s="36"/>
    </row>
    <row r="14" spans="1:34" x14ac:dyDescent="0.2">
      <c r="A14" s="71"/>
      <c r="B14" s="86">
        <v>10</v>
      </c>
      <c r="C14" s="87" t="b">
        <v>0</v>
      </c>
      <c r="D14" s="86" t="e">
        <f ca="1"/>
        <v>#NAME?</v>
      </c>
      <c r="E14" s="85" t="e">
        <f t="shared" ca="1" si="0"/>
        <v>#NAME?</v>
      </c>
      <c r="F14" s="84" t="e">
        <f ca="1">_xll.qlSimpleQuote(E14,,PriceTickValue,Permanent,Trigger,ObjectOverwrite)</f>
        <v>#NAME?</v>
      </c>
      <c r="G14" s="83" t="e">
        <f ca="1">_xll.ohRangeRetrieveError(F14)</f>
        <v>#NAME?</v>
      </c>
      <c r="H14" s="85" t="e">
        <f t="shared" ca="1" si="1"/>
        <v>#NAME?</v>
      </c>
      <c r="I14" s="84" t="e">
        <f ca="1">_xll.qlFuturesConvAdjustmentQuote($H14,IborIndex,$D14,$F14,Volatility,MeanReversion,Permanent,Trigger,ObjectOverwrite)</f>
        <v>#NAME?</v>
      </c>
      <c r="J14" s="83" t="e">
        <f ca="1">_xll.ohRangeRetrieveError(I14)</f>
        <v>#NAME?</v>
      </c>
      <c r="K14" s="36"/>
      <c r="M14" s="71"/>
      <c r="N14" s="82">
        <v>10</v>
      </c>
      <c r="O14" s="82" t="b">
        <v>0</v>
      </c>
      <c r="P14" s="77" t="e">
        <f ca="1"/>
        <v>#NAME?</v>
      </c>
      <c r="Q14" s="81" t="e">
        <f ca="1"/>
        <v>#NAME?</v>
      </c>
      <c r="R14" s="77" t="e">
        <f ca="1"/>
        <v>#NAME?</v>
      </c>
      <c r="S14" s="80" t="s">
        <v>109</v>
      </c>
      <c r="T14" s="78" t="s">
        <v>109</v>
      </c>
      <c r="U14" s="78" t="s">
        <v>109</v>
      </c>
      <c r="V14" s="78" t="s">
        <v>109</v>
      </c>
      <c r="W14" s="78" t="s">
        <v>109</v>
      </c>
      <c r="X14" s="78" t="e">
        <f ca="1">_xll.qlMidSafe($T14,$U14)</f>
        <v>#NAME?</v>
      </c>
      <c r="Y14" s="78" t="e">
        <f t="shared" ca="1" si="2"/>
        <v>#NAME?</v>
      </c>
      <c r="Z14" s="66"/>
      <c r="AA14" s="79" t="e">
        <v>#NUM!</v>
      </c>
      <c r="AB14" s="66"/>
      <c r="AC14" s="78" t="e">
        <v>#NUM!</v>
      </c>
      <c r="AD14" s="138" t="e">
        <f ca="1">_xll.qlSimpleQuoteSetValue(F14,AC14,Trigger)</f>
        <v>#NAME?</v>
      </c>
      <c r="AE14" s="36"/>
    </row>
    <row r="15" spans="1:34" x14ac:dyDescent="0.2">
      <c r="A15" s="71"/>
      <c r="B15" s="86">
        <v>11</v>
      </c>
      <c r="C15" s="87" t="b">
        <v>0</v>
      </c>
      <c r="D15" s="86" t="e">
        <f ca="1"/>
        <v>#NAME?</v>
      </c>
      <c r="E15" s="85" t="e">
        <f t="shared" ca="1" si="0"/>
        <v>#NAME?</v>
      </c>
      <c r="F15" s="84" t="e">
        <f ca="1">_xll.qlSimpleQuote(E15,,PriceTickValue,Permanent,Trigger,ObjectOverwrite)</f>
        <v>#NAME?</v>
      </c>
      <c r="G15" s="83" t="e">
        <f ca="1">_xll.ohRangeRetrieveError(F15)</f>
        <v>#NAME?</v>
      </c>
      <c r="H15" s="85" t="e">
        <f t="shared" ca="1" si="1"/>
        <v>#NAME?</v>
      </c>
      <c r="I15" s="84" t="e">
        <f ca="1">_xll.qlFuturesConvAdjustmentQuote($H15,IborIndex,$D15,$F15,Volatility,MeanReversion,Permanent,Trigger,ObjectOverwrite)</f>
        <v>#NAME?</v>
      </c>
      <c r="J15" s="83" t="e">
        <f ca="1">_xll.ohRangeRetrieveError(I15)</f>
        <v>#NAME?</v>
      </c>
      <c r="K15" s="36"/>
      <c r="M15" s="71"/>
      <c r="N15" s="82">
        <v>11</v>
      </c>
      <c r="O15" s="82" t="b">
        <v>0</v>
      </c>
      <c r="P15" s="77" t="e">
        <f ca="1"/>
        <v>#NAME?</v>
      </c>
      <c r="Q15" s="81" t="e">
        <f ca="1"/>
        <v>#NAME?</v>
      </c>
      <c r="R15" s="77" t="e">
        <f ca="1"/>
        <v>#NAME?</v>
      </c>
      <c r="S15" s="80" t="s">
        <v>109</v>
      </c>
      <c r="T15" s="78" t="s">
        <v>109</v>
      </c>
      <c r="U15" s="78" t="s">
        <v>109</v>
      </c>
      <c r="V15" s="78" t="s">
        <v>109</v>
      </c>
      <c r="W15" s="78" t="s">
        <v>109</v>
      </c>
      <c r="X15" s="78" t="e">
        <f ca="1">_xll.qlMidSafe($T15,$U15)</f>
        <v>#NAME?</v>
      </c>
      <c r="Y15" s="78" t="e">
        <f t="shared" ca="1" si="2"/>
        <v>#NAME?</v>
      </c>
      <c r="Z15" s="66"/>
      <c r="AA15" s="79" t="e">
        <v>#NUM!</v>
      </c>
      <c r="AB15" s="66"/>
      <c r="AC15" s="78" t="e">
        <v>#NUM!</v>
      </c>
      <c r="AD15" s="138" t="e">
        <f ca="1">_xll.qlSimpleQuoteSetValue(F15,AC15,Trigger)</f>
        <v>#NAME?</v>
      </c>
      <c r="AE15" s="36"/>
    </row>
    <row r="16" spans="1:34" x14ac:dyDescent="0.2">
      <c r="A16" s="71"/>
      <c r="B16" s="86">
        <v>12</v>
      </c>
      <c r="C16" s="87" t="b">
        <v>0</v>
      </c>
      <c r="D16" s="86" t="e">
        <f ca="1"/>
        <v>#NAME?</v>
      </c>
      <c r="E16" s="85" t="e">
        <f t="shared" ca="1" si="0"/>
        <v>#NAME?</v>
      </c>
      <c r="F16" s="84" t="e">
        <f ca="1">_xll.qlSimpleQuote(E16,,PriceTickValue,Permanent,Trigger,ObjectOverwrite)</f>
        <v>#NAME?</v>
      </c>
      <c r="G16" s="83" t="e">
        <f ca="1">_xll.ohRangeRetrieveError(F16)</f>
        <v>#NAME?</v>
      </c>
      <c r="H16" s="85" t="e">
        <f t="shared" ca="1" si="1"/>
        <v>#NAME?</v>
      </c>
      <c r="I16" s="84" t="e">
        <f ca="1">_xll.qlFuturesConvAdjustmentQuote($H16,IborIndex,$D16,$F16,Volatility,MeanReversion,Permanent,Trigger,ObjectOverwrite)</f>
        <v>#NAME?</v>
      </c>
      <c r="J16" s="83" t="e">
        <f ca="1">_xll.ohRangeRetrieveError(I16)</f>
        <v>#NAME?</v>
      </c>
      <c r="K16" s="36"/>
      <c r="M16" s="71"/>
      <c r="N16" s="82">
        <v>12</v>
      </c>
      <c r="O16" s="82" t="b">
        <v>0</v>
      </c>
      <c r="P16" s="77" t="e">
        <f ca="1"/>
        <v>#NAME?</v>
      </c>
      <c r="Q16" s="81" t="e">
        <f ca="1"/>
        <v>#NAME?</v>
      </c>
      <c r="R16" s="77" t="e">
        <f ca="1"/>
        <v>#NAME?</v>
      </c>
      <c r="S16" s="80">
        <v>42632</v>
      </c>
      <c r="T16" s="78">
        <v>100.06</v>
      </c>
      <c r="U16" s="78">
        <v>100.065</v>
      </c>
      <c r="V16" s="78">
        <v>100.06</v>
      </c>
      <c r="W16" s="78">
        <v>100.06</v>
      </c>
      <c r="X16" s="78" t="e">
        <f ca="1">_xll.qlMidSafe($T16,$U16)</f>
        <v>#NAME?</v>
      </c>
      <c r="Y16" s="78" t="e">
        <f t="shared" ca="1" si="2"/>
        <v>#NAME?</v>
      </c>
      <c r="Z16" s="66"/>
      <c r="AA16" s="79">
        <v>100.0625</v>
      </c>
      <c r="AB16" s="66"/>
      <c r="AC16" s="78">
        <v>100.0625</v>
      </c>
      <c r="AD16" s="138" t="e">
        <f ca="1">_xll.qlSimpleQuoteSetValue(F16,AC16,Trigger)</f>
        <v>#NAME?</v>
      </c>
      <c r="AE16" s="36"/>
    </row>
    <row r="17" spans="1:31" x14ac:dyDescent="0.2">
      <c r="A17" s="71"/>
      <c r="B17" s="86">
        <v>13</v>
      </c>
      <c r="C17" s="87" t="b">
        <v>1</v>
      </c>
      <c r="D17" s="86" t="e">
        <f ca="1"/>
        <v>#NAME?</v>
      </c>
      <c r="E17" s="85" t="e">
        <f t="shared" ca="1" si="0"/>
        <v>#NAME?</v>
      </c>
      <c r="F17" s="84" t="e">
        <f ca="1">_xll.qlSimpleQuote(E17,,PriceTickValue,Permanent,Trigger,ObjectOverwrite)</f>
        <v>#NAME?</v>
      </c>
      <c r="G17" s="83" t="e">
        <f ca="1">_xll.ohRangeRetrieveError(F17)</f>
        <v>#NAME?</v>
      </c>
      <c r="H17" s="85" t="e">
        <f t="shared" ca="1" si="1"/>
        <v>#NAME?</v>
      </c>
      <c r="I17" s="84" t="e">
        <f ca="1">_xll.qlFuturesConvAdjustmentQuote($H17,IborIndex,$D17,$F17,Volatility,MeanReversion,Permanent,Trigger,ObjectOverwrite)</f>
        <v>#NAME?</v>
      </c>
      <c r="J17" s="83" t="e">
        <f ca="1">_xll.ohRangeRetrieveError(I17)</f>
        <v>#NAME?</v>
      </c>
      <c r="K17" s="36"/>
      <c r="M17" s="71"/>
      <c r="N17" s="82">
        <v>13</v>
      </c>
      <c r="O17" s="82" t="b">
        <v>1</v>
      </c>
      <c r="P17" s="77" t="e">
        <f ca="1"/>
        <v>#NAME?</v>
      </c>
      <c r="Q17" s="81" t="e">
        <f ca="1"/>
        <v>#NAME?</v>
      </c>
      <c r="R17" s="77" t="e">
        <f ca="1"/>
        <v>#NAME?</v>
      </c>
      <c r="S17" s="80">
        <v>42723</v>
      </c>
      <c r="T17" s="78">
        <v>100.045</v>
      </c>
      <c r="U17" s="78">
        <v>100.05</v>
      </c>
      <c r="V17" s="78">
        <v>100.05</v>
      </c>
      <c r="W17" s="78">
        <v>100.04</v>
      </c>
      <c r="X17" s="78" t="e">
        <f ca="1">_xll.qlMidSafe($T17,$U17)</f>
        <v>#NAME?</v>
      </c>
      <c r="Y17" s="78" t="e">
        <f t="shared" ca="1" si="2"/>
        <v>#NAME?</v>
      </c>
      <c r="Z17" s="66"/>
      <c r="AA17" s="79">
        <v>100.0475</v>
      </c>
      <c r="AB17" s="66"/>
      <c r="AC17" s="78">
        <v>100.0475</v>
      </c>
      <c r="AD17" s="138" t="e">
        <f ca="1">_xll.qlSimpleQuoteSetValue(F17,AC17,Trigger)</f>
        <v>#NAME?</v>
      </c>
      <c r="AE17" s="36"/>
    </row>
    <row r="18" spans="1:31" x14ac:dyDescent="0.2">
      <c r="A18" s="71"/>
      <c r="B18" s="86">
        <v>14</v>
      </c>
      <c r="C18" s="87" t="b">
        <v>1</v>
      </c>
      <c r="D18" s="86" t="e">
        <f ca="1"/>
        <v>#NAME?</v>
      </c>
      <c r="E18" s="85" t="e">
        <f t="shared" ca="1" si="0"/>
        <v>#NAME?</v>
      </c>
      <c r="F18" s="84" t="e">
        <f ca="1">_xll.qlSimpleQuote(E18,,PriceTickValue,Permanent,Trigger,ObjectOverwrite)</f>
        <v>#NAME?</v>
      </c>
      <c r="G18" s="83" t="e">
        <f ca="1">_xll.ohRangeRetrieveError(F18)</f>
        <v>#NAME?</v>
      </c>
      <c r="H18" s="85" t="e">
        <f t="shared" ca="1" si="1"/>
        <v>#NAME?</v>
      </c>
      <c r="I18" s="84" t="e">
        <f ca="1">_xll.qlFuturesConvAdjustmentQuote($H18,IborIndex,$D18,$F18,Volatility,MeanReversion,Permanent,Trigger,ObjectOverwrite)</f>
        <v>#NAME?</v>
      </c>
      <c r="J18" s="83" t="e">
        <f ca="1">_xll.ohRangeRetrieveError(I18)</f>
        <v>#NAME?</v>
      </c>
      <c r="K18" s="36"/>
      <c r="M18" s="71"/>
      <c r="N18" s="82">
        <v>14</v>
      </c>
      <c r="O18" s="82" t="b">
        <v>1</v>
      </c>
      <c r="P18" s="77" t="e">
        <f ca="1"/>
        <v>#NAME?</v>
      </c>
      <c r="Q18" s="81" t="e">
        <f ca="1"/>
        <v>#NAME?</v>
      </c>
      <c r="R18" s="77" t="e">
        <f ca="1"/>
        <v>#NAME?</v>
      </c>
      <c r="S18" s="80">
        <v>42807</v>
      </c>
      <c r="T18" s="78">
        <v>100.02</v>
      </c>
      <c r="U18" s="78">
        <v>100.02500000000001</v>
      </c>
      <c r="V18" s="78">
        <v>100.02</v>
      </c>
      <c r="W18" s="78">
        <v>100.015</v>
      </c>
      <c r="X18" s="78" t="e">
        <f ca="1">_xll.qlMidSafe($T18,$U18)</f>
        <v>#NAME?</v>
      </c>
      <c r="Y18" s="78" t="e">
        <f t="shared" ca="1" si="2"/>
        <v>#NAME?</v>
      </c>
      <c r="Z18" s="66"/>
      <c r="AA18" s="79">
        <v>100.02250000000001</v>
      </c>
      <c r="AB18" s="66"/>
      <c r="AC18" s="78">
        <v>100.02250000000001</v>
      </c>
      <c r="AD18" s="138" t="e">
        <f ca="1">_xll.qlSimpleQuoteSetValue(F18,AC18,Trigger)</f>
        <v>#NAME?</v>
      </c>
      <c r="AE18" s="36"/>
    </row>
    <row r="19" spans="1:31" x14ac:dyDescent="0.2">
      <c r="A19" s="71"/>
      <c r="B19" s="86">
        <v>15</v>
      </c>
      <c r="C19" s="87" t="b">
        <v>1</v>
      </c>
      <c r="D19" s="86" t="e">
        <f ca="1"/>
        <v>#NAME?</v>
      </c>
      <c r="E19" s="85" t="e">
        <f t="shared" ca="1" si="0"/>
        <v>#NAME?</v>
      </c>
      <c r="F19" s="84" t="e">
        <f ca="1">_xll.qlSimpleQuote(E19,,PriceTickValue,Permanent,Trigger,ObjectOverwrite)</f>
        <v>#NAME?</v>
      </c>
      <c r="G19" s="83" t="e">
        <f ca="1">_xll.ohRangeRetrieveError(F19)</f>
        <v>#NAME?</v>
      </c>
      <c r="H19" s="85" t="e">
        <f t="shared" ca="1" si="1"/>
        <v>#NAME?</v>
      </c>
      <c r="I19" s="84" t="e">
        <f ca="1">_xll.qlFuturesConvAdjustmentQuote($H19,IborIndex,$D19,$F19,Volatility,MeanReversion,Permanent,Trigger,ObjectOverwrite)</f>
        <v>#NAME?</v>
      </c>
      <c r="J19" s="83" t="e">
        <f ca="1">_xll.ohRangeRetrieveError(I19)</f>
        <v>#NAME?</v>
      </c>
      <c r="K19" s="36"/>
      <c r="M19" s="71"/>
      <c r="N19" s="82">
        <v>15</v>
      </c>
      <c r="O19" s="82" t="b">
        <v>1</v>
      </c>
      <c r="P19" s="77" t="e">
        <f ca="1"/>
        <v>#NAME?</v>
      </c>
      <c r="Q19" s="81" t="e">
        <f ca="1"/>
        <v>#NAME?</v>
      </c>
      <c r="R19" s="77" t="e">
        <f ca="1"/>
        <v>#NAME?</v>
      </c>
      <c r="S19" s="80">
        <v>42905</v>
      </c>
      <c r="T19" s="78">
        <v>99.984999999999999</v>
      </c>
      <c r="U19" s="78">
        <v>99.99</v>
      </c>
      <c r="V19" s="78">
        <v>99.99</v>
      </c>
      <c r="W19" s="78">
        <v>99.98</v>
      </c>
      <c r="X19" s="78" t="e">
        <f ca="1">_xll.qlMidSafe($T19,$U19)</f>
        <v>#NAME?</v>
      </c>
      <c r="Y19" s="78" t="e">
        <f t="shared" ca="1" si="2"/>
        <v>#NAME?</v>
      </c>
      <c r="Z19" s="66"/>
      <c r="AA19" s="79">
        <v>99.987499999999997</v>
      </c>
      <c r="AB19" s="66"/>
      <c r="AC19" s="78">
        <v>99.987499999999997</v>
      </c>
      <c r="AD19" s="138" t="e">
        <f ca="1">_xll.qlSimpleQuoteSetValue(F19,AC19,Trigger)</f>
        <v>#NAME?</v>
      </c>
      <c r="AE19" s="36"/>
    </row>
    <row r="20" spans="1:31" x14ac:dyDescent="0.2">
      <c r="A20" s="71"/>
      <c r="B20" s="86">
        <v>16</v>
      </c>
      <c r="C20" s="87" t="b">
        <v>1</v>
      </c>
      <c r="D20" s="86" t="e">
        <f ca="1"/>
        <v>#NAME?</v>
      </c>
      <c r="E20" s="85" t="e">
        <f t="shared" ca="1" si="0"/>
        <v>#NAME?</v>
      </c>
      <c r="F20" s="84" t="e">
        <f ca="1">_xll.qlSimpleQuote(E20,,PriceTickValue,Permanent,Trigger,ObjectOverwrite)</f>
        <v>#NAME?</v>
      </c>
      <c r="G20" s="83" t="e">
        <f ca="1">_xll.ohRangeRetrieveError(F20)</f>
        <v>#NAME?</v>
      </c>
      <c r="H20" s="85" t="e">
        <f t="shared" ca="1" si="1"/>
        <v>#NAME?</v>
      </c>
      <c r="I20" s="84" t="e">
        <f ca="1">_xll.qlFuturesConvAdjustmentQuote($H20,IborIndex,$D20,$F20,Volatility,MeanReversion,Permanent,Trigger,ObjectOverwrite)</f>
        <v>#NAME?</v>
      </c>
      <c r="J20" s="83" t="e">
        <f ca="1">_xll.ohRangeRetrieveError(I20)</f>
        <v>#NAME?</v>
      </c>
      <c r="K20" s="36"/>
      <c r="M20" s="71"/>
      <c r="N20" s="82">
        <v>16</v>
      </c>
      <c r="O20" s="82" t="b">
        <v>1</v>
      </c>
      <c r="P20" s="77" t="e">
        <f ca="1"/>
        <v>#NAME?</v>
      </c>
      <c r="Q20" s="81" t="e">
        <f ca="1"/>
        <v>#NAME?</v>
      </c>
      <c r="R20" s="77" t="e">
        <f ca="1"/>
        <v>#NAME?</v>
      </c>
      <c r="S20" s="80">
        <v>42996</v>
      </c>
      <c r="T20" s="78">
        <v>99.944999999999993</v>
      </c>
      <c r="U20" s="78">
        <v>99.95</v>
      </c>
      <c r="V20" s="78">
        <v>99.944999999999993</v>
      </c>
      <c r="W20" s="78">
        <v>99.94</v>
      </c>
      <c r="X20" s="78" t="e">
        <f ca="1">_xll.qlMidSafe($T20,$U20)</f>
        <v>#NAME?</v>
      </c>
      <c r="Y20" s="78" t="e">
        <f t="shared" ca="1" si="2"/>
        <v>#NAME?</v>
      </c>
      <c r="Z20" s="66"/>
      <c r="AA20" s="79">
        <v>99.947499999999991</v>
      </c>
      <c r="AB20" s="66"/>
      <c r="AC20" s="78">
        <v>99.947499999999991</v>
      </c>
      <c r="AD20" s="138" t="e">
        <f ca="1">_xll.qlSimpleQuoteSetValue(F20,AC20,Trigger)</f>
        <v>#NAME?</v>
      </c>
      <c r="AE20" s="36"/>
    </row>
    <row r="21" spans="1:31" x14ac:dyDescent="0.2">
      <c r="A21" s="71"/>
      <c r="B21" s="86">
        <v>17</v>
      </c>
      <c r="C21" s="87" t="b">
        <v>1</v>
      </c>
      <c r="D21" s="86" t="e">
        <f ca="1"/>
        <v>#NAME?</v>
      </c>
      <c r="E21" s="85" t="e">
        <f t="shared" ca="1" si="0"/>
        <v>#NAME?</v>
      </c>
      <c r="F21" s="84" t="e">
        <f ca="1">_xll.qlSimpleQuote(E21,,PriceTickValue,Permanent,Trigger,ObjectOverwrite)</f>
        <v>#NAME?</v>
      </c>
      <c r="G21" s="83" t="e">
        <f ca="1">_xll.ohRangeRetrieveError(F21)</f>
        <v>#NAME?</v>
      </c>
      <c r="H21" s="85" t="e">
        <f t="shared" ca="1" si="1"/>
        <v>#NAME?</v>
      </c>
      <c r="I21" s="84" t="e">
        <f ca="1">_xll.qlFuturesConvAdjustmentQuote($H21,IborIndex,$D21,$F21,Volatility,MeanReversion,Permanent,Trigger,ObjectOverwrite)</f>
        <v>#NAME?</v>
      </c>
      <c r="J21" s="83" t="e">
        <f ca="1">_xll.ohRangeRetrieveError(I21)</f>
        <v>#NAME?</v>
      </c>
      <c r="K21" s="36"/>
      <c r="M21" s="71"/>
      <c r="N21" s="82">
        <v>17</v>
      </c>
      <c r="O21" s="82" t="b">
        <v>1</v>
      </c>
      <c r="P21" s="77" t="e">
        <f ca="1"/>
        <v>#NAME?</v>
      </c>
      <c r="Q21" s="81" t="e">
        <f ca="1"/>
        <v>#NAME?</v>
      </c>
      <c r="R21" s="77" t="e">
        <f ca="1"/>
        <v>#NAME?</v>
      </c>
      <c r="S21" s="80">
        <v>43087</v>
      </c>
      <c r="T21" s="78">
        <v>99.89</v>
      </c>
      <c r="U21" s="78">
        <v>99.894999999999996</v>
      </c>
      <c r="V21" s="78">
        <v>99.894999999999996</v>
      </c>
      <c r="W21" s="78">
        <v>99.89</v>
      </c>
      <c r="X21" s="78" t="e">
        <f ca="1">_xll.qlMidSafe($T21,$U21)</f>
        <v>#NAME?</v>
      </c>
      <c r="Y21" s="78" t="e">
        <f t="shared" ca="1" si="2"/>
        <v>#NAME?</v>
      </c>
      <c r="Z21" s="66"/>
      <c r="AA21" s="79">
        <v>99.892499999999998</v>
      </c>
      <c r="AB21" s="66"/>
      <c r="AC21" s="78">
        <v>99.892499999999998</v>
      </c>
      <c r="AD21" s="138" t="e">
        <f ca="1">_xll.qlSimpleQuoteSetValue(F21,AC21,Trigger)</f>
        <v>#NAME?</v>
      </c>
      <c r="AE21" s="36"/>
    </row>
    <row r="22" spans="1:31" x14ac:dyDescent="0.2">
      <c r="A22" s="71"/>
      <c r="B22" s="86">
        <v>18</v>
      </c>
      <c r="C22" s="87" t="b">
        <v>1</v>
      </c>
      <c r="D22" s="86" t="e">
        <f ca="1"/>
        <v>#NAME?</v>
      </c>
      <c r="E22" s="85" t="e">
        <f t="shared" ca="1" si="0"/>
        <v>#NAME?</v>
      </c>
      <c r="F22" s="84" t="e">
        <f ca="1">_xll.qlSimpleQuote(E22,,PriceTickValue,Permanent,Trigger,ObjectOverwrite)</f>
        <v>#NAME?</v>
      </c>
      <c r="G22" s="83" t="e">
        <f ca="1">_xll.ohRangeRetrieveError(F22)</f>
        <v>#NAME?</v>
      </c>
      <c r="H22" s="85" t="e">
        <f t="shared" ca="1" si="1"/>
        <v>#NAME?</v>
      </c>
      <c r="I22" s="84" t="e">
        <f ca="1">_xll.qlFuturesConvAdjustmentQuote($H22,IborIndex,$D22,$F22,Volatility,MeanReversion,Permanent,Trigger,ObjectOverwrite)</f>
        <v>#NAME?</v>
      </c>
      <c r="J22" s="83" t="e">
        <f ca="1">_xll.ohRangeRetrieveError(I22)</f>
        <v>#NAME?</v>
      </c>
      <c r="K22" s="36"/>
      <c r="M22" s="71"/>
      <c r="N22" s="82">
        <v>18</v>
      </c>
      <c r="O22" s="82" t="b">
        <v>1</v>
      </c>
      <c r="P22" s="77" t="e">
        <f ca="1"/>
        <v>#NAME?</v>
      </c>
      <c r="Q22" s="81" t="e">
        <f ca="1"/>
        <v>#NAME?</v>
      </c>
      <c r="R22" s="77" t="e">
        <f ca="1"/>
        <v>#NAME?</v>
      </c>
      <c r="S22" s="80">
        <v>43178</v>
      </c>
      <c r="T22" s="78">
        <v>99.83</v>
      </c>
      <c r="U22" s="78">
        <v>99.834999999999994</v>
      </c>
      <c r="V22" s="78">
        <v>99.834999999999994</v>
      </c>
      <c r="W22" s="78">
        <v>99.83</v>
      </c>
      <c r="X22" s="78" t="e">
        <f ca="1">_xll.qlMidSafe($T22,$U22)</f>
        <v>#NAME?</v>
      </c>
      <c r="Y22" s="78" t="e">
        <f t="shared" ca="1" si="2"/>
        <v>#NAME?</v>
      </c>
      <c r="Z22" s="66"/>
      <c r="AA22" s="79">
        <v>99.832499999999996</v>
      </c>
      <c r="AB22" s="66"/>
      <c r="AC22" s="78">
        <v>99.832499999999996</v>
      </c>
      <c r="AD22" s="138" t="e">
        <f ca="1">_xll.qlSimpleQuoteSetValue(F22,AC22,Trigger)</f>
        <v>#NAME?</v>
      </c>
      <c r="AE22" s="36"/>
    </row>
    <row r="23" spans="1:31" x14ac:dyDescent="0.2">
      <c r="A23" s="71"/>
      <c r="B23" s="86">
        <v>19</v>
      </c>
      <c r="C23" s="87" t="b">
        <v>1</v>
      </c>
      <c r="D23" s="86" t="e">
        <f ca="1"/>
        <v>#NAME?</v>
      </c>
      <c r="E23" s="85" t="e">
        <f t="shared" ca="1" si="0"/>
        <v>#NAME?</v>
      </c>
      <c r="F23" s="84" t="e">
        <f ca="1">_xll.qlSimpleQuote(E23,,PriceTickValue,Permanent,Trigger,ObjectOverwrite)</f>
        <v>#NAME?</v>
      </c>
      <c r="G23" s="83" t="e">
        <f ca="1">_xll.ohRangeRetrieveError(F23)</f>
        <v>#NAME?</v>
      </c>
      <c r="H23" s="85" t="e">
        <f t="shared" ca="1" si="1"/>
        <v>#NAME?</v>
      </c>
      <c r="I23" s="84" t="e">
        <f ca="1">_xll.qlFuturesConvAdjustmentQuote($H23,IborIndex,$D23,$F23,Volatility,MeanReversion,Permanent,Trigger,ObjectOverwrite)</f>
        <v>#NAME?</v>
      </c>
      <c r="J23" s="83" t="e">
        <f ca="1">_xll.ohRangeRetrieveError(I23)</f>
        <v>#NAME?</v>
      </c>
      <c r="K23" s="36"/>
      <c r="M23" s="71"/>
      <c r="N23" s="82">
        <v>19</v>
      </c>
      <c r="O23" s="82" t="b">
        <v>1</v>
      </c>
      <c r="P23" s="77" t="e">
        <f ca="1"/>
        <v>#NAME?</v>
      </c>
      <c r="Q23" s="81" t="e">
        <f ca="1"/>
        <v>#NAME?</v>
      </c>
      <c r="R23" s="77" t="e">
        <f ca="1"/>
        <v>#NAME?</v>
      </c>
      <c r="S23" s="80">
        <v>43269</v>
      </c>
      <c r="T23" s="78">
        <v>99.76</v>
      </c>
      <c r="U23" s="78">
        <v>99.77</v>
      </c>
      <c r="V23" s="78">
        <v>99.765000000000001</v>
      </c>
      <c r="W23" s="78">
        <v>99.76</v>
      </c>
      <c r="X23" s="78" t="e">
        <f ca="1">_xll.qlMidSafe($T23,$U23)</f>
        <v>#NAME?</v>
      </c>
      <c r="Y23" s="78" t="e">
        <f t="shared" ca="1" si="2"/>
        <v>#NAME?</v>
      </c>
      <c r="Z23" s="66"/>
      <c r="AA23" s="79">
        <v>99.765000000000001</v>
      </c>
      <c r="AB23" s="66"/>
      <c r="AC23" s="78">
        <v>99.765000000000001</v>
      </c>
      <c r="AD23" s="138" t="e">
        <f ca="1">_xll.qlSimpleQuoteSetValue(F23,AC23,Trigger)</f>
        <v>#NAME?</v>
      </c>
      <c r="AE23" s="36"/>
    </row>
    <row r="24" spans="1:31" x14ac:dyDescent="0.2">
      <c r="A24" s="71"/>
      <c r="B24" s="86">
        <v>20</v>
      </c>
      <c r="C24" s="87" t="b">
        <v>1</v>
      </c>
      <c r="D24" s="86" t="e">
        <f ca="1"/>
        <v>#NAME?</v>
      </c>
      <c r="E24" s="85" t="e">
        <f t="shared" ca="1" si="0"/>
        <v>#NAME?</v>
      </c>
      <c r="F24" s="84" t="e">
        <f ca="1">_xll.qlSimpleQuote(E24,,PriceTickValue,Permanent,Trigger,ObjectOverwrite)</f>
        <v>#NAME?</v>
      </c>
      <c r="G24" s="83" t="e">
        <f ca="1">_xll.ohRangeRetrieveError(F24)</f>
        <v>#NAME?</v>
      </c>
      <c r="H24" s="85" t="e">
        <f t="shared" ca="1" si="1"/>
        <v>#NAME?</v>
      </c>
      <c r="I24" s="84" t="e">
        <f ca="1">_xll.qlFuturesConvAdjustmentQuote($H24,IborIndex,$D24,$F24,Volatility,MeanReversion,Permanent,Trigger,ObjectOverwrite)</f>
        <v>#NAME?</v>
      </c>
      <c r="J24" s="83" t="e">
        <f ca="1">_xll.ohRangeRetrieveError(I24)</f>
        <v>#NAME?</v>
      </c>
      <c r="K24" s="36"/>
      <c r="M24" s="71"/>
      <c r="N24" s="82">
        <v>20</v>
      </c>
      <c r="O24" s="82" t="b">
        <v>1</v>
      </c>
      <c r="P24" s="77" t="e">
        <f ca="1"/>
        <v>#NAME?</v>
      </c>
      <c r="Q24" s="81" t="e">
        <f ca="1"/>
        <v>#NAME?</v>
      </c>
      <c r="R24" s="77" t="e">
        <f ca="1"/>
        <v>#NAME?</v>
      </c>
      <c r="S24" s="80">
        <v>43360</v>
      </c>
      <c r="T24" s="78">
        <v>99.685000000000002</v>
      </c>
      <c r="U24" s="78">
        <v>99.69</v>
      </c>
      <c r="V24" s="78">
        <v>99.69</v>
      </c>
      <c r="W24" s="78">
        <v>99.685000000000002</v>
      </c>
      <c r="X24" s="78" t="e">
        <f ca="1">_xll.qlMidSafe($T24,$U24)</f>
        <v>#NAME?</v>
      </c>
      <c r="Y24" s="78" t="e">
        <f t="shared" ca="1" si="2"/>
        <v>#NAME?</v>
      </c>
      <c r="Z24" s="66"/>
      <c r="AA24" s="79">
        <v>99.6875</v>
      </c>
      <c r="AB24" s="66"/>
      <c r="AC24" s="78">
        <v>99.6875</v>
      </c>
      <c r="AD24" s="138" t="e">
        <f ca="1">_xll.qlSimpleQuoteSetValue(F24,AC24,Trigger)</f>
        <v>#NAME?</v>
      </c>
      <c r="AE24" s="36"/>
    </row>
    <row r="25" spans="1:31" x14ac:dyDescent="0.2">
      <c r="A25" s="71"/>
      <c r="B25" s="86">
        <v>21</v>
      </c>
      <c r="C25" s="87" t="b">
        <v>1</v>
      </c>
      <c r="D25" s="86" t="e">
        <f ca="1"/>
        <v>#NAME?</v>
      </c>
      <c r="E25" s="85" t="e">
        <f t="shared" ca="1" si="0"/>
        <v>#NAME?</v>
      </c>
      <c r="F25" s="84" t="e">
        <f ca="1">_xll.qlSimpleQuote(E25,,PriceTickValue,Permanent,Trigger,ObjectOverwrite)</f>
        <v>#NAME?</v>
      </c>
      <c r="G25" s="83" t="e">
        <f ca="1">_xll.ohRangeRetrieveError(F25)</f>
        <v>#NAME?</v>
      </c>
      <c r="H25" s="85" t="e">
        <f t="shared" ca="1" si="1"/>
        <v>#NAME?</v>
      </c>
      <c r="I25" s="84" t="e">
        <f ca="1">_xll.qlFuturesConvAdjustmentQuote($H25,IborIndex,$D25,$F25,Volatility,MeanReversion,Permanent,Trigger,ObjectOverwrite)</f>
        <v>#NAME?</v>
      </c>
      <c r="J25" s="83" t="e">
        <f ca="1">_xll.ohRangeRetrieveError(I25)</f>
        <v>#NAME?</v>
      </c>
      <c r="K25" s="36"/>
      <c r="M25" s="71"/>
      <c r="N25" s="82">
        <v>21</v>
      </c>
      <c r="O25" s="82" t="b">
        <v>1</v>
      </c>
      <c r="P25" s="77" t="e">
        <f ca="1"/>
        <v>#NAME?</v>
      </c>
      <c r="Q25" s="81" t="e">
        <f ca="1"/>
        <v>#NAME?</v>
      </c>
      <c r="R25" s="77" t="e">
        <f ca="1"/>
        <v>#NAME?</v>
      </c>
      <c r="S25" s="80">
        <v>43451</v>
      </c>
      <c r="T25" s="78">
        <v>99.61</v>
      </c>
      <c r="U25" s="78">
        <v>99.614999999999995</v>
      </c>
      <c r="V25" s="78">
        <v>99.61</v>
      </c>
      <c r="W25" s="78">
        <v>99.605000000000004</v>
      </c>
      <c r="X25" s="78" t="e">
        <f ca="1">_xll.qlMidSafe($T25,$U25)</f>
        <v>#NAME?</v>
      </c>
      <c r="Y25" s="78" t="e">
        <f t="shared" ca="1" si="2"/>
        <v>#NAME?</v>
      </c>
      <c r="Z25" s="66"/>
      <c r="AA25" s="79">
        <v>99.612499999999997</v>
      </c>
      <c r="AB25" s="66"/>
      <c r="AC25" s="78">
        <v>99.612499999999997</v>
      </c>
      <c r="AD25" s="138" t="e">
        <f ca="1">_xll.qlSimpleQuoteSetValue(F25,AC25,Trigger)</f>
        <v>#NAME?</v>
      </c>
      <c r="AE25" s="36"/>
    </row>
    <row r="26" spans="1:31" x14ac:dyDescent="0.2">
      <c r="A26" s="71"/>
      <c r="B26" s="86">
        <v>22</v>
      </c>
      <c r="C26" s="87" t="b">
        <v>1</v>
      </c>
      <c r="D26" s="86" t="e">
        <f ca="1"/>
        <v>#NAME?</v>
      </c>
      <c r="E26" s="85" t="e">
        <f t="shared" ca="1" si="0"/>
        <v>#NAME?</v>
      </c>
      <c r="F26" s="84" t="e">
        <f ca="1">_xll.qlSimpleQuote(E26,,PriceTickValue,Permanent,Trigger,ObjectOverwrite)</f>
        <v>#NAME?</v>
      </c>
      <c r="G26" s="83" t="e">
        <f ca="1">_xll.ohRangeRetrieveError(F26)</f>
        <v>#NAME?</v>
      </c>
      <c r="H26" s="85" t="e">
        <f t="shared" ca="1" si="1"/>
        <v>#NAME?</v>
      </c>
      <c r="I26" s="84" t="e">
        <f ca="1">_xll.qlFuturesConvAdjustmentQuote($H26,IborIndex,$D26,$F26,Volatility,MeanReversion,Permanent,Trigger,ObjectOverwrite)</f>
        <v>#NAME?</v>
      </c>
      <c r="J26" s="83" t="e">
        <f ca="1">_xll.ohRangeRetrieveError(I26)</f>
        <v>#NAME?</v>
      </c>
      <c r="K26" s="36"/>
      <c r="M26" s="71"/>
      <c r="N26" s="82">
        <v>22</v>
      </c>
      <c r="O26" s="82" t="b">
        <v>1</v>
      </c>
      <c r="P26" s="77" t="e">
        <f ca="1"/>
        <v>#NAME?</v>
      </c>
      <c r="Q26" s="81" t="e">
        <f ca="1"/>
        <v>#NAME?</v>
      </c>
      <c r="R26" s="77" t="e">
        <f ca="1"/>
        <v>#NAME?</v>
      </c>
      <c r="S26" s="80">
        <v>43542</v>
      </c>
      <c r="T26" s="78">
        <v>99.534999999999997</v>
      </c>
      <c r="U26" s="78">
        <v>99.54</v>
      </c>
      <c r="V26" s="78">
        <v>99.534999999999997</v>
      </c>
      <c r="W26" s="78">
        <v>99.53</v>
      </c>
      <c r="X26" s="78" t="e">
        <f ca="1">_xll.qlMidSafe($T26,$U26)</f>
        <v>#NAME?</v>
      </c>
      <c r="Y26" s="78" t="e">
        <f t="shared" ca="1" si="2"/>
        <v>#NAME?</v>
      </c>
      <c r="Z26" s="66"/>
      <c r="AA26" s="79">
        <v>99.537499999999994</v>
      </c>
      <c r="AB26" s="66"/>
      <c r="AC26" s="78">
        <v>99.537499999999994</v>
      </c>
      <c r="AD26" s="138" t="e">
        <f ca="1">_xll.qlSimpleQuoteSetValue(F26,AC26,Trigger)</f>
        <v>#NAME?</v>
      </c>
      <c r="AE26" s="36"/>
    </row>
    <row r="27" spans="1:31" x14ac:dyDescent="0.2">
      <c r="A27" s="71"/>
      <c r="B27" s="86">
        <v>23</v>
      </c>
      <c r="C27" s="87" t="b">
        <v>1</v>
      </c>
      <c r="D27" s="86" t="e">
        <f ca="1"/>
        <v>#NAME?</v>
      </c>
      <c r="E27" s="85" t="e">
        <f t="shared" ca="1" si="0"/>
        <v>#NAME?</v>
      </c>
      <c r="F27" s="84" t="e">
        <f ca="1">_xll.qlSimpleQuote(E27,,PriceTickValue,Permanent,Trigger,ObjectOverwrite)</f>
        <v>#NAME?</v>
      </c>
      <c r="G27" s="83" t="e">
        <f ca="1">_xll.ohRangeRetrieveError(F27)</f>
        <v>#NAME?</v>
      </c>
      <c r="H27" s="85" t="e">
        <f t="shared" ca="1" si="1"/>
        <v>#NAME?</v>
      </c>
      <c r="I27" s="84" t="e">
        <f ca="1">_xll.qlFuturesConvAdjustmentQuote($H27,IborIndex,$D27,$F27,Volatility,MeanReversion,Permanent,Trigger,ObjectOverwrite)</f>
        <v>#NAME?</v>
      </c>
      <c r="J27" s="83" t="e">
        <f ca="1">_xll.ohRangeRetrieveError(I27)</f>
        <v>#NAME?</v>
      </c>
      <c r="K27" s="36"/>
      <c r="M27" s="71"/>
      <c r="N27" s="82">
        <v>23</v>
      </c>
      <c r="O27" s="82" t="b">
        <v>1</v>
      </c>
      <c r="P27" s="77" t="e">
        <f ca="1"/>
        <v>#NAME?</v>
      </c>
      <c r="Q27" s="81" t="e">
        <f ca="1"/>
        <v>#NAME?</v>
      </c>
      <c r="R27" s="77" t="e">
        <f ca="1"/>
        <v>#NAME?</v>
      </c>
      <c r="S27" s="80">
        <v>43633</v>
      </c>
      <c r="T27" s="78">
        <v>99.454999999999998</v>
      </c>
      <c r="U27" s="78">
        <v>99.46</v>
      </c>
      <c r="V27" s="78">
        <v>99.46</v>
      </c>
      <c r="W27" s="78">
        <v>99.454999999999998</v>
      </c>
      <c r="X27" s="78" t="e">
        <f ca="1">_xll.qlMidSafe($T27,$U27)</f>
        <v>#NAME?</v>
      </c>
      <c r="Y27" s="78" t="e">
        <f t="shared" ca="1" si="2"/>
        <v>#NAME?</v>
      </c>
      <c r="Z27" s="66"/>
      <c r="AA27" s="79">
        <v>99.457499999999996</v>
      </c>
      <c r="AB27" s="66"/>
      <c r="AC27" s="78">
        <v>99.457499999999996</v>
      </c>
      <c r="AD27" s="138" t="e">
        <f ca="1">_xll.qlSimpleQuoteSetValue(F27,AC27,Trigger)</f>
        <v>#NAME?</v>
      </c>
      <c r="AE27" s="36"/>
    </row>
    <row r="28" spans="1:31" x14ac:dyDescent="0.2">
      <c r="A28" s="71"/>
      <c r="B28" s="86">
        <v>24</v>
      </c>
      <c r="C28" s="87" t="b">
        <v>1</v>
      </c>
      <c r="D28" s="86" t="e">
        <f ca="1"/>
        <v>#NAME?</v>
      </c>
      <c r="E28" s="85" t="e">
        <f t="shared" ca="1" si="0"/>
        <v>#NAME?</v>
      </c>
      <c r="F28" s="84" t="e">
        <f ca="1">_xll.qlSimpleQuote(E28,,PriceTickValue,Permanent,Trigger,ObjectOverwrite)</f>
        <v>#NAME?</v>
      </c>
      <c r="G28" s="83" t="e">
        <f ca="1">_xll.ohRangeRetrieveError(F28)</f>
        <v>#NAME?</v>
      </c>
      <c r="H28" s="85" t="e">
        <f t="shared" ca="1" si="1"/>
        <v>#NAME?</v>
      </c>
      <c r="I28" s="84" t="e">
        <f ca="1">_xll.qlFuturesConvAdjustmentQuote($H28,IborIndex,$D28,$F28,Volatility,MeanReversion,Permanent,Trigger,ObjectOverwrite)</f>
        <v>#NAME?</v>
      </c>
      <c r="J28" s="83" t="e">
        <f ca="1">_xll.ohRangeRetrieveError(I28)</f>
        <v>#NAME?</v>
      </c>
      <c r="K28" s="36"/>
      <c r="M28" s="71"/>
      <c r="N28" s="82">
        <v>24</v>
      </c>
      <c r="O28" s="82" t="b">
        <v>1</v>
      </c>
      <c r="P28" s="77" t="e">
        <f ca="1"/>
        <v>#NAME?</v>
      </c>
      <c r="Q28" s="81" t="e">
        <f ca="1"/>
        <v>#NAME?</v>
      </c>
      <c r="R28" s="77" t="e">
        <f ca="1"/>
        <v>#NAME?</v>
      </c>
      <c r="S28" s="80">
        <v>43724</v>
      </c>
      <c r="T28" s="78">
        <v>99.38</v>
      </c>
      <c r="U28" s="78">
        <v>99.385000000000005</v>
      </c>
      <c r="V28" s="78">
        <v>99.38</v>
      </c>
      <c r="W28" s="78">
        <v>99.38</v>
      </c>
      <c r="X28" s="78" t="e">
        <f ca="1">_xll.qlMidSafe($T28,$U28)</f>
        <v>#NAME?</v>
      </c>
      <c r="Y28" s="78" t="e">
        <f t="shared" ca="1" si="2"/>
        <v>#NAME?</v>
      </c>
      <c r="Z28" s="66"/>
      <c r="AA28" s="79">
        <v>99.382499999999993</v>
      </c>
      <c r="AB28" s="66"/>
      <c r="AC28" s="78">
        <v>99.382499999999993</v>
      </c>
      <c r="AD28" s="138" t="e">
        <f ca="1">_xll.qlSimpleQuoteSetValue(F28,AC28,Trigger)</f>
        <v>#NAME?</v>
      </c>
      <c r="AE28" s="36"/>
    </row>
    <row r="29" spans="1:31" x14ac:dyDescent="0.2">
      <c r="A29" s="71"/>
      <c r="B29" s="86">
        <v>25</v>
      </c>
      <c r="C29" s="87" t="b">
        <v>1</v>
      </c>
      <c r="D29" s="86" t="e">
        <f ca="1"/>
        <v>#NAME?</v>
      </c>
      <c r="E29" s="85" t="e">
        <f t="shared" ca="1" si="0"/>
        <v>#NAME?</v>
      </c>
      <c r="F29" s="84" t="e">
        <f ca="1">_xll.qlSimpleQuote(E29,,PriceTickValue,Permanent,Trigger,ObjectOverwrite)</f>
        <v>#NAME?</v>
      </c>
      <c r="G29" s="83" t="e">
        <f ca="1">_xll.ohRangeRetrieveError(F29)</f>
        <v>#NAME?</v>
      </c>
      <c r="H29" s="85" t="e">
        <f t="shared" ca="1" si="1"/>
        <v>#NAME?</v>
      </c>
      <c r="I29" s="84" t="e">
        <f ca="1">_xll.qlFuturesConvAdjustmentQuote($H29,IborIndex,$D29,$F29,Volatility,MeanReversion,Permanent,Trigger,ObjectOverwrite)</f>
        <v>#NAME?</v>
      </c>
      <c r="J29" s="83" t="e">
        <f ca="1">_xll.ohRangeRetrieveError(I29)</f>
        <v>#NAME?</v>
      </c>
      <c r="K29" s="36"/>
      <c r="M29" s="71"/>
      <c r="N29" s="82">
        <v>25</v>
      </c>
      <c r="O29" s="82" t="b">
        <v>1</v>
      </c>
      <c r="P29" s="77" t="e">
        <f ca="1"/>
        <v>#NAME?</v>
      </c>
      <c r="Q29" s="81" t="e">
        <f ca="1"/>
        <v>#NAME?</v>
      </c>
      <c r="R29" s="77" t="e">
        <f ca="1"/>
        <v>#NAME?</v>
      </c>
      <c r="S29" s="80">
        <v>43815</v>
      </c>
      <c r="T29" s="78">
        <v>99.305000000000007</v>
      </c>
      <c r="U29" s="78">
        <v>99.31</v>
      </c>
      <c r="V29" s="78">
        <v>99.31</v>
      </c>
      <c r="W29" s="78">
        <v>99.3</v>
      </c>
      <c r="X29" s="78" t="e">
        <f ca="1">_xll.qlMidSafe($T29,$U29)</f>
        <v>#NAME?</v>
      </c>
      <c r="Y29" s="78" t="e">
        <f t="shared" ca="1" si="2"/>
        <v>#NAME?</v>
      </c>
      <c r="Z29" s="66"/>
      <c r="AA29" s="79">
        <v>99.307500000000005</v>
      </c>
      <c r="AB29" s="66"/>
      <c r="AC29" s="78">
        <v>99.307500000000005</v>
      </c>
      <c r="AD29" s="138" t="e">
        <f ca="1">_xll.qlSimpleQuoteSetValue(F29,AC29,Trigger)</f>
        <v>#NAME?</v>
      </c>
      <c r="AE29" s="36"/>
    </row>
    <row r="30" spans="1:31" x14ac:dyDescent="0.2">
      <c r="A30" s="71"/>
      <c r="B30" s="86">
        <v>26</v>
      </c>
      <c r="C30" s="87" t="b">
        <v>1</v>
      </c>
      <c r="D30" s="86" t="e">
        <f ca="1"/>
        <v>#NAME?</v>
      </c>
      <c r="E30" s="85" t="e">
        <f t="shared" ca="1" si="0"/>
        <v>#NAME?</v>
      </c>
      <c r="F30" s="84" t="e">
        <f ca="1">_xll.qlSimpleQuote(E30,,PriceTickValue,Permanent,Trigger,ObjectOverwrite)</f>
        <v>#NAME?</v>
      </c>
      <c r="G30" s="83" t="e">
        <f ca="1">_xll.ohRangeRetrieveError(F30)</f>
        <v>#NAME?</v>
      </c>
      <c r="H30" s="85" t="e">
        <f t="shared" ca="1" si="1"/>
        <v>#NAME?</v>
      </c>
      <c r="I30" s="84" t="e">
        <f ca="1">_xll.qlFuturesConvAdjustmentQuote($H30,IborIndex,$D30,$F30,Volatility,MeanReversion,Permanent,Trigger,ObjectOverwrite)</f>
        <v>#NAME?</v>
      </c>
      <c r="J30" s="83" t="e">
        <f ca="1">_xll.ohRangeRetrieveError(I30)</f>
        <v>#NAME?</v>
      </c>
      <c r="K30" s="36"/>
      <c r="M30" s="71"/>
      <c r="N30" s="82">
        <v>26</v>
      </c>
      <c r="O30" s="82" t="b">
        <v>1</v>
      </c>
      <c r="P30" s="77" t="e">
        <f ca="1"/>
        <v>#NAME?</v>
      </c>
      <c r="Q30" s="81" t="e">
        <f ca="1"/>
        <v>#NAME?</v>
      </c>
      <c r="R30" s="77" t="e">
        <f ca="1"/>
        <v>#NAME?</v>
      </c>
      <c r="S30" s="80">
        <v>43906</v>
      </c>
      <c r="T30" s="78">
        <v>99.23</v>
      </c>
      <c r="U30" s="78">
        <v>99.24</v>
      </c>
      <c r="V30" s="78">
        <v>0</v>
      </c>
      <c r="W30" s="78">
        <v>99.224999999999994</v>
      </c>
      <c r="X30" s="78" t="e">
        <f ca="1">_xll.qlMidSafe($T30,$U30)</f>
        <v>#NAME?</v>
      </c>
      <c r="Y30" s="78" t="e">
        <f t="shared" ca="1" si="2"/>
        <v>#NAME?</v>
      </c>
      <c r="Z30" s="66"/>
      <c r="AA30" s="79">
        <v>99.234999999999999</v>
      </c>
      <c r="AB30" s="66"/>
      <c r="AC30" s="78">
        <v>99.234999999999999</v>
      </c>
      <c r="AD30" s="138" t="e">
        <f ca="1">_xll.qlSimpleQuoteSetValue(F30,AC30,Trigger)</f>
        <v>#NAME?</v>
      </c>
      <c r="AE30" s="36"/>
    </row>
    <row r="31" spans="1:31" x14ac:dyDescent="0.2">
      <c r="A31" s="71"/>
      <c r="B31" s="86">
        <v>27</v>
      </c>
      <c r="C31" s="87" t="b">
        <v>1</v>
      </c>
      <c r="D31" s="86" t="e">
        <f ca="1"/>
        <v>#NAME?</v>
      </c>
      <c r="E31" s="85" t="e">
        <f t="shared" ca="1" si="0"/>
        <v>#NAME?</v>
      </c>
      <c r="F31" s="84" t="e">
        <f ca="1">_xll.qlSimpleQuote(E31,,PriceTickValue,Permanent,Trigger,ObjectOverwrite)</f>
        <v>#NAME?</v>
      </c>
      <c r="G31" s="83" t="e">
        <f ca="1">_xll.ohRangeRetrieveError(F31)</f>
        <v>#NAME?</v>
      </c>
      <c r="H31" s="85" t="e">
        <f t="shared" ca="1" si="1"/>
        <v>#NAME?</v>
      </c>
      <c r="I31" s="84" t="e">
        <f ca="1">_xll.qlFuturesConvAdjustmentQuote($H31,IborIndex,$D31,$F31,Volatility,MeanReversion,Permanent,Trigger,ObjectOverwrite)</f>
        <v>#NAME?</v>
      </c>
      <c r="J31" s="83" t="e">
        <f ca="1">_xll.ohRangeRetrieveError(I31)</f>
        <v>#NAME?</v>
      </c>
      <c r="K31" s="36"/>
      <c r="M31" s="71"/>
      <c r="N31" s="82">
        <v>27</v>
      </c>
      <c r="O31" s="82" t="b">
        <v>1</v>
      </c>
      <c r="P31" s="77" t="e">
        <f ca="1"/>
        <v>#NAME?</v>
      </c>
      <c r="Q31" s="81" t="e">
        <f ca="1"/>
        <v>#NAME?</v>
      </c>
      <c r="R31" s="77" t="e">
        <f ca="1"/>
        <v>#NAME?</v>
      </c>
      <c r="S31" s="80">
        <v>43997</v>
      </c>
      <c r="T31" s="78">
        <v>99.15</v>
      </c>
      <c r="U31" s="78">
        <v>99.165000000000006</v>
      </c>
      <c r="V31" s="78">
        <v>0</v>
      </c>
      <c r="W31" s="78">
        <v>99.15</v>
      </c>
      <c r="X31" s="78" t="e">
        <f ca="1">_xll.qlMidSafe($T31,$U31)</f>
        <v>#NAME?</v>
      </c>
      <c r="Y31" s="78" t="e">
        <f t="shared" ca="1" si="2"/>
        <v>#NAME?</v>
      </c>
      <c r="Z31" s="66"/>
      <c r="AA31" s="79">
        <v>99.157499999999999</v>
      </c>
      <c r="AB31" s="66"/>
      <c r="AC31" s="78">
        <v>99.157499999999999</v>
      </c>
      <c r="AD31" s="138" t="e">
        <f ca="1">_xll.qlSimpleQuoteSetValue(F31,AC31,Trigger)</f>
        <v>#NAME?</v>
      </c>
      <c r="AE31" s="36"/>
    </row>
    <row r="32" spans="1:31" x14ac:dyDescent="0.2">
      <c r="A32" s="71"/>
      <c r="B32" s="86">
        <v>28</v>
      </c>
      <c r="C32" s="87" t="b">
        <v>1</v>
      </c>
      <c r="D32" s="86" t="e">
        <f ca="1"/>
        <v>#NAME?</v>
      </c>
      <c r="E32" s="85" t="e">
        <f t="shared" ca="1" si="0"/>
        <v>#NAME?</v>
      </c>
      <c r="F32" s="84" t="e">
        <f ca="1">_xll.qlSimpleQuote(E32,,PriceTickValue,Permanent,Trigger,ObjectOverwrite)</f>
        <v>#NAME?</v>
      </c>
      <c r="G32" s="83" t="e">
        <f ca="1">_xll.ohRangeRetrieveError(F32)</f>
        <v>#NAME?</v>
      </c>
      <c r="H32" s="85" t="e">
        <f t="shared" ca="1" si="1"/>
        <v>#NAME?</v>
      </c>
      <c r="I32" s="84" t="e">
        <f ca="1">_xll.qlFuturesConvAdjustmentQuote($H32,IborIndex,$D32,$F32,Volatility,MeanReversion,Permanent,Trigger,ObjectOverwrite)</f>
        <v>#NAME?</v>
      </c>
      <c r="J32" s="83" t="e">
        <f ca="1">_xll.ohRangeRetrieveError(I32)</f>
        <v>#NAME?</v>
      </c>
      <c r="K32" s="36"/>
      <c r="M32" s="71"/>
      <c r="N32" s="82">
        <v>28</v>
      </c>
      <c r="O32" s="82" t="b">
        <v>1</v>
      </c>
      <c r="P32" s="77" t="e">
        <f ca="1"/>
        <v>#NAME?</v>
      </c>
      <c r="Q32" s="81" t="e">
        <f ca="1"/>
        <v>#NAME?</v>
      </c>
      <c r="R32" s="77" t="e">
        <f ca="1"/>
        <v>#NAME?</v>
      </c>
      <c r="S32" s="80">
        <v>44088</v>
      </c>
      <c r="T32" s="78">
        <v>99.07</v>
      </c>
      <c r="U32" s="78">
        <v>99.09</v>
      </c>
      <c r="V32" s="78">
        <v>0</v>
      </c>
      <c r="W32" s="78">
        <v>99.075000000000003</v>
      </c>
      <c r="X32" s="78" t="e">
        <f ca="1">_xll.qlMidSafe($T32,$U32)</f>
        <v>#NAME?</v>
      </c>
      <c r="Y32" s="78" t="e">
        <f t="shared" ca="1" si="2"/>
        <v>#NAME?</v>
      </c>
      <c r="Z32" s="66"/>
      <c r="AA32" s="79">
        <v>99.08</v>
      </c>
      <c r="AB32" s="66"/>
      <c r="AC32" s="78">
        <v>99.08</v>
      </c>
      <c r="AD32" s="138" t="e">
        <f ca="1">_xll.qlSimpleQuoteSetValue(F32,AC32,Trigger)</f>
        <v>#NAME?</v>
      </c>
      <c r="AE32" s="36"/>
    </row>
    <row r="33" spans="1:31" x14ac:dyDescent="0.2">
      <c r="A33" s="71"/>
      <c r="B33" s="86">
        <v>29</v>
      </c>
      <c r="C33" s="87" t="b">
        <v>1</v>
      </c>
      <c r="D33" s="86" t="e">
        <f ca="1"/>
        <v>#NAME?</v>
      </c>
      <c r="E33" s="85" t="e">
        <f t="shared" ca="1" si="0"/>
        <v>#NAME?</v>
      </c>
      <c r="F33" s="84" t="e">
        <f ca="1">_xll.qlSimpleQuote(E33,,PriceTickValue,Permanent,Trigger,ObjectOverwrite)</f>
        <v>#NAME?</v>
      </c>
      <c r="G33" s="83" t="e">
        <f ca="1">_xll.ohRangeRetrieveError(F33)</f>
        <v>#NAME?</v>
      </c>
      <c r="H33" s="85" t="e">
        <f t="shared" ca="1" si="1"/>
        <v>#NAME?</v>
      </c>
      <c r="I33" s="84" t="e">
        <f ca="1">_xll.qlFuturesConvAdjustmentQuote($H33,IborIndex,$D33,$F33,Volatility,MeanReversion,Permanent,Trigger,ObjectOverwrite)</f>
        <v>#NAME?</v>
      </c>
      <c r="J33" s="83" t="e">
        <f ca="1">_xll.ohRangeRetrieveError(I33)</f>
        <v>#NAME?</v>
      </c>
      <c r="K33" s="36"/>
      <c r="M33" s="71"/>
      <c r="N33" s="82">
        <v>29</v>
      </c>
      <c r="O33" s="82" t="b">
        <v>1</v>
      </c>
      <c r="P33" s="77" t="e">
        <f ca="1"/>
        <v>#NAME?</v>
      </c>
      <c r="Q33" s="81" t="e">
        <f ca="1"/>
        <v>#NAME?</v>
      </c>
      <c r="R33" s="77" t="e">
        <f ca="1"/>
        <v>#NAME?</v>
      </c>
      <c r="S33" s="80">
        <v>44179</v>
      </c>
      <c r="T33" s="78">
        <v>98.99</v>
      </c>
      <c r="U33" s="78">
        <v>99.015000000000001</v>
      </c>
      <c r="V33" s="78">
        <v>0</v>
      </c>
      <c r="W33" s="78">
        <v>99</v>
      </c>
      <c r="X33" s="78" t="e">
        <f ca="1">_xll.qlMidSafe($T33,$U33)</f>
        <v>#NAME?</v>
      </c>
      <c r="Y33" s="78" t="e">
        <f t="shared" ca="1" si="2"/>
        <v>#NAME?</v>
      </c>
      <c r="Z33" s="66"/>
      <c r="AA33" s="79">
        <v>99.002499999999998</v>
      </c>
      <c r="AB33" s="66"/>
      <c r="AC33" s="78">
        <v>99.002499999999998</v>
      </c>
      <c r="AD33" s="138" t="e">
        <f ca="1">_xll.qlSimpleQuoteSetValue(F33,AC33,Trigger)</f>
        <v>#NAME?</v>
      </c>
      <c r="AE33" s="36"/>
    </row>
    <row r="34" spans="1:31" x14ac:dyDescent="0.2">
      <c r="A34" s="71"/>
      <c r="B34" s="86">
        <v>30</v>
      </c>
      <c r="C34" s="87" t="b">
        <v>1</v>
      </c>
      <c r="D34" s="86" t="e">
        <f ca="1"/>
        <v>#NAME?</v>
      </c>
      <c r="E34" s="85" t="e">
        <f t="shared" ca="1" si="0"/>
        <v>#NAME?</v>
      </c>
      <c r="F34" s="84" t="e">
        <f ca="1">_xll.qlSimpleQuote(E34,,PriceTickValue,Permanent,Trigger,ObjectOverwrite)</f>
        <v>#NAME?</v>
      </c>
      <c r="G34" s="83" t="e">
        <f ca="1">_xll.ohRangeRetrieveError(F34)</f>
        <v>#NAME?</v>
      </c>
      <c r="H34" s="85" t="e">
        <f t="shared" ca="1" si="1"/>
        <v>#NAME?</v>
      </c>
      <c r="I34" s="84" t="e">
        <f ca="1">_xll.qlFuturesConvAdjustmentQuote($H34,IborIndex,$D34,$F34,Volatility,MeanReversion,Permanent,Trigger,ObjectOverwrite)</f>
        <v>#NAME?</v>
      </c>
      <c r="J34" s="83" t="e">
        <f ca="1">_xll.ohRangeRetrieveError(I34)</f>
        <v>#NAME?</v>
      </c>
      <c r="K34" s="36"/>
      <c r="M34" s="71"/>
      <c r="N34" s="82">
        <v>30</v>
      </c>
      <c r="O34" s="82" t="b">
        <v>1</v>
      </c>
      <c r="P34" s="77" t="e">
        <f ca="1"/>
        <v>#NAME?</v>
      </c>
      <c r="Q34" s="81" t="e">
        <f ca="1"/>
        <v>#NAME?</v>
      </c>
      <c r="R34" s="77" t="e">
        <f ca="1"/>
        <v>#NAME?</v>
      </c>
      <c r="S34" s="80">
        <v>44270</v>
      </c>
      <c r="T34" s="78">
        <v>98.91</v>
      </c>
      <c r="U34" s="78">
        <v>98.94</v>
      </c>
      <c r="V34" s="78">
        <v>0</v>
      </c>
      <c r="W34" s="78">
        <v>98.924999999999997</v>
      </c>
      <c r="X34" s="78" t="e">
        <f ca="1">_xll.qlMidSafe($T34,$U34)</f>
        <v>#NAME?</v>
      </c>
      <c r="Y34" s="78" t="e">
        <f t="shared" ca="1" si="2"/>
        <v>#NAME?</v>
      </c>
      <c r="Z34" s="66"/>
      <c r="AA34" s="79">
        <v>98.924999999999997</v>
      </c>
      <c r="AB34" s="66"/>
      <c r="AC34" s="78">
        <v>98.924999999999997</v>
      </c>
      <c r="AD34" s="138" t="e">
        <f ca="1">_xll.qlSimpleQuoteSetValue(F34,AC34,Trigger)</f>
        <v>#NAME?</v>
      </c>
      <c r="AE34" s="36"/>
    </row>
    <row r="35" spans="1:31" x14ac:dyDescent="0.2">
      <c r="A35" s="71"/>
      <c r="B35" s="86">
        <v>31</v>
      </c>
      <c r="C35" s="87" t="b">
        <v>1</v>
      </c>
      <c r="D35" s="86" t="e">
        <f ca="1"/>
        <v>#NAME?</v>
      </c>
      <c r="E35" s="85" t="e">
        <f t="shared" ca="1" si="0"/>
        <v>#NAME?</v>
      </c>
      <c r="F35" s="84" t="e">
        <f ca="1">_xll.qlSimpleQuote(E35,,PriceTickValue,Permanent,Trigger,ObjectOverwrite)</f>
        <v>#NAME?</v>
      </c>
      <c r="G35" s="83" t="e">
        <f ca="1">_xll.ohRangeRetrieveError(F35)</f>
        <v>#NAME?</v>
      </c>
      <c r="H35" s="85" t="e">
        <f t="shared" ca="1" si="1"/>
        <v>#NAME?</v>
      </c>
      <c r="I35" s="84" t="e">
        <f ca="1">_xll.qlFuturesConvAdjustmentQuote($H35,IborIndex,$D35,$F35,Volatility,MeanReversion,Permanent,Trigger,ObjectOverwrite)</f>
        <v>#NAME?</v>
      </c>
      <c r="J35" s="83" t="e">
        <f ca="1">_xll.ohRangeRetrieveError(I35)</f>
        <v>#NAME?</v>
      </c>
      <c r="K35" s="36"/>
      <c r="M35" s="71"/>
      <c r="N35" s="82">
        <v>31</v>
      </c>
      <c r="O35" s="82" t="b">
        <v>1</v>
      </c>
      <c r="P35" s="77" t="e">
        <f ca="1"/>
        <v>#NAME?</v>
      </c>
      <c r="Q35" s="81" t="e">
        <f ca="1"/>
        <v>#NAME?</v>
      </c>
      <c r="R35" s="77" t="e">
        <f ca="1"/>
        <v>#NAME?</v>
      </c>
      <c r="S35" s="80">
        <v>44361</v>
      </c>
      <c r="T35" s="78">
        <v>98.83</v>
      </c>
      <c r="U35" s="78">
        <v>98.864999999999995</v>
      </c>
      <c r="V35" s="78">
        <v>0</v>
      </c>
      <c r="W35" s="78">
        <v>98.85</v>
      </c>
      <c r="X35" s="78" t="e">
        <f ca="1">_xll.qlMidSafe($T35,$U35)</f>
        <v>#NAME?</v>
      </c>
      <c r="Y35" s="78" t="e">
        <f t="shared" ca="1" si="2"/>
        <v>#NAME?</v>
      </c>
      <c r="Z35" s="66"/>
      <c r="AA35" s="79">
        <v>98.847499999999997</v>
      </c>
      <c r="AB35" s="66"/>
      <c r="AC35" s="78">
        <v>98.847499999999997</v>
      </c>
      <c r="AD35" s="138" t="e">
        <f ca="1">_xll.qlSimpleQuoteSetValue(F35,AC35,Trigger)</f>
        <v>#NAME?</v>
      </c>
      <c r="AE35" s="36"/>
    </row>
    <row r="36" spans="1:31" x14ac:dyDescent="0.2">
      <c r="A36" s="71"/>
      <c r="B36" s="86">
        <v>32</v>
      </c>
      <c r="C36" s="87" t="b">
        <v>1</v>
      </c>
      <c r="D36" s="86" t="e">
        <f ca="1"/>
        <v>#NAME?</v>
      </c>
      <c r="E36" s="85" t="e">
        <f t="shared" ca="1" si="0"/>
        <v>#NAME?</v>
      </c>
      <c r="F36" s="84" t="e">
        <f ca="1">_xll.qlSimpleQuote(E36,,PriceTickValue,Permanent,Trigger,ObjectOverwrite)</f>
        <v>#NAME?</v>
      </c>
      <c r="G36" s="83" t="e">
        <f ca="1">_xll.ohRangeRetrieveError(F36)</f>
        <v>#NAME?</v>
      </c>
      <c r="H36" s="85" t="e">
        <f t="shared" ca="1" si="1"/>
        <v>#NAME?</v>
      </c>
      <c r="I36" s="84" t="e">
        <f ca="1">_xll.qlFuturesConvAdjustmentQuote($H36,IborIndex,$D36,$F36,Volatility,MeanReversion,Permanent,Trigger,ObjectOverwrite)</f>
        <v>#NAME?</v>
      </c>
      <c r="J36" s="83" t="e">
        <f ca="1">_xll.ohRangeRetrieveError(I36)</f>
        <v>#NAME?</v>
      </c>
      <c r="K36" s="36"/>
      <c r="M36" s="71"/>
      <c r="N36" s="82">
        <v>32</v>
      </c>
      <c r="O36" s="82" t="b">
        <v>1</v>
      </c>
      <c r="P36" s="77" t="e">
        <f ca="1"/>
        <v>#NAME?</v>
      </c>
      <c r="Q36" s="81" t="e">
        <f ca="1"/>
        <v>#NAME?</v>
      </c>
      <c r="R36" s="77" t="e">
        <f ca="1"/>
        <v>#NAME?</v>
      </c>
      <c r="S36" s="80">
        <v>44452</v>
      </c>
      <c r="T36" s="78">
        <v>98.745000000000005</v>
      </c>
      <c r="U36" s="78">
        <v>98.795000000000002</v>
      </c>
      <c r="V36" s="78">
        <v>0</v>
      </c>
      <c r="W36" s="78">
        <v>98.77</v>
      </c>
      <c r="X36" s="78" t="e">
        <f ca="1">_xll.qlMidSafe($T36,$U36)</f>
        <v>#NAME?</v>
      </c>
      <c r="Y36" s="78" t="e">
        <f t="shared" ca="1" si="2"/>
        <v>#NAME?</v>
      </c>
      <c r="Z36" s="66"/>
      <c r="AA36" s="79">
        <v>98.77000000000001</v>
      </c>
      <c r="AB36" s="66"/>
      <c r="AC36" s="78">
        <v>98.77000000000001</v>
      </c>
      <c r="AD36" s="138" t="e">
        <f ca="1">_xll.qlSimpleQuoteSetValue(F36,AC36,Trigger)</f>
        <v>#NAME?</v>
      </c>
      <c r="AE36" s="36"/>
    </row>
    <row r="37" spans="1:31" x14ac:dyDescent="0.2">
      <c r="A37" s="71"/>
      <c r="B37" s="86">
        <v>33</v>
      </c>
      <c r="C37" s="87" t="b">
        <v>1</v>
      </c>
      <c r="D37" s="86" t="e">
        <f ca="1"/>
        <v>#NAME?</v>
      </c>
      <c r="E37" s="85" t="e">
        <f t="shared" ca="1" si="0"/>
        <v>#NAME?</v>
      </c>
      <c r="F37" s="84" t="e">
        <f ca="1">_xll.qlSimpleQuote(E37,,PriceTickValue,Permanent,Trigger,ObjectOverwrite)</f>
        <v>#NAME?</v>
      </c>
      <c r="G37" s="83" t="e">
        <f ca="1">_xll.ohRangeRetrieveError(F37)</f>
        <v>#NAME?</v>
      </c>
      <c r="H37" s="85" t="e">
        <f t="shared" ca="1" si="1"/>
        <v>#NAME?</v>
      </c>
      <c r="I37" s="84" t="e">
        <f ca="1">_xll.qlFuturesConvAdjustmentQuote($H37,IborIndex,$D37,$F37,Volatility,MeanReversion,Permanent,Trigger,ObjectOverwrite)</f>
        <v>#NAME?</v>
      </c>
      <c r="J37" s="83" t="e">
        <f ca="1">_xll.ohRangeRetrieveError(I37)</f>
        <v>#NAME?</v>
      </c>
      <c r="K37" s="36"/>
      <c r="M37" s="71"/>
      <c r="N37" s="82">
        <v>33</v>
      </c>
      <c r="O37" s="82" t="b">
        <v>1</v>
      </c>
      <c r="P37" s="77" t="e">
        <f ca="1"/>
        <v>#NAME?</v>
      </c>
      <c r="Q37" s="81" t="e">
        <f ca="1"/>
        <v>#NAME?</v>
      </c>
      <c r="R37" s="77" t="e">
        <f ca="1"/>
        <v>#NAME?</v>
      </c>
      <c r="S37" s="80" t="s">
        <v>109</v>
      </c>
      <c r="T37" s="78" t="s">
        <v>109</v>
      </c>
      <c r="U37" s="78" t="s">
        <v>109</v>
      </c>
      <c r="V37" s="78" t="s">
        <v>109</v>
      </c>
      <c r="W37" s="78" t="s">
        <v>109</v>
      </c>
      <c r="X37" s="78" t="e">
        <f ca="1">_xll.qlMidSafe($T37,$U37)</f>
        <v>#NAME?</v>
      </c>
      <c r="Y37" s="78" t="e">
        <f t="shared" ca="1" si="2"/>
        <v>#NAME?</v>
      </c>
      <c r="Z37" s="66"/>
      <c r="AA37" s="79" t="e">
        <v>#NUM!</v>
      </c>
      <c r="AB37" s="66"/>
      <c r="AC37" s="78" t="e">
        <v>#NUM!</v>
      </c>
      <c r="AD37" s="138" t="e">
        <f ca="1">_xll.qlSimpleQuoteSetValue(F37,AC37,Trigger)</f>
        <v>#NAME?</v>
      </c>
      <c r="AE37" s="36"/>
    </row>
    <row r="38" spans="1:31" x14ac:dyDescent="0.2">
      <c r="A38" s="71"/>
      <c r="B38" s="86">
        <v>34</v>
      </c>
      <c r="C38" s="87" t="b">
        <v>1</v>
      </c>
      <c r="D38" s="86" t="e">
        <f ca="1"/>
        <v>#NAME?</v>
      </c>
      <c r="E38" s="85" t="e">
        <f t="shared" ca="1" si="0"/>
        <v>#NAME?</v>
      </c>
      <c r="F38" s="84" t="e">
        <f ca="1">_xll.qlSimpleQuote(E38,,PriceTickValue,Permanent,Trigger,ObjectOverwrite)</f>
        <v>#NAME?</v>
      </c>
      <c r="G38" s="83" t="e">
        <f ca="1">_xll.ohRangeRetrieveError(F38)</f>
        <v>#NAME?</v>
      </c>
      <c r="H38" s="85" t="e">
        <f t="shared" ca="1" si="1"/>
        <v>#NAME?</v>
      </c>
      <c r="I38" s="84" t="e">
        <f ca="1">_xll.qlFuturesConvAdjustmentQuote($H38,IborIndex,$D38,$F38,Volatility,MeanReversion,Permanent,Trigger,ObjectOverwrite)</f>
        <v>#NAME?</v>
      </c>
      <c r="J38" s="83" t="e">
        <f ca="1">_xll.ohRangeRetrieveError(I38)</f>
        <v>#NAME?</v>
      </c>
      <c r="K38" s="36"/>
      <c r="M38" s="71"/>
      <c r="N38" s="82">
        <v>34</v>
      </c>
      <c r="O38" s="82" t="b">
        <v>1</v>
      </c>
      <c r="P38" s="77" t="e">
        <f ca="1"/>
        <v>#NAME?</v>
      </c>
      <c r="Q38" s="81" t="e">
        <f ca="1"/>
        <v>#NAME?</v>
      </c>
      <c r="R38" s="77" t="e">
        <f ca="1"/>
        <v>#NAME?</v>
      </c>
      <c r="S38" s="80" t="s">
        <v>109</v>
      </c>
      <c r="T38" s="78" t="s">
        <v>109</v>
      </c>
      <c r="U38" s="78" t="s">
        <v>109</v>
      </c>
      <c r="V38" s="78" t="s">
        <v>109</v>
      </c>
      <c r="W38" s="78" t="s">
        <v>109</v>
      </c>
      <c r="X38" s="78" t="e">
        <f ca="1">_xll.qlMidSafe($T38,$U38)</f>
        <v>#NAME?</v>
      </c>
      <c r="Y38" s="78" t="e">
        <f t="shared" ca="1" si="2"/>
        <v>#NAME?</v>
      </c>
      <c r="Z38" s="66"/>
      <c r="AA38" s="79" t="e">
        <v>#NUM!</v>
      </c>
      <c r="AB38" s="66"/>
      <c r="AC38" s="78" t="e">
        <v>#NUM!</v>
      </c>
      <c r="AD38" s="138" t="e">
        <f ca="1">_xll.qlSimpleQuoteSetValue(F38,AC38,Trigger)</f>
        <v>#NAME?</v>
      </c>
      <c r="AE38" s="36"/>
    </row>
    <row r="39" spans="1:31" x14ac:dyDescent="0.2">
      <c r="A39" s="71"/>
      <c r="B39" s="86">
        <v>35</v>
      </c>
      <c r="C39" s="87" t="b">
        <v>1</v>
      </c>
      <c r="D39" s="86" t="e">
        <f ca="1"/>
        <v>#NAME?</v>
      </c>
      <c r="E39" s="85" t="e">
        <f t="shared" ca="1" si="0"/>
        <v>#NAME?</v>
      </c>
      <c r="F39" s="84" t="e">
        <f ca="1">_xll.qlSimpleQuote(E39,,PriceTickValue,Permanent,Trigger,ObjectOverwrite)</f>
        <v>#NAME?</v>
      </c>
      <c r="G39" s="83" t="e">
        <f ca="1">_xll.ohRangeRetrieveError(F39)</f>
        <v>#NAME?</v>
      </c>
      <c r="H39" s="85" t="e">
        <f t="shared" ca="1" si="1"/>
        <v>#NAME?</v>
      </c>
      <c r="I39" s="84" t="e">
        <f ca="1">_xll.qlFuturesConvAdjustmentQuote($H39,IborIndex,$D39,$F39,Volatility,MeanReversion,Permanent,Trigger,ObjectOverwrite)</f>
        <v>#NAME?</v>
      </c>
      <c r="J39" s="83" t="e">
        <f ca="1">_xll.ohRangeRetrieveError(I39)</f>
        <v>#NAME?</v>
      </c>
      <c r="K39" s="36"/>
      <c r="M39" s="71"/>
      <c r="N39" s="82">
        <v>35</v>
      </c>
      <c r="O39" s="82" t="b">
        <v>1</v>
      </c>
      <c r="P39" s="77" t="e">
        <f ca="1"/>
        <v>#NAME?</v>
      </c>
      <c r="Q39" s="81" t="e">
        <f ca="1"/>
        <v>#NAME?</v>
      </c>
      <c r="R39" s="77" t="e">
        <f ca="1"/>
        <v>#NAME?</v>
      </c>
      <c r="S39" s="80" t="s">
        <v>109</v>
      </c>
      <c r="T39" s="78" t="s">
        <v>109</v>
      </c>
      <c r="U39" s="78" t="s">
        <v>109</v>
      </c>
      <c r="V39" s="78" t="s">
        <v>109</v>
      </c>
      <c r="W39" s="78" t="s">
        <v>109</v>
      </c>
      <c r="X39" s="78" t="e">
        <f ca="1">_xll.qlMidSafe($T39,$U39)</f>
        <v>#NAME?</v>
      </c>
      <c r="Y39" s="78" t="e">
        <f t="shared" ca="1" si="2"/>
        <v>#NAME?</v>
      </c>
      <c r="Z39" s="66"/>
      <c r="AA39" s="79" t="e">
        <v>#NUM!</v>
      </c>
      <c r="AB39" s="66"/>
      <c r="AC39" s="78" t="e">
        <v>#NUM!</v>
      </c>
      <c r="AD39" s="138" t="e">
        <f ca="1">_xll.qlSimpleQuoteSetValue(F39,AC39,Trigger)</f>
        <v>#NAME?</v>
      </c>
      <c r="AE39" s="36"/>
    </row>
    <row r="40" spans="1:31" x14ac:dyDescent="0.2">
      <c r="A40" s="71"/>
      <c r="B40" s="86">
        <v>36</v>
      </c>
      <c r="C40" s="87" t="b">
        <v>1</v>
      </c>
      <c r="D40" s="86" t="e">
        <f ca="1"/>
        <v>#NAME?</v>
      </c>
      <c r="E40" s="85" t="e">
        <f t="shared" ca="1" si="0"/>
        <v>#NAME?</v>
      </c>
      <c r="F40" s="84" t="e">
        <f ca="1">_xll.qlSimpleQuote(E40,,PriceTickValue,Permanent,Trigger,ObjectOverwrite)</f>
        <v>#NAME?</v>
      </c>
      <c r="G40" s="83" t="e">
        <f ca="1">_xll.ohRangeRetrieveError(F40)</f>
        <v>#NAME?</v>
      </c>
      <c r="H40" s="85" t="e">
        <f t="shared" ca="1" si="1"/>
        <v>#NAME?</v>
      </c>
      <c r="I40" s="84" t="e">
        <f ca="1">_xll.qlFuturesConvAdjustmentQuote($H40,IborIndex,$D40,$F40,Volatility,MeanReversion,Permanent,Trigger,ObjectOverwrite)</f>
        <v>#NAME?</v>
      </c>
      <c r="J40" s="83" t="e">
        <f ca="1">_xll.ohRangeRetrieveError(I40)</f>
        <v>#NAME?</v>
      </c>
      <c r="K40" s="36"/>
      <c r="M40" s="71"/>
      <c r="N40" s="82">
        <v>36</v>
      </c>
      <c r="O40" s="82" t="b">
        <v>1</v>
      </c>
      <c r="P40" s="77" t="e">
        <f ca="1"/>
        <v>#NAME?</v>
      </c>
      <c r="Q40" s="81" t="e">
        <f ca="1"/>
        <v>#NAME?</v>
      </c>
      <c r="R40" s="77" t="e">
        <f ca="1"/>
        <v>#NAME?</v>
      </c>
      <c r="S40" s="80" t="s">
        <v>109</v>
      </c>
      <c r="T40" s="78" t="s">
        <v>109</v>
      </c>
      <c r="U40" s="78" t="s">
        <v>109</v>
      </c>
      <c r="V40" s="78" t="s">
        <v>109</v>
      </c>
      <c r="W40" s="78" t="s">
        <v>109</v>
      </c>
      <c r="X40" s="78" t="e">
        <f ca="1">_xll.qlMidSafe($T40,$U40)</f>
        <v>#NAME?</v>
      </c>
      <c r="Y40" s="78" t="e">
        <f t="shared" ca="1" si="2"/>
        <v>#NAME?</v>
      </c>
      <c r="Z40" s="66"/>
      <c r="AA40" s="79" t="e">
        <v>#NUM!</v>
      </c>
      <c r="AB40" s="66"/>
      <c r="AC40" s="78" t="e">
        <v>#NUM!</v>
      </c>
      <c r="AD40" s="138" t="e">
        <f ca="1">_xll.qlSimpleQuoteSetValue(F40,AC40,Trigger)</f>
        <v>#NAME?</v>
      </c>
      <c r="AE40" s="36"/>
    </row>
    <row r="41" spans="1:31" x14ac:dyDescent="0.2">
      <c r="A41" s="71"/>
      <c r="B41" s="86">
        <v>37</v>
      </c>
      <c r="C41" s="87" t="b">
        <v>1</v>
      </c>
      <c r="D41" s="86" t="e">
        <f ca="1"/>
        <v>#NAME?</v>
      </c>
      <c r="E41" s="85" t="e">
        <f t="shared" ca="1" si="0"/>
        <v>#NAME?</v>
      </c>
      <c r="F41" s="84" t="e">
        <f ca="1">_xll.qlSimpleQuote(E41,,PriceTickValue,Permanent,Trigger,ObjectOverwrite)</f>
        <v>#NAME?</v>
      </c>
      <c r="G41" s="83" t="e">
        <f ca="1">_xll.ohRangeRetrieveError(F41)</f>
        <v>#NAME?</v>
      </c>
      <c r="H41" s="85" t="e">
        <f t="shared" ca="1" si="1"/>
        <v>#NAME?</v>
      </c>
      <c r="I41" s="84" t="e">
        <f ca="1">_xll.qlFuturesConvAdjustmentQuote($H41,IborIndex,$D41,$F41,Volatility,MeanReversion,Permanent,Trigger,ObjectOverwrite)</f>
        <v>#NAME?</v>
      </c>
      <c r="J41" s="83" t="e">
        <f ca="1">_xll.ohRangeRetrieveError(I41)</f>
        <v>#NAME?</v>
      </c>
      <c r="K41" s="36"/>
      <c r="M41" s="71"/>
      <c r="N41" s="82">
        <v>37</v>
      </c>
      <c r="O41" s="82" t="b">
        <v>1</v>
      </c>
      <c r="P41" s="77" t="e">
        <f ca="1"/>
        <v>#NAME?</v>
      </c>
      <c r="Q41" s="81" t="e">
        <f ca="1"/>
        <v>#NAME?</v>
      </c>
      <c r="R41" s="77" t="e">
        <f ca="1"/>
        <v>#NAME?</v>
      </c>
      <c r="S41" s="80" t="s">
        <v>109</v>
      </c>
      <c r="T41" s="78" t="s">
        <v>109</v>
      </c>
      <c r="U41" s="78" t="s">
        <v>109</v>
      </c>
      <c r="V41" s="78" t="s">
        <v>109</v>
      </c>
      <c r="W41" s="78" t="s">
        <v>109</v>
      </c>
      <c r="X41" s="78" t="e">
        <f ca="1">_xll.qlMidSafe($T41,$U41)</f>
        <v>#NAME?</v>
      </c>
      <c r="Y41" s="78" t="e">
        <f t="shared" ca="1" si="2"/>
        <v>#NAME?</v>
      </c>
      <c r="Z41" s="66"/>
      <c r="AA41" s="79" t="e">
        <v>#NUM!</v>
      </c>
      <c r="AB41" s="66"/>
      <c r="AC41" s="78" t="e">
        <v>#NUM!</v>
      </c>
      <c r="AD41" s="138" t="e">
        <f ca="1">_xll.qlSimpleQuoteSetValue(F41,AC41,Trigger)</f>
        <v>#NAME?</v>
      </c>
      <c r="AE41" s="36"/>
    </row>
    <row r="42" spans="1:31" x14ac:dyDescent="0.2">
      <c r="A42" s="71"/>
      <c r="B42" s="86">
        <v>38</v>
      </c>
      <c r="C42" s="87" t="b">
        <v>1</v>
      </c>
      <c r="D42" s="86" t="e">
        <f ca="1"/>
        <v>#NAME?</v>
      </c>
      <c r="E42" s="85" t="e">
        <f t="shared" ca="1" si="0"/>
        <v>#NAME?</v>
      </c>
      <c r="F42" s="84" t="e">
        <f ca="1">_xll.qlSimpleQuote(E42,,PriceTickValue,Permanent,Trigger,ObjectOverwrite)</f>
        <v>#NAME?</v>
      </c>
      <c r="G42" s="83" t="e">
        <f ca="1">_xll.ohRangeRetrieveError(F42)</f>
        <v>#NAME?</v>
      </c>
      <c r="H42" s="85" t="e">
        <f t="shared" ca="1" si="1"/>
        <v>#NAME?</v>
      </c>
      <c r="I42" s="84" t="e">
        <f ca="1">_xll.qlFuturesConvAdjustmentQuote($H42,IborIndex,$D42,$F42,Volatility,MeanReversion,Permanent,Trigger,ObjectOverwrite)</f>
        <v>#NAME?</v>
      </c>
      <c r="J42" s="83" t="e">
        <f ca="1">_xll.ohRangeRetrieveError(I42)</f>
        <v>#NAME?</v>
      </c>
      <c r="K42" s="36"/>
      <c r="M42" s="71"/>
      <c r="N42" s="82">
        <v>38</v>
      </c>
      <c r="O42" s="82" t="b">
        <v>1</v>
      </c>
      <c r="P42" s="77" t="e">
        <f ca="1"/>
        <v>#NAME?</v>
      </c>
      <c r="Q42" s="81" t="e">
        <f ca="1"/>
        <v>#NAME?</v>
      </c>
      <c r="R42" s="77" t="e">
        <f ca="1"/>
        <v>#NAME?</v>
      </c>
      <c r="S42" s="80" t="s">
        <v>109</v>
      </c>
      <c r="T42" s="78" t="s">
        <v>109</v>
      </c>
      <c r="U42" s="78" t="s">
        <v>109</v>
      </c>
      <c r="V42" s="78" t="s">
        <v>109</v>
      </c>
      <c r="W42" s="78" t="s">
        <v>109</v>
      </c>
      <c r="X42" s="78" t="e">
        <f ca="1">_xll.qlMidSafe($T42,$U42)</f>
        <v>#NAME?</v>
      </c>
      <c r="Y42" s="78" t="e">
        <f t="shared" ca="1" si="2"/>
        <v>#NAME?</v>
      </c>
      <c r="Z42" s="66"/>
      <c r="AA42" s="79" t="e">
        <v>#NUM!</v>
      </c>
      <c r="AB42" s="66"/>
      <c r="AC42" s="78" t="e">
        <v>#NUM!</v>
      </c>
      <c r="AD42" s="138" t="e">
        <f ca="1">_xll.qlSimpleQuoteSetValue(F42,AC42,Trigger)</f>
        <v>#NAME?</v>
      </c>
      <c r="AE42" s="36"/>
    </row>
    <row r="43" spans="1:31" x14ac:dyDescent="0.2">
      <c r="A43" s="71"/>
      <c r="B43" s="86">
        <v>39</v>
      </c>
      <c r="C43" s="87" t="b">
        <v>1</v>
      </c>
      <c r="D43" s="86" t="e">
        <f ca="1"/>
        <v>#NAME?</v>
      </c>
      <c r="E43" s="85" t="e">
        <f t="shared" ca="1" si="0"/>
        <v>#NAME?</v>
      </c>
      <c r="F43" s="84" t="e">
        <f ca="1">_xll.qlSimpleQuote(E43,,PriceTickValue,Permanent,Trigger,ObjectOverwrite)</f>
        <v>#NAME?</v>
      </c>
      <c r="G43" s="83" t="e">
        <f ca="1">_xll.ohRangeRetrieveError(F43)</f>
        <v>#NAME?</v>
      </c>
      <c r="H43" s="85" t="e">
        <f t="shared" ca="1" si="1"/>
        <v>#NAME?</v>
      </c>
      <c r="I43" s="84" t="e">
        <f ca="1">_xll.qlFuturesConvAdjustmentQuote($H43,IborIndex,$D43,$F43,Volatility,MeanReversion,Permanent,Trigger,ObjectOverwrite)</f>
        <v>#NAME?</v>
      </c>
      <c r="J43" s="83" t="e">
        <f ca="1">_xll.ohRangeRetrieveError(I43)</f>
        <v>#NAME?</v>
      </c>
      <c r="K43" s="36"/>
      <c r="M43" s="71"/>
      <c r="N43" s="82">
        <v>39</v>
      </c>
      <c r="O43" s="82" t="b">
        <v>1</v>
      </c>
      <c r="P43" s="77" t="e">
        <f ca="1"/>
        <v>#NAME?</v>
      </c>
      <c r="Q43" s="81" t="e">
        <f ca="1"/>
        <v>#NAME?</v>
      </c>
      <c r="R43" s="77" t="e">
        <f ca="1"/>
        <v>#NAME?</v>
      </c>
      <c r="S43" s="80" t="s">
        <v>109</v>
      </c>
      <c r="T43" s="78" t="s">
        <v>109</v>
      </c>
      <c r="U43" s="78" t="s">
        <v>109</v>
      </c>
      <c r="V43" s="78" t="s">
        <v>109</v>
      </c>
      <c r="W43" s="78" t="s">
        <v>109</v>
      </c>
      <c r="X43" s="78" t="e">
        <f ca="1">_xll.qlMidSafe($T43,$U43)</f>
        <v>#NAME?</v>
      </c>
      <c r="Y43" s="78" t="e">
        <f t="shared" ca="1" si="2"/>
        <v>#NAME?</v>
      </c>
      <c r="Z43" s="66"/>
      <c r="AA43" s="79" t="e">
        <v>#NUM!</v>
      </c>
      <c r="AB43" s="66"/>
      <c r="AC43" s="78" t="e">
        <v>#NUM!</v>
      </c>
      <c r="AD43" s="138" t="e">
        <f ca="1">_xll.qlSimpleQuoteSetValue(F43,AC43,Trigger)</f>
        <v>#NAME?</v>
      </c>
      <c r="AE43" s="36"/>
    </row>
    <row r="44" spans="1:31" x14ac:dyDescent="0.2">
      <c r="A44" s="71"/>
      <c r="B44" s="86">
        <v>40</v>
      </c>
      <c r="C44" s="87" t="b">
        <v>1</v>
      </c>
      <c r="D44" s="86" t="e">
        <f ca="1"/>
        <v>#NAME?</v>
      </c>
      <c r="E44" s="85" t="e">
        <f t="shared" ca="1" si="0"/>
        <v>#NAME?</v>
      </c>
      <c r="F44" s="84" t="e">
        <f ca="1">_xll.qlSimpleQuote(E44,,PriceTickValue,Permanent,Trigger,ObjectOverwrite)</f>
        <v>#NAME?</v>
      </c>
      <c r="G44" s="83" t="e">
        <f ca="1">_xll.ohRangeRetrieveError(F44)</f>
        <v>#NAME?</v>
      </c>
      <c r="H44" s="85" t="e">
        <f t="shared" ca="1" si="1"/>
        <v>#NAME?</v>
      </c>
      <c r="I44" s="84" t="e">
        <f ca="1">_xll.qlFuturesConvAdjustmentQuote($H44,IborIndex,$D44,$F44,Volatility,MeanReversion,Permanent,Trigger,ObjectOverwrite)</f>
        <v>#NAME?</v>
      </c>
      <c r="J44" s="83" t="e">
        <f ca="1">_xll.ohRangeRetrieveError(I44)</f>
        <v>#NAME?</v>
      </c>
      <c r="K44" s="36"/>
      <c r="M44" s="71"/>
      <c r="N44" s="82">
        <v>40</v>
      </c>
      <c r="O44" s="82" t="b">
        <v>1</v>
      </c>
      <c r="P44" s="77" t="e">
        <f ca="1"/>
        <v>#NAME?</v>
      </c>
      <c r="Q44" s="81" t="e">
        <f ca="1"/>
        <v>#NAME?</v>
      </c>
      <c r="R44" s="77" t="e">
        <f ca="1"/>
        <v>#NAME?</v>
      </c>
      <c r="S44" s="80" t="s">
        <v>109</v>
      </c>
      <c r="T44" s="78" t="s">
        <v>109</v>
      </c>
      <c r="U44" s="78" t="s">
        <v>109</v>
      </c>
      <c r="V44" s="78" t="s">
        <v>109</v>
      </c>
      <c r="W44" s="78" t="s">
        <v>109</v>
      </c>
      <c r="X44" s="78" t="e">
        <f ca="1">_xll.qlMidSafe($T44,$U44)</f>
        <v>#NAME?</v>
      </c>
      <c r="Y44" s="78" t="e">
        <f t="shared" ca="1" si="2"/>
        <v>#NAME?</v>
      </c>
      <c r="Z44" s="66"/>
      <c r="AA44" s="79" t="e">
        <v>#NUM!</v>
      </c>
      <c r="AB44" s="66"/>
      <c r="AC44" s="78" t="e">
        <v>#NUM!</v>
      </c>
      <c r="AD44" s="138" t="e">
        <f ca="1">_xll.qlSimpleQuoteSetValue(F44,AC44,Trigger)</f>
        <v>#NAME?</v>
      </c>
      <c r="AE44" s="36"/>
    </row>
    <row r="45" spans="1:31" x14ac:dyDescent="0.2">
      <c r="A45" s="71"/>
      <c r="B45" s="86">
        <v>41</v>
      </c>
      <c r="C45" s="87" t="b">
        <v>1</v>
      </c>
      <c r="D45" s="86" t="e">
        <f ca="1"/>
        <v>#NAME?</v>
      </c>
      <c r="E45" s="85" t="e">
        <f t="shared" ca="1" si="0"/>
        <v>#NAME?</v>
      </c>
      <c r="F45" s="84" t="e">
        <f ca="1">_xll.qlSimpleQuote(E45,,PriceTickValue,Permanent,Trigger,ObjectOverwrite)</f>
        <v>#NAME?</v>
      </c>
      <c r="G45" s="83" t="e">
        <f ca="1">_xll.ohRangeRetrieveError(F45)</f>
        <v>#NAME?</v>
      </c>
      <c r="H45" s="85" t="e">
        <f t="shared" ca="1" si="1"/>
        <v>#NAME?</v>
      </c>
      <c r="I45" s="84" t="e">
        <f ca="1">_xll.qlFuturesConvAdjustmentQuote($H45,IborIndex,$D45,$F45,Volatility,MeanReversion,Permanent,Trigger,ObjectOverwrite)</f>
        <v>#NAME?</v>
      </c>
      <c r="J45" s="83" t="e">
        <f ca="1">_xll.ohRangeRetrieveError(I45)</f>
        <v>#NAME?</v>
      </c>
      <c r="K45" s="36"/>
      <c r="M45" s="71"/>
      <c r="N45" s="82">
        <v>41</v>
      </c>
      <c r="O45" s="82" t="b">
        <v>1</v>
      </c>
      <c r="P45" s="77" t="e">
        <f ca="1"/>
        <v>#NAME?</v>
      </c>
      <c r="Q45" s="81" t="e">
        <f ca="1"/>
        <v>#NAME?</v>
      </c>
      <c r="R45" s="77" t="e">
        <f ca="1"/>
        <v>#NAME?</v>
      </c>
      <c r="S45" s="80" t="s">
        <v>109</v>
      </c>
      <c r="T45" s="78" t="s">
        <v>109</v>
      </c>
      <c r="U45" s="78" t="s">
        <v>109</v>
      </c>
      <c r="V45" s="78" t="s">
        <v>109</v>
      </c>
      <c r="W45" s="78" t="s">
        <v>109</v>
      </c>
      <c r="X45" s="78" t="e">
        <f ca="1">_xll.qlMidSafe($T45,$U45)</f>
        <v>#NAME?</v>
      </c>
      <c r="Y45" s="78" t="e">
        <f t="shared" ca="1" si="2"/>
        <v>#NAME?</v>
      </c>
      <c r="Z45" s="66"/>
      <c r="AA45" s="79" t="e">
        <v>#NUM!</v>
      </c>
      <c r="AB45" s="66"/>
      <c r="AC45" s="78" t="e">
        <v>#NUM!</v>
      </c>
      <c r="AD45" s="138" t="e">
        <f ca="1">_xll.qlSimpleQuoteSetValue(F45,AC45,Trigger)</f>
        <v>#NAME?</v>
      </c>
      <c r="AE45" s="36"/>
    </row>
    <row r="46" spans="1:31" x14ac:dyDescent="0.2">
      <c r="A46" s="71"/>
      <c r="B46" s="75">
        <v>42</v>
      </c>
      <c r="C46" s="76" t="b">
        <v>1</v>
      </c>
      <c r="D46" s="75" t="e">
        <f ca="1"/>
        <v>#NAME?</v>
      </c>
      <c r="E46" s="74" t="e">
        <f t="shared" ca="1" si="0"/>
        <v>#NAME?</v>
      </c>
      <c r="F46" s="73" t="e">
        <f ca="1">_xll.qlSimpleQuote(E46,,PriceTickValue,Permanent,Trigger,ObjectOverwrite)</f>
        <v>#NAME?</v>
      </c>
      <c r="G46" s="72" t="e">
        <f ca="1">_xll.ohRangeRetrieveError(F46)</f>
        <v>#NAME?</v>
      </c>
      <c r="H46" s="74" t="e">
        <f t="shared" ca="1" si="1"/>
        <v>#NAME?</v>
      </c>
      <c r="I46" s="73" t="e">
        <f ca="1">_xll.qlFuturesConvAdjustmentQuote($H46,IborIndex,$D46,$F46,Volatility,MeanReversion,Permanent,Trigger,ObjectOverwrite)</f>
        <v>#NAME?</v>
      </c>
      <c r="J46" s="72" t="e">
        <f ca="1">_xll.ohRangeRetrieveError(I46)</f>
        <v>#NAME?</v>
      </c>
      <c r="K46" s="36"/>
      <c r="M46" s="71"/>
      <c r="N46" s="70">
        <v>42</v>
      </c>
      <c r="O46" s="70" t="b">
        <v>1</v>
      </c>
      <c r="P46" s="64" t="e">
        <f ca="1"/>
        <v>#NAME?</v>
      </c>
      <c r="Q46" s="69" t="e">
        <f ca="1"/>
        <v>#NAME?</v>
      </c>
      <c r="R46" s="64" t="e">
        <f ca="1"/>
        <v>#NAME?</v>
      </c>
      <c r="S46" s="68" t="s">
        <v>109</v>
      </c>
      <c r="T46" s="65" t="s">
        <v>109</v>
      </c>
      <c r="U46" s="65" t="s">
        <v>109</v>
      </c>
      <c r="V46" s="65" t="s">
        <v>109</v>
      </c>
      <c r="W46" s="65" t="s">
        <v>109</v>
      </c>
      <c r="X46" s="65" t="e">
        <f ca="1">_xll.qlMidSafe($T46,$U46)</f>
        <v>#NAME?</v>
      </c>
      <c r="Y46" s="65" t="e">
        <f t="shared" ca="1" si="2"/>
        <v>#NAME?</v>
      </c>
      <c r="Z46" s="66"/>
      <c r="AA46" s="67" t="e">
        <v>#NUM!</v>
      </c>
      <c r="AB46" s="66"/>
      <c r="AC46" s="65" t="e">
        <v>#NUM!</v>
      </c>
      <c r="AD46" s="131" t="e">
        <f ca="1">_xll.qlSimpleQuoteSetValue(F46,AC46,Trigger)</f>
        <v>#NAME?</v>
      </c>
      <c r="AE46" s="36"/>
    </row>
    <row r="47" spans="1:31" x14ac:dyDescent="0.2">
      <c r="A47" s="63"/>
      <c r="B47" s="34"/>
      <c r="C47" s="34"/>
      <c r="D47" s="34"/>
      <c r="E47" s="34"/>
      <c r="F47" s="34"/>
      <c r="G47" s="34"/>
      <c r="H47" s="34"/>
      <c r="I47" s="34"/>
      <c r="J47" s="34"/>
      <c r="K47" s="32"/>
      <c r="M47" s="63"/>
      <c r="N47" s="34"/>
      <c r="O47" s="34"/>
      <c r="P47" s="34"/>
      <c r="Q47" s="34"/>
      <c r="R47" s="34"/>
      <c r="S47" s="34"/>
      <c r="T47" s="34"/>
      <c r="U47" s="34"/>
      <c r="V47" s="34"/>
      <c r="W47" s="34"/>
      <c r="X47" s="34"/>
      <c r="Y47" s="34"/>
      <c r="Z47" s="34"/>
      <c r="AA47" s="34"/>
      <c r="AB47" s="34"/>
      <c r="AC47" s="34"/>
      <c r="AD47" s="34"/>
      <c r="AE47" s="32"/>
    </row>
  </sheetData>
  <conditionalFormatting sqref="AD5:AD25">
    <cfRule type="cellIs" dxfId="35" priority="3" stopIfTrue="1" operator="greaterThan">
      <formula>0</formula>
    </cfRule>
    <cfRule type="cellIs" dxfId="34" priority="4" stopIfTrue="1" operator="lessThan">
      <formula>0</formula>
    </cfRule>
  </conditionalFormatting>
  <conditionalFormatting sqref="AD26:AD46">
    <cfRule type="cellIs" dxfId="33" priority="1" stopIfTrue="1" operator="greaterThan">
      <formula>0</formula>
    </cfRule>
    <cfRule type="cellIs" dxfId="32" priority="2" stopIfTrue="1" operator="lessThan">
      <formula>0</formula>
    </cfRule>
  </conditionalFormatting>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Y7"/>
  <sheetViews>
    <sheetView showGridLines="0" topLeftCell="F1" workbookViewId="0">
      <selection activeCell="Y2" sqref="Y2:Y3"/>
    </sheetView>
  </sheetViews>
  <sheetFormatPr defaultRowHeight="11.25" outlineLevelCol="1" x14ac:dyDescent="0.2"/>
  <cols>
    <col min="1" max="1" width="2.7109375" style="30" hidden="1" customWidth="1" outlineLevel="1"/>
    <col min="2" max="2" width="26.5703125" style="30" hidden="1" customWidth="1" outlineLevel="1"/>
    <col min="3" max="3" width="31.7109375" style="30" hidden="1" customWidth="1" outlineLevel="1"/>
    <col min="4" max="4" width="25.7109375" style="30" hidden="1" customWidth="1" outlineLevel="1"/>
    <col min="5" max="5" width="2.7109375" style="30" hidden="1" customWidth="1" outlineLevel="1"/>
    <col min="6" max="6" width="2.7109375" style="30" customWidth="1" collapsed="1"/>
    <col min="7" max="10" width="2.7109375" style="30" customWidth="1"/>
    <col min="11" max="11" width="10" style="30" bestFit="1" customWidth="1"/>
    <col min="12" max="12" width="15.140625" style="30" bestFit="1" customWidth="1"/>
    <col min="13" max="13" width="5" style="30" bestFit="1" customWidth="1"/>
    <col min="14" max="14" width="2.7109375" style="30" customWidth="1"/>
    <col min="15" max="15" width="15.140625" style="30" bestFit="1" customWidth="1"/>
    <col min="16" max="16" width="10.7109375" style="30" customWidth="1"/>
    <col min="17" max="17" width="2.7109375" style="30" customWidth="1"/>
    <col min="18" max="18" width="10.7109375" style="30" customWidth="1"/>
    <col min="19" max="19" width="2.7109375" style="30" customWidth="1"/>
    <col min="20" max="21" width="10.7109375" style="30" customWidth="1"/>
    <col min="22" max="23" width="2.7109375" style="30" customWidth="1"/>
    <col min="24" max="16384" width="9.140625" style="30"/>
  </cols>
  <sheetData>
    <row r="1" spans="1:25" ht="12" thickBot="1" x14ac:dyDescent="0.25">
      <c r="A1" s="121"/>
      <c r="B1" s="54"/>
      <c r="C1" s="54"/>
      <c r="D1" s="54"/>
      <c r="E1" s="53"/>
      <c r="G1" s="127"/>
      <c r="H1" s="123"/>
      <c r="I1" s="123"/>
      <c r="J1" s="123"/>
      <c r="K1" s="123"/>
      <c r="L1" s="123"/>
      <c r="M1" s="123"/>
      <c r="N1" s="123"/>
      <c r="O1" s="123"/>
      <c r="P1" s="123"/>
      <c r="Q1" s="123"/>
      <c r="R1" s="123"/>
      <c r="S1" s="123"/>
      <c r="T1" s="123"/>
      <c r="U1" s="123"/>
      <c r="V1" s="171"/>
    </row>
    <row r="2" spans="1:25" ht="15" x14ac:dyDescent="0.25">
      <c r="A2" s="121"/>
      <c r="B2" s="109"/>
      <c r="C2" s="109"/>
      <c r="D2" s="190"/>
      <c r="E2" s="120"/>
      <c r="G2" s="113"/>
      <c r="H2" s="110"/>
      <c r="I2" s="110"/>
      <c r="J2" s="110"/>
      <c r="K2" s="110"/>
      <c r="L2" s="119" t="s">
        <v>124</v>
      </c>
      <c r="M2" s="110"/>
      <c r="N2" s="110"/>
      <c r="O2" s="110"/>
      <c r="P2" s="110"/>
      <c r="Q2" s="110"/>
      <c r="R2" s="110"/>
      <c r="S2" s="110"/>
      <c r="T2" s="110"/>
      <c r="U2" s="118" t="e">
        <f ca="1">_xll.ohTrigger(U5:U9)</f>
        <v>#NAME?</v>
      </c>
      <c r="V2" s="36"/>
      <c r="X2" s="1361" t="s">
        <v>529</v>
      </c>
      <c r="Y2" s="1364" t="e">
        <f ca="1">_xll.ohTrigger('General Settings'!Trigger)</f>
        <v>#NAME?</v>
      </c>
    </row>
    <row r="3" spans="1:25" ht="15.75" thickBot="1" x14ac:dyDescent="0.3">
      <c r="A3" s="190"/>
      <c r="B3" s="109"/>
      <c r="C3" s="109"/>
      <c r="D3" s="109"/>
      <c r="E3" s="120"/>
      <c r="G3" s="113"/>
      <c r="H3" s="110"/>
      <c r="I3" s="110"/>
      <c r="J3" s="110"/>
      <c r="K3" s="110"/>
      <c r="L3" s="110"/>
      <c r="M3" s="110"/>
      <c r="N3" s="110"/>
      <c r="O3" s="110"/>
      <c r="P3" s="110"/>
      <c r="Q3" s="110"/>
      <c r="R3" s="110"/>
      <c r="S3" s="110"/>
      <c r="T3" s="110"/>
      <c r="U3" s="168"/>
      <c r="V3" s="36"/>
      <c r="X3" s="1362" t="s">
        <v>530</v>
      </c>
      <c r="Y3" s="1365" t="e">
        <f ca="1">_xll.ohTrigger(U5:U6)</f>
        <v>#NAME?</v>
      </c>
    </row>
    <row r="4" spans="1:25" ht="21" customHeight="1" thickBot="1" x14ac:dyDescent="0.25">
      <c r="A4" s="113"/>
      <c r="B4" s="107" t="s">
        <v>91</v>
      </c>
      <c r="C4" s="213" t="s">
        <v>90</v>
      </c>
      <c r="D4" s="212" t="s">
        <v>59</v>
      </c>
      <c r="E4" s="36"/>
      <c r="G4" s="113"/>
      <c r="H4" s="211"/>
      <c r="I4" s="119"/>
      <c r="J4" s="146"/>
      <c r="K4" s="146"/>
      <c r="L4" s="210" t="e">
        <f ca="1">_xll.RData(L5,M4,,ReutersRtMode,,M5)</f>
        <v>#NAME?</v>
      </c>
      <c r="M4" s="209" t="s">
        <v>84</v>
      </c>
      <c r="N4" s="198"/>
      <c r="O4" s="1383" t="s">
        <v>123</v>
      </c>
      <c r="P4" s="1384"/>
      <c r="Q4" s="198"/>
      <c r="R4" s="147" t="s">
        <v>78</v>
      </c>
      <c r="S4" s="197"/>
      <c r="T4" s="147" t="s">
        <v>77</v>
      </c>
      <c r="U4" s="147" t="s">
        <v>76</v>
      </c>
      <c r="V4" s="36"/>
    </row>
    <row r="5" spans="1:25" x14ac:dyDescent="0.2">
      <c r="A5" s="113"/>
      <c r="B5" s="201" t="str">
        <f>Currency&amp;"HW_Volatility"&amp;QuoteSuffix</f>
        <v>EURHW_Volatility_Quote</v>
      </c>
      <c r="C5" s="201" t="e">
        <f ca="1">_xll.qlSimpleQuote(B5,,,Permanent,Trigger,ObjectOverwrite)</f>
        <v>#NAME?</v>
      </c>
      <c r="D5" s="200" t="e">
        <f ca="1">_xll.ohRangeRetrieveError(C5)</f>
        <v>#NAME?</v>
      </c>
      <c r="E5" s="36"/>
      <c r="G5" s="113"/>
      <c r="H5" s="208" t="s">
        <v>52</v>
      </c>
      <c r="I5" s="207" t="s">
        <v>122</v>
      </c>
      <c r="J5" s="206" t="s">
        <v>121</v>
      </c>
      <c r="K5" s="206" t="str">
        <f>I5&amp;H5&amp;J5&amp;"ATM"</f>
        <v>EU4Y6LATM</v>
      </c>
      <c r="L5" s="205" t="str">
        <f>K5&amp;"="&amp;Contributor</f>
        <v>EU4Y6LATM=ICAP</v>
      </c>
      <c r="M5" s="204">
        <v>339.83</v>
      </c>
      <c r="N5" s="198"/>
      <c r="O5" s="203" t="s">
        <v>120</v>
      </c>
      <c r="P5" s="202">
        <f>M5/100*IF(ISNUMBER(Swap3M4Y),Swap3M4Y/100,Swap6M4Y/100)*0</f>
        <v>0</v>
      </c>
      <c r="Q5" s="198"/>
      <c r="R5" s="202">
        <v>0</v>
      </c>
      <c r="S5" s="197"/>
      <c r="T5" s="202">
        <f t="array" ref="T5:T6">QuoteStatic</f>
        <v>0</v>
      </c>
      <c r="U5" s="202" t="e">
        <f ca="1">_xll.qlSimpleQuoteSetValue(C5,ROUND(T5,6),Trigger)</f>
        <v>#NAME?</v>
      </c>
      <c r="V5" s="36"/>
    </row>
    <row r="6" spans="1:25" x14ac:dyDescent="0.2">
      <c r="A6" s="113"/>
      <c r="B6" s="201" t="str">
        <f>Currency&amp;"HW_MeanReversion"&amp;QuoteSuffix</f>
        <v>EURHW_MeanReversion_Quote</v>
      </c>
      <c r="C6" s="201" t="e">
        <f ca="1">_xll.qlSimpleQuote(B6,,,Permanent,Trigger,ObjectOverwrite)</f>
        <v>#NAME?</v>
      </c>
      <c r="D6" s="200" t="e">
        <f ca="1">_xll.ohRangeRetrieveError(C6)</f>
        <v>#NAME?</v>
      </c>
      <c r="E6" s="36"/>
      <c r="G6" s="113"/>
      <c r="H6" s="110"/>
      <c r="I6" s="110"/>
      <c r="J6" s="110"/>
      <c r="K6" s="110"/>
      <c r="L6" s="110"/>
      <c r="M6" s="110"/>
      <c r="N6" s="198"/>
      <c r="O6" s="199" t="s">
        <v>119</v>
      </c>
      <c r="P6" s="196">
        <v>0.03</v>
      </c>
      <c r="Q6" s="198"/>
      <c r="R6" s="196">
        <v>0.03</v>
      </c>
      <c r="S6" s="197"/>
      <c r="T6" s="196">
        <v>0.03</v>
      </c>
      <c r="U6" s="196" t="e">
        <f ca="1">_xll.qlSimpleQuoteSetValue(C6,ROUND(T6,6),Trigger)</f>
        <v>#NAME?</v>
      </c>
      <c r="V6" s="36"/>
    </row>
    <row r="7" spans="1:25" x14ac:dyDescent="0.2">
      <c r="A7" s="35"/>
      <c r="B7" s="34"/>
      <c r="C7" s="34"/>
      <c r="D7" s="34"/>
      <c r="E7" s="32"/>
      <c r="G7" s="35"/>
      <c r="H7" s="34"/>
      <c r="I7" s="34"/>
      <c r="J7" s="34"/>
      <c r="K7" s="34"/>
      <c r="L7" s="34"/>
      <c r="M7" s="34"/>
      <c r="N7" s="34"/>
      <c r="O7" s="34"/>
      <c r="P7" s="34"/>
      <c r="Q7" s="34"/>
      <c r="R7" s="34"/>
      <c r="S7" s="34"/>
      <c r="T7" s="34"/>
      <c r="U7" s="34"/>
      <c r="V7" s="32"/>
    </row>
  </sheetData>
  <mergeCells count="1">
    <mergeCell ref="O4:P4"/>
  </mergeCells>
  <dataValidations count="1">
    <dataValidation type="list" showInputMessage="1" showErrorMessage="1" sqref="L2">
      <formula1>Contributors</formula1>
    </dataValidation>
  </dataValidations>
  <pageMargins left="0.75" right="0.75" top="1" bottom="1" header="0.5" footer="0.5"/>
  <pageSetup paperSize="9"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09"/>
      <c r="B1" s="109"/>
      <c r="C1" s="109"/>
      <c r="D1" s="109"/>
      <c r="E1" s="109"/>
      <c r="F1" s="109"/>
      <c r="G1" s="109"/>
      <c r="H1" s="120"/>
      <c r="J1" s="153" t="s">
        <v>118</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EON</v>
      </c>
      <c r="D5" s="86" t="str">
        <f t="shared" ref="D5:D41" si="2">M5</f>
        <v>3E</v>
      </c>
      <c r="E5" s="85" t="str">
        <f t="shared" ref="E5:E41" si="3">IF(ISBLANK(C5),"#",Currency&amp;$C5&amp;$D5&amp;$B5&amp;QuoteSuffix)</f>
        <v>EUREON3E1Y_Quote</v>
      </c>
      <c r="F5" s="85" t="e">
        <f ca="1">_xll.qlSimpleQuote(E5,,RateTickValue,Permanent,Trigger,ObjectOverwrite)</f>
        <v>#NAME?</v>
      </c>
      <c r="G5" s="42" t="e">
        <f ca="1">_xll.ohRangeRetrieveError(F5)</f>
        <v>#NAME?</v>
      </c>
      <c r="H5" s="36"/>
      <c r="J5" s="187"/>
      <c r="K5" s="141" t="s">
        <v>58</v>
      </c>
      <c r="L5" s="141" t="s">
        <v>117</v>
      </c>
      <c r="M5" s="141" t="s">
        <v>69</v>
      </c>
      <c r="N5" s="186" t="str">
        <f t="shared" ref="N5:N41" si="4">SUBSTITUTE(Currency,"R","")&amp;$L5&amp;SUBSTITUTE(Currency,"R","")&amp;$M5&amp;$K5</f>
        <v>EUEONEU3E1Y</v>
      </c>
      <c r="O5" s="140" t="str">
        <f t="array" ref="O5:O41">Instruments&amp;"="&amp;VLOOKUP(Contributor,ContributorTable,2,FALSE)</f>
        <v>EUEONEU3E1Y=ICAP</v>
      </c>
      <c r="P5" s="185">
        <v>9.3000000000000007</v>
      </c>
      <c r="Q5" s="185">
        <v>14.3</v>
      </c>
      <c r="R5" s="185" t="e">
        <f ca="1">_xll.qlMidSafe(P5,Q5)</f>
        <v>#NAME?</v>
      </c>
      <c r="S5" s="185" t="e">
        <f t="shared" ref="S5:S41" ca="1" si="5">(R5-P5)*2</f>
        <v>#NAME?</v>
      </c>
      <c r="T5" s="183"/>
      <c r="U5" s="182">
        <v>11.8</v>
      </c>
      <c r="V5" s="111"/>
      <c r="W5" s="181">
        <f t="array" ref="W5:W41">QuoteStatic</f>
        <v>11.8</v>
      </c>
      <c r="X5" s="180" t="e">
        <f ca="1">_xll.qlSimpleQuoteSetValue(F5,ROUND(W5/10000,6),Trigger)</f>
        <v>#NAME?</v>
      </c>
      <c r="Y5" s="130"/>
    </row>
    <row r="6" spans="1:28" ht="11.25" customHeight="1" x14ac:dyDescent="0.2">
      <c r="A6" s="135"/>
      <c r="B6" s="86" t="str">
        <f t="shared" si="0"/>
        <v>15M</v>
      </c>
      <c r="C6" s="86" t="str">
        <f t="shared" si="1"/>
        <v>EON</v>
      </c>
      <c r="D6" s="86" t="str">
        <f t="shared" si="2"/>
        <v>3E</v>
      </c>
      <c r="E6" s="85" t="str">
        <f t="shared" si="3"/>
        <v>EUREON3E15M_Quote</v>
      </c>
      <c r="F6" s="85" t="e">
        <f ca="1">_xll.qlSimpleQuote(E6,,RateTickValue,Permanent,Trigger,ObjectOverwrite)</f>
        <v>#NAME?</v>
      </c>
      <c r="G6" s="42" t="e">
        <f ca="1">_xll.ohRangeRetrieveError(F6)</f>
        <v>#NAME?</v>
      </c>
      <c r="H6" s="36"/>
      <c r="J6" s="187"/>
      <c r="K6" s="141" t="s">
        <v>57</v>
      </c>
      <c r="L6" s="141" t="s">
        <v>117</v>
      </c>
      <c r="M6" s="141" t="s">
        <v>69</v>
      </c>
      <c r="N6" s="186" t="str">
        <f t="shared" si="4"/>
        <v>EUEONEU3E15M</v>
      </c>
      <c r="O6" s="140" t="str">
        <v>EUEONEU3E15M=ICAP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EON</v>
      </c>
      <c r="D7" s="86" t="str">
        <f t="shared" si="2"/>
        <v>3E</v>
      </c>
      <c r="E7" s="85" t="str">
        <f t="shared" si="3"/>
        <v>EUREON3E18M_Quote</v>
      </c>
      <c r="F7" s="85" t="e">
        <f ca="1">_xll.qlSimpleQuote(E7,,RateTickValue,Permanent,Trigger,ObjectOverwrite)</f>
        <v>#NAME?</v>
      </c>
      <c r="G7" s="42" t="e">
        <f ca="1">_xll.ohRangeRetrieveError(F7)</f>
        <v>#NAME?</v>
      </c>
      <c r="H7" s="36"/>
      <c r="J7" s="187"/>
      <c r="K7" s="141" t="s">
        <v>56</v>
      </c>
      <c r="L7" s="141" t="s">
        <v>117</v>
      </c>
      <c r="M7" s="141" t="s">
        <v>69</v>
      </c>
      <c r="N7" s="186" t="str">
        <f t="shared" si="4"/>
        <v>EUEONEU3E18M</v>
      </c>
      <c r="O7" s="140" t="str">
        <v>EUEONEU3E18M=ICAP</v>
      </c>
      <c r="P7" s="185">
        <v>10.1</v>
      </c>
      <c r="Q7" s="185">
        <v>15.1</v>
      </c>
      <c r="R7" s="185" t="e">
        <f ca="1">_xll.qlMidSafe(P7,Q7)</f>
        <v>#NAME?</v>
      </c>
      <c r="S7" s="185" t="e">
        <f t="shared" ca="1" si="5"/>
        <v>#NAME?</v>
      </c>
      <c r="T7" s="183"/>
      <c r="U7" s="182">
        <v>12.6</v>
      </c>
      <c r="V7" s="111"/>
      <c r="W7" s="181">
        <v>12.6</v>
      </c>
      <c r="X7" s="180" t="e">
        <f ca="1">_xll.qlSimpleQuoteSetValue(F7,ROUND(W7/10000,6),Trigger)</f>
        <v>#NAME?</v>
      </c>
      <c r="Y7" s="130"/>
    </row>
    <row r="8" spans="1:28" ht="11.25" customHeight="1" x14ac:dyDescent="0.2">
      <c r="A8" s="135"/>
      <c r="B8" s="86" t="str">
        <f t="shared" si="0"/>
        <v>21M</v>
      </c>
      <c r="C8" s="86" t="str">
        <f t="shared" si="1"/>
        <v>EON</v>
      </c>
      <c r="D8" s="86" t="str">
        <f t="shared" si="2"/>
        <v>3E</v>
      </c>
      <c r="E8" s="85" t="str">
        <f t="shared" si="3"/>
        <v>EUREON3E21M_Quote</v>
      </c>
      <c r="F8" s="85" t="e">
        <f ca="1">_xll.qlSimpleQuote(E8,,RateTickValue,Permanent,Trigger,ObjectOverwrite)</f>
        <v>#NAME?</v>
      </c>
      <c r="G8" s="42" t="e">
        <f ca="1">_xll.ohRangeRetrieveError(F8)</f>
        <v>#NAME?</v>
      </c>
      <c r="H8" s="36"/>
      <c r="J8" s="187"/>
      <c r="K8" s="141" t="s">
        <v>55</v>
      </c>
      <c r="L8" s="141" t="s">
        <v>117</v>
      </c>
      <c r="M8" s="141" t="s">
        <v>69</v>
      </c>
      <c r="N8" s="186" t="str">
        <f t="shared" si="4"/>
        <v>EUEONEU3E21M</v>
      </c>
      <c r="O8" s="140" t="str">
        <v>EUEONEU3E21M=ICAP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EON</v>
      </c>
      <c r="D9" s="86" t="str">
        <f t="shared" si="2"/>
        <v>3E</v>
      </c>
      <c r="E9" s="85" t="str">
        <f t="shared" si="3"/>
        <v>EUREON3E2Y_Quote</v>
      </c>
      <c r="F9" s="85" t="e">
        <f ca="1">_xll.qlSimpleQuote(E9,,RateTickValue,Permanent,Trigger,ObjectOverwrite)</f>
        <v>#NAME?</v>
      </c>
      <c r="G9" s="42" t="e">
        <f ca="1">_xll.ohRangeRetrieveError(F9)</f>
        <v>#NAME?</v>
      </c>
      <c r="H9" s="36"/>
      <c r="J9" s="135"/>
      <c r="K9" s="141" t="s">
        <v>54</v>
      </c>
      <c r="L9" s="141" t="s">
        <v>117</v>
      </c>
      <c r="M9" s="141" t="s">
        <v>69</v>
      </c>
      <c r="N9" s="186" t="str">
        <f t="shared" si="4"/>
        <v>EUEONEU3E2Y</v>
      </c>
      <c r="O9" s="140" t="str">
        <v>EUEONEU3E2Y=ICAP</v>
      </c>
      <c r="P9" s="185">
        <v>10.6</v>
      </c>
      <c r="Q9" s="185">
        <v>15.6</v>
      </c>
      <c r="R9" s="185" t="e">
        <f ca="1">_xll.qlMidSafe(P9,Q9)</f>
        <v>#NAME?</v>
      </c>
      <c r="S9" s="185" t="e">
        <f t="shared" ca="1" si="5"/>
        <v>#NAME?</v>
      </c>
      <c r="T9" s="183"/>
      <c r="U9" s="182">
        <v>13.1</v>
      </c>
      <c r="V9" s="111"/>
      <c r="W9" s="181">
        <v>13.1</v>
      </c>
      <c r="X9" s="180" t="e">
        <f ca="1">_xll.qlSimpleQuoteSetValue(F9,ROUND(W9/10000,6),Trigger)</f>
        <v>#NAME?</v>
      </c>
      <c r="Y9" s="130"/>
    </row>
    <row r="10" spans="1:28" ht="11.25" customHeight="1" x14ac:dyDescent="0.2">
      <c r="A10" s="135"/>
      <c r="B10" s="86" t="str">
        <f t="shared" si="0"/>
        <v>3Y</v>
      </c>
      <c r="C10" s="86" t="str">
        <f t="shared" si="1"/>
        <v>EON</v>
      </c>
      <c r="D10" s="86" t="str">
        <f t="shared" si="2"/>
        <v>3E</v>
      </c>
      <c r="E10" s="85" t="str">
        <f t="shared" si="3"/>
        <v>EUREON3E3Y_Quote</v>
      </c>
      <c r="F10" s="85" t="e">
        <f ca="1">_xll.qlSimpleQuote(E10,,RateTickValue,Permanent,Trigger,ObjectOverwrite)</f>
        <v>#NAME?</v>
      </c>
      <c r="G10" s="42" t="e">
        <f ca="1">_xll.ohRangeRetrieveError(F10)</f>
        <v>#NAME?</v>
      </c>
      <c r="H10" s="36"/>
      <c r="J10" s="135"/>
      <c r="K10" s="141" t="s">
        <v>53</v>
      </c>
      <c r="L10" s="141" t="s">
        <v>117</v>
      </c>
      <c r="M10" s="141" t="s">
        <v>69</v>
      </c>
      <c r="N10" s="186" t="str">
        <f t="shared" si="4"/>
        <v>EUEONEU3E3Y</v>
      </c>
      <c r="O10" s="140" t="str">
        <v>EUEONEU3E3Y=ICAP</v>
      </c>
      <c r="P10" s="185">
        <v>11.8</v>
      </c>
      <c r="Q10" s="185">
        <v>16.8</v>
      </c>
      <c r="R10" s="185" t="e">
        <f ca="1">_xll.qlMidSafe(P10,Q10)</f>
        <v>#NAME?</v>
      </c>
      <c r="S10" s="185" t="e">
        <f t="shared" ca="1" si="5"/>
        <v>#NAME?</v>
      </c>
      <c r="T10" s="183"/>
      <c r="U10" s="182">
        <v>14.3</v>
      </c>
      <c r="V10" s="111"/>
      <c r="W10" s="181">
        <v>14.3</v>
      </c>
      <c r="X10" s="180" t="e">
        <f ca="1">_xll.qlSimpleQuoteSetValue(F10,ROUND(W10/10000,6),Trigger)</f>
        <v>#NAME?</v>
      </c>
      <c r="Y10" s="130"/>
    </row>
    <row r="11" spans="1:28" ht="11.25" customHeight="1" x14ac:dyDescent="0.2">
      <c r="A11" s="135"/>
      <c r="B11" s="86" t="str">
        <f t="shared" si="0"/>
        <v>4Y</v>
      </c>
      <c r="C11" s="86" t="str">
        <f t="shared" si="1"/>
        <v>EON</v>
      </c>
      <c r="D11" s="86" t="str">
        <f t="shared" si="2"/>
        <v>3E</v>
      </c>
      <c r="E11" s="85" t="str">
        <f t="shared" si="3"/>
        <v>EUREON3E4Y_Quote</v>
      </c>
      <c r="F11" s="85" t="e">
        <f ca="1">_xll.qlSimpleQuote(E11,,RateTickValue,Permanent,Trigger,ObjectOverwrite)</f>
        <v>#NAME?</v>
      </c>
      <c r="G11" s="42" t="e">
        <f ca="1">_xll.ohRangeRetrieveError(F11)</f>
        <v>#NAME?</v>
      </c>
      <c r="H11" s="36"/>
      <c r="J11" s="135"/>
      <c r="K11" s="141" t="s">
        <v>52</v>
      </c>
      <c r="L11" s="141" t="s">
        <v>117</v>
      </c>
      <c r="M11" s="141" t="s">
        <v>69</v>
      </c>
      <c r="N11" s="186" t="str">
        <f t="shared" si="4"/>
        <v>EUEONEU3E4Y</v>
      </c>
      <c r="O11" s="140" t="str">
        <v>EUEONEU3E4Y=ICAP</v>
      </c>
      <c r="P11" s="185">
        <v>12.6</v>
      </c>
      <c r="Q11" s="185">
        <v>17.600000000000001</v>
      </c>
      <c r="R11" s="185" t="e">
        <f ca="1">_xll.qlMidSafe(P11,Q11)</f>
        <v>#NAME?</v>
      </c>
      <c r="S11" s="185" t="e">
        <f t="shared" ca="1" si="5"/>
        <v>#NAME?</v>
      </c>
      <c r="T11" s="183"/>
      <c r="U11" s="182">
        <v>15.100000000000001</v>
      </c>
      <c r="V11" s="111"/>
      <c r="W11" s="181">
        <v>15.100000000000001</v>
      </c>
      <c r="X11" s="180" t="e">
        <f ca="1">_xll.qlSimpleQuoteSetValue(F11,ROUND(W11/10000,6),Trigger)</f>
        <v>#NAME?</v>
      </c>
      <c r="Y11" s="130"/>
    </row>
    <row r="12" spans="1:28" ht="11.25" customHeight="1" x14ac:dyDescent="0.2">
      <c r="A12" s="135"/>
      <c r="B12" s="86" t="str">
        <f t="shared" si="0"/>
        <v>5Y</v>
      </c>
      <c r="C12" s="86" t="str">
        <f t="shared" si="1"/>
        <v>EON</v>
      </c>
      <c r="D12" s="86" t="str">
        <f t="shared" si="2"/>
        <v>3E</v>
      </c>
      <c r="E12" s="85" t="str">
        <f t="shared" si="3"/>
        <v>EUREON3E5Y_Quote</v>
      </c>
      <c r="F12" s="85" t="e">
        <f ca="1">_xll.qlSimpleQuote(E12,,RateTickValue,Permanent,Trigger,ObjectOverwrite)</f>
        <v>#NAME?</v>
      </c>
      <c r="G12" s="42" t="e">
        <f ca="1">_xll.ohRangeRetrieveError(F12)</f>
        <v>#NAME?</v>
      </c>
      <c r="H12" s="36"/>
      <c r="J12" s="135"/>
      <c r="K12" s="141" t="s">
        <v>51</v>
      </c>
      <c r="L12" s="141" t="s">
        <v>117</v>
      </c>
      <c r="M12" s="141" t="s">
        <v>69</v>
      </c>
      <c r="N12" s="186" t="str">
        <f t="shared" si="4"/>
        <v>EUEONEU3E5Y</v>
      </c>
      <c r="O12" s="140" t="str">
        <v>EUEONEU3E5Y=ICAP</v>
      </c>
      <c r="P12" s="185">
        <v>13.1</v>
      </c>
      <c r="Q12" s="185">
        <v>18.100000000000001</v>
      </c>
      <c r="R12" s="185" t="e">
        <f ca="1">_xll.qlMidSafe(P12,Q12)</f>
        <v>#NAME?</v>
      </c>
      <c r="S12" s="185" t="e">
        <f t="shared" ca="1" si="5"/>
        <v>#NAME?</v>
      </c>
      <c r="T12" s="183"/>
      <c r="U12" s="182">
        <v>15.600000000000001</v>
      </c>
      <c r="V12" s="111"/>
      <c r="W12" s="181">
        <v>15.600000000000001</v>
      </c>
      <c r="X12" s="180" t="e">
        <f ca="1">_xll.qlSimpleQuoteSetValue(F12,ROUND(W12/10000,6),Trigger)</f>
        <v>#NAME?</v>
      </c>
      <c r="Y12" s="130"/>
    </row>
    <row r="13" spans="1:28" ht="11.25" customHeight="1" x14ac:dyDescent="0.2">
      <c r="A13" s="135"/>
      <c r="B13" s="86" t="str">
        <f t="shared" si="0"/>
        <v>6Y</v>
      </c>
      <c r="C13" s="86" t="str">
        <f t="shared" si="1"/>
        <v>EON</v>
      </c>
      <c r="D13" s="86" t="str">
        <f t="shared" si="2"/>
        <v>3E</v>
      </c>
      <c r="E13" s="85" t="str">
        <f t="shared" si="3"/>
        <v>EUREON3E6Y_Quote</v>
      </c>
      <c r="F13" s="85" t="e">
        <f ca="1">_xll.qlSimpleQuote(E13,,RateTickValue,Permanent,Trigger,ObjectOverwrite)</f>
        <v>#NAME?</v>
      </c>
      <c r="G13" s="42" t="e">
        <f ca="1">_xll.ohRangeRetrieveError(F13)</f>
        <v>#NAME?</v>
      </c>
      <c r="H13" s="36"/>
      <c r="J13" s="135"/>
      <c r="K13" s="141" t="s">
        <v>50</v>
      </c>
      <c r="L13" s="141" t="s">
        <v>117</v>
      </c>
      <c r="M13" s="141" t="s">
        <v>69</v>
      </c>
      <c r="N13" s="186" t="str">
        <f t="shared" si="4"/>
        <v>EUEONEU3E6Y</v>
      </c>
      <c r="O13" s="140" t="str">
        <v>EUEONEU3E6Y=ICAP</v>
      </c>
      <c r="P13" s="185">
        <v>13.1</v>
      </c>
      <c r="Q13" s="185">
        <v>18.100000000000001</v>
      </c>
      <c r="R13" s="185" t="e">
        <f ca="1">_xll.qlMidSafe(P13,Q13)</f>
        <v>#NAME?</v>
      </c>
      <c r="S13" s="185" t="e">
        <f t="shared" ca="1" si="5"/>
        <v>#NAME?</v>
      </c>
      <c r="T13" s="183"/>
      <c r="U13" s="182">
        <v>15.600000000000001</v>
      </c>
      <c r="V13" s="111"/>
      <c r="W13" s="181">
        <v>15.600000000000001</v>
      </c>
      <c r="X13" s="180" t="e">
        <f ca="1">_xll.qlSimpleQuoteSetValue(F13,ROUND(W13/10000,6),Trigger)</f>
        <v>#NAME?</v>
      </c>
      <c r="Y13" s="130"/>
    </row>
    <row r="14" spans="1:28" ht="11.25" customHeight="1" x14ac:dyDescent="0.2">
      <c r="A14" s="135"/>
      <c r="B14" s="86" t="str">
        <f t="shared" si="0"/>
        <v>7Y</v>
      </c>
      <c r="C14" s="86" t="str">
        <f t="shared" si="1"/>
        <v>EON</v>
      </c>
      <c r="D14" s="86" t="str">
        <f t="shared" si="2"/>
        <v>3E</v>
      </c>
      <c r="E14" s="85" t="str">
        <f t="shared" si="3"/>
        <v>EUREON3E7Y_Quote</v>
      </c>
      <c r="F14" s="85" t="e">
        <f ca="1">_xll.qlSimpleQuote(E14,,RateTickValue,Permanent,Trigger,ObjectOverwrite)</f>
        <v>#NAME?</v>
      </c>
      <c r="G14" s="42" t="e">
        <f ca="1">_xll.ohRangeRetrieveError(F14)</f>
        <v>#NAME?</v>
      </c>
      <c r="H14" s="36"/>
      <c r="J14" s="135"/>
      <c r="K14" s="141" t="s">
        <v>49</v>
      </c>
      <c r="L14" s="141" t="s">
        <v>117</v>
      </c>
      <c r="M14" s="141" t="s">
        <v>69</v>
      </c>
      <c r="N14" s="186" t="str">
        <f t="shared" si="4"/>
        <v>EUEONEU3E7Y</v>
      </c>
      <c r="O14" s="140" t="str">
        <v>EUEONEU3E7Y=ICAP</v>
      </c>
      <c r="P14" s="185">
        <v>13</v>
      </c>
      <c r="Q14" s="185">
        <v>18</v>
      </c>
      <c r="R14" s="185" t="e">
        <f ca="1">_xll.qlMidSafe(P14,Q14)</f>
        <v>#NAME?</v>
      </c>
      <c r="S14" s="185" t="e">
        <f t="shared" ca="1" si="5"/>
        <v>#NAME?</v>
      </c>
      <c r="T14" s="183"/>
      <c r="U14" s="182">
        <v>15.5</v>
      </c>
      <c r="V14" s="111"/>
      <c r="W14" s="181">
        <v>15.5</v>
      </c>
      <c r="X14" s="180" t="e">
        <f ca="1">_xll.qlSimpleQuoteSetValue(F14,ROUND(W14/10000,6),Trigger)</f>
        <v>#NAME?</v>
      </c>
      <c r="Y14" s="130"/>
    </row>
    <row r="15" spans="1:28" ht="11.25" customHeight="1" x14ac:dyDescent="0.2">
      <c r="A15" s="135"/>
      <c r="B15" s="86" t="str">
        <f t="shared" si="0"/>
        <v>8Y</v>
      </c>
      <c r="C15" s="86" t="str">
        <f t="shared" si="1"/>
        <v>EON</v>
      </c>
      <c r="D15" s="86" t="str">
        <f t="shared" si="2"/>
        <v>3E</v>
      </c>
      <c r="E15" s="85" t="str">
        <f t="shared" si="3"/>
        <v>EUREON3E8Y_Quote</v>
      </c>
      <c r="F15" s="85" t="e">
        <f ca="1">_xll.qlSimpleQuote(E15,,RateTickValue,Permanent,Trigger,ObjectOverwrite)</f>
        <v>#NAME?</v>
      </c>
      <c r="G15" s="42" t="e">
        <f ca="1">_xll.ohRangeRetrieveError(F15)</f>
        <v>#NAME?</v>
      </c>
      <c r="H15" s="36"/>
      <c r="J15" s="135"/>
      <c r="K15" s="141" t="s">
        <v>48</v>
      </c>
      <c r="L15" s="141" t="s">
        <v>117</v>
      </c>
      <c r="M15" s="141" t="s">
        <v>69</v>
      </c>
      <c r="N15" s="186" t="str">
        <f t="shared" si="4"/>
        <v>EUEONEU3E8Y</v>
      </c>
      <c r="O15" s="140" t="str">
        <v>EUEONEU3E8Y=ICAP</v>
      </c>
      <c r="P15" s="185">
        <v>12.9</v>
      </c>
      <c r="Q15" s="185">
        <v>17.899999999999999</v>
      </c>
      <c r="R15" s="185" t="e">
        <f ca="1">_xll.qlMidSafe(P15,Q15)</f>
        <v>#NAME?</v>
      </c>
      <c r="S15" s="185" t="e">
        <f t="shared" ca="1" si="5"/>
        <v>#NAME?</v>
      </c>
      <c r="T15" s="183"/>
      <c r="U15" s="182">
        <v>15.399999999999999</v>
      </c>
      <c r="V15" s="111"/>
      <c r="W15" s="181">
        <v>15.399999999999999</v>
      </c>
      <c r="X15" s="180" t="e">
        <f ca="1">_xll.qlSimpleQuoteSetValue(F15,ROUND(W15/10000,6),Trigger)</f>
        <v>#NAME?</v>
      </c>
      <c r="Y15" s="130"/>
    </row>
    <row r="16" spans="1:28" ht="11.25" customHeight="1" x14ac:dyDescent="0.2">
      <c r="A16" s="135"/>
      <c r="B16" s="86" t="str">
        <f t="shared" si="0"/>
        <v>9Y</v>
      </c>
      <c r="C16" s="86" t="str">
        <f t="shared" si="1"/>
        <v>EON</v>
      </c>
      <c r="D16" s="86" t="str">
        <f t="shared" si="2"/>
        <v>3E</v>
      </c>
      <c r="E16" s="85" t="str">
        <f t="shared" si="3"/>
        <v>EUREON3E9Y_Quote</v>
      </c>
      <c r="F16" s="85" t="e">
        <f ca="1">_xll.qlSimpleQuote(E16,,RateTickValue,Permanent,Trigger,ObjectOverwrite)</f>
        <v>#NAME?</v>
      </c>
      <c r="G16" s="42" t="e">
        <f ca="1">_xll.ohRangeRetrieveError(F16)</f>
        <v>#NAME?</v>
      </c>
      <c r="H16" s="36"/>
      <c r="J16" s="135"/>
      <c r="K16" s="141" t="s">
        <v>47</v>
      </c>
      <c r="L16" s="141" t="s">
        <v>117</v>
      </c>
      <c r="M16" s="141" t="s">
        <v>69</v>
      </c>
      <c r="N16" s="186" t="str">
        <f t="shared" si="4"/>
        <v>EUEONEU3E9Y</v>
      </c>
      <c r="O16" s="140" t="str">
        <v>EUEONEU3E9Y=ICAP</v>
      </c>
      <c r="P16" s="185">
        <v>12.8</v>
      </c>
      <c r="Q16" s="185">
        <v>17.8</v>
      </c>
      <c r="R16" s="185" t="e">
        <f ca="1">_xll.qlMidSafe(P16,Q16)</f>
        <v>#NAME?</v>
      </c>
      <c r="S16" s="185" t="e">
        <f t="shared" ca="1" si="5"/>
        <v>#NAME?</v>
      </c>
      <c r="T16" s="183"/>
      <c r="U16" s="182">
        <v>15.3</v>
      </c>
      <c r="V16" s="111"/>
      <c r="W16" s="181">
        <v>15.3</v>
      </c>
      <c r="X16" s="180" t="e">
        <f ca="1">_xll.qlSimpleQuoteSetValue(F16,ROUND(W16/10000,6),Trigger)</f>
        <v>#NAME?</v>
      </c>
      <c r="Y16" s="130"/>
    </row>
    <row r="17" spans="1:25" ht="11.25" customHeight="1" x14ac:dyDescent="0.2">
      <c r="A17" s="135"/>
      <c r="B17" s="86" t="str">
        <f t="shared" si="0"/>
        <v>10Y</v>
      </c>
      <c r="C17" s="86" t="str">
        <f t="shared" si="1"/>
        <v>EON</v>
      </c>
      <c r="D17" s="86" t="str">
        <f t="shared" si="2"/>
        <v>3E</v>
      </c>
      <c r="E17" s="85" t="str">
        <f t="shared" si="3"/>
        <v>EUREON3E10Y_Quote</v>
      </c>
      <c r="F17" s="85" t="e">
        <f ca="1">_xll.qlSimpleQuote(E17,,RateTickValue,Permanent,Trigger,ObjectOverwrite)</f>
        <v>#NAME?</v>
      </c>
      <c r="G17" s="42" t="e">
        <f ca="1">_xll.ohRangeRetrieveError(F17)</f>
        <v>#NAME?</v>
      </c>
      <c r="H17" s="36"/>
      <c r="J17" s="135"/>
      <c r="K17" s="141" t="s">
        <v>46</v>
      </c>
      <c r="L17" s="141" t="s">
        <v>117</v>
      </c>
      <c r="M17" s="141" t="s">
        <v>69</v>
      </c>
      <c r="N17" s="186" t="str">
        <f t="shared" si="4"/>
        <v>EUEONEU3E10Y</v>
      </c>
      <c r="O17" s="140" t="str">
        <v>EUEONEU3E10Y=ICAP</v>
      </c>
      <c r="P17" s="185">
        <v>12.7</v>
      </c>
      <c r="Q17" s="185">
        <v>17.7</v>
      </c>
      <c r="R17" s="185" t="e">
        <f ca="1">_xll.qlMidSafe(P17,Q17)</f>
        <v>#NAME?</v>
      </c>
      <c r="S17" s="185" t="e">
        <f t="shared" ca="1" si="5"/>
        <v>#NAME?</v>
      </c>
      <c r="T17" s="183"/>
      <c r="U17" s="182">
        <v>15.2</v>
      </c>
      <c r="V17" s="111"/>
      <c r="W17" s="181">
        <v>15.2</v>
      </c>
      <c r="X17" s="180" t="e">
        <f ca="1">_xll.qlSimpleQuoteSetValue(F17,ROUND(W17/10000,6),Trigger)</f>
        <v>#NAME?</v>
      </c>
      <c r="Y17" s="130"/>
    </row>
    <row r="18" spans="1:25" ht="11.25" customHeight="1" x14ac:dyDescent="0.2">
      <c r="A18" s="135"/>
      <c r="B18" s="86" t="str">
        <f t="shared" si="0"/>
        <v>11Y</v>
      </c>
      <c r="C18" s="86" t="str">
        <f t="shared" si="1"/>
        <v>EON</v>
      </c>
      <c r="D18" s="86" t="str">
        <f t="shared" si="2"/>
        <v>3E</v>
      </c>
      <c r="E18" s="85" t="str">
        <f t="shared" si="3"/>
        <v>EUREON3E11Y_Quote</v>
      </c>
      <c r="F18" s="85" t="e">
        <f ca="1">_xll.qlSimpleQuote(E18,,RateTickValue,Permanent,Trigger,ObjectOverwrite)</f>
        <v>#NAME?</v>
      </c>
      <c r="G18" s="42" t="e">
        <f ca="1">_xll.ohRangeRetrieveError(F18)</f>
        <v>#NAME?</v>
      </c>
      <c r="H18" s="36"/>
      <c r="J18" s="135"/>
      <c r="K18" s="141" t="s">
        <v>45</v>
      </c>
      <c r="L18" s="141" t="s">
        <v>117</v>
      </c>
      <c r="M18" s="141" t="s">
        <v>69</v>
      </c>
      <c r="N18" s="186" t="str">
        <f t="shared" si="4"/>
        <v>EUEONEU3E11Y</v>
      </c>
      <c r="O18" s="140" t="str">
        <v>EUEONEU3E11Y=ICAP</v>
      </c>
      <c r="P18" s="185">
        <v>12.6</v>
      </c>
      <c r="Q18" s="185">
        <v>17.600000000000001</v>
      </c>
      <c r="R18" s="185" t="e">
        <f ca="1">_xll.qlMidSafe(P18,Q18)</f>
        <v>#NAME?</v>
      </c>
      <c r="S18" s="185" t="e">
        <f t="shared" ca="1" si="5"/>
        <v>#NAME?</v>
      </c>
      <c r="T18" s="183"/>
      <c r="U18" s="182">
        <v>15.100000000000001</v>
      </c>
      <c r="V18" s="111"/>
      <c r="W18" s="181">
        <v>15.100000000000001</v>
      </c>
      <c r="X18" s="180" t="e">
        <f ca="1">_xll.qlSimpleQuoteSetValue(F18,ROUND(W18/10000,6),Trigger)</f>
        <v>#NAME?</v>
      </c>
      <c r="Y18" s="130"/>
    </row>
    <row r="19" spans="1:25" ht="11.25" customHeight="1" x14ac:dyDescent="0.2">
      <c r="A19" s="135"/>
      <c r="B19" s="86" t="str">
        <f t="shared" si="0"/>
        <v>12Y</v>
      </c>
      <c r="C19" s="86" t="str">
        <f t="shared" si="1"/>
        <v>EON</v>
      </c>
      <c r="D19" s="86" t="str">
        <f t="shared" si="2"/>
        <v>3E</v>
      </c>
      <c r="E19" s="85" t="str">
        <f t="shared" si="3"/>
        <v>EUREON3E12Y_Quote</v>
      </c>
      <c r="F19" s="85" t="e">
        <f ca="1">_xll.qlSimpleQuote(E19,,RateTickValue,Permanent,Trigger,ObjectOverwrite)</f>
        <v>#NAME?</v>
      </c>
      <c r="G19" s="42" t="e">
        <f ca="1">_xll.ohRangeRetrieveError(F19)</f>
        <v>#NAME?</v>
      </c>
      <c r="H19" s="36"/>
      <c r="J19" s="135"/>
      <c r="K19" s="141" t="s">
        <v>44</v>
      </c>
      <c r="L19" s="141" t="s">
        <v>117</v>
      </c>
      <c r="M19" s="141" t="s">
        <v>69</v>
      </c>
      <c r="N19" s="186" t="str">
        <f t="shared" si="4"/>
        <v>EUEONEU3E12Y</v>
      </c>
      <c r="O19" s="140" t="str">
        <v>EUEONEU3E12Y=ICAP</v>
      </c>
      <c r="P19" s="185">
        <v>12.4</v>
      </c>
      <c r="Q19" s="185">
        <v>17.399999999999999</v>
      </c>
      <c r="R19" s="185" t="e">
        <f ca="1">_xll.qlMidSafe(P19,Q19)</f>
        <v>#NAME?</v>
      </c>
      <c r="S19" s="185" t="e">
        <f t="shared" ca="1" si="5"/>
        <v>#NAME?</v>
      </c>
      <c r="T19" s="183"/>
      <c r="U19" s="182">
        <v>14.899999999999999</v>
      </c>
      <c r="V19" s="111"/>
      <c r="W19" s="181">
        <v>14.899999999999999</v>
      </c>
      <c r="X19" s="180" t="e">
        <f ca="1">_xll.qlSimpleQuoteSetValue(F19,ROUND(W19/10000,6),Trigger)</f>
        <v>#NAME?</v>
      </c>
      <c r="Y19" s="130"/>
    </row>
    <row r="20" spans="1:25" ht="11.25" customHeight="1" x14ac:dyDescent="0.2">
      <c r="A20" s="135"/>
      <c r="B20" s="86" t="str">
        <f t="shared" si="0"/>
        <v>13Y</v>
      </c>
      <c r="C20" s="86" t="str">
        <f t="shared" si="1"/>
        <v>EON</v>
      </c>
      <c r="D20" s="86" t="str">
        <f t="shared" si="2"/>
        <v>3E</v>
      </c>
      <c r="E20" s="85" t="str">
        <f t="shared" si="3"/>
        <v>EUREON3E13Y_Quote</v>
      </c>
      <c r="F20" s="85" t="e">
        <f ca="1">_xll.qlSimpleQuote(E20,,RateTickValue,Permanent,Trigger,ObjectOverwrite)</f>
        <v>#NAME?</v>
      </c>
      <c r="G20" s="42" t="e">
        <f ca="1">_xll.ohRangeRetrieveError(F20)</f>
        <v>#NAME?</v>
      </c>
      <c r="H20" s="36"/>
      <c r="J20" s="135"/>
      <c r="K20" s="141" t="s">
        <v>43</v>
      </c>
      <c r="L20" s="141" t="s">
        <v>117</v>
      </c>
      <c r="M20" s="141" t="s">
        <v>69</v>
      </c>
      <c r="N20" s="186" t="str">
        <f t="shared" si="4"/>
        <v>EUEONEU3E13Y</v>
      </c>
      <c r="O20" s="140" t="str">
        <v>EUEONEU3E13Y=ICAP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EON</v>
      </c>
      <c r="D21" s="86" t="str">
        <f t="shared" si="2"/>
        <v>3E</v>
      </c>
      <c r="E21" s="85" t="str">
        <f t="shared" si="3"/>
        <v>EUREON3E14Y_Quote</v>
      </c>
      <c r="F21" s="85" t="e">
        <f ca="1">_xll.qlSimpleQuote(E21,,RateTickValue,Permanent,Trigger,ObjectOverwrite)</f>
        <v>#NAME?</v>
      </c>
      <c r="G21" s="42" t="e">
        <f ca="1">_xll.ohRangeRetrieveError(F21)</f>
        <v>#NAME?</v>
      </c>
      <c r="H21" s="36"/>
      <c r="J21" s="135"/>
      <c r="K21" s="141" t="s">
        <v>42</v>
      </c>
      <c r="L21" s="141" t="s">
        <v>117</v>
      </c>
      <c r="M21" s="141" t="s">
        <v>69</v>
      </c>
      <c r="N21" s="186" t="str">
        <f t="shared" si="4"/>
        <v>EUEONEU3E14Y</v>
      </c>
      <c r="O21" s="140" t="str">
        <v>EUEONEU3E14Y=ICAP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EON</v>
      </c>
      <c r="D22" s="86" t="str">
        <f t="shared" si="2"/>
        <v>3E</v>
      </c>
      <c r="E22" s="85" t="str">
        <f t="shared" si="3"/>
        <v>EUREON3E15Y_Quote</v>
      </c>
      <c r="F22" s="85" t="e">
        <f ca="1">_xll.qlSimpleQuote(E22,,RateTickValue,Permanent,Trigger,ObjectOverwrite)</f>
        <v>#NAME?</v>
      </c>
      <c r="G22" s="42" t="e">
        <f ca="1">_xll.ohRangeRetrieveError(F22)</f>
        <v>#NAME?</v>
      </c>
      <c r="H22" s="36"/>
      <c r="J22" s="135"/>
      <c r="K22" s="141" t="s">
        <v>41</v>
      </c>
      <c r="L22" s="141" t="s">
        <v>117</v>
      </c>
      <c r="M22" s="141" t="s">
        <v>69</v>
      </c>
      <c r="N22" s="186" t="str">
        <f t="shared" si="4"/>
        <v>EUEONEU3E15Y</v>
      </c>
      <c r="O22" s="140" t="str">
        <v>EUEONEU3E15Y=ICAP</v>
      </c>
      <c r="P22" s="185">
        <v>11.5</v>
      </c>
      <c r="Q22" s="185">
        <v>16.5</v>
      </c>
      <c r="R22" s="185" t="e">
        <f ca="1">_xll.qlMidSafe(P22,Q22)</f>
        <v>#NAME?</v>
      </c>
      <c r="S22" s="185" t="e">
        <f t="shared" ca="1" si="5"/>
        <v>#NAME?</v>
      </c>
      <c r="T22" s="183"/>
      <c r="U22" s="182">
        <v>14</v>
      </c>
      <c r="V22" s="111"/>
      <c r="W22" s="181">
        <v>14</v>
      </c>
      <c r="X22" s="180" t="e">
        <f ca="1">_xll.qlSimpleQuoteSetValue(F22,ROUND(W22/10000,6),Trigger)</f>
        <v>#NAME?</v>
      </c>
      <c r="Y22" s="130"/>
    </row>
    <row r="23" spans="1:25" ht="11.25" customHeight="1" x14ac:dyDescent="0.2">
      <c r="A23" s="135"/>
      <c r="B23" s="86" t="str">
        <f t="shared" si="0"/>
        <v>16Y</v>
      </c>
      <c r="C23" s="86" t="str">
        <f t="shared" si="1"/>
        <v>EON</v>
      </c>
      <c r="D23" s="86" t="str">
        <f t="shared" si="2"/>
        <v>3E</v>
      </c>
      <c r="E23" s="85" t="str">
        <f t="shared" si="3"/>
        <v>EUREON3E16Y_Quote</v>
      </c>
      <c r="F23" s="85" t="e">
        <f ca="1">_xll.qlSimpleQuote(E23,,RateTickValue,Permanent,Trigger,ObjectOverwrite)</f>
        <v>#NAME?</v>
      </c>
      <c r="G23" s="42" t="e">
        <f ca="1">_xll.ohRangeRetrieveError(F23)</f>
        <v>#NAME?</v>
      </c>
      <c r="H23" s="36"/>
      <c r="J23" s="135"/>
      <c r="K23" s="141" t="s">
        <v>40</v>
      </c>
      <c r="L23" s="141" t="s">
        <v>117</v>
      </c>
      <c r="M23" s="141" t="s">
        <v>69</v>
      </c>
      <c r="N23" s="186" t="str">
        <f t="shared" si="4"/>
        <v>EUEONEU3E16Y</v>
      </c>
      <c r="O23" s="140" t="str">
        <v>EUEONEU3E16Y=ICAP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EON</v>
      </c>
      <c r="D24" s="86" t="str">
        <f t="shared" si="2"/>
        <v>3E</v>
      </c>
      <c r="E24" s="85" t="str">
        <f t="shared" si="3"/>
        <v>EUREON3E17Y_Quote</v>
      </c>
      <c r="F24" s="85" t="e">
        <f ca="1">_xll.qlSimpleQuote(E24,,RateTickValue,Permanent,Trigger,ObjectOverwrite)</f>
        <v>#NAME?</v>
      </c>
      <c r="G24" s="42" t="e">
        <f ca="1">_xll.ohRangeRetrieveError(F24)</f>
        <v>#NAME?</v>
      </c>
      <c r="H24" s="36"/>
      <c r="J24" s="135"/>
      <c r="K24" s="141" t="s">
        <v>39</v>
      </c>
      <c r="L24" s="141" t="s">
        <v>117</v>
      </c>
      <c r="M24" s="141" t="s">
        <v>69</v>
      </c>
      <c r="N24" s="186" t="str">
        <f t="shared" si="4"/>
        <v>EUEONEU3E17Y</v>
      </c>
      <c r="O24" s="140" t="str">
        <v>EUEONEU3E17Y=ICAP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EON</v>
      </c>
      <c r="D25" s="86" t="str">
        <f t="shared" si="2"/>
        <v>3E</v>
      </c>
      <c r="E25" s="85" t="str">
        <f t="shared" si="3"/>
        <v>EUREON3E18Y_Quote</v>
      </c>
      <c r="F25" s="85" t="e">
        <f ca="1">_xll.qlSimpleQuote(E25,,RateTickValue,Permanent,Trigger,ObjectOverwrite)</f>
        <v>#NAME?</v>
      </c>
      <c r="G25" s="42" t="e">
        <f ca="1">_xll.ohRangeRetrieveError(F25)</f>
        <v>#NAME?</v>
      </c>
      <c r="H25" s="36"/>
      <c r="J25" s="135"/>
      <c r="K25" s="141" t="s">
        <v>38</v>
      </c>
      <c r="L25" s="141" t="s">
        <v>117</v>
      </c>
      <c r="M25" s="141" t="s">
        <v>69</v>
      </c>
      <c r="N25" s="186" t="str">
        <f t="shared" si="4"/>
        <v>EUEONEU3E18Y</v>
      </c>
      <c r="O25" s="140" t="str">
        <v>EUEONEU3E18Y=ICAP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EON</v>
      </c>
      <c r="D26" s="86" t="str">
        <f t="shared" si="2"/>
        <v>3E</v>
      </c>
      <c r="E26" s="85" t="str">
        <f t="shared" si="3"/>
        <v>EUREON3E19Y_Quote</v>
      </c>
      <c r="F26" s="85" t="e">
        <f ca="1">_xll.qlSimpleQuote(E26,,RateTickValue,Permanent,Trigger,ObjectOverwrite)</f>
        <v>#NAME?</v>
      </c>
      <c r="G26" s="42" t="e">
        <f ca="1">_xll.ohRangeRetrieveError(F26)</f>
        <v>#NAME?</v>
      </c>
      <c r="H26" s="36"/>
      <c r="J26" s="135"/>
      <c r="K26" s="141" t="s">
        <v>37</v>
      </c>
      <c r="L26" s="141" t="s">
        <v>117</v>
      </c>
      <c r="M26" s="141" t="s">
        <v>69</v>
      </c>
      <c r="N26" s="186" t="str">
        <f t="shared" si="4"/>
        <v>EUEONEU3E19Y</v>
      </c>
      <c r="O26" s="140" t="str">
        <v>EUEONEU3E19Y=ICAP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EON</v>
      </c>
      <c r="D27" s="86" t="str">
        <f t="shared" si="2"/>
        <v>3E</v>
      </c>
      <c r="E27" s="85" t="str">
        <f t="shared" si="3"/>
        <v>EUREON3E20Y_Quote</v>
      </c>
      <c r="F27" s="85" t="e">
        <f ca="1">_xll.qlSimpleQuote(E27,,RateTickValue,Permanent,Trigger,ObjectOverwrite)</f>
        <v>#NAME?</v>
      </c>
      <c r="G27" s="42" t="e">
        <f ca="1">_xll.ohRangeRetrieveError(F27)</f>
        <v>#NAME?</v>
      </c>
      <c r="H27" s="36"/>
      <c r="J27" s="135"/>
      <c r="K27" s="141" t="s">
        <v>36</v>
      </c>
      <c r="L27" s="141" t="s">
        <v>117</v>
      </c>
      <c r="M27" s="141" t="s">
        <v>69</v>
      </c>
      <c r="N27" s="186" t="str">
        <f t="shared" si="4"/>
        <v>EUEONEU3E20Y</v>
      </c>
      <c r="O27" s="140" t="str">
        <v>EUEONEU3E20Y=ICAP</v>
      </c>
      <c r="P27" s="185">
        <v>9.8000000000000007</v>
      </c>
      <c r="Q27" s="185">
        <v>14.8</v>
      </c>
      <c r="R27" s="185" t="e">
        <f ca="1">_xll.qlMidSafe(P27,Q27)</f>
        <v>#NAME?</v>
      </c>
      <c r="S27" s="185" t="e">
        <f t="shared" ca="1" si="5"/>
        <v>#NAME?</v>
      </c>
      <c r="T27" s="183"/>
      <c r="U27" s="182">
        <v>12.3</v>
      </c>
      <c r="V27" s="111"/>
      <c r="W27" s="181">
        <v>12.3</v>
      </c>
      <c r="X27" s="180" t="e">
        <f ca="1">_xll.qlSimpleQuoteSetValue(F27,ROUND(W27/10000,6),Trigger)</f>
        <v>#NAME?</v>
      </c>
      <c r="Y27" s="130"/>
    </row>
    <row r="28" spans="1:25" ht="11.25" customHeight="1" x14ac:dyDescent="0.2">
      <c r="A28" s="135"/>
      <c r="B28" s="86" t="str">
        <f t="shared" si="0"/>
        <v>21Y</v>
      </c>
      <c r="C28" s="86" t="str">
        <f t="shared" si="1"/>
        <v>EON</v>
      </c>
      <c r="D28" s="86" t="str">
        <f t="shared" si="2"/>
        <v>3E</v>
      </c>
      <c r="E28" s="85" t="str">
        <f t="shared" si="3"/>
        <v>EUREON3E21Y_Quote</v>
      </c>
      <c r="F28" s="85" t="e">
        <f ca="1">_xll.qlSimpleQuote(E28,,RateTickValue,Permanent,Trigger,ObjectOverwrite)</f>
        <v>#NAME?</v>
      </c>
      <c r="G28" s="42" t="e">
        <f ca="1">_xll.ohRangeRetrieveError(F28)</f>
        <v>#NAME?</v>
      </c>
      <c r="H28" s="36"/>
      <c r="J28" s="135"/>
      <c r="K28" s="141" t="s">
        <v>35</v>
      </c>
      <c r="L28" s="141" t="s">
        <v>117</v>
      </c>
      <c r="M28" s="141" t="s">
        <v>69</v>
      </c>
      <c r="N28" s="186" t="str">
        <f t="shared" si="4"/>
        <v>EUEONEU3E21Y</v>
      </c>
      <c r="O28" s="140" t="str">
        <v>EUEONEU3E21Y=ICAP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EON</v>
      </c>
      <c r="D29" s="86" t="str">
        <f t="shared" si="2"/>
        <v>3E</v>
      </c>
      <c r="E29" s="85" t="str">
        <f t="shared" si="3"/>
        <v>EUREON3E22Y_Quote</v>
      </c>
      <c r="F29" s="85" t="e">
        <f ca="1">_xll.qlSimpleQuote(E29,,RateTickValue,Permanent,Trigger,ObjectOverwrite)</f>
        <v>#NAME?</v>
      </c>
      <c r="G29" s="42" t="e">
        <f ca="1">_xll.ohRangeRetrieveError(F29)</f>
        <v>#NAME?</v>
      </c>
      <c r="H29" s="36"/>
      <c r="J29" s="135"/>
      <c r="K29" s="141" t="s">
        <v>34</v>
      </c>
      <c r="L29" s="141" t="s">
        <v>117</v>
      </c>
      <c r="M29" s="141" t="s">
        <v>69</v>
      </c>
      <c r="N29" s="186" t="str">
        <f t="shared" si="4"/>
        <v>EUEONEU3E22Y</v>
      </c>
      <c r="O29" s="140" t="str">
        <v>EUEONEU3E22Y=ICAP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EON</v>
      </c>
      <c r="D30" s="86" t="str">
        <f t="shared" si="2"/>
        <v>3E</v>
      </c>
      <c r="E30" s="85" t="str">
        <f t="shared" si="3"/>
        <v>EUREON3E23Y_Quote</v>
      </c>
      <c r="F30" s="85" t="e">
        <f ca="1">_xll.qlSimpleQuote(E30,,RateTickValue,Permanent,Trigger,ObjectOverwrite)</f>
        <v>#NAME?</v>
      </c>
      <c r="G30" s="42" t="e">
        <f ca="1">_xll.ohRangeRetrieveError(F30)</f>
        <v>#NAME?</v>
      </c>
      <c r="H30" s="36"/>
      <c r="J30" s="135"/>
      <c r="K30" s="141" t="s">
        <v>33</v>
      </c>
      <c r="L30" s="141" t="s">
        <v>117</v>
      </c>
      <c r="M30" s="141" t="s">
        <v>69</v>
      </c>
      <c r="N30" s="186" t="str">
        <f t="shared" si="4"/>
        <v>EUEONEU3E23Y</v>
      </c>
      <c r="O30" s="140" t="str">
        <v>EUEONEU3E23Y=ICAP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EON</v>
      </c>
      <c r="D31" s="86" t="str">
        <f t="shared" si="2"/>
        <v>3E</v>
      </c>
      <c r="E31" s="85" t="str">
        <f t="shared" si="3"/>
        <v>EUREON3E24Y_Quote</v>
      </c>
      <c r="F31" s="85" t="e">
        <f ca="1">_xll.qlSimpleQuote(E31,,RateTickValue,Permanent,Trigger,ObjectOverwrite)</f>
        <v>#NAME?</v>
      </c>
      <c r="G31" s="42" t="e">
        <f ca="1">_xll.ohRangeRetrieveError(F31)</f>
        <v>#NAME?</v>
      </c>
      <c r="H31" s="36"/>
      <c r="J31" s="135"/>
      <c r="K31" s="141" t="s">
        <v>32</v>
      </c>
      <c r="L31" s="141" t="s">
        <v>117</v>
      </c>
      <c r="M31" s="141" t="s">
        <v>69</v>
      </c>
      <c r="N31" s="186" t="str">
        <f t="shared" si="4"/>
        <v>EUEONEU3E24Y</v>
      </c>
      <c r="O31" s="140" t="str">
        <v>EUEONEU3E24Y=ICAP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EON</v>
      </c>
      <c r="D32" s="86" t="str">
        <f t="shared" si="2"/>
        <v>3E</v>
      </c>
      <c r="E32" s="85" t="str">
        <f t="shared" si="3"/>
        <v>EUREON3E25Y_Quote</v>
      </c>
      <c r="F32" s="85" t="e">
        <f ca="1">_xll.qlSimpleQuote(E32,,RateTickValue,Permanent,Trigger,ObjectOverwrite)</f>
        <v>#NAME?</v>
      </c>
      <c r="G32" s="42" t="e">
        <f ca="1">_xll.ohRangeRetrieveError(F32)</f>
        <v>#NAME?</v>
      </c>
      <c r="H32" s="36"/>
      <c r="J32" s="135"/>
      <c r="K32" s="141" t="s">
        <v>31</v>
      </c>
      <c r="L32" s="141" t="s">
        <v>117</v>
      </c>
      <c r="M32" s="141" t="s">
        <v>69</v>
      </c>
      <c r="N32" s="186" t="str">
        <f t="shared" si="4"/>
        <v>EUEONEU3E25Y</v>
      </c>
      <c r="O32" s="140" t="str">
        <v>EUEONEU3E25Y=ICAP</v>
      </c>
      <c r="P32" s="185">
        <v>8.5</v>
      </c>
      <c r="Q32" s="185">
        <v>13.5</v>
      </c>
      <c r="R32" s="185" t="e">
        <f ca="1">_xll.qlMidSafe(P32,Q32)</f>
        <v>#NAME?</v>
      </c>
      <c r="S32" s="185" t="e">
        <f t="shared" ca="1" si="5"/>
        <v>#NAME?</v>
      </c>
      <c r="T32" s="183"/>
      <c r="U32" s="182">
        <v>11</v>
      </c>
      <c r="V32" s="111"/>
      <c r="W32" s="181">
        <v>11</v>
      </c>
      <c r="X32" s="180" t="e">
        <f ca="1">_xll.qlSimpleQuoteSetValue(F32,ROUND(W32/10000,6),Trigger)</f>
        <v>#NAME?</v>
      </c>
      <c r="Y32" s="130"/>
    </row>
    <row r="33" spans="1:25" ht="11.25" customHeight="1" x14ac:dyDescent="0.2">
      <c r="A33" s="135"/>
      <c r="B33" s="86" t="str">
        <f t="shared" si="0"/>
        <v>26Y</v>
      </c>
      <c r="C33" s="86" t="str">
        <f t="shared" si="1"/>
        <v>EON</v>
      </c>
      <c r="D33" s="86" t="str">
        <f t="shared" si="2"/>
        <v>3E</v>
      </c>
      <c r="E33" s="85" t="str">
        <f t="shared" si="3"/>
        <v>EUREON3E26Y_Quote</v>
      </c>
      <c r="F33" s="85" t="e">
        <f ca="1">_xll.qlSimpleQuote(E33,,RateTickValue,Permanent,Trigger,ObjectOverwrite)</f>
        <v>#NAME?</v>
      </c>
      <c r="G33" s="42" t="e">
        <f ca="1">_xll.ohRangeRetrieveError(F33)</f>
        <v>#NAME?</v>
      </c>
      <c r="H33" s="36"/>
      <c r="J33" s="135"/>
      <c r="K33" s="141" t="s">
        <v>30</v>
      </c>
      <c r="L33" s="141" t="s">
        <v>117</v>
      </c>
      <c r="M33" s="141" t="s">
        <v>69</v>
      </c>
      <c r="N33" s="186" t="str">
        <f t="shared" si="4"/>
        <v>EUEONEU3E26Y</v>
      </c>
      <c r="O33" s="140" t="str">
        <v>EUEONEU3E26Y=ICAP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EON</v>
      </c>
      <c r="D34" s="86" t="str">
        <f t="shared" si="2"/>
        <v>3E</v>
      </c>
      <c r="E34" s="85" t="str">
        <f t="shared" si="3"/>
        <v>EUREON3E27Y_Quote</v>
      </c>
      <c r="F34" s="85" t="e">
        <f ca="1">_xll.qlSimpleQuote(E34,,RateTickValue,Permanent,Trigger,ObjectOverwrite)</f>
        <v>#NAME?</v>
      </c>
      <c r="G34" s="42" t="e">
        <f ca="1">_xll.ohRangeRetrieveError(F34)</f>
        <v>#NAME?</v>
      </c>
      <c r="H34" s="36"/>
      <c r="J34" s="135"/>
      <c r="K34" s="141" t="s">
        <v>29</v>
      </c>
      <c r="L34" s="141" t="s">
        <v>117</v>
      </c>
      <c r="M34" s="141" t="s">
        <v>69</v>
      </c>
      <c r="N34" s="186" t="str">
        <f t="shared" si="4"/>
        <v>EUEONEU3E27Y</v>
      </c>
      <c r="O34" s="140" t="str">
        <v>EUEONEU3E27Y=ICAP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EON</v>
      </c>
      <c r="D35" s="86" t="str">
        <f t="shared" si="2"/>
        <v>3E</v>
      </c>
      <c r="E35" s="85" t="str">
        <f t="shared" si="3"/>
        <v>EUREON3E28Y_Quote</v>
      </c>
      <c r="F35" s="85" t="e">
        <f ca="1">_xll.qlSimpleQuote(E35,,RateTickValue,Permanent,Trigger,ObjectOverwrite)</f>
        <v>#NAME?</v>
      </c>
      <c r="G35" s="42" t="e">
        <f ca="1">_xll.ohRangeRetrieveError(F35)</f>
        <v>#NAME?</v>
      </c>
      <c r="H35" s="36"/>
      <c r="J35" s="135"/>
      <c r="K35" s="141" t="s">
        <v>28</v>
      </c>
      <c r="L35" s="141" t="s">
        <v>117</v>
      </c>
      <c r="M35" s="141" t="s">
        <v>69</v>
      </c>
      <c r="N35" s="186" t="str">
        <f t="shared" si="4"/>
        <v>EUEONEU3E28Y</v>
      </c>
      <c r="O35" s="140" t="str">
        <v>EUEONEU3E28Y=ICAP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EON</v>
      </c>
      <c r="D36" s="86" t="str">
        <f t="shared" si="2"/>
        <v>3E</v>
      </c>
      <c r="E36" s="85" t="str">
        <f t="shared" si="3"/>
        <v>EUREON3E29Y_Quote</v>
      </c>
      <c r="F36" s="85" t="e">
        <f ca="1">_xll.qlSimpleQuote(E36,,RateTickValue,Permanent,Trigger,ObjectOverwrite)</f>
        <v>#NAME?</v>
      </c>
      <c r="G36" s="42" t="e">
        <f ca="1">_xll.ohRangeRetrieveError(F36)</f>
        <v>#NAME?</v>
      </c>
      <c r="H36" s="36"/>
      <c r="J36" s="135"/>
      <c r="K36" s="141" t="s">
        <v>27</v>
      </c>
      <c r="L36" s="141" t="s">
        <v>117</v>
      </c>
      <c r="M36" s="141" t="s">
        <v>69</v>
      </c>
      <c r="N36" s="186" t="str">
        <f t="shared" si="4"/>
        <v>EUEONEU3E29Y</v>
      </c>
      <c r="O36" s="140" t="str">
        <v>EUEONEU3E29Y=ICAP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EON</v>
      </c>
      <c r="D37" s="86" t="str">
        <f t="shared" si="2"/>
        <v>3E</v>
      </c>
      <c r="E37" s="85" t="str">
        <f t="shared" si="3"/>
        <v>EUREON3E30Y_Quote</v>
      </c>
      <c r="F37" s="85" t="e">
        <f ca="1">_xll.qlSimpleQuote(E37,,RateTickValue,Permanent,Trigger,ObjectOverwrite)</f>
        <v>#NAME?</v>
      </c>
      <c r="G37" s="42" t="e">
        <f ca="1">_xll.ohRangeRetrieveError(F37)</f>
        <v>#NAME?</v>
      </c>
      <c r="H37" s="36"/>
      <c r="J37" s="135"/>
      <c r="K37" s="141" t="s">
        <v>26</v>
      </c>
      <c r="L37" s="141" t="s">
        <v>117</v>
      </c>
      <c r="M37" s="141" t="s">
        <v>69</v>
      </c>
      <c r="N37" s="186" t="str">
        <f t="shared" si="4"/>
        <v>EUEONEU3E30Y</v>
      </c>
      <c r="O37" s="140" t="str">
        <v>EUEONEU3E30Y=ICAP</v>
      </c>
      <c r="P37" s="185">
        <v>7.6</v>
      </c>
      <c r="Q37" s="185">
        <v>12.6</v>
      </c>
      <c r="R37" s="185" t="e">
        <f ca="1">_xll.qlMidSafe(P37,Q37)</f>
        <v>#NAME?</v>
      </c>
      <c r="S37" s="185" t="e">
        <f t="shared" ca="1" si="5"/>
        <v>#NAME?</v>
      </c>
      <c r="T37" s="183"/>
      <c r="U37" s="182">
        <v>10.1</v>
      </c>
      <c r="V37" s="111"/>
      <c r="W37" s="181">
        <v>10.1</v>
      </c>
      <c r="X37" s="180" t="e">
        <f ca="1">_xll.qlSimpleQuoteSetValue(F37,ROUND(W37/10000,6),Trigger)</f>
        <v>#NAME?</v>
      </c>
      <c r="Y37" s="130"/>
    </row>
    <row r="38" spans="1:25" ht="11.25" customHeight="1" x14ac:dyDescent="0.2">
      <c r="A38" s="135"/>
      <c r="B38" s="86" t="str">
        <f t="shared" si="0"/>
        <v>35Y</v>
      </c>
      <c r="C38" s="86" t="str">
        <f t="shared" si="1"/>
        <v>EON</v>
      </c>
      <c r="D38" s="86" t="str">
        <f t="shared" si="2"/>
        <v>3E</v>
      </c>
      <c r="E38" s="85" t="str">
        <f t="shared" si="3"/>
        <v>EUREON3E35Y_Quote</v>
      </c>
      <c r="F38" s="85" t="e">
        <f ca="1">_xll.qlSimpleQuote(E38,,RateTickValue,Permanent,Trigger,ObjectOverwrite)</f>
        <v>#NAME?</v>
      </c>
      <c r="G38" s="42" t="e">
        <f ca="1">_xll.ohRangeRetrieveError(F38)</f>
        <v>#NAME?</v>
      </c>
      <c r="H38" s="36"/>
      <c r="J38" s="135"/>
      <c r="K38" s="141" t="s">
        <v>25</v>
      </c>
      <c r="L38" s="141" t="s">
        <v>117</v>
      </c>
      <c r="M38" s="141" t="s">
        <v>69</v>
      </c>
      <c r="N38" s="186" t="str">
        <f t="shared" si="4"/>
        <v>EUEONEU3E35Y</v>
      </c>
      <c r="O38" s="140" t="str">
        <v>EUEONEU3E35Y=ICAP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EON</v>
      </c>
      <c r="D39" s="86" t="str">
        <f t="shared" si="2"/>
        <v>3E</v>
      </c>
      <c r="E39" s="85" t="str">
        <f t="shared" si="3"/>
        <v>EUREON3E40Y_Quote</v>
      </c>
      <c r="F39" s="85" t="e">
        <f ca="1">_xll.qlSimpleQuote(E39,,RateTickValue,Permanent,Trigger,ObjectOverwrite)</f>
        <v>#NAME?</v>
      </c>
      <c r="G39" s="42" t="e">
        <f ca="1">_xll.ohRangeRetrieveError(F39)</f>
        <v>#NAME?</v>
      </c>
      <c r="H39" s="36"/>
      <c r="J39" s="135"/>
      <c r="K39" s="141" t="s">
        <v>24</v>
      </c>
      <c r="L39" s="141" t="s">
        <v>117</v>
      </c>
      <c r="M39" s="141" t="s">
        <v>69</v>
      </c>
      <c r="N39" s="186" t="str">
        <f t="shared" si="4"/>
        <v>EUEONEU3E40Y</v>
      </c>
      <c r="O39" s="140" t="str">
        <v>EUEONEU3E40Y=ICAP</v>
      </c>
      <c r="P39" s="185">
        <v>6.1</v>
      </c>
      <c r="Q39" s="185">
        <v>11.1</v>
      </c>
      <c r="R39" s="185" t="e">
        <f ca="1">_xll.qlMidSafe(P39,Q39)</f>
        <v>#NAME?</v>
      </c>
      <c r="S39" s="185" t="e">
        <f t="shared" ca="1" si="5"/>
        <v>#NAME?</v>
      </c>
      <c r="T39" s="183"/>
      <c r="U39" s="182">
        <v>8.6</v>
      </c>
      <c r="V39" s="111"/>
      <c r="W39" s="181">
        <v>8.6</v>
      </c>
      <c r="X39" s="180" t="e">
        <f ca="1">_xll.qlSimpleQuoteSetValue(F39,ROUND(W39/10000,6),Trigger)</f>
        <v>#NAME?</v>
      </c>
      <c r="Y39" s="130"/>
    </row>
    <row r="40" spans="1:25" ht="11.25" customHeight="1" x14ac:dyDescent="0.2">
      <c r="A40" s="135"/>
      <c r="B40" s="86" t="str">
        <f t="shared" si="0"/>
        <v>50Y</v>
      </c>
      <c r="C40" s="86" t="str">
        <f t="shared" si="1"/>
        <v>EON</v>
      </c>
      <c r="D40" s="86" t="str">
        <f t="shared" si="2"/>
        <v>3E</v>
      </c>
      <c r="E40" s="85" t="str">
        <f t="shared" si="3"/>
        <v>EUREON3E50Y_Quote</v>
      </c>
      <c r="F40" s="85" t="e">
        <f ca="1">_xll.qlSimpleQuote(E40,,RateTickValue,Permanent,Trigger,ObjectOverwrite)</f>
        <v>#NAME?</v>
      </c>
      <c r="G40" s="42" t="e">
        <f ca="1">_xll.ohRangeRetrieveError(F40)</f>
        <v>#NAME?</v>
      </c>
      <c r="H40" s="36"/>
      <c r="J40" s="135"/>
      <c r="K40" s="141" t="s">
        <v>23</v>
      </c>
      <c r="L40" s="141" t="s">
        <v>117</v>
      </c>
      <c r="M40" s="141" t="s">
        <v>69</v>
      </c>
      <c r="N40" s="186" t="str">
        <f t="shared" si="4"/>
        <v>EUEONEU3E50Y</v>
      </c>
      <c r="O40" s="140" t="str">
        <v>EUEONEU3E50Y=ICAP</v>
      </c>
      <c r="P40" s="185">
        <v>5.0999999999999996</v>
      </c>
      <c r="Q40" s="185">
        <v>10.1</v>
      </c>
      <c r="R40" s="185" t="e">
        <f ca="1">_xll.qlMidSafe(P40,Q40)</f>
        <v>#NAME?</v>
      </c>
      <c r="S40" s="185" t="e">
        <f t="shared" ca="1" si="5"/>
        <v>#NAME?</v>
      </c>
      <c r="T40" s="183"/>
      <c r="U40" s="182">
        <v>7.6</v>
      </c>
      <c r="V40" s="111"/>
      <c r="W40" s="181">
        <v>7.6</v>
      </c>
      <c r="X40" s="180" t="e">
        <f ca="1">_xll.qlSimpleQuoteSetValue(F40,ROUND(W40/10000,6),Trigger)</f>
        <v>#NAME?</v>
      </c>
      <c r="Y40" s="130"/>
    </row>
    <row r="41" spans="1:25" ht="11.25" customHeight="1" x14ac:dyDescent="0.2">
      <c r="A41" s="135"/>
      <c r="B41" s="75" t="str">
        <f t="shared" si="0"/>
        <v>60Y</v>
      </c>
      <c r="C41" s="75" t="str">
        <f t="shared" si="1"/>
        <v>EON</v>
      </c>
      <c r="D41" s="75" t="str">
        <f t="shared" si="2"/>
        <v>3E</v>
      </c>
      <c r="E41" s="74" t="str">
        <f t="shared" si="3"/>
        <v>EUREON3E60Y_Quote</v>
      </c>
      <c r="F41" s="74" t="e">
        <f ca="1">_xll.qlSimpleQuote(E41,,RateTickValue,Permanent,Trigger,ObjectOverwrite)</f>
        <v>#NAME?</v>
      </c>
      <c r="G41" s="37" t="e">
        <f ca="1">_xll.ohRangeRetrieveError(F41)</f>
        <v>#NAME?</v>
      </c>
      <c r="H41" s="36"/>
      <c r="J41" s="135"/>
      <c r="K41" s="134" t="s">
        <v>22</v>
      </c>
      <c r="L41" s="134" t="s">
        <v>117</v>
      </c>
      <c r="M41" s="134" t="s">
        <v>69</v>
      </c>
      <c r="N41" s="194" t="str">
        <f t="shared" si="4"/>
        <v>EUEONEU3E60Y</v>
      </c>
      <c r="O41" s="133" t="str">
        <v>EUEONEU3E60Y=ICAP</v>
      </c>
      <c r="P41" s="184">
        <v>4.4000000000000004</v>
      </c>
      <c r="Q41" s="184">
        <v>9.4</v>
      </c>
      <c r="R41" s="184" t="e">
        <f ca="1">_xll.qlMidSafe(P41,Q41)</f>
        <v>#NAME?</v>
      </c>
      <c r="S41" s="184" t="e">
        <f t="shared" ca="1" si="5"/>
        <v>#NAME?</v>
      </c>
      <c r="T41" s="183"/>
      <c r="U41" s="195">
        <v>6.9</v>
      </c>
      <c r="V41" s="173"/>
      <c r="W41" s="193">
        <v>6.9</v>
      </c>
      <c r="X41" s="192" t="e">
        <f ca="1">_xll.qlSimpleQuoteSetValue(F41,ROUND(W41/10000,6),Trigger)</f>
        <v>#NAME?</v>
      </c>
      <c r="Y41" s="130"/>
    </row>
    <row r="42" spans="1:25" ht="11.25" customHeight="1" x14ac:dyDescent="0.2">
      <c r="A42" s="35"/>
      <c r="B42" s="34"/>
      <c r="C42" s="34"/>
      <c r="D42" s="34"/>
      <c r="E42" s="34"/>
      <c r="F42" s="33"/>
      <c r="G42" s="33"/>
      <c r="H42" s="32"/>
      <c r="J42" s="35"/>
      <c r="K42" s="34"/>
      <c r="L42" s="34"/>
      <c r="M42" s="34"/>
      <c r="N42" s="34"/>
      <c r="O42" s="34"/>
      <c r="P42" s="34"/>
      <c r="Q42" s="34"/>
      <c r="R42" s="34"/>
      <c r="S42" s="34"/>
      <c r="T42" s="34"/>
      <c r="U42" s="34"/>
      <c r="V42" s="34"/>
      <c r="W42" s="34"/>
      <c r="X42" s="34"/>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B42"/>
  <sheetViews>
    <sheetView topLeftCell="I1" workbookViewId="0">
      <selection activeCell="AB2" sqref="AB2:AB3"/>
    </sheetView>
  </sheetViews>
  <sheetFormatPr defaultRowHeight="11.25"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2" thickBot="1" x14ac:dyDescent="0.25">
      <c r="A1" s="191"/>
      <c r="B1" s="109"/>
      <c r="C1" s="109"/>
      <c r="D1" s="109"/>
      <c r="E1" s="109"/>
      <c r="F1" s="151"/>
      <c r="G1" s="109"/>
      <c r="H1" s="120"/>
      <c r="J1" s="153" t="s">
        <v>116</v>
      </c>
      <c r="K1" s="123"/>
      <c r="L1" s="123"/>
      <c r="M1" s="123"/>
      <c r="N1" s="123"/>
      <c r="O1" s="123"/>
      <c r="P1" s="123"/>
      <c r="Q1" s="123"/>
      <c r="R1" s="123"/>
      <c r="S1" s="123"/>
      <c r="T1" s="123"/>
      <c r="U1" s="123"/>
      <c r="V1" s="123"/>
      <c r="W1" s="123"/>
      <c r="X1" s="123"/>
      <c r="Y1" s="171"/>
    </row>
    <row r="2" spans="1:28" ht="15" x14ac:dyDescent="0.25">
      <c r="A2" s="109"/>
      <c r="B2" s="109"/>
      <c r="C2" s="109"/>
      <c r="D2" s="109"/>
      <c r="E2" s="109"/>
      <c r="F2" s="151"/>
      <c r="G2" s="109"/>
      <c r="H2" s="120"/>
      <c r="J2" s="113"/>
      <c r="K2" s="111"/>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5.75" thickBot="1" x14ac:dyDescent="0.3">
      <c r="A3" s="190"/>
      <c r="B3" s="109"/>
      <c r="C3" s="109"/>
      <c r="D3" s="109"/>
      <c r="E3" s="109"/>
      <c r="F3" s="151"/>
      <c r="G3" s="109"/>
      <c r="H3" s="120"/>
      <c r="J3" s="135"/>
      <c r="K3" s="111"/>
      <c r="L3" s="110"/>
      <c r="M3" s="110"/>
      <c r="N3" s="110"/>
      <c r="O3" s="110"/>
      <c r="P3" s="110"/>
      <c r="Q3" s="110"/>
      <c r="R3" s="110"/>
      <c r="S3" s="110"/>
      <c r="T3" s="111"/>
      <c r="U3" s="111"/>
      <c r="V3" s="111"/>
      <c r="W3" s="110"/>
      <c r="X3" s="190"/>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1E</v>
      </c>
      <c r="D5" s="86" t="str">
        <f t="shared" ref="D5:D41" si="2">M5</f>
        <v>6E</v>
      </c>
      <c r="E5" s="85" t="str">
        <f t="shared" ref="E5:E41" si="3">IF(ISBLANK(C5),"#",Currency&amp;$C5&amp;$D5&amp;$B5&amp;QuoteSuffix)</f>
        <v>EUR1E6E1Y_Quote</v>
      </c>
      <c r="F5" s="85" t="e">
        <f ca="1">_xll.qlSimpleQuote(E5,,RateTickValue,Permanent,Trigger,ObjectOverwrite)</f>
        <v>#NAME?</v>
      </c>
      <c r="G5" s="42" t="e">
        <f ca="1">_xll.ohRangeRetrieveError(F5)</f>
        <v>#NAME?</v>
      </c>
      <c r="H5" s="36"/>
      <c r="J5" s="187"/>
      <c r="K5" s="141" t="s">
        <v>58</v>
      </c>
      <c r="L5" s="141" t="s">
        <v>71</v>
      </c>
      <c r="M5" s="141" t="s">
        <v>66</v>
      </c>
      <c r="N5" s="186" t="str">
        <f t="shared" ref="N5:N41" si="4">Currency&amp;$L5&amp;$M5&amp;$K5</f>
        <v>EUR1E6E1Y</v>
      </c>
      <c r="O5" s="140" t="str">
        <f t="array" ref="O5:O41">Instruments&amp;"="&amp;VLOOKUP(Contributor,ContributorTable,2,FALSE)</f>
        <v>EUR1E6E1Y=ICAP</v>
      </c>
      <c r="P5" s="185">
        <v>16.399999999999999</v>
      </c>
      <c r="Q5" s="185">
        <v>0</v>
      </c>
      <c r="R5" s="185" t="e">
        <f ca="1">_xll.qlMidEquivalent(P5,Q5)</f>
        <v>#NAME?</v>
      </c>
      <c r="S5" s="185" t="e">
        <f t="shared" ref="S5:S41" ca="1" si="5">(R5-P5)*2</f>
        <v>#NAME?</v>
      </c>
      <c r="T5" s="183"/>
      <c r="U5" s="182">
        <v>16.399999999999999</v>
      </c>
      <c r="V5" s="111"/>
      <c r="W5" s="181">
        <f t="array" ref="W5:W41">QuoteStatic</f>
        <v>16.399999999999999</v>
      </c>
      <c r="X5" s="180" t="e">
        <f ca="1">_xll.qlSimpleQuoteSetValue(F5,ROUND(W5/10000,6),Trigger)</f>
        <v>#NAME?</v>
      </c>
      <c r="Y5" s="130"/>
    </row>
    <row r="6" spans="1:28" ht="11.25" customHeight="1" x14ac:dyDescent="0.2">
      <c r="A6" s="135"/>
      <c r="B6" s="86" t="str">
        <f t="shared" si="0"/>
        <v>15M</v>
      </c>
      <c r="C6" s="86" t="str">
        <f t="shared" si="1"/>
        <v>1E</v>
      </c>
      <c r="D6" s="86" t="str">
        <f t="shared" si="2"/>
        <v>6E</v>
      </c>
      <c r="E6" s="85" t="str">
        <f t="shared" si="3"/>
        <v>EUR1E6E15M_Quote</v>
      </c>
      <c r="F6" s="85" t="e">
        <f ca="1">_xll.qlSimpleQuote(E6,,RateTickValue,Permanent,Trigger,ObjectOverwrite)</f>
        <v>#NAME?</v>
      </c>
      <c r="G6" s="42" t="e">
        <f ca="1">_xll.ohRangeRetrieveError(F6)</f>
        <v>#NAME?</v>
      </c>
      <c r="H6" s="36"/>
      <c r="J6" s="187"/>
      <c r="K6" s="141" t="s">
        <v>57</v>
      </c>
      <c r="L6" s="141" t="s">
        <v>71</v>
      </c>
      <c r="M6" s="141" t="s">
        <v>66</v>
      </c>
      <c r="N6" s="186" t="str">
        <f t="shared" si="4"/>
        <v>EUR1E6E15M</v>
      </c>
      <c r="O6" s="140" t="str">
        <v>EUR1E6E15M=ICAP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1E</v>
      </c>
      <c r="D7" s="86" t="str">
        <f t="shared" si="2"/>
        <v>6E</v>
      </c>
      <c r="E7" s="85" t="str">
        <f t="shared" si="3"/>
        <v>EUR1E6E18M_Quote</v>
      </c>
      <c r="F7" s="85" t="e">
        <f ca="1">_xll.qlSimpleQuote(E7,,RateTickValue,Permanent,Trigger,ObjectOverwrite)</f>
        <v>#NAME?</v>
      </c>
      <c r="G7" s="42" t="e">
        <f ca="1">_xll.ohRangeRetrieveError(F7)</f>
        <v>#NAME?</v>
      </c>
      <c r="H7" s="36"/>
      <c r="J7" s="187"/>
      <c r="K7" s="141" t="s">
        <v>56</v>
      </c>
      <c r="L7" s="141" t="s">
        <v>71</v>
      </c>
      <c r="M7" s="141" t="s">
        <v>66</v>
      </c>
      <c r="N7" s="186" t="str">
        <f t="shared" si="4"/>
        <v>EUR1E6E18M</v>
      </c>
      <c r="O7" s="140" t="str">
        <v>EUR1E6E18M=ICAP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1E</v>
      </c>
      <c r="D8" s="86" t="str">
        <f t="shared" si="2"/>
        <v>6E</v>
      </c>
      <c r="E8" s="85" t="str">
        <f t="shared" si="3"/>
        <v>EUR1E6E21M_Quote</v>
      </c>
      <c r="F8" s="85" t="e">
        <f ca="1">_xll.qlSimpleQuote(E8,,RateTickValue,Permanent,Trigger,ObjectOverwrite)</f>
        <v>#NAME?</v>
      </c>
      <c r="G8" s="42" t="e">
        <f ca="1">_xll.ohRangeRetrieveError(F8)</f>
        <v>#NAME?</v>
      </c>
      <c r="H8" s="36"/>
      <c r="J8" s="187"/>
      <c r="K8" s="141" t="s">
        <v>55</v>
      </c>
      <c r="L8" s="141" t="s">
        <v>71</v>
      </c>
      <c r="M8" s="141" t="s">
        <v>66</v>
      </c>
      <c r="N8" s="186" t="str">
        <f t="shared" si="4"/>
        <v>EUR1E6E21M</v>
      </c>
      <c r="O8" s="140" t="str">
        <v>EUR1E6E21M=ICAP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1E</v>
      </c>
      <c r="D9" s="86" t="str">
        <f t="shared" si="2"/>
        <v>6E</v>
      </c>
      <c r="E9" s="85" t="str">
        <f t="shared" si="3"/>
        <v>EUR1E6E2Y_Quote</v>
      </c>
      <c r="F9" s="85" t="e">
        <f ca="1">_xll.qlSimpleQuote(E9,,RateTickValue,Permanent,Trigger,ObjectOverwrite)</f>
        <v>#NAME?</v>
      </c>
      <c r="G9" s="42" t="e">
        <f ca="1">_xll.ohRangeRetrieveError(F9)</f>
        <v>#NAME?</v>
      </c>
      <c r="H9" s="36"/>
      <c r="J9" s="135"/>
      <c r="K9" s="141" t="s">
        <v>54</v>
      </c>
      <c r="L9" s="141" t="s">
        <v>71</v>
      </c>
      <c r="M9" s="141" t="s">
        <v>66</v>
      </c>
      <c r="N9" s="186" t="str">
        <f t="shared" si="4"/>
        <v>EUR1E6E2Y</v>
      </c>
      <c r="O9" s="140" t="str">
        <v>EUR1E6E2Y=ICAP</v>
      </c>
      <c r="P9" s="185">
        <v>17.899999999999999</v>
      </c>
      <c r="Q9" s="185">
        <v>0</v>
      </c>
      <c r="R9" s="185" t="e">
        <f ca="1">_xll.qlMidEquivalent(P9,Q9)</f>
        <v>#NAME?</v>
      </c>
      <c r="S9" s="185" t="e">
        <f t="shared" ca="1" si="5"/>
        <v>#NAME?</v>
      </c>
      <c r="T9" s="183"/>
      <c r="U9" s="182">
        <v>17.899999999999999</v>
      </c>
      <c r="V9" s="111"/>
      <c r="W9" s="181">
        <v>17.899999999999999</v>
      </c>
      <c r="X9" s="180" t="e">
        <f ca="1">_xll.qlSimpleQuoteSetValue(F9,ROUND(W9/10000,6),Trigger)</f>
        <v>#NAME?</v>
      </c>
      <c r="Y9" s="130"/>
    </row>
    <row r="10" spans="1:28" ht="11.25" customHeight="1" x14ac:dyDescent="0.2">
      <c r="A10" s="135"/>
      <c r="B10" s="86" t="str">
        <f t="shared" si="0"/>
        <v>3Y</v>
      </c>
      <c r="C10" s="86" t="str">
        <f t="shared" si="1"/>
        <v>1E</v>
      </c>
      <c r="D10" s="86" t="str">
        <f t="shared" si="2"/>
        <v>6E</v>
      </c>
      <c r="E10" s="85" t="str">
        <f t="shared" si="3"/>
        <v>EUR1E6E3Y_Quote</v>
      </c>
      <c r="F10" s="85" t="e">
        <f ca="1">_xll.qlSimpleQuote(E10,,RateTickValue,Permanent,Trigger,ObjectOverwrite)</f>
        <v>#NAME?</v>
      </c>
      <c r="G10" s="42" t="e">
        <f ca="1">_xll.ohRangeRetrieveError(F10)</f>
        <v>#NAME?</v>
      </c>
      <c r="H10" s="36"/>
      <c r="J10" s="135"/>
      <c r="K10" s="141" t="s">
        <v>53</v>
      </c>
      <c r="L10" s="141" t="s">
        <v>71</v>
      </c>
      <c r="M10" s="141" t="s">
        <v>66</v>
      </c>
      <c r="N10" s="186" t="str">
        <f t="shared" si="4"/>
        <v>EUR1E6E3Y</v>
      </c>
      <c r="O10" s="140" t="str">
        <v>EUR1E6E3Y=ICAP</v>
      </c>
      <c r="P10" s="185">
        <v>19.5</v>
      </c>
      <c r="Q10" s="185">
        <v>0</v>
      </c>
      <c r="R10" s="185" t="e">
        <f ca="1">_xll.qlMidEquivalent(P10,Q10)</f>
        <v>#NAME?</v>
      </c>
      <c r="S10" s="185" t="e">
        <f t="shared" ca="1" si="5"/>
        <v>#NAME?</v>
      </c>
      <c r="T10" s="183"/>
      <c r="U10" s="182">
        <v>19.5</v>
      </c>
      <c r="V10" s="111"/>
      <c r="W10" s="181">
        <v>19.5</v>
      </c>
      <c r="X10" s="180" t="e">
        <f ca="1">_xll.qlSimpleQuoteSetValue(F10,ROUND(W10/10000,6),Trigger)</f>
        <v>#NAME?</v>
      </c>
      <c r="Y10" s="130"/>
    </row>
    <row r="11" spans="1:28" ht="11.25" customHeight="1" x14ac:dyDescent="0.2">
      <c r="A11" s="135"/>
      <c r="B11" s="86" t="str">
        <f t="shared" si="0"/>
        <v>4Y</v>
      </c>
      <c r="C11" s="86" t="str">
        <f t="shared" si="1"/>
        <v>1E</v>
      </c>
      <c r="D11" s="86" t="str">
        <f t="shared" si="2"/>
        <v>6E</v>
      </c>
      <c r="E11" s="85" t="str">
        <f t="shared" si="3"/>
        <v>EUR1E6E4Y_Quote</v>
      </c>
      <c r="F11" s="85" t="e">
        <f ca="1">_xll.qlSimpleQuote(E11,,RateTickValue,Permanent,Trigger,ObjectOverwrite)</f>
        <v>#NAME?</v>
      </c>
      <c r="G11" s="42" t="e">
        <f ca="1">_xll.ohRangeRetrieveError(F11)</f>
        <v>#NAME?</v>
      </c>
      <c r="H11" s="36"/>
      <c r="J11" s="135"/>
      <c r="K11" s="141" t="s">
        <v>52</v>
      </c>
      <c r="L11" s="141" t="s">
        <v>71</v>
      </c>
      <c r="M11" s="141" t="s">
        <v>66</v>
      </c>
      <c r="N11" s="186" t="str">
        <f t="shared" si="4"/>
        <v>EUR1E6E4Y</v>
      </c>
      <c r="O11" s="140" t="str">
        <v>EUR1E6E4Y=ICAP</v>
      </c>
      <c r="P11" s="185">
        <v>20.7</v>
      </c>
      <c r="Q11" s="185">
        <v>0</v>
      </c>
      <c r="R11" s="185" t="e">
        <f ca="1">_xll.qlMidEquivalent(P11,Q11)</f>
        <v>#NAME?</v>
      </c>
      <c r="S11" s="185" t="e">
        <f t="shared" ca="1" si="5"/>
        <v>#NAME?</v>
      </c>
      <c r="T11" s="183"/>
      <c r="U11" s="182">
        <v>20.7</v>
      </c>
      <c r="V11" s="111"/>
      <c r="W11" s="181">
        <v>20.7</v>
      </c>
      <c r="X11" s="180" t="e">
        <f ca="1">_xll.qlSimpleQuoteSetValue(F11,ROUND(W11/10000,6),Trigger)</f>
        <v>#NAME?</v>
      </c>
      <c r="Y11" s="130"/>
    </row>
    <row r="12" spans="1:28" x14ac:dyDescent="0.2">
      <c r="A12" s="135"/>
      <c r="B12" s="86" t="str">
        <f t="shared" si="0"/>
        <v>5Y</v>
      </c>
      <c r="C12" s="86" t="str">
        <f t="shared" si="1"/>
        <v>1E</v>
      </c>
      <c r="D12" s="86" t="str">
        <f t="shared" si="2"/>
        <v>6E</v>
      </c>
      <c r="E12" s="85" t="str">
        <f t="shared" si="3"/>
        <v>EUR1E6E5Y_Quote</v>
      </c>
      <c r="F12" s="85" t="e">
        <f ca="1">_xll.qlSimpleQuote(E12,,RateTickValue,Permanent,Trigger,ObjectOverwrite)</f>
        <v>#NAME?</v>
      </c>
      <c r="G12" s="42" t="e">
        <f ca="1">_xll.ohRangeRetrieveError(F12)</f>
        <v>#NAME?</v>
      </c>
      <c r="H12" s="36"/>
      <c r="J12" s="135"/>
      <c r="K12" s="141" t="s">
        <v>51</v>
      </c>
      <c r="L12" s="141" t="s">
        <v>71</v>
      </c>
      <c r="M12" s="141" t="s">
        <v>66</v>
      </c>
      <c r="N12" s="186" t="str">
        <f t="shared" si="4"/>
        <v>EUR1E6E5Y</v>
      </c>
      <c r="O12" s="140" t="str">
        <v>EUR1E6E5Y=ICAP</v>
      </c>
      <c r="P12" s="185">
        <v>21.5</v>
      </c>
      <c r="Q12" s="185">
        <v>0</v>
      </c>
      <c r="R12" s="185" t="e">
        <f ca="1">_xll.qlMidEquivalent(P12,Q12)</f>
        <v>#NAME?</v>
      </c>
      <c r="S12" s="185" t="e">
        <f t="shared" ca="1" si="5"/>
        <v>#NAME?</v>
      </c>
      <c r="T12" s="183"/>
      <c r="U12" s="182">
        <v>21.5</v>
      </c>
      <c r="V12" s="111"/>
      <c r="W12" s="181">
        <v>21.5</v>
      </c>
      <c r="X12" s="180" t="e">
        <f ca="1">_xll.qlSimpleQuoteSetValue(F12,ROUND(W12/10000,6),Trigger)</f>
        <v>#NAME?</v>
      </c>
      <c r="Y12" s="130"/>
    </row>
    <row r="13" spans="1:28" x14ac:dyDescent="0.2">
      <c r="A13" s="135"/>
      <c r="B13" s="86" t="str">
        <f t="shared" si="0"/>
        <v>6Y</v>
      </c>
      <c r="C13" s="86" t="str">
        <f t="shared" si="1"/>
        <v>1E</v>
      </c>
      <c r="D13" s="86" t="str">
        <f t="shared" si="2"/>
        <v>6E</v>
      </c>
      <c r="E13" s="85" t="str">
        <f t="shared" si="3"/>
        <v>EUR1E6E6Y_Quote</v>
      </c>
      <c r="F13" s="85" t="e">
        <f ca="1">_xll.qlSimpleQuote(E13,,RateTickValue,Permanent,Trigger,ObjectOverwrite)</f>
        <v>#NAME?</v>
      </c>
      <c r="G13" s="42" t="e">
        <f ca="1">_xll.ohRangeRetrieveError(F13)</f>
        <v>#NAME?</v>
      </c>
      <c r="H13" s="36"/>
      <c r="J13" s="135"/>
      <c r="K13" s="141" t="s">
        <v>50</v>
      </c>
      <c r="L13" s="141" t="s">
        <v>71</v>
      </c>
      <c r="M13" s="141" t="s">
        <v>66</v>
      </c>
      <c r="N13" s="186" t="str">
        <f t="shared" si="4"/>
        <v>EUR1E6E6Y</v>
      </c>
      <c r="O13" s="140" t="str">
        <v>EUR1E6E6Y=ICAP</v>
      </c>
      <c r="P13" s="185">
        <v>21.6</v>
      </c>
      <c r="Q13" s="185">
        <v>0</v>
      </c>
      <c r="R13" s="185" t="e">
        <f ca="1">_xll.qlMidEquivalent(P13,Q13)</f>
        <v>#NAME?</v>
      </c>
      <c r="S13" s="185" t="e">
        <f t="shared" ca="1" si="5"/>
        <v>#NAME?</v>
      </c>
      <c r="T13" s="183"/>
      <c r="U13" s="182">
        <v>21.6</v>
      </c>
      <c r="V13" s="111"/>
      <c r="W13" s="181">
        <v>21.6</v>
      </c>
      <c r="X13" s="180" t="e">
        <f ca="1">_xll.qlSimpleQuoteSetValue(F13,ROUND(W13/10000,6),Trigger)</f>
        <v>#NAME?</v>
      </c>
      <c r="Y13" s="130"/>
    </row>
    <row r="14" spans="1:28" x14ac:dyDescent="0.2">
      <c r="A14" s="135"/>
      <c r="B14" s="86" t="str">
        <f t="shared" si="0"/>
        <v>7Y</v>
      </c>
      <c r="C14" s="86" t="str">
        <f t="shared" si="1"/>
        <v>1E</v>
      </c>
      <c r="D14" s="86" t="str">
        <f t="shared" si="2"/>
        <v>6E</v>
      </c>
      <c r="E14" s="85" t="str">
        <f t="shared" si="3"/>
        <v>EUR1E6E7Y_Quote</v>
      </c>
      <c r="F14" s="85" t="e">
        <f ca="1">_xll.qlSimpleQuote(E14,,RateTickValue,Permanent,Trigger,ObjectOverwrite)</f>
        <v>#NAME?</v>
      </c>
      <c r="G14" s="42" t="e">
        <f ca="1">_xll.ohRangeRetrieveError(F14)</f>
        <v>#NAME?</v>
      </c>
      <c r="H14" s="36"/>
      <c r="J14" s="135"/>
      <c r="K14" s="141" t="s">
        <v>49</v>
      </c>
      <c r="L14" s="141" t="s">
        <v>71</v>
      </c>
      <c r="M14" s="141" t="s">
        <v>66</v>
      </c>
      <c r="N14" s="186" t="str">
        <f t="shared" si="4"/>
        <v>EUR1E6E7Y</v>
      </c>
      <c r="O14" s="140" t="str">
        <v>EUR1E6E7Y=ICAP</v>
      </c>
      <c r="P14" s="185">
        <v>21.5</v>
      </c>
      <c r="Q14" s="185">
        <v>0</v>
      </c>
      <c r="R14" s="185" t="e">
        <f ca="1">_xll.qlMidEquivalent(P14,Q14)</f>
        <v>#NAME?</v>
      </c>
      <c r="S14" s="185" t="e">
        <f t="shared" ca="1" si="5"/>
        <v>#NAME?</v>
      </c>
      <c r="T14" s="183"/>
      <c r="U14" s="182">
        <v>21.5</v>
      </c>
      <c r="V14" s="111"/>
      <c r="W14" s="181">
        <v>21.5</v>
      </c>
      <c r="X14" s="180" t="e">
        <f ca="1">_xll.qlSimpleQuoteSetValue(F14,ROUND(W14/10000,6),Trigger)</f>
        <v>#NAME?</v>
      </c>
      <c r="Y14" s="130"/>
    </row>
    <row r="15" spans="1:28" x14ac:dyDescent="0.2">
      <c r="A15" s="135"/>
      <c r="B15" s="86" t="str">
        <f t="shared" si="0"/>
        <v>8Y</v>
      </c>
      <c r="C15" s="86" t="str">
        <f t="shared" si="1"/>
        <v>1E</v>
      </c>
      <c r="D15" s="86" t="str">
        <f t="shared" si="2"/>
        <v>6E</v>
      </c>
      <c r="E15" s="85" t="str">
        <f t="shared" si="3"/>
        <v>EUR1E6E8Y_Quote</v>
      </c>
      <c r="F15" s="85" t="e">
        <f ca="1">_xll.qlSimpleQuote(E15,,RateTickValue,Permanent,Trigger,ObjectOverwrite)</f>
        <v>#NAME?</v>
      </c>
      <c r="G15" s="42" t="e">
        <f ca="1">_xll.ohRangeRetrieveError(F15)</f>
        <v>#NAME?</v>
      </c>
      <c r="H15" s="36"/>
      <c r="J15" s="135"/>
      <c r="K15" s="141" t="s">
        <v>48</v>
      </c>
      <c r="L15" s="141" t="s">
        <v>71</v>
      </c>
      <c r="M15" s="141" t="s">
        <v>66</v>
      </c>
      <c r="N15" s="186" t="str">
        <f t="shared" si="4"/>
        <v>EUR1E6E8Y</v>
      </c>
      <c r="O15" s="140" t="str">
        <v>EUR1E6E8Y=ICAP</v>
      </c>
      <c r="P15" s="185">
        <v>21.2</v>
      </c>
      <c r="Q15" s="185">
        <v>0</v>
      </c>
      <c r="R15" s="185" t="e">
        <f ca="1">_xll.qlMidEquivalent(P15,Q15)</f>
        <v>#NAME?</v>
      </c>
      <c r="S15" s="185" t="e">
        <f t="shared" ca="1" si="5"/>
        <v>#NAME?</v>
      </c>
      <c r="T15" s="183"/>
      <c r="U15" s="182">
        <v>21.2</v>
      </c>
      <c r="V15" s="111"/>
      <c r="W15" s="181">
        <v>21.2</v>
      </c>
      <c r="X15" s="180" t="e">
        <f ca="1">_xll.qlSimpleQuoteSetValue(F15,ROUND(W15/10000,6),Trigger)</f>
        <v>#NAME?</v>
      </c>
      <c r="Y15" s="130"/>
    </row>
    <row r="16" spans="1:28" x14ac:dyDescent="0.2">
      <c r="A16" s="135"/>
      <c r="B16" s="86" t="str">
        <f t="shared" si="0"/>
        <v>9Y</v>
      </c>
      <c r="C16" s="86" t="str">
        <f t="shared" si="1"/>
        <v>1E</v>
      </c>
      <c r="D16" s="86" t="str">
        <f t="shared" si="2"/>
        <v>6E</v>
      </c>
      <c r="E16" s="85" t="str">
        <f t="shared" si="3"/>
        <v>EUR1E6E9Y_Quote</v>
      </c>
      <c r="F16" s="85" t="e">
        <f ca="1">_xll.qlSimpleQuote(E16,,RateTickValue,Permanent,Trigger,ObjectOverwrite)</f>
        <v>#NAME?</v>
      </c>
      <c r="G16" s="42" t="e">
        <f ca="1">_xll.ohRangeRetrieveError(F16)</f>
        <v>#NAME?</v>
      </c>
      <c r="H16" s="36"/>
      <c r="J16" s="135"/>
      <c r="K16" s="141" t="s">
        <v>47</v>
      </c>
      <c r="L16" s="141" t="s">
        <v>71</v>
      </c>
      <c r="M16" s="141" t="s">
        <v>66</v>
      </c>
      <c r="N16" s="186" t="str">
        <f t="shared" si="4"/>
        <v>EUR1E6E9Y</v>
      </c>
      <c r="O16" s="140" t="str">
        <v>EUR1E6E9Y=ICAP</v>
      </c>
      <c r="P16" s="185">
        <v>20.7</v>
      </c>
      <c r="Q16" s="185">
        <v>0</v>
      </c>
      <c r="R16" s="185" t="e">
        <f ca="1">_xll.qlMidEquivalent(P16,Q16)</f>
        <v>#NAME?</v>
      </c>
      <c r="S16" s="185" t="e">
        <f t="shared" ca="1" si="5"/>
        <v>#NAME?</v>
      </c>
      <c r="T16" s="183"/>
      <c r="U16" s="182">
        <v>20.7</v>
      </c>
      <c r="V16" s="111"/>
      <c r="W16" s="181">
        <v>20.7</v>
      </c>
      <c r="X16" s="180" t="e">
        <f ca="1">_xll.qlSimpleQuoteSetValue(F16,ROUND(W16/10000,6),Trigger)</f>
        <v>#NAME?</v>
      </c>
      <c r="Y16" s="130"/>
    </row>
    <row r="17" spans="1:25" x14ac:dyDescent="0.2">
      <c r="A17" s="135"/>
      <c r="B17" s="86" t="str">
        <f t="shared" si="0"/>
        <v>10Y</v>
      </c>
      <c r="C17" s="86" t="str">
        <f t="shared" si="1"/>
        <v>1E</v>
      </c>
      <c r="D17" s="86" t="str">
        <f t="shared" si="2"/>
        <v>6E</v>
      </c>
      <c r="E17" s="85" t="str">
        <f t="shared" si="3"/>
        <v>EUR1E6E10Y_Quote</v>
      </c>
      <c r="F17" s="85" t="e">
        <f ca="1">_xll.qlSimpleQuote(E17,,RateTickValue,Permanent,Trigger,ObjectOverwrite)</f>
        <v>#NAME?</v>
      </c>
      <c r="G17" s="42" t="e">
        <f ca="1">_xll.ohRangeRetrieveError(F17)</f>
        <v>#NAME?</v>
      </c>
      <c r="H17" s="36"/>
      <c r="J17" s="135"/>
      <c r="K17" s="141" t="s">
        <v>46</v>
      </c>
      <c r="L17" s="141" t="s">
        <v>71</v>
      </c>
      <c r="M17" s="141" t="s">
        <v>66</v>
      </c>
      <c r="N17" s="186" t="str">
        <f t="shared" si="4"/>
        <v>EUR1E6E10Y</v>
      </c>
      <c r="O17" s="140" t="str">
        <v>EUR1E6E10Y=ICAP</v>
      </c>
      <c r="P17" s="185">
        <v>20.100000000000001</v>
      </c>
      <c r="Q17" s="185">
        <v>0</v>
      </c>
      <c r="R17" s="185" t="e">
        <f ca="1">_xll.qlMidEquivalent(P17,Q17)</f>
        <v>#NAME?</v>
      </c>
      <c r="S17" s="185" t="e">
        <f t="shared" ca="1" si="5"/>
        <v>#NAME?</v>
      </c>
      <c r="T17" s="183"/>
      <c r="U17" s="182">
        <v>20.100000000000001</v>
      </c>
      <c r="V17" s="111"/>
      <c r="W17" s="181">
        <v>20.100000000000001</v>
      </c>
      <c r="X17" s="180" t="e">
        <f ca="1">_xll.qlSimpleQuoteSetValue(F17,ROUND(W17/10000,6),Trigger)</f>
        <v>#NAME?</v>
      </c>
      <c r="Y17" s="130"/>
    </row>
    <row r="18" spans="1:25" x14ac:dyDescent="0.2">
      <c r="A18" s="135"/>
      <c r="B18" s="86" t="str">
        <f t="shared" si="0"/>
        <v>11Y</v>
      </c>
      <c r="C18" s="86" t="str">
        <f t="shared" si="1"/>
        <v>1E</v>
      </c>
      <c r="D18" s="86" t="str">
        <f t="shared" si="2"/>
        <v>6E</v>
      </c>
      <c r="E18" s="85" t="str">
        <f t="shared" si="3"/>
        <v>EUR1E6E11Y_Quote</v>
      </c>
      <c r="F18" s="85" t="e">
        <f ca="1">_xll.qlSimpleQuote(E18,,RateTickValue,Permanent,Trigger,ObjectOverwrite)</f>
        <v>#NAME?</v>
      </c>
      <c r="G18" s="42" t="e">
        <f ca="1">_xll.ohRangeRetrieveError(F18)</f>
        <v>#NAME?</v>
      </c>
      <c r="H18" s="36"/>
      <c r="J18" s="135"/>
      <c r="K18" s="141" t="s">
        <v>45</v>
      </c>
      <c r="L18" s="141" t="s">
        <v>71</v>
      </c>
      <c r="M18" s="141" t="s">
        <v>66</v>
      </c>
      <c r="N18" s="186" t="str">
        <f t="shared" si="4"/>
        <v>EUR1E6E11Y</v>
      </c>
      <c r="O18" s="140" t="str">
        <v>EUR1E6E11Y=ICAP</v>
      </c>
      <c r="P18" s="185">
        <v>19.600000000000001</v>
      </c>
      <c r="Q18" s="185">
        <v>0</v>
      </c>
      <c r="R18" s="185" t="e">
        <f ca="1">_xll.qlMidEquivalent(P18,Q18)</f>
        <v>#NAME?</v>
      </c>
      <c r="S18" s="185" t="e">
        <f t="shared" ca="1" si="5"/>
        <v>#NAME?</v>
      </c>
      <c r="T18" s="183"/>
      <c r="U18" s="182">
        <v>19.600000000000001</v>
      </c>
      <c r="V18" s="111"/>
      <c r="W18" s="181">
        <v>19.600000000000001</v>
      </c>
      <c r="X18" s="180" t="e">
        <f ca="1">_xll.qlSimpleQuoteSetValue(F18,ROUND(W18/10000,6),Trigger)</f>
        <v>#NAME?</v>
      </c>
      <c r="Y18" s="130"/>
    </row>
    <row r="19" spans="1:25" x14ac:dyDescent="0.2">
      <c r="A19" s="135"/>
      <c r="B19" s="86" t="str">
        <f t="shared" si="0"/>
        <v>12Y</v>
      </c>
      <c r="C19" s="86" t="str">
        <f t="shared" si="1"/>
        <v>1E</v>
      </c>
      <c r="D19" s="86" t="str">
        <f t="shared" si="2"/>
        <v>6E</v>
      </c>
      <c r="E19" s="85" t="str">
        <f t="shared" si="3"/>
        <v>EUR1E6E12Y_Quote</v>
      </c>
      <c r="F19" s="85" t="e">
        <f ca="1">_xll.qlSimpleQuote(E19,,RateTickValue,Permanent,Trigger,ObjectOverwrite)</f>
        <v>#NAME?</v>
      </c>
      <c r="G19" s="42" t="e">
        <f ca="1">_xll.ohRangeRetrieveError(F19)</f>
        <v>#NAME?</v>
      </c>
      <c r="H19" s="36"/>
      <c r="J19" s="135"/>
      <c r="K19" s="141" t="s">
        <v>44</v>
      </c>
      <c r="L19" s="141" t="s">
        <v>71</v>
      </c>
      <c r="M19" s="141" t="s">
        <v>66</v>
      </c>
      <c r="N19" s="186" t="str">
        <f t="shared" si="4"/>
        <v>EUR1E6E12Y</v>
      </c>
      <c r="O19" s="140" t="str">
        <v>EUR1E6E12Y=ICAP</v>
      </c>
      <c r="P19" s="185">
        <v>19</v>
      </c>
      <c r="Q19" s="185">
        <v>0</v>
      </c>
      <c r="R19" s="185" t="e">
        <f ca="1">_xll.qlMidEquivalent(P19,Q19)</f>
        <v>#NAME?</v>
      </c>
      <c r="S19" s="185" t="e">
        <f t="shared" ca="1" si="5"/>
        <v>#NAME?</v>
      </c>
      <c r="T19" s="183"/>
      <c r="U19" s="182">
        <v>19</v>
      </c>
      <c r="V19" s="111"/>
      <c r="W19" s="181">
        <v>19</v>
      </c>
      <c r="X19" s="180" t="e">
        <f ca="1">_xll.qlSimpleQuoteSetValue(F19,ROUND(W19/10000,6),Trigger)</f>
        <v>#NAME?</v>
      </c>
      <c r="Y19" s="130"/>
    </row>
    <row r="20" spans="1:25" x14ac:dyDescent="0.2">
      <c r="A20" s="135"/>
      <c r="B20" s="86" t="str">
        <f t="shared" si="0"/>
        <v>13Y</v>
      </c>
      <c r="C20" s="86" t="str">
        <f t="shared" si="1"/>
        <v>1E</v>
      </c>
      <c r="D20" s="86" t="str">
        <f t="shared" si="2"/>
        <v>6E</v>
      </c>
      <c r="E20" s="85" t="str">
        <f t="shared" si="3"/>
        <v>EUR1E6E13Y_Quote</v>
      </c>
      <c r="F20" s="85" t="e">
        <f ca="1">_xll.qlSimpleQuote(E20,,RateTickValue,Permanent,Trigger,ObjectOverwrite)</f>
        <v>#NAME?</v>
      </c>
      <c r="G20" s="42" t="e">
        <f ca="1">_xll.ohRangeRetrieveError(F20)</f>
        <v>#NAME?</v>
      </c>
      <c r="H20" s="36"/>
      <c r="J20" s="135"/>
      <c r="K20" s="141" t="s">
        <v>43</v>
      </c>
      <c r="L20" s="141" t="s">
        <v>71</v>
      </c>
      <c r="M20" s="141" t="s">
        <v>66</v>
      </c>
      <c r="N20" s="186" t="str">
        <f t="shared" si="4"/>
        <v>EUR1E6E13Y</v>
      </c>
      <c r="O20" s="140" t="str">
        <v>EUR1E6E13Y=ICAP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x14ac:dyDescent="0.2">
      <c r="A21" s="135"/>
      <c r="B21" s="86" t="str">
        <f t="shared" si="0"/>
        <v>14Y</v>
      </c>
      <c r="C21" s="86" t="str">
        <f t="shared" si="1"/>
        <v>1E</v>
      </c>
      <c r="D21" s="86" t="str">
        <f t="shared" si="2"/>
        <v>6E</v>
      </c>
      <c r="E21" s="85" t="str">
        <f t="shared" si="3"/>
        <v>EUR1E6E14Y_Quote</v>
      </c>
      <c r="F21" s="85" t="e">
        <f ca="1">_xll.qlSimpleQuote(E21,,RateTickValue,Permanent,Trigger,ObjectOverwrite)</f>
        <v>#NAME?</v>
      </c>
      <c r="G21" s="42" t="e">
        <f ca="1">_xll.ohRangeRetrieveError(F21)</f>
        <v>#NAME?</v>
      </c>
      <c r="H21" s="36"/>
      <c r="J21" s="135"/>
      <c r="K21" s="141" t="s">
        <v>42</v>
      </c>
      <c r="L21" s="141" t="s">
        <v>71</v>
      </c>
      <c r="M21" s="141" t="s">
        <v>66</v>
      </c>
      <c r="N21" s="186" t="str">
        <f t="shared" si="4"/>
        <v>EUR1E6E14Y</v>
      </c>
      <c r="O21" s="140" t="str">
        <v>EUR1E6E14Y=ICAP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x14ac:dyDescent="0.2">
      <c r="A22" s="135"/>
      <c r="B22" s="86" t="str">
        <f t="shared" si="0"/>
        <v>15Y</v>
      </c>
      <c r="C22" s="86" t="str">
        <f t="shared" si="1"/>
        <v>1E</v>
      </c>
      <c r="D22" s="86" t="str">
        <f t="shared" si="2"/>
        <v>6E</v>
      </c>
      <c r="E22" s="85" t="str">
        <f t="shared" si="3"/>
        <v>EUR1E6E15Y_Quote</v>
      </c>
      <c r="F22" s="85" t="e">
        <f ca="1">_xll.qlSimpleQuote(E22,,RateTickValue,Permanent,Trigger,ObjectOverwrite)</f>
        <v>#NAME?</v>
      </c>
      <c r="G22" s="42" t="e">
        <f ca="1">_xll.ohRangeRetrieveError(F22)</f>
        <v>#NAME?</v>
      </c>
      <c r="H22" s="36"/>
      <c r="J22" s="135"/>
      <c r="K22" s="141" t="s">
        <v>41</v>
      </c>
      <c r="L22" s="141" t="s">
        <v>71</v>
      </c>
      <c r="M22" s="141" t="s">
        <v>66</v>
      </c>
      <c r="N22" s="186" t="str">
        <f t="shared" si="4"/>
        <v>EUR1E6E15Y</v>
      </c>
      <c r="O22" s="140" t="str">
        <v>EUR1E6E15Y=ICAP</v>
      </c>
      <c r="P22" s="185">
        <v>17.3</v>
      </c>
      <c r="Q22" s="185">
        <v>0</v>
      </c>
      <c r="R22" s="185" t="e">
        <f ca="1">_xll.qlMidEquivalent(P22,Q22)</f>
        <v>#NAME?</v>
      </c>
      <c r="S22" s="185" t="e">
        <f t="shared" ca="1" si="5"/>
        <v>#NAME?</v>
      </c>
      <c r="T22" s="183"/>
      <c r="U22" s="182">
        <v>17.3</v>
      </c>
      <c r="V22" s="111"/>
      <c r="W22" s="181">
        <v>17.3</v>
      </c>
      <c r="X22" s="180" t="e">
        <f ca="1">_xll.qlSimpleQuoteSetValue(F22,ROUND(W22/10000,6),Trigger)</f>
        <v>#NAME?</v>
      </c>
      <c r="Y22" s="130"/>
    </row>
    <row r="23" spans="1:25" x14ac:dyDescent="0.2">
      <c r="A23" s="135"/>
      <c r="B23" s="86" t="str">
        <f t="shared" si="0"/>
        <v>16Y</v>
      </c>
      <c r="C23" s="86" t="str">
        <f t="shared" si="1"/>
        <v>1E</v>
      </c>
      <c r="D23" s="86" t="str">
        <f t="shared" si="2"/>
        <v>6E</v>
      </c>
      <c r="E23" s="85" t="str">
        <f t="shared" si="3"/>
        <v>EUR1E6E16Y_Quote</v>
      </c>
      <c r="F23" s="85" t="e">
        <f ca="1">_xll.qlSimpleQuote(E23,,RateTickValue,Permanent,Trigger,ObjectOverwrite)</f>
        <v>#NAME?</v>
      </c>
      <c r="G23" s="42" t="e">
        <f ca="1">_xll.ohRangeRetrieveError(F23)</f>
        <v>#NAME?</v>
      </c>
      <c r="H23" s="36"/>
      <c r="J23" s="135"/>
      <c r="K23" s="141" t="s">
        <v>40</v>
      </c>
      <c r="L23" s="141" t="s">
        <v>71</v>
      </c>
      <c r="M23" s="141" t="s">
        <v>66</v>
      </c>
      <c r="N23" s="186" t="str">
        <f t="shared" si="4"/>
        <v>EUR1E6E16Y</v>
      </c>
      <c r="O23" s="140" t="str">
        <v>EUR1E6E16Y=ICAP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x14ac:dyDescent="0.2">
      <c r="A24" s="135"/>
      <c r="B24" s="86" t="str">
        <f t="shared" si="0"/>
        <v>17Y</v>
      </c>
      <c r="C24" s="86" t="str">
        <f t="shared" si="1"/>
        <v>1E</v>
      </c>
      <c r="D24" s="86" t="str">
        <f t="shared" si="2"/>
        <v>6E</v>
      </c>
      <c r="E24" s="85" t="str">
        <f t="shared" si="3"/>
        <v>EUR1E6E17Y_Quote</v>
      </c>
      <c r="F24" s="85" t="e">
        <f ca="1">_xll.qlSimpleQuote(E24,,RateTickValue,Permanent,Trigger,ObjectOverwrite)</f>
        <v>#NAME?</v>
      </c>
      <c r="G24" s="42" t="e">
        <f ca="1">_xll.ohRangeRetrieveError(F24)</f>
        <v>#NAME?</v>
      </c>
      <c r="H24" s="36"/>
      <c r="J24" s="135"/>
      <c r="K24" s="141" t="s">
        <v>39</v>
      </c>
      <c r="L24" s="141" t="s">
        <v>71</v>
      </c>
      <c r="M24" s="141" t="s">
        <v>66</v>
      </c>
      <c r="N24" s="186" t="str">
        <f t="shared" si="4"/>
        <v>EUR1E6E17Y</v>
      </c>
      <c r="O24" s="140" t="str">
        <v>EUR1E6E17Y=ICAP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x14ac:dyDescent="0.2">
      <c r="A25" s="135"/>
      <c r="B25" s="86" t="str">
        <f t="shared" si="0"/>
        <v>18Y</v>
      </c>
      <c r="C25" s="86" t="str">
        <f t="shared" si="1"/>
        <v>1E</v>
      </c>
      <c r="D25" s="86" t="str">
        <f t="shared" si="2"/>
        <v>6E</v>
      </c>
      <c r="E25" s="85" t="str">
        <f t="shared" si="3"/>
        <v>EUR1E6E18Y_Quote</v>
      </c>
      <c r="F25" s="85" t="e">
        <f ca="1">_xll.qlSimpleQuote(E25,,RateTickValue,Permanent,Trigger,ObjectOverwrite)</f>
        <v>#NAME?</v>
      </c>
      <c r="G25" s="42" t="e">
        <f ca="1">_xll.ohRangeRetrieveError(F25)</f>
        <v>#NAME?</v>
      </c>
      <c r="H25" s="36"/>
      <c r="J25" s="135"/>
      <c r="K25" s="141" t="s">
        <v>38</v>
      </c>
      <c r="L25" s="141" t="s">
        <v>71</v>
      </c>
      <c r="M25" s="141" t="s">
        <v>66</v>
      </c>
      <c r="N25" s="186" t="str">
        <f t="shared" si="4"/>
        <v>EUR1E6E18Y</v>
      </c>
      <c r="O25" s="140" t="str">
        <v>EUR1E6E18Y=ICAP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x14ac:dyDescent="0.2">
      <c r="A26" s="135"/>
      <c r="B26" s="86" t="str">
        <f t="shared" si="0"/>
        <v>19Y</v>
      </c>
      <c r="C26" s="86" t="str">
        <f t="shared" si="1"/>
        <v>1E</v>
      </c>
      <c r="D26" s="86" t="str">
        <f t="shared" si="2"/>
        <v>6E</v>
      </c>
      <c r="E26" s="85" t="str">
        <f t="shared" si="3"/>
        <v>EUR1E6E19Y_Quote</v>
      </c>
      <c r="F26" s="85" t="e">
        <f ca="1">_xll.qlSimpleQuote(E26,,RateTickValue,Permanent,Trigger,ObjectOverwrite)</f>
        <v>#NAME?</v>
      </c>
      <c r="G26" s="42" t="e">
        <f ca="1">_xll.ohRangeRetrieveError(F26)</f>
        <v>#NAME?</v>
      </c>
      <c r="H26" s="36"/>
      <c r="J26" s="135"/>
      <c r="K26" s="141" t="s">
        <v>37</v>
      </c>
      <c r="L26" s="141" t="s">
        <v>71</v>
      </c>
      <c r="M26" s="141" t="s">
        <v>66</v>
      </c>
      <c r="N26" s="186" t="str">
        <f t="shared" si="4"/>
        <v>EUR1E6E19Y</v>
      </c>
      <c r="O26" s="140" t="str">
        <v>EUR1E6E19Y=ICAP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x14ac:dyDescent="0.2">
      <c r="A27" s="135"/>
      <c r="B27" s="86" t="str">
        <f t="shared" si="0"/>
        <v>20Y</v>
      </c>
      <c r="C27" s="86" t="str">
        <f t="shared" si="1"/>
        <v>1E</v>
      </c>
      <c r="D27" s="86" t="str">
        <f t="shared" si="2"/>
        <v>6E</v>
      </c>
      <c r="E27" s="85" t="str">
        <f t="shared" si="3"/>
        <v>EUR1E6E20Y_Quote</v>
      </c>
      <c r="F27" s="85" t="e">
        <f ca="1">_xll.qlSimpleQuote(E27,,RateTickValue,Permanent,Trigger,ObjectOverwrite)</f>
        <v>#NAME?</v>
      </c>
      <c r="G27" s="42" t="e">
        <f ca="1">_xll.ohRangeRetrieveError(F27)</f>
        <v>#NAME?</v>
      </c>
      <c r="H27" s="36"/>
      <c r="J27" s="135"/>
      <c r="K27" s="141" t="s">
        <v>36</v>
      </c>
      <c r="L27" s="141" t="s">
        <v>71</v>
      </c>
      <c r="M27" s="141" t="s">
        <v>66</v>
      </c>
      <c r="N27" s="186" t="str">
        <f t="shared" si="4"/>
        <v>EUR1E6E20Y</v>
      </c>
      <c r="O27" s="140" t="str">
        <v>EUR1E6E20Y=ICAP</v>
      </c>
      <c r="P27" s="185">
        <v>15</v>
      </c>
      <c r="Q27" s="185">
        <v>0</v>
      </c>
      <c r="R27" s="185" t="e">
        <f ca="1">_xll.qlMidEquivalent(P27,Q27)</f>
        <v>#NAME?</v>
      </c>
      <c r="S27" s="185" t="e">
        <f t="shared" ca="1" si="5"/>
        <v>#NAME?</v>
      </c>
      <c r="T27" s="183"/>
      <c r="U27" s="182">
        <v>15</v>
      </c>
      <c r="V27" s="111"/>
      <c r="W27" s="181">
        <v>15</v>
      </c>
      <c r="X27" s="180" t="e">
        <f ca="1">_xll.qlSimpleQuoteSetValue(F27,ROUND(W27/10000,6),Trigger)</f>
        <v>#NAME?</v>
      </c>
      <c r="Y27" s="130"/>
    </row>
    <row r="28" spans="1:25" x14ac:dyDescent="0.2">
      <c r="A28" s="135"/>
      <c r="B28" s="86" t="str">
        <f t="shared" si="0"/>
        <v>21Y</v>
      </c>
      <c r="C28" s="86" t="str">
        <f t="shared" si="1"/>
        <v>1E</v>
      </c>
      <c r="D28" s="86" t="str">
        <f t="shared" si="2"/>
        <v>6E</v>
      </c>
      <c r="E28" s="85" t="str">
        <f t="shared" si="3"/>
        <v>EUR1E6E21Y_Quote</v>
      </c>
      <c r="F28" s="85" t="e">
        <f ca="1">_xll.qlSimpleQuote(E28,,RateTickValue,Permanent,Trigger,ObjectOverwrite)</f>
        <v>#NAME?</v>
      </c>
      <c r="G28" s="42" t="e">
        <f ca="1">_xll.ohRangeRetrieveError(F28)</f>
        <v>#NAME?</v>
      </c>
      <c r="H28" s="36"/>
      <c r="J28" s="135"/>
      <c r="K28" s="141" t="s">
        <v>35</v>
      </c>
      <c r="L28" s="141" t="s">
        <v>71</v>
      </c>
      <c r="M28" s="141" t="s">
        <v>66</v>
      </c>
      <c r="N28" s="186" t="str">
        <f t="shared" si="4"/>
        <v>EUR1E6E21Y</v>
      </c>
      <c r="O28" s="140" t="str">
        <v>EUR1E6E21Y=ICAP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x14ac:dyDescent="0.2">
      <c r="A29" s="135"/>
      <c r="B29" s="86" t="str">
        <f t="shared" si="0"/>
        <v>22Y</v>
      </c>
      <c r="C29" s="86" t="str">
        <f t="shared" si="1"/>
        <v>1E</v>
      </c>
      <c r="D29" s="86" t="str">
        <f t="shared" si="2"/>
        <v>6E</v>
      </c>
      <c r="E29" s="85" t="str">
        <f t="shared" si="3"/>
        <v>EUR1E6E22Y_Quote</v>
      </c>
      <c r="F29" s="85" t="e">
        <f ca="1">_xll.qlSimpleQuote(E29,,RateTickValue,Permanent,Trigger,ObjectOverwrite)</f>
        <v>#NAME?</v>
      </c>
      <c r="G29" s="42" t="e">
        <f ca="1">_xll.ohRangeRetrieveError(F29)</f>
        <v>#NAME?</v>
      </c>
      <c r="H29" s="36"/>
      <c r="J29" s="135"/>
      <c r="K29" s="141" t="s">
        <v>34</v>
      </c>
      <c r="L29" s="141" t="s">
        <v>71</v>
      </c>
      <c r="M29" s="141" t="s">
        <v>66</v>
      </c>
      <c r="N29" s="186" t="str">
        <f t="shared" si="4"/>
        <v>EUR1E6E22Y</v>
      </c>
      <c r="O29" s="140" t="str">
        <v>EUR1E6E22Y=ICAP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x14ac:dyDescent="0.2">
      <c r="A30" s="135"/>
      <c r="B30" s="86" t="str">
        <f t="shared" si="0"/>
        <v>23Y</v>
      </c>
      <c r="C30" s="86" t="str">
        <f t="shared" si="1"/>
        <v>1E</v>
      </c>
      <c r="D30" s="86" t="str">
        <f t="shared" si="2"/>
        <v>6E</v>
      </c>
      <c r="E30" s="85" t="str">
        <f t="shared" si="3"/>
        <v>EUR1E6E23Y_Quote</v>
      </c>
      <c r="F30" s="85" t="e">
        <f ca="1">_xll.qlSimpleQuote(E30,,RateTickValue,Permanent,Trigger,ObjectOverwrite)</f>
        <v>#NAME?</v>
      </c>
      <c r="G30" s="42" t="e">
        <f ca="1">_xll.ohRangeRetrieveError(F30)</f>
        <v>#NAME?</v>
      </c>
      <c r="H30" s="36"/>
      <c r="J30" s="135"/>
      <c r="K30" s="141" t="s">
        <v>33</v>
      </c>
      <c r="L30" s="141" t="s">
        <v>71</v>
      </c>
      <c r="M30" s="141" t="s">
        <v>66</v>
      </c>
      <c r="N30" s="186" t="str">
        <f t="shared" si="4"/>
        <v>EUR1E6E23Y</v>
      </c>
      <c r="O30" s="140" t="str">
        <v>EUR1E6E23Y=ICAP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x14ac:dyDescent="0.2">
      <c r="A31" s="135"/>
      <c r="B31" s="86" t="str">
        <f t="shared" si="0"/>
        <v>24Y</v>
      </c>
      <c r="C31" s="86" t="str">
        <f t="shared" si="1"/>
        <v>1E</v>
      </c>
      <c r="D31" s="86" t="str">
        <f t="shared" si="2"/>
        <v>6E</v>
      </c>
      <c r="E31" s="85" t="str">
        <f t="shared" si="3"/>
        <v>EUR1E6E24Y_Quote</v>
      </c>
      <c r="F31" s="85" t="e">
        <f ca="1">_xll.qlSimpleQuote(E31,,RateTickValue,Permanent,Trigger,ObjectOverwrite)</f>
        <v>#NAME?</v>
      </c>
      <c r="G31" s="42" t="e">
        <f ca="1">_xll.ohRangeRetrieveError(F31)</f>
        <v>#NAME?</v>
      </c>
      <c r="H31" s="36"/>
      <c r="J31" s="135"/>
      <c r="K31" s="141" t="s">
        <v>32</v>
      </c>
      <c r="L31" s="141" t="s">
        <v>71</v>
      </c>
      <c r="M31" s="141" t="s">
        <v>66</v>
      </c>
      <c r="N31" s="186" t="str">
        <f t="shared" si="4"/>
        <v>EUR1E6E24Y</v>
      </c>
      <c r="O31" s="140" t="str">
        <v>EUR1E6E24Y=ICAP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x14ac:dyDescent="0.2">
      <c r="A32" s="135"/>
      <c r="B32" s="86" t="str">
        <f t="shared" si="0"/>
        <v>25Y</v>
      </c>
      <c r="C32" s="86" t="str">
        <f t="shared" si="1"/>
        <v>1E</v>
      </c>
      <c r="D32" s="86" t="str">
        <f t="shared" si="2"/>
        <v>6E</v>
      </c>
      <c r="E32" s="85" t="str">
        <f t="shared" si="3"/>
        <v>EUR1E6E25Y_Quote</v>
      </c>
      <c r="F32" s="85" t="e">
        <f ca="1">_xll.qlSimpleQuote(E32,,RateTickValue,Permanent,Trigger,ObjectOverwrite)</f>
        <v>#NAME?</v>
      </c>
      <c r="G32" s="42" t="e">
        <f ca="1">_xll.ohRangeRetrieveError(F32)</f>
        <v>#NAME?</v>
      </c>
      <c r="H32" s="36"/>
      <c r="J32" s="135"/>
      <c r="K32" s="141" t="s">
        <v>31</v>
      </c>
      <c r="L32" s="141" t="s">
        <v>71</v>
      </c>
      <c r="M32" s="141" t="s">
        <v>66</v>
      </c>
      <c r="N32" s="186" t="str">
        <f t="shared" si="4"/>
        <v>EUR1E6E25Y</v>
      </c>
      <c r="O32" s="140" t="str">
        <v>EUR1E6E25Y=ICAP</v>
      </c>
      <c r="P32" s="185">
        <v>13.3</v>
      </c>
      <c r="Q32" s="185">
        <v>0</v>
      </c>
      <c r="R32" s="185" t="e">
        <f ca="1">_xll.qlMidEquivalent(P32,Q32)</f>
        <v>#NAME?</v>
      </c>
      <c r="S32" s="185" t="e">
        <f t="shared" ca="1" si="5"/>
        <v>#NAME?</v>
      </c>
      <c r="T32" s="183"/>
      <c r="U32" s="182">
        <v>13.3</v>
      </c>
      <c r="V32" s="111"/>
      <c r="W32" s="181">
        <v>13.3</v>
      </c>
      <c r="X32" s="180" t="e">
        <f ca="1">_xll.qlSimpleQuoteSetValue(F32,ROUND(W32/10000,6),Trigger)</f>
        <v>#NAME?</v>
      </c>
      <c r="Y32" s="130"/>
    </row>
    <row r="33" spans="1:25" x14ac:dyDescent="0.2">
      <c r="A33" s="135"/>
      <c r="B33" s="86" t="str">
        <f t="shared" si="0"/>
        <v>26Y</v>
      </c>
      <c r="C33" s="86" t="str">
        <f t="shared" si="1"/>
        <v>1E</v>
      </c>
      <c r="D33" s="86" t="str">
        <f t="shared" si="2"/>
        <v>6E</v>
      </c>
      <c r="E33" s="85" t="str">
        <f t="shared" si="3"/>
        <v>EUR1E6E26Y_Quote</v>
      </c>
      <c r="F33" s="85" t="e">
        <f ca="1">_xll.qlSimpleQuote(E33,,RateTickValue,Permanent,Trigger,ObjectOverwrite)</f>
        <v>#NAME?</v>
      </c>
      <c r="G33" s="42" t="e">
        <f ca="1">_xll.ohRangeRetrieveError(F33)</f>
        <v>#NAME?</v>
      </c>
      <c r="H33" s="36"/>
      <c r="J33" s="135"/>
      <c r="K33" s="141" t="s">
        <v>30</v>
      </c>
      <c r="L33" s="141" t="s">
        <v>71</v>
      </c>
      <c r="M33" s="141" t="s">
        <v>66</v>
      </c>
      <c r="N33" s="186" t="str">
        <f t="shared" si="4"/>
        <v>EUR1E6E26Y</v>
      </c>
      <c r="O33" s="140" t="str">
        <v>EUR1E6E26Y=ICAP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x14ac:dyDescent="0.2">
      <c r="A34" s="135"/>
      <c r="B34" s="86" t="str">
        <f t="shared" si="0"/>
        <v>27Y</v>
      </c>
      <c r="C34" s="86" t="str">
        <f t="shared" si="1"/>
        <v>1E</v>
      </c>
      <c r="D34" s="86" t="str">
        <f t="shared" si="2"/>
        <v>6E</v>
      </c>
      <c r="E34" s="85" t="str">
        <f t="shared" si="3"/>
        <v>EUR1E6E27Y_Quote</v>
      </c>
      <c r="F34" s="85" t="e">
        <f ca="1">_xll.qlSimpleQuote(E34,,RateTickValue,Permanent,Trigger,ObjectOverwrite)</f>
        <v>#NAME?</v>
      </c>
      <c r="G34" s="42" t="e">
        <f ca="1">_xll.ohRangeRetrieveError(F34)</f>
        <v>#NAME?</v>
      </c>
      <c r="H34" s="36"/>
      <c r="J34" s="135"/>
      <c r="K34" s="141" t="s">
        <v>29</v>
      </c>
      <c r="L34" s="141" t="s">
        <v>71</v>
      </c>
      <c r="M34" s="141" t="s">
        <v>66</v>
      </c>
      <c r="N34" s="186" t="str">
        <f t="shared" si="4"/>
        <v>EUR1E6E27Y</v>
      </c>
      <c r="O34" s="140" t="str">
        <v>EUR1E6E27Y=ICAP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x14ac:dyDescent="0.2">
      <c r="A35" s="135"/>
      <c r="B35" s="86" t="str">
        <f t="shared" si="0"/>
        <v>28Y</v>
      </c>
      <c r="C35" s="86" t="str">
        <f t="shared" si="1"/>
        <v>1E</v>
      </c>
      <c r="D35" s="86" t="str">
        <f t="shared" si="2"/>
        <v>6E</v>
      </c>
      <c r="E35" s="85" t="str">
        <f t="shared" si="3"/>
        <v>EUR1E6E28Y_Quote</v>
      </c>
      <c r="F35" s="85" t="e">
        <f ca="1">_xll.qlSimpleQuote(E35,,RateTickValue,Permanent,Trigger,ObjectOverwrite)</f>
        <v>#NAME?</v>
      </c>
      <c r="G35" s="42" t="e">
        <f ca="1">_xll.ohRangeRetrieveError(F35)</f>
        <v>#NAME?</v>
      </c>
      <c r="H35" s="36"/>
      <c r="J35" s="135"/>
      <c r="K35" s="141" t="s">
        <v>28</v>
      </c>
      <c r="L35" s="141" t="s">
        <v>71</v>
      </c>
      <c r="M35" s="141" t="s">
        <v>66</v>
      </c>
      <c r="N35" s="186" t="str">
        <f t="shared" si="4"/>
        <v>EUR1E6E28Y</v>
      </c>
      <c r="O35" s="140" t="str">
        <v>EUR1E6E28Y=ICAP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x14ac:dyDescent="0.2">
      <c r="A36" s="135"/>
      <c r="B36" s="86" t="str">
        <f t="shared" si="0"/>
        <v>29Y</v>
      </c>
      <c r="C36" s="86" t="str">
        <f t="shared" si="1"/>
        <v>1E</v>
      </c>
      <c r="D36" s="86" t="str">
        <f t="shared" si="2"/>
        <v>6E</v>
      </c>
      <c r="E36" s="85" t="str">
        <f t="shared" si="3"/>
        <v>EUR1E6E29Y_Quote</v>
      </c>
      <c r="F36" s="85" t="e">
        <f ca="1">_xll.qlSimpleQuote(E36,,RateTickValue,Permanent,Trigger,ObjectOverwrite)</f>
        <v>#NAME?</v>
      </c>
      <c r="G36" s="42" t="e">
        <f ca="1">_xll.ohRangeRetrieveError(F36)</f>
        <v>#NAME?</v>
      </c>
      <c r="H36" s="36"/>
      <c r="J36" s="135"/>
      <c r="K36" s="141" t="s">
        <v>27</v>
      </c>
      <c r="L36" s="141" t="s">
        <v>71</v>
      </c>
      <c r="M36" s="141" t="s">
        <v>66</v>
      </c>
      <c r="N36" s="186" t="str">
        <f t="shared" si="4"/>
        <v>EUR1E6E29Y</v>
      </c>
      <c r="O36" s="140" t="str">
        <v>EUR1E6E29Y=ICAP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x14ac:dyDescent="0.2">
      <c r="A37" s="135"/>
      <c r="B37" s="86" t="str">
        <f t="shared" si="0"/>
        <v>30Y</v>
      </c>
      <c r="C37" s="86" t="str">
        <f t="shared" si="1"/>
        <v>1E</v>
      </c>
      <c r="D37" s="86" t="str">
        <f t="shared" si="2"/>
        <v>6E</v>
      </c>
      <c r="E37" s="85" t="str">
        <f t="shared" si="3"/>
        <v>EUR1E6E30Y_Quote</v>
      </c>
      <c r="F37" s="85" t="e">
        <f ca="1">_xll.qlSimpleQuote(E37,,RateTickValue,Permanent,Trigger,ObjectOverwrite)</f>
        <v>#NAME?</v>
      </c>
      <c r="G37" s="42" t="e">
        <f ca="1">_xll.ohRangeRetrieveError(F37)</f>
        <v>#NAME?</v>
      </c>
      <c r="H37" s="36"/>
      <c r="J37" s="135"/>
      <c r="K37" s="141" t="s">
        <v>26</v>
      </c>
      <c r="L37" s="141" t="s">
        <v>71</v>
      </c>
      <c r="M37" s="141" t="s">
        <v>66</v>
      </c>
      <c r="N37" s="186" t="str">
        <f t="shared" si="4"/>
        <v>EUR1E6E30Y</v>
      </c>
      <c r="O37" s="140" t="str">
        <v>EUR1E6E30Y=ICAP</v>
      </c>
      <c r="P37" s="185">
        <v>12.1</v>
      </c>
      <c r="Q37" s="185">
        <v>0</v>
      </c>
      <c r="R37" s="185" t="e">
        <f ca="1">_xll.qlMidEquivalent(P37,Q37)</f>
        <v>#NAME?</v>
      </c>
      <c r="S37" s="185" t="e">
        <f t="shared" ca="1" si="5"/>
        <v>#NAME?</v>
      </c>
      <c r="T37" s="183"/>
      <c r="U37" s="182">
        <v>12.1</v>
      </c>
      <c r="V37" s="111"/>
      <c r="W37" s="181">
        <v>12.1</v>
      </c>
      <c r="X37" s="180" t="e">
        <f ca="1">_xll.qlSimpleQuoteSetValue(F37,ROUND(W37/10000,6),Trigger)</f>
        <v>#NAME?</v>
      </c>
      <c r="Y37" s="130"/>
    </row>
    <row r="38" spans="1:25" x14ac:dyDescent="0.2">
      <c r="A38" s="135"/>
      <c r="B38" s="86" t="str">
        <f t="shared" si="0"/>
        <v>35Y</v>
      </c>
      <c r="C38" s="86" t="str">
        <f t="shared" si="1"/>
        <v>1E</v>
      </c>
      <c r="D38" s="86" t="str">
        <f t="shared" si="2"/>
        <v>6E</v>
      </c>
      <c r="E38" s="85" t="str">
        <f t="shared" si="3"/>
        <v>EUR1E6E35Y_Quote</v>
      </c>
      <c r="F38" s="85" t="e">
        <f ca="1">_xll.qlSimpleQuote(E38,,RateTickValue,Permanent,Trigger,ObjectOverwrite)</f>
        <v>#NAME?</v>
      </c>
      <c r="G38" s="42" t="e">
        <f ca="1">_xll.ohRangeRetrieveError(F38)</f>
        <v>#NAME?</v>
      </c>
      <c r="H38" s="36"/>
      <c r="J38" s="135"/>
      <c r="K38" s="141" t="s">
        <v>25</v>
      </c>
      <c r="L38" s="141" t="s">
        <v>71</v>
      </c>
      <c r="M38" s="141" t="s">
        <v>66</v>
      </c>
      <c r="N38" s="186" t="str">
        <f t="shared" si="4"/>
        <v>EUR1E6E35Y</v>
      </c>
      <c r="O38" s="140" t="str">
        <v>EUR1E6E35Y=ICAP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x14ac:dyDescent="0.2">
      <c r="A39" s="135"/>
      <c r="B39" s="86" t="str">
        <f t="shared" si="0"/>
        <v>40Y</v>
      </c>
      <c r="C39" s="86" t="str">
        <f t="shared" si="1"/>
        <v>1E</v>
      </c>
      <c r="D39" s="86" t="str">
        <f t="shared" si="2"/>
        <v>6E</v>
      </c>
      <c r="E39" s="85" t="str">
        <f t="shared" si="3"/>
        <v>EUR1E6E40Y_Quote</v>
      </c>
      <c r="F39" s="85" t="e">
        <f ca="1">_xll.qlSimpleQuote(E39,,RateTickValue,Permanent,Trigger,ObjectOverwrite)</f>
        <v>#NAME?</v>
      </c>
      <c r="G39" s="42" t="e">
        <f ca="1">_xll.ohRangeRetrieveError(F39)</f>
        <v>#NAME?</v>
      </c>
      <c r="H39" s="36"/>
      <c r="J39" s="135"/>
      <c r="K39" s="141" t="s">
        <v>24</v>
      </c>
      <c r="L39" s="141" t="s">
        <v>71</v>
      </c>
      <c r="M39" s="141" t="s">
        <v>66</v>
      </c>
      <c r="N39" s="186" t="str">
        <f t="shared" si="4"/>
        <v>EUR1E6E40Y</v>
      </c>
      <c r="O39" s="140" t="str">
        <v>EUR1E6E40Y=ICAP</v>
      </c>
      <c r="P39" s="185">
        <v>10.5</v>
      </c>
      <c r="Q39" s="185">
        <v>0</v>
      </c>
      <c r="R39" s="185" t="e">
        <f ca="1">_xll.qlMidEquivalent(P39,Q39)</f>
        <v>#NAME?</v>
      </c>
      <c r="S39" s="185" t="e">
        <f t="shared" ca="1" si="5"/>
        <v>#NAME?</v>
      </c>
      <c r="T39" s="183"/>
      <c r="U39" s="182">
        <v>10.5</v>
      </c>
      <c r="V39" s="111"/>
      <c r="W39" s="181">
        <v>10.5</v>
      </c>
      <c r="X39" s="180" t="e">
        <f ca="1">_xll.qlSimpleQuoteSetValue(F39,ROUND(W39/10000,6),Trigger)</f>
        <v>#NAME?</v>
      </c>
      <c r="Y39" s="130"/>
    </row>
    <row r="40" spans="1:25" x14ac:dyDescent="0.2">
      <c r="A40" s="135"/>
      <c r="B40" s="86" t="str">
        <f t="shared" si="0"/>
        <v>50Y</v>
      </c>
      <c r="C40" s="86" t="str">
        <f t="shared" si="1"/>
        <v>1E</v>
      </c>
      <c r="D40" s="86" t="str">
        <f t="shared" si="2"/>
        <v>6E</v>
      </c>
      <c r="E40" s="85" t="str">
        <f t="shared" si="3"/>
        <v>EUR1E6E50Y_Quote</v>
      </c>
      <c r="F40" s="84" t="e">
        <f ca="1">_xll.qlSimpleQuote(E40,,RateTickValue,Permanent,Trigger,ObjectOverwrite)</f>
        <v>#NAME?</v>
      </c>
      <c r="G40" s="42" t="e">
        <f ca="1">_xll.ohRangeRetrieveError(F40)</f>
        <v>#NAME?</v>
      </c>
      <c r="H40" s="36"/>
      <c r="J40" s="135"/>
      <c r="K40" s="141" t="s">
        <v>23</v>
      </c>
      <c r="L40" s="141" t="s">
        <v>71</v>
      </c>
      <c r="M40" s="141" t="s">
        <v>66</v>
      </c>
      <c r="N40" s="186" t="str">
        <f t="shared" si="4"/>
        <v>EUR1E6E50Y</v>
      </c>
      <c r="O40" s="140" t="str">
        <v>EUR1E6E50Y=ICAP</v>
      </c>
      <c r="P40" s="185">
        <v>9.5</v>
      </c>
      <c r="Q40" s="185">
        <v>0</v>
      </c>
      <c r="R40" s="185" t="e">
        <f ca="1">_xll.qlMidEquivalent(P40,Q40)</f>
        <v>#NAME?</v>
      </c>
      <c r="S40" s="185" t="e">
        <f t="shared" ca="1" si="5"/>
        <v>#NAME?</v>
      </c>
      <c r="T40" s="183"/>
      <c r="U40" s="182">
        <v>9.5</v>
      </c>
      <c r="V40" s="111"/>
      <c r="W40" s="181">
        <v>9.5</v>
      </c>
      <c r="X40" s="180" t="e">
        <f ca="1">_xll.qlSimpleQuoteSetValue(F40,ROUND(W40/10000,6),Trigger)</f>
        <v>#NAME?</v>
      </c>
      <c r="Y40" s="130"/>
    </row>
    <row r="41" spans="1:25" x14ac:dyDescent="0.2">
      <c r="A41" s="135"/>
      <c r="B41" s="75" t="str">
        <f t="shared" si="0"/>
        <v>60Y</v>
      </c>
      <c r="C41" s="75" t="str">
        <f t="shared" si="1"/>
        <v>1E</v>
      </c>
      <c r="D41" s="75" t="str">
        <f t="shared" si="2"/>
        <v>6E</v>
      </c>
      <c r="E41" s="74" t="str">
        <f t="shared" si="3"/>
        <v>EUR1E6E60Y_Quote</v>
      </c>
      <c r="F41" s="73" t="e">
        <f ca="1">_xll.qlSimpleQuote(E41,,RateTickValue,Permanent,Trigger,ObjectOverwrite)</f>
        <v>#NAME?</v>
      </c>
      <c r="G41" s="37" t="e">
        <f ca="1">_xll.ohRangeRetrieveError(F41)</f>
        <v>#NAME?</v>
      </c>
      <c r="H41" s="36"/>
      <c r="J41" s="135"/>
      <c r="K41" s="134" t="s">
        <v>22</v>
      </c>
      <c r="L41" s="134" t="s">
        <v>71</v>
      </c>
      <c r="M41" s="134" t="s">
        <v>66</v>
      </c>
      <c r="N41" s="194" t="str">
        <f t="shared" si="4"/>
        <v>EUR1E6E60Y</v>
      </c>
      <c r="O41" s="133" t="str">
        <v>EUR1E6E60Y=ICAP</v>
      </c>
      <c r="P41" s="184">
        <v>8.6999999999999993</v>
      </c>
      <c r="Q41" s="184">
        <v>0</v>
      </c>
      <c r="R41" s="184" t="e">
        <f ca="1">_xll.qlMidEquivalent(P41,Q41)</f>
        <v>#NAME?</v>
      </c>
      <c r="S41" s="184" t="e">
        <f t="shared" ca="1" si="5"/>
        <v>#NAME?</v>
      </c>
      <c r="T41" s="183"/>
      <c r="U41" s="182">
        <v>8.6999999999999993</v>
      </c>
      <c r="V41" s="111"/>
      <c r="W41" s="193">
        <v>8.6999999999999993</v>
      </c>
      <c r="X41" s="192" t="e">
        <f ca="1">_xll.qlSimpleQuoteSetValue(F41,ROUND(W41/10000,6),Trigger)</f>
        <v>#NAME?</v>
      </c>
      <c r="Y41" s="130"/>
    </row>
    <row r="42" spans="1:25"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54"/>
      <c r="C1" s="54"/>
      <c r="D1" s="54"/>
      <c r="E1" s="54"/>
      <c r="F1" s="54"/>
      <c r="G1" s="54"/>
      <c r="H1" s="53"/>
      <c r="J1" s="153" t="s">
        <v>115</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52"/>
      <c r="L4" s="50"/>
      <c r="M4" s="50"/>
      <c r="N4" s="50" t="s">
        <v>101</v>
      </c>
      <c r="O4" s="189" t="e">
        <f ca="1">_xll.RData(O5:O41,P4:Q4,,ReutersRtMode,,P5)</f>
        <v>#NAME?</v>
      </c>
      <c r="P4" s="50" t="s">
        <v>84</v>
      </c>
      <c r="Q4" s="50" t="s">
        <v>83</v>
      </c>
      <c r="R4" s="188" t="s">
        <v>106</v>
      </c>
      <c r="S4" s="188" t="s">
        <v>79</v>
      </c>
      <c r="T4" s="183"/>
      <c r="U4" s="50" t="s">
        <v>78</v>
      </c>
      <c r="V4" s="111"/>
      <c r="W4" s="52" t="s">
        <v>77</v>
      </c>
      <c r="X4" s="50" t="s">
        <v>76</v>
      </c>
      <c r="Y4" s="130"/>
    </row>
    <row r="5" spans="1:28" ht="11.25" customHeight="1" x14ac:dyDescent="0.2">
      <c r="A5" s="135"/>
      <c r="B5" s="86" t="str">
        <f t="shared" ref="B5:B41" si="0">K5</f>
        <v>1Y</v>
      </c>
      <c r="C5" s="86" t="str">
        <f t="shared" ref="C5:C41" si="1">L5</f>
        <v>3E</v>
      </c>
      <c r="D5" s="86" t="str">
        <f t="shared" ref="D5:D41" si="2">M5</f>
        <v>6E</v>
      </c>
      <c r="E5" s="85" t="str">
        <f t="shared" ref="E5:E41" si="3">IF(ISBLANK(C5),"#",Currency&amp;$C5&amp;$D5&amp;$B5&amp;QuoteSuffix)</f>
        <v>EUR3E6E1Y_Quote</v>
      </c>
      <c r="F5" s="85" t="e">
        <f ca="1">_xll.qlSimpleQuote(E5,,RateTickValue,Permanent,Trigger,ObjectOverwrite)</f>
        <v>#NAME?</v>
      </c>
      <c r="G5" s="42" t="e">
        <f ca="1">_xll.ohRangeRetrieveError(F5)</f>
        <v>#NAME?</v>
      </c>
      <c r="H5" s="36"/>
      <c r="J5" s="187"/>
      <c r="K5" s="141" t="s">
        <v>58</v>
      </c>
      <c r="L5" s="141" t="s">
        <v>69</v>
      </c>
      <c r="M5" s="141" t="s">
        <v>66</v>
      </c>
      <c r="N5" s="186" t="str">
        <f t="shared" ref="N5:N41" si="4">Currency&amp;$L5&amp;$M5&amp;$K5</f>
        <v>EUR3E6E1Y</v>
      </c>
      <c r="O5" s="140" t="str">
        <f t="array" ref="O5:O41">Instruments&amp;"="&amp;VLOOKUP(Contributor,ContributorTable,2,FALSE)</f>
        <v>EUR3E6E1Y=ICAP</v>
      </c>
      <c r="P5" s="185">
        <v>7.55</v>
      </c>
      <c r="Q5" s="185">
        <v>8.5500000000000007</v>
      </c>
      <c r="R5" s="185" t="e">
        <f ca="1">_xll.qlMidSafe(P5,Q5)</f>
        <v>#NAME?</v>
      </c>
      <c r="S5" s="185" t="e">
        <f t="shared" ref="S5:S41" ca="1" si="5">(R5-P5)*2</f>
        <v>#NAME?</v>
      </c>
      <c r="T5" s="183"/>
      <c r="U5" s="182">
        <v>8.0500000000000007</v>
      </c>
      <c r="V5" s="111"/>
      <c r="W5" s="181">
        <f t="array" ref="W5:W41">QuoteStatic</f>
        <v>8.0500000000000007</v>
      </c>
      <c r="X5" s="180" t="e">
        <f ca="1">_xll.qlSimpleQuoteSetValue(F5,ROUND(W5/10000,6),Trigger)</f>
        <v>#NAME?</v>
      </c>
      <c r="Y5" s="130"/>
    </row>
    <row r="6" spans="1:28" ht="11.25" customHeight="1" x14ac:dyDescent="0.2">
      <c r="A6" s="135"/>
      <c r="B6" s="86" t="str">
        <f t="shared" si="0"/>
        <v>15M</v>
      </c>
      <c r="C6" s="86" t="str">
        <f t="shared" si="1"/>
        <v>3E</v>
      </c>
      <c r="D6" s="86" t="str">
        <f t="shared" si="2"/>
        <v>6E</v>
      </c>
      <c r="E6" s="85" t="str">
        <f t="shared" si="3"/>
        <v>EUR3E6E15M_Quote</v>
      </c>
      <c r="F6" s="85" t="e">
        <f ca="1">_xll.qlSimpleQuote(E6,,RateTickValue,Permanent,Trigger,ObjectOverwrite)</f>
        <v>#NAME?</v>
      </c>
      <c r="G6" s="42" t="e">
        <f ca="1">_xll.ohRangeRetrieveError(F6)</f>
        <v>#NAME?</v>
      </c>
      <c r="H6" s="36"/>
      <c r="J6" s="187"/>
      <c r="K6" s="141" t="s">
        <v>57</v>
      </c>
      <c r="L6" s="141" t="s">
        <v>69</v>
      </c>
      <c r="M6" s="141" t="s">
        <v>66</v>
      </c>
      <c r="N6" s="186" t="str">
        <f t="shared" si="4"/>
        <v>EUR3E6E15M</v>
      </c>
      <c r="O6" s="140" t="str">
        <v>EUR3E6E15M=ICAP</v>
      </c>
      <c r="P6" s="185" t="s">
        <v>109</v>
      </c>
      <c r="Q6" s="185" t="s">
        <v>109</v>
      </c>
      <c r="R6" s="185" t="e">
        <f ca="1">_xll.qlMidSafe(P6,Q6)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3E</v>
      </c>
      <c r="D7" s="86" t="str">
        <f t="shared" si="2"/>
        <v>6E</v>
      </c>
      <c r="E7" s="85" t="str">
        <f t="shared" si="3"/>
        <v>EUR3E6E18M_Quote</v>
      </c>
      <c r="F7" s="85" t="e">
        <f ca="1">_xll.qlSimpleQuote(E7,,RateTickValue,Permanent,Trigger,ObjectOverwrite)</f>
        <v>#NAME?</v>
      </c>
      <c r="G7" s="42" t="e">
        <f ca="1">_xll.ohRangeRetrieveError(F7)</f>
        <v>#NAME?</v>
      </c>
      <c r="H7" s="36"/>
      <c r="J7" s="187"/>
      <c r="K7" s="141" t="s">
        <v>56</v>
      </c>
      <c r="L7" s="141" t="s">
        <v>69</v>
      </c>
      <c r="M7" s="141" t="s">
        <v>66</v>
      </c>
      <c r="N7" s="186" t="str">
        <f t="shared" si="4"/>
        <v>EUR3E6E18M</v>
      </c>
      <c r="O7" s="140" t="str">
        <v>EUR3E6E18M=ICAP</v>
      </c>
      <c r="P7" s="185">
        <v>8</v>
      </c>
      <c r="Q7" s="185">
        <v>9</v>
      </c>
      <c r="R7" s="185" t="e">
        <f ca="1">_xll.qlMidSafe(P7,Q7)</f>
        <v>#NAME?</v>
      </c>
      <c r="S7" s="185" t="e">
        <f t="shared" ca="1" si="5"/>
        <v>#NAME?</v>
      </c>
      <c r="T7" s="183"/>
      <c r="U7" s="182">
        <v>8.5</v>
      </c>
      <c r="V7" s="111"/>
      <c r="W7" s="181">
        <v>8.5</v>
      </c>
      <c r="X7" s="180" t="e">
        <f ca="1">_xll.qlSimpleQuoteSetValue(F7,ROUND(W7/10000,6),Trigger)</f>
        <v>#NAME?</v>
      </c>
      <c r="Y7" s="130"/>
    </row>
    <row r="8" spans="1:28" ht="11.25" customHeight="1" x14ac:dyDescent="0.2">
      <c r="A8" s="135"/>
      <c r="B8" s="86" t="str">
        <f t="shared" si="0"/>
        <v>21M</v>
      </c>
      <c r="C8" s="86" t="str">
        <f t="shared" si="1"/>
        <v>3E</v>
      </c>
      <c r="D8" s="86" t="str">
        <f t="shared" si="2"/>
        <v>6E</v>
      </c>
      <c r="E8" s="85" t="str">
        <f t="shared" si="3"/>
        <v>EUR3E6E21M_Quote</v>
      </c>
      <c r="F8" s="85" t="e">
        <f ca="1">_xll.qlSimpleQuote(E8,,RateTickValue,Permanent,Trigger,ObjectOverwrite)</f>
        <v>#NAME?</v>
      </c>
      <c r="G8" s="42" t="e">
        <f ca="1">_xll.ohRangeRetrieveError(F8)</f>
        <v>#NAME?</v>
      </c>
      <c r="H8" s="36"/>
      <c r="J8" s="187"/>
      <c r="K8" s="141" t="s">
        <v>55</v>
      </c>
      <c r="L8" s="141" t="s">
        <v>69</v>
      </c>
      <c r="M8" s="141" t="s">
        <v>66</v>
      </c>
      <c r="N8" s="186" t="str">
        <f t="shared" si="4"/>
        <v>EUR3E6E21M</v>
      </c>
      <c r="O8" s="140" t="str">
        <v>EUR3E6E21M=ICAP</v>
      </c>
      <c r="P8" s="185" t="s">
        <v>109</v>
      </c>
      <c r="Q8" s="185" t="s">
        <v>109</v>
      </c>
      <c r="R8" s="185" t="e">
        <f ca="1">_xll.qlMidSafe(P8,Q8)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3E</v>
      </c>
      <c r="D9" s="86" t="str">
        <f t="shared" si="2"/>
        <v>6E</v>
      </c>
      <c r="E9" s="85" t="str">
        <f t="shared" si="3"/>
        <v>EUR3E6E2Y_Quote</v>
      </c>
      <c r="F9" s="85" t="e">
        <f ca="1">_xll.qlSimpleQuote(E9,,RateTickValue,Permanent,Trigger,ObjectOverwrite)</f>
        <v>#NAME?</v>
      </c>
      <c r="G9" s="42" t="e">
        <f ca="1">_xll.ohRangeRetrieveError(F9)</f>
        <v>#NAME?</v>
      </c>
      <c r="H9" s="36"/>
      <c r="J9" s="135"/>
      <c r="K9" s="141" t="s">
        <v>54</v>
      </c>
      <c r="L9" s="141" t="s">
        <v>69</v>
      </c>
      <c r="M9" s="141" t="s">
        <v>66</v>
      </c>
      <c r="N9" s="186" t="str">
        <f t="shared" si="4"/>
        <v>EUR3E6E2Y</v>
      </c>
      <c r="O9" s="140" t="str">
        <v>EUR3E6E2Y=ICAP</v>
      </c>
      <c r="P9" s="185">
        <v>8.4</v>
      </c>
      <c r="Q9" s="185">
        <v>9.4</v>
      </c>
      <c r="R9" s="185" t="e">
        <f ca="1">_xll.qlMidSafe(P9,Q9)</f>
        <v>#NAME?</v>
      </c>
      <c r="S9" s="185" t="e">
        <f t="shared" ca="1" si="5"/>
        <v>#NAME?</v>
      </c>
      <c r="T9" s="183"/>
      <c r="U9" s="182">
        <v>8.9</v>
      </c>
      <c r="V9" s="111"/>
      <c r="W9" s="181">
        <v>8.9</v>
      </c>
      <c r="X9" s="180" t="e">
        <f ca="1">_xll.qlSimpleQuoteSetValue(F9,ROUND(W9/10000,6),Trigger)</f>
        <v>#NAME?</v>
      </c>
      <c r="Y9" s="130"/>
    </row>
    <row r="10" spans="1:28" ht="11.25" customHeight="1" x14ac:dyDescent="0.2">
      <c r="A10" s="135"/>
      <c r="B10" s="86" t="str">
        <f t="shared" si="0"/>
        <v>3Y</v>
      </c>
      <c r="C10" s="86" t="str">
        <f t="shared" si="1"/>
        <v>3E</v>
      </c>
      <c r="D10" s="86" t="str">
        <f t="shared" si="2"/>
        <v>6E</v>
      </c>
      <c r="E10" s="85" t="str">
        <f t="shared" si="3"/>
        <v>EUR3E6E3Y_Quote</v>
      </c>
      <c r="F10" s="85" t="e">
        <f ca="1">_xll.qlSimpleQuote(E10,,RateTickValue,Permanent,Trigger,ObjectOverwrite)</f>
        <v>#NAME?</v>
      </c>
      <c r="G10" s="42" t="e">
        <f ca="1">_xll.ohRangeRetrieveError(F10)</f>
        <v>#NAME?</v>
      </c>
      <c r="H10" s="36"/>
      <c r="J10" s="135"/>
      <c r="K10" s="141" t="s">
        <v>53</v>
      </c>
      <c r="L10" s="141" t="s">
        <v>69</v>
      </c>
      <c r="M10" s="141" t="s">
        <v>66</v>
      </c>
      <c r="N10" s="186" t="str">
        <f t="shared" si="4"/>
        <v>EUR3E6E3Y</v>
      </c>
      <c r="O10" s="140" t="str">
        <v>EUR3E6E3Y=ICAP</v>
      </c>
      <c r="P10" s="185">
        <v>9.1999999999999993</v>
      </c>
      <c r="Q10" s="185">
        <v>10.199999999999999</v>
      </c>
      <c r="R10" s="185" t="e">
        <f ca="1">_xll.qlMidSafe(P10,Q10)</f>
        <v>#NAME?</v>
      </c>
      <c r="S10" s="185" t="e">
        <f t="shared" ca="1" si="5"/>
        <v>#NAME?</v>
      </c>
      <c r="T10" s="183"/>
      <c r="U10" s="182">
        <v>9.6999999999999993</v>
      </c>
      <c r="V10" s="111"/>
      <c r="W10" s="181">
        <v>9.6999999999999993</v>
      </c>
      <c r="X10" s="180" t="e">
        <f ca="1">_xll.qlSimpleQuoteSetValue(F10,ROUND(W10/10000,6),Trigger)</f>
        <v>#NAME?</v>
      </c>
      <c r="Y10" s="130"/>
    </row>
    <row r="11" spans="1:28" ht="11.25" customHeight="1" x14ac:dyDescent="0.2">
      <c r="A11" s="135"/>
      <c r="B11" s="86" t="str">
        <f t="shared" si="0"/>
        <v>4Y</v>
      </c>
      <c r="C11" s="86" t="str">
        <f t="shared" si="1"/>
        <v>3E</v>
      </c>
      <c r="D11" s="86" t="str">
        <f t="shared" si="2"/>
        <v>6E</v>
      </c>
      <c r="E11" s="85" t="str">
        <f t="shared" si="3"/>
        <v>EUR3E6E4Y_Quote</v>
      </c>
      <c r="F11" s="85" t="e">
        <f ca="1">_xll.qlSimpleQuote(E11,,RateTickValue,Permanent,Trigger,ObjectOverwrite)</f>
        <v>#NAME?</v>
      </c>
      <c r="G11" s="42" t="e">
        <f ca="1">_xll.ohRangeRetrieveError(F11)</f>
        <v>#NAME?</v>
      </c>
      <c r="H11" s="36"/>
      <c r="J11" s="135"/>
      <c r="K11" s="141" t="s">
        <v>52</v>
      </c>
      <c r="L11" s="141" t="s">
        <v>69</v>
      </c>
      <c r="M11" s="141" t="s">
        <v>66</v>
      </c>
      <c r="N11" s="186" t="str">
        <f t="shared" si="4"/>
        <v>EUR3E6E4Y</v>
      </c>
      <c r="O11" s="140" t="str">
        <v>EUR3E6E4Y=ICAP</v>
      </c>
      <c r="P11" s="185">
        <v>9.85</v>
      </c>
      <c r="Q11" s="185">
        <v>10.85</v>
      </c>
      <c r="R11" s="185" t="e">
        <f ca="1">_xll.qlMidSafe(P11,Q11)</f>
        <v>#NAME?</v>
      </c>
      <c r="S11" s="185" t="e">
        <f t="shared" ca="1" si="5"/>
        <v>#NAME?</v>
      </c>
      <c r="T11" s="183"/>
      <c r="U11" s="182">
        <v>10.35</v>
      </c>
      <c r="V11" s="111"/>
      <c r="W11" s="181">
        <v>10.35</v>
      </c>
      <c r="X11" s="180" t="e">
        <f ca="1">_xll.qlSimpleQuoteSetValue(F11,ROUND(W11/10000,6),Trigger)</f>
        <v>#NAME?</v>
      </c>
      <c r="Y11" s="130"/>
    </row>
    <row r="12" spans="1:28" ht="11.25" customHeight="1" x14ac:dyDescent="0.2">
      <c r="A12" s="135"/>
      <c r="B12" s="86" t="str">
        <f t="shared" si="0"/>
        <v>5Y</v>
      </c>
      <c r="C12" s="86" t="str">
        <f t="shared" si="1"/>
        <v>3E</v>
      </c>
      <c r="D12" s="86" t="str">
        <f t="shared" si="2"/>
        <v>6E</v>
      </c>
      <c r="E12" s="85" t="str">
        <f t="shared" si="3"/>
        <v>EUR3E6E5Y_Quote</v>
      </c>
      <c r="F12" s="85" t="e">
        <f ca="1">_xll.qlSimpleQuote(E12,,RateTickValue,Permanent,Trigger,ObjectOverwrite)</f>
        <v>#NAME?</v>
      </c>
      <c r="G12" s="42" t="e">
        <f ca="1">_xll.ohRangeRetrieveError(F12)</f>
        <v>#NAME?</v>
      </c>
      <c r="H12" s="36"/>
      <c r="J12" s="135"/>
      <c r="K12" s="141" t="s">
        <v>51</v>
      </c>
      <c r="L12" s="141" t="s">
        <v>69</v>
      </c>
      <c r="M12" s="141" t="s">
        <v>66</v>
      </c>
      <c r="N12" s="186" t="str">
        <f t="shared" si="4"/>
        <v>EUR3E6E5Y</v>
      </c>
      <c r="O12" s="140" t="str">
        <v>EUR3E6E5Y=ICAP</v>
      </c>
      <c r="P12" s="185">
        <v>10.4</v>
      </c>
      <c r="Q12" s="185">
        <v>11.4</v>
      </c>
      <c r="R12" s="185" t="e">
        <f ca="1">_xll.qlMidSafe(P12,Q12)</f>
        <v>#NAME?</v>
      </c>
      <c r="S12" s="185" t="e">
        <f t="shared" ca="1" si="5"/>
        <v>#NAME?</v>
      </c>
      <c r="T12" s="183"/>
      <c r="U12" s="182">
        <v>10.9</v>
      </c>
      <c r="V12" s="111"/>
      <c r="W12" s="181">
        <v>10.9</v>
      </c>
      <c r="X12" s="180" t="e">
        <f ca="1">_xll.qlSimpleQuoteSetValue(F12,ROUND(W12/10000,6),Trigger)</f>
        <v>#NAME?</v>
      </c>
      <c r="Y12" s="130"/>
    </row>
    <row r="13" spans="1:28" ht="11.25" customHeight="1" x14ac:dyDescent="0.2">
      <c r="A13" s="135"/>
      <c r="B13" s="86" t="str">
        <f t="shared" si="0"/>
        <v>6Y</v>
      </c>
      <c r="C13" s="86" t="str">
        <f t="shared" si="1"/>
        <v>3E</v>
      </c>
      <c r="D13" s="86" t="str">
        <f t="shared" si="2"/>
        <v>6E</v>
      </c>
      <c r="E13" s="85" t="str">
        <f t="shared" si="3"/>
        <v>EUR3E6E6Y_Quote</v>
      </c>
      <c r="F13" s="85" t="e">
        <f ca="1">_xll.qlSimpleQuote(E13,,RateTickValue,Permanent,Trigger,ObjectOverwrite)</f>
        <v>#NAME?</v>
      </c>
      <c r="G13" s="42" t="e">
        <f ca="1">_xll.ohRangeRetrieveError(F13)</f>
        <v>#NAME?</v>
      </c>
      <c r="H13" s="36"/>
      <c r="J13" s="135"/>
      <c r="K13" s="141" t="s">
        <v>50</v>
      </c>
      <c r="L13" s="141" t="s">
        <v>69</v>
      </c>
      <c r="M13" s="141" t="s">
        <v>66</v>
      </c>
      <c r="N13" s="186" t="str">
        <f t="shared" si="4"/>
        <v>EUR3E6E6Y</v>
      </c>
      <c r="O13" s="140" t="str">
        <v>EUR3E6E6Y=ICAP</v>
      </c>
      <c r="P13" s="185">
        <v>10.4</v>
      </c>
      <c r="Q13" s="185">
        <v>11.4</v>
      </c>
      <c r="R13" s="185" t="e">
        <f ca="1">_xll.qlMidSafe(P13,Q13)</f>
        <v>#NAME?</v>
      </c>
      <c r="S13" s="185" t="e">
        <f t="shared" ca="1" si="5"/>
        <v>#NAME?</v>
      </c>
      <c r="T13" s="183"/>
      <c r="U13" s="182">
        <v>10.9</v>
      </c>
      <c r="V13" s="111"/>
      <c r="W13" s="181">
        <v>10.9</v>
      </c>
      <c r="X13" s="180" t="e">
        <f ca="1">_xll.qlSimpleQuoteSetValue(F13,ROUND(W13/10000,6),Trigger)</f>
        <v>#NAME?</v>
      </c>
      <c r="Y13" s="130"/>
    </row>
    <row r="14" spans="1:28" ht="11.25" customHeight="1" x14ac:dyDescent="0.2">
      <c r="A14" s="135"/>
      <c r="B14" s="86" t="str">
        <f t="shared" si="0"/>
        <v>7Y</v>
      </c>
      <c r="C14" s="86" t="str">
        <f t="shared" si="1"/>
        <v>3E</v>
      </c>
      <c r="D14" s="86" t="str">
        <f t="shared" si="2"/>
        <v>6E</v>
      </c>
      <c r="E14" s="85" t="str">
        <f t="shared" si="3"/>
        <v>EUR3E6E7Y_Quote</v>
      </c>
      <c r="F14" s="85" t="e">
        <f ca="1">_xll.qlSimpleQuote(E14,,RateTickValue,Permanent,Trigger,ObjectOverwrite)</f>
        <v>#NAME?</v>
      </c>
      <c r="G14" s="42" t="e">
        <f ca="1">_xll.ohRangeRetrieveError(F14)</f>
        <v>#NAME?</v>
      </c>
      <c r="H14" s="36"/>
      <c r="J14" s="135"/>
      <c r="K14" s="141" t="s">
        <v>49</v>
      </c>
      <c r="L14" s="141" t="s">
        <v>69</v>
      </c>
      <c r="M14" s="141" t="s">
        <v>66</v>
      </c>
      <c r="N14" s="186" t="str">
        <f t="shared" si="4"/>
        <v>EUR3E6E7Y</v>
      </c>
      <c r="O14" s="140" t="str">
        <v>EUR3E6E7Y=ICAP</v>
      </c>
      <c r="P14" s="185">
        <v>10.199999999999999</v>
      </c>
      <c r="Q14" s="185">
        <v>11.2</v>
      </c>
      <c r="R14" s="185" t="e">
        <f ca="1">_xll.qlMidSafe(P14,Q14)</f>
        <v>#NAME?</v>
      </c>
      <c r="S14" s="185" t="e">
        <f t="shared" ca="1" si="5"/>
        <v>#NAME?</v>
      </c>
      <c r="T14" s="183"/>
      <c r="U14" s="182">
        <v>10.7</v>
      </c>
      <c r="V14" s="111"/>
      <c r="W14" s="181">
        <v>10.7</v>
      </c>
      <c r="X14" s="180" t="e">
        <f ca="1">_xll.qlSimpleQuoteSetValue(F14,ROUND(W14/10000,6),Trigger)</f>
        <v>#NAME?</v>
      </c>
      <c r="Y14" s="130"/>
    </row>
    <row r="15" spans="1:28" ht="11.25" customHeight="1" x14ac:dyDescent="0.2">
      <c r="A15" s="135"/>
      <c r="B15" s="86" t="str">
        <f t="shared" si="0"/>
        <v>8Y</v>
      </c>
      <c r="C15" s="86" t="str">
        <f t="shared" si="1"/>
        <v>3E</v>
      </c>
      <c r="D15" s="86" t="str">
        <f t="shared" si="2"/>
        <v>6E</v>
      </c>
      <c r="E15" s="85" t="str">
        <f t="shared" si="3"/>
        <v>EUR3E6E8Y_Quote</v>
      </c>
      <c r="F15" s="85" t="e">
        <f ca="1">_xll.qlSimpleQuote(E15,,RateTickValue,Permanent,Trigger,ObjectOverwrite)</f>
        <v>#NAME?</v>
      </c>
      <c r="G15" s="42" t="e">
        <f ca="1">_xll.ohRangeRetrieveError(F15)</f>
        <v>#NAME?</v>
      </c>
      <c r="H15" s="36"/>
      <c r="J15" s="135"/>
      <c r="K15" s="141" t="s">
        <v>48</v>
      </c>
      <c r="L15" s="141" t="s">
        <v>69</v>
      </c>
      <c r="M15" s="141" t="s">
        <v>66</v>
      </c>
      <c r="N15" s="186" t="str">
        <f t="shared" si="4"/>
        <v>EUR3E6E8Y</v>
      </c>
      <c r="O15" s="140" t="str">
        <v>EUR3E6E8Y=ICAP</v>
      </c>
      <c r="P15" s="185">
        <v>9.9</v>
      </c>
      <c r="Q15" s="185">
        <v>10.9</v>
      </c>
      <c r="R15" s="185" t="e">
        <f ca="1">_xll.qlMidSafe(P15,Q15)</f>
        <v>#NAME?</v>
      </c>
      <c r="S15" s="185" t="e">
        <f t="shared" ca="1" si="5"/>
        <v>#NAME?</v>
      </c>
      <c r="T15" s="183"/>
      <c r="U15" s="182">
        <v>10.4</v>
      </c>
      <c r="V15" s="111"/>
      <c r="W15" s="181">
        <v>10.4</v>
      </c>
      <c r="X15" s="180" t="e">
        <f ca="1">_xll.qlSimpleQuoteSetValue(F15,ROUND(W15/10000,6),Trigger)</f>
        <v>#NAME?</v>
      </c>
      <c r="Y15" s="130"/>
    </row>
    <row r="16" spans="1:28" ht="11.25" customHeight="1" x14ac:dyDescent="0.2">
      <c r="A16" s="135"/>
      <c r="B16" s="86" t="str">
        <f t="shared" si="0"/>
        <v>9Y</v>
      </c>
      <c r="C16" s="86" t="str">
        <f t="shared" si="1"/>
        <v>3E</v>
      </c>
      <c r="D16" s="86" t="str">
        <f t="shared" si="2"/>
        <v>6E</v>
      </c>
      <c r="E16" s="85" t="str">
        <f t="shared" si="3"/>
        <v>EUR3E6E9Y_Quote</v>
      </c>
      <c r="F16" s="85" t="e">
        <f ca="1">_xll.qlSimpleQuote(E16,,RateTickValue,Permanent,Trigger,ObjectOverwrite)</f>
        <v>#NAME?</v>
      </c>
      <c r="G16" s="42" t="e">
        <f ca="1">_xll.ohRangeRetrieveError(F16)</f>
        <v>#NAME?</v>
      </c>
      <c r="H16" s="36"/>
      <c r="J16" s="135"/>
      <c r="K16" s="141" t="s">
        <v>47</v>
      </c>
      <c r="L16" s="141" t="s">
        <v>69</v>
      </c>
      <c r="M16" s="141" t="s">
        <v>66</v>
      </c>
      <c r="N16" s="186" t="str">
        <f t="shared" si="4"/>
        <v>EUR3E6E9Y</v>
      </c>
      <c r="O16" s="140" t="str">
        <v>EUR3E6E9Y=ICAP</v>
      </c>
      <c r="P16" s="185">
        <v>9.5</v>
      </c>
      <c r="Q16" s="185">
        <v>10.5</v>
      </c>
      <c r="R16" s="185" t="e">
        <f ca="1">_xll.qlMidSafe(P16,Q16)</f>
        <v>#NAME?</v>
      </c>
      <c r="S16" s="185" t="e">
        <f t="shared" ca="1" si="5"/>
        <v>#NAME?</v>
      </c>
      <c r="T16" s="183"/>
      <c r="U16" s="182">
        <v>10</v>
      </c>
      <c r="V16" s="111"/>
      <c r="W16" s="181">
        <v>10</v>
      </c>
      <c r="X16" s="180" t="e">
        <f ca="1">_xll.qlSimpleQuoteSetValue(F16,ROUND(W16/10000,6),Trigger)</f>
        <v>#NAME?</v>
      </c>
      <c r="Y16" s="130"/>
    </row>
    <row r="17" spans="1:25" ht="11.25" customHeight="1" x14ac:dyDescent="0.2">
      <c r="A17" s="135"/>
      <c r="B17" s="86" t="str">
        <f t="shared" si="0"/>
        <v>10Y</v>
      </c>
      <c r="C17" s="86" t="str">
        <f t="shared" si="1"/>
        <v>3E</v>
      </c>
      <c r="D17" s="86" t="str">
        <f t="shared" si="2"/>
        <v>6E</v>
      </c>
      <c r="E17" s="85" t="str">
        <f t="shared" si="3"/>
        <v>EUR3E6E10Y_Quote</v>
      </c>
      <c r="F17" s="85" t="e">
        <f ca="1">_xll.qlSimpleQuote(E17,,RateTickValue,Permanent,Trigger,ObjectOverwrite)</f>
        <v>#NAME?</v>
      </c>
      <c r="G17" s="42" t="e">
        <f ca="1">_xll.ohRangeRetrieveError(F17)</f>
        <v>#NAME?</v>
      </c>
      <c r="H17" s="36"/>
      <c r="J17" s="135"/>
      <c r="K17" s="141" t="s">
        <v>46</v>
      </c>
      <c r="L17" s="141" t="s">
        <v>69</v>
      </c>
      <c r="M17" s="141" t="s">
        <v>66</v>
      </c>
      <c r="N17" s="186" t="str">
        <f t="shared" si="4"/>
        <v>EUR3E6E10Y</v>
      </c>
      <c r="O17" s="140" t="str">
        <v>EUR3E6E10Y=ICAP</v>
      </c>
      <c r="P17" s="185">
        <v>9.0500000000000007</v>
      </c>
      <c r="Q17" s="185">
        <v>10.050000000000001</v>
      </c>
      <c r="R17" s="185" t="e">
        <f ca="1">_xll.qlMidSafe(P17,Q17)</f>
        <v>#NAME?</v>
      </c>
      <c r="S17" s="185" t="e">
        <f t="shared" ca="1" si="5"/>
        <v>#NAME?</v>
      </c>
      <c r="T17" s="183"/>
      <c r="U17" s="182">
        <v>9.5500000000000007</v>
      </c>
      <c r="V17" s="111"/>
      <c r="W17" s="181">
        <v>9.5500000000000007</v>
      </c>
      <c r="X17" s="180" t="e">
        <f ca="1">_xll.qlSimpleQuoteSetValue(F17,ROUND(W17/10000,6),Trigger)</f>
        <v>#NAME?</v>
      </c>
      <c r="Y17" s="130"/>
    </row>
    <row r="18" spans="1:25" ht="11.25" customHeight="1" x14ac:dyDescent="0.2">
      <c r="A18" s="135"/>
      <c r="B18" s="86" t="str">
        <f t="shared" si="0"/>
        <v>11Y</v>
      </c>
      <c r="C18" s="86" t="str">
        <f t="shared" si="1"/>
        <v>3E</v>
      </c>
      <c r="D18" s="86" t="str">
        <f t="shared" si="2"/>
        <v>6E</v>
      </c>
      <c r="E18" s="85" t="str">
        <f t="shared" si="3"/>
        <v>EUR3E6E11Y_Quote</v>
      </c>
      <c r="F18" s="85" t="e">
        <f ca="1">_xll.qlSimpleQuote(E18,,RateTickValue,Permanent,Trigger,ObjectOverwrite)</f>
        <v>#NAME?</v>
      </c>
      <c r="G18" s="42" t="e">
        <f ca="1">_xll.ohRangeRetrieveError(F18)</f>
        <v>#NAME?</v>
      </c>
      <c r="H18" s="36"/>
      <c r="J18" s="135"/>
      <c r="K18" s="141" t="s">
        <v>45</v>
      </c>
      <c r="L18" s="141" t="s">
        <v>69</v>
      </c>
      <c r="M18" s="141" t="s">
        <v>66</v>
      </c>
      <c r="N18" s="186" t="str">
        <f t="shared" si="4"/>
        <v>EUR3E6E11Y</v>
      </c>
      <c r="O18" s="140" t="str">
        <v>EUR3E6E11Y=ICAP</v>
      </c>
      <c r="P18" s="185">
        <v>8.5500000000000007</v>
      </c>
      <c r="Q18" s="185">
        <v>9.5500000000000007</v>
      </c>
      <c r="R18" s="185" t="e">
        <f ca="1">_xll.qlMidSafe(P18,Q18)</f>
        <v>#NAME?</v>
      </c>
      <c r="S18" s="185" t="e">
        <f t="shared" ca="1" si="5"/>
        <v>#NAME?</v>
      </c>
      <c r="T18" s="183"/>
      <c r="U18" s="182">
        <v>9.0500000000000007</v>
      </c>
      <c r="V18" s="111"/>
      <c r="W18" s="181">
        <v>9.0500000000000007</v>
      </c>
      <c r="X18" s="180" t="e">
        <f ca="1">_xll.qlSimpleQuoteSetValue(F18,ROUND(W18/10000,6),Trigger)</f>
        <v>#NAME?</v>
      </c>
      <c r="Y18" s="130"/>
    </row>
    <row r="19" spans="1:25" ht="11.25" customHeight="1" x14ac:dyDescent="0.2">
      <c r="A19" s="135"/>
      <c r="B19" s="86" t="str">
        <f t="shared" si="0"/>
        <v>12Y</v>
      </c>
      <c r="C19" s="86" t="str">
        <f t="shared" si="1"/>
        <v>3E</v>
      </c>
      <c r="D19" s="86" t="str">
        <f t="shared" si="2"/>
        <v>6E</v>
      </c>
      <c r="E19" s="85" t="str">
        <f t="shared" si="3"/>
        <v>EUR3E6E12Y_Quote</v>
      </c>
      <c r="F19" s="85" t="e">
        <f ca="1">_xll.qlSimpleQuote(E19,,RateTickValue,Permanent,Trigger,ObjectOverwrite)</f>
        <v>#NAME?</v>
      </c>
      <c r="G19" s="42" t="e">
        <f ca="1">_xll.ohRangeRetrieveError(F19)</f>
        <v>#NAME?</v>
      </c>
      <c r="H19" s="36"/>
      <c r="J19" s="135"/>
      <c r="K19" s="141" t="s">
        <v>44</v>
      </c>
      <c r="L19" s="141" t="s">
        <v>69</v>
      </c>
      <c r="M19" s="141" t="s">
        <v>66</v>
      </c>
      <c r="N19" s="186" t="str">
        <f t="shared" si="4"/>
        <v>EUR3E6E12Y</v>
      </c>
      <c r="O19" s="140" t="str">
        <v>EUR3E6E12Y=ICAP</v>
      </c>
      <c r="P19" s="185">
        <v>8.1999999999999993</v>
      </c>
      <c r="Q19" s="185">
        <v>9.1999999999999993</v>
      </c>
      <c r="R19" s="185" t="e">
        <f ca="1">_xll.qlMidSafe(P19,Q19)</f>
        <v>#NAME?</v>
      </c>
      <c r="S19" s="185" t="e">
        <f t="shared" ca="1" si="5"/>
        <v>#NAME?</v>
      </c>
      <c r="T19" s="183"/>
      <c r="U19" s="182">
        <v>8.6999999999999993</v>
      </c>
      <c r="V19" s="111"/>
      <c r="W19" s="181">
        <v>8.6999999999999993</v>
      </c>
      <c r="X19" s="180" t="e">
        <f ca="1">_xll.qlSimpleQuoteSetValue(F19,ROUND(W19/10000,6),Trigger)</f>
        <v>#NAME?</v>
      </c>
      <c r="Y19" s="130"/>
    </row>
    <row r="20" spans="1:25" ht="11.25" customHeight="1" x14ac:dyDescent="0.2">
      <c r="A20" s="135"/>
      <c r="B20" s="86" t="str">
        <f t="shared" si="0"/>
        <v>13Y</v>
      </c>
      <c r="C20" s="86" t="str">
        <f t="shared" si="1"/>
        <v>3E</v>
      </c>
      <c r="D20" s="86" t="str">
        <f t="shared" si="2"/>
        <v>6E</v>
      </c>
      <c r="E20" s="85" t="str">
        <f t="shared" si="3"/>
        <v>EUR3E6E13Y_Quote</v>
      </c>
      <c r="F20" s="85" t="e">
        <f ca="1">_xll.qlSimpleQuote(E20,,RateTickValue,Permanent,Trigger,ObjectOverwrite)</f>
        <v>#NAME?</v>
      </c>
      <c r="G20" s="42" t="e">
        <f ca="1">_xll.ohRangeRetrieveError(F20)</f>
        <v>#NAME?</v>
      </c>
      <c r="H20" s="36"/>
      <c r="J20" s="135"/>
      <c r="K20" s="141" t="s">
        <v>43</v>
      </c>
      <c r="L20" s="141" t="s">
        <v>69</v>
      </c>
      <c r="M20" s="141" t="s">
        <v>66</v>
      </c>
      <c r="N20" s="186" t="str">
        <f t="shared" si="4"/>
        <v>EUR3E6E13Y</v>
      </c>
      <c r="O20" s="140" t="str">
        <v>EUR3E6E13Y=ICAP</v>
      </c>
      <c r="P20" s="185" t="s">
        <v>109</v>
      </c>
      <c r="Q20" s="185" t="s">
        <v>109</v>
      </c>
      <c r="R20" s="185" t="e">
        <f ca="1">_xll.qlMidSafe(P20,Q20)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3E</v>
      </c>
      <c r="D21" s="86" t="str">
        <f t="shared" si="2"/>
        <v>6E</v>
      </c>
      <c r="E21" s="85" t="str">
        <f t="shared" si="3"/>
        <v>EUR3E6E14Y_Quote</v>
      </c>
      <c r="F21" s="85" t="e">
        <f ca="1">_xll.qlSimpleQuote(E21,,RateTickValue,Permanent,Trigger,ObjectOverwrite)</f>
        <v>#NAME?</v>
      </c>
      <c r="G21" s="42" t="e">
        <f ca="1">_xll.ohRangeRetrieveError(F21)</f>
        <v>#NAME?</v>
      </c>
      <c r="H21" s="36"/>
      <c r="J21" s="135"/>
      <c r="K21" s="141" t="s">
        <v>42</v>
      </c>
      <c r="L21" s="141" t="s">
        <v>69</v>
      </c>
      <c r="M21" s="141" t="s">
        <v>66</v>
      </c>
      <c r="N21" s="186" t="str">
        <f t="shared" si="4"/>
        <v>EUR3E6E14Y</v>
      </c>
      <c r="O21" s="140" t="str">
        <v>EUR3E6E14Y=ICAP</v>
      </c>
      <c r="P21" s="185" t="s">
        <v>109</v>
      </c>
      <c r="Q21" s="185" t="s">
        <v>109</v>
      </c>
      <c r="R21" s="185" t="e">
        <f ca="1">_xll.qlMidSafe(P21,Q21)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3E</v>
      </c>
      <c r="D22" s="86" t="str">
        <f t="shared" si="2"/>
        <v>6E</v>
      </c>
      <c r="E22" s="85" t="str">
        <f t="shared" si="3"/>
        <v>EUR3E6E15Y_Quote</v>
      </c>
      <c r="F22" s="85" t="e">
        <f ca="1">_xll.qlSimpleQuote(E22,,RateTickValue,Permanent,Trigger,ObjectOverwrite)</f>
        <v>#NAME?</v>
      </c>
      <c r="G22" s="42" t="e">
        <f ca="1">_xll.ohRangeRetrieveError(F22)</f>
        <v>#NAME?</v>
      </c>
      <c r="H22" s="36"/>
      <c r="J22" s="135"/>
      <c r="K22" s="141" t="s">
        <v>41</v>
      </c>
      <c r="L22" s="141" t="s">
        <v>69</v>
      </c>
      <c r="M22" s="141" t="s">
        <v>66</v>
      </c>
      <c r="N22" s="186" t="str">
        <f t="shared" si="4"/>
        <v>EUR3E6E15Y</v>
      </c>
      <c r="O22" s="140" t="str">
        <v>EUR3E6E15Y=ICAP</v>
      </c>
      <c r="P22" s="185">
        <v>7.1</v>
      </c>
      <c r="Q22" s="185">
        <v>8.1</v>
      </c>
      <c r="R22" s="185" t="e">
        <f ca="1">_xll.qlMidSafe(P22,Q22)</f>
        <v>#NAME?</v>
      </c>
      <c r="S22" s="185" t="e">
        <f t="shared" ca="1" si="5"/>
        <v>#NAME?</v>
      </c>
      <c r="T22" s="183"/>
      <c r="U22" s="182">
        <v>7.6</v>
      </c>
      <c r="V22" s="111"/>
      <c r="W22" s="181">
        <v>7.6</v>
      </c>
      <c r="X22" s="180" t="e">
        <f ca="1">_xll.qlSimpleQuoteSetValue(F22,ROUND(W22/10000,6),Trigger)</f>
        <v>#NAME?</v>
      </c>
      <c r="Y22" s="130"/>
    </row>
    <row r="23" spans="1:25" ht="11.25" customHeight="1" x14ac:dyDescent="0.2">
      <c r="A23" s="135"/>
      <c r="B23" s="86" t="str">
        <f t="shared" si="0"/>
        <v>16Y</v>
      </c>
      <c r="C23" s="86" t="str">
        <f t="shared" si="1"/>
        <v>3E</v>
      </c>
      <c r="D23" s="86" t="str">
        <f t="shared" si="2"/>
        <v>6E</v>
      </c>
      <c r="E23" s="85" t="str">
        <f t="shared" si="3"/>
        <v>EUR3E6E16Y_Quote</v>
      </c>
      <c r="F23" s="85" t="e">
        <f ca="1">_xll.qlSimpleQuote(E23,,RateTickValue,Permanent,Trigger,ObjectOverwrite)</f>
        <v>#NAME?</v>
      </c>
      <c r="G23" s="42" t="e">
        <f ca="1">_xll.ohRangeRetrieveError(F23)</f>
        <v>#NAME?</v>
      </c>
      <c r="H23" s="36"/>
      <c r="J23" s="135"/>
      <c r="K23" s="141" t="s">
        <v>40</v>
      </c>
      <c r="L23" s="141" t="s">
        <v>69</v>
      </c>
      <c r="M23" s="141" t="s">
        <v>66</v>
      </c>
      <c r="N23" s="186" t="str">
        <f t="shared" si="4"/>
        <v>EUR3E6E16Y</v>
      </c>
      <c r="O23" s="140" t="str">
        <v>EUR3E6E16Y=ICAP</v>
      </c>
      <c r="P23" s="185" t="s">
        <v>109</v>
      </c>
      <c r="Q23" s="185" t="s">
        <v>109</v>
      </c>
      <c r="R23" s="185" t="e">
        <f ca="1">_xll.qlMidSafe(P23,Q23)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3E</v>
      </c>
      <c r="D24" s="86" t="str">
        <f t="shared" si="2"/>
        <v>6E</v>
      </c>
      <c r="E24" s="85" t="str">
        <f t="shared" si="3"/>
        <v>EUR3E6E17Y_Quote</v>
      </c>
      <c r="F24" s="85" t="e">
        <f ca="1">_xll.qlSimpleQuote(E24,,RateTickValue,Permanent,Trigger,ObjectOverwrite)</f>
        <v>#NAME?</v>
      </c>
      <c r="G24" s="42" t="e">
        <f ca="1">_xll.ohRangeRetrieveError(F24)</f>
        <v>#NAME?</v>
      </c>
      <c r="H24" s="36"/>
      <c r="J24" s="135"/>
      <c r="K24" s="141" t="s">
        <v>39</v>
      </c>
      <c r="L24" s="141" t="s">
        <v>69</v>
      </c>
      <c r="M24" s="141" t="s">
        <v>66</v>
      </c>
      <c r="N24" s="186" t="str">
        <f t="shared" si="4"/>
        <v>EUR3E6E17Y</v>
      </c>
      <c r="O24" s="140" t="str">
        <v>EUR3E6E17Y=ICAP</v>
      </c>
      <c r="P24" s="185" t="s">
        <v>109</v>
      </c>
      <c r="Q24" s="185" t="s">
        <v>109</v>
      </c>
      <c r="R24" s="185" t="e">
        <f ca="1">_xll.qlMidSafe(P24,Q24)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3E</v>
      </c>
      <c r="D25" s="86" t="str">
        <f t="shared" si="2"/>
        <v>6E</v>
      </c>
      <c r="E25" s="85" t="str">
        <f t="shared" si="3"/>
        <v>EUR3E6E18Y_Quote</v>
      </c>
      <c r="F25" s="85" t="e">
        <f ca="1">_xll.qlSimpleQuote(E25,,RateTickValue,Permanent,Trigger,ObjectOverwrite)</f>
        <v>#NAME?</v>
      </c>
      <c r="G25" s="42" t="e">
        <f ca="1">_xll.ohRangeRetrieveError(F25)</f>
        <v>#NAME?</v>
      </c>
      <c r="H25" s="36"/>
      <c r="J25" s="135"/>
      <c r="K25" s="141" t="s">
        <v>38</v>
      </c>
      <c r="L25" s="141" t="s">
        <v>69</v>
      </c>
      <c r="M25" s="141" t="s">
        <v>66</v>
      </c>
      <c r="N25" s="186" t="str">
        <f t="shared" si="4"/>
        <v>EUR3E6E18Y</v>
      </c>
      <c r="O25" s="140" t="str">
        <v>EUR3E6E18Y=ICAP</v>
      </c>
      <c r="P25" s="185" t="s">
        <v>109</v>
      </c>
      <c r="Q25" s="185" t="s">
        <v>109</v>
      </c>
      <c r="R25" s="185" t="e">
        <f ca="1">_xll.qlMidSafe(P25,Q25)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3E</v>
      </c>
      <c r="D26" s="86" t="str">
        <f t="shared" si="2"/>
        <v>6E</v>
      </c>
      <c r="E26" s="85" t="str">
        <f t="shared" si="3"/>
        <v>EUR3E6E19Y_Quote</v>
      </c>
      <c r="F26" s="85" t="e">
        <f ca="1">_xll.qlSimpleQuote(E26,,RateTickValue,Permanent,Trigger,ObjectOverwrite)</f>
        <v>#NAME?</v>
      </c>
      <c r="G26" s="42" t="e">
        <f ca="1">_xll.ohRangeRetrieveError(F26)</f>
        <v>#NAME?</v>
      </c>
      <c r="H26" s="36"/>
      <c r="J26" s="135"/>
      <c r="K26" s="141" t="s">
        <v>37</v>
      </c>
      <c r="L26" s="141" t="s">
        <v>69</v>
      </c>
      <c r="M26" s="141" t="s">
        <v>66</v>
      </c>
      <c r="N26" s="186" t="str">
        <f t="shared" si="4"/>
        <v>EUR3E6E19Y</v>
      </c>
      <c r="O26" s="140" t="str">
        <v>EUR3E6E19Y=ICAP</v>
      </c>
      <c r="P26" s="185" t="s">
        <v>109</v>
      </c>
      <c r="Q26" s="185" t="s">
        <v>109</v>
      </c>
      <c r="R26" s="185" t="e">
        <f ca="1">_xll.qlMidSafe(P26,Q26)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3E</v>
      </c>
      <c r="D27" s="86" t="str">
        <f t="shared" si="2"/>
        <v>6E</v>
      </c>
      <c r="E27" s="85" t="str">
        <f t="shared" si="3"/>
        <v>EUR3E6E20Y_Quote</v>
      </c>
      <c r="F27" s="85" t="e">
        <f ca="1">_xll.qlSimpleQuote(E27,,RateTickValue,Permanent,Trigger,ObjectOverwrite)</f>
        <v>#NAME?</v>
      </c>
      <c r="G27" s="42" t="e">
        <f ca="1">_xll.ohRangeRetrieveError(F27)</f>
        <v>#NAME?</v>
      </c>
      <c r="H27" s="36"/>
      <c r="J27" s="135"/>
      <c r="K27" s="141" t="s">
        <v>36</v>
      </c>
      <c r="L27" s="141" t="s">
        <v>69</v>
      </c>
      <c r="M27" s="141" t="s">
        <v>66</v>
      </c>
      <c r="N27" s="186" t="str">
        <f t="shared" si="4"/>
        <v>EUR3E6E20Y</v>
      </c>
      <c r="O27" s="140" t="str">
        <v>EUR3E6E20Y=ICAP</v>
      </c>
      <c r="P27" s="185">
        <v>5.9</v>
      </c>
      <c r="Q27" s="185">
        <v>6.9</v>
      </c>
      <c r="R27" s="185" t="e">
        <f ca="1">_xll.qlMidSafe(P27,Q27)</f>
        <v>#NAME?</v>
      </c>
      <c r="S27" s="185" t="e">
        <f t="shared" ca="1" si="5"/>
        <v>#NAME?</v>
      </c>
      <c r="T27" s="183"/>
      <c r="U27" s="182">
        <v>6.4</v>
      </c>
      <c r="V27" s="111"/>
      <c r="W27" s="181">
        <v>6.4</v>
      </c>
      <c r="X27" s="180" t="e">
        <f ca="1">_xll.qlSimpleQuoteSetValue(F27,ROUND(W27/10000,6),Trigger)</f>
        <v>#NAME?</v>
      </c>
      <c r="Y27" s="130"/>
    </row>
    <row r="28" spans="1:25" ht="11.25" customHeight="1" x14ac:dyDescent="0.2">
      <c r="A28" s="135"/>
      <c r="B28" s="86" t="str">
        <f t="shared" si="0"/>
        <v>21Y</v>
      </c>
      <c r="C28" s="86" t="str">
        <f t="shared" si="1"/>
        <v>3E</v>
      </c>
      <c r="D28" s="86" t="str">
        <f t="shared" si="2"/>
        <v>6E</v>
      </c>
      <c r="E28" s="85" t="str">
        <f t="shared" si="3"/>
        <v>EUR3E6E21Y_Quote</v>
      </c>
      <c r="F28" s="85" t="e">
        <f ca="1">_xll.qlSimpleQuote(E28,,RateTickValue,Permanent,Trigger,ObjectOverwrite)</f>
        <v>#NAME?</v>
      </c>
      <c r="G28" s="42" t="e">
        <f ca="1">_xll.ohRangeRetrieveError(F28)</f>
        <v>#NAME?</v>
      </c>
      <c r="H28" s="36"/>
      <c r="J28" s="135"/>
      <c r="K28" s="141" t="s">
        <v>35</v>
      </c>
      <c r="L28" s="141" t="s">
        <v>69</v>
      </c>
      <c r="M28" s="141" t="s">
        <v>66</v>
      </c>
      <c r="N28" s="186" t="str">
        <f t="shared" si="4"/>
        <v>EUR3E6E21Y</v>
      </c>
      <c r="O28" s="140" t="str">
        <v>EUR3E6E21Y=ICAP</v>
      </c>
      <c r="P28" s="185" t="s">
        <v>109</v>
      </c>
      <c r="Q28" s="185" t="s">
        <v>109</v>
      </c>
      <c r="R28" s="185" t="e">
        <f ca="1">_xll.qlMidSafe(P28,Q28)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3E</v>
      </c>
      <c r="D29" s="86" t="str">
        <f t="shared" si="2"/>
        <v>6E</v>
      </c>
      <c r="E29" s="85" t="str">
        <f t="shared" si="3"/>
        <v>EUR3E6E22Y_Quote</v>
      </c>
      <c r="F29" s="85" t="e">
        <f ca="1">_xll.qlSimpleQuote(E29,,RateTickValue,Permanent,Trigger,ObjectOverwrite)</f>
        <v>#NAME?</v>
      </c>
      <c r="G29" s="42" t="e">
        <f ca="1">_xll.ohRangeRetrieveError(F29)</f>
        <v>#NAME?</v>
      </c>
      <c r="H29" s="36"/>
      <c r="J29" s="135"/>
      <c r="K29" s="141" t="s">
        <v>34</v>
      </c>
      <c r="L29" s="141" t="s">
        <v>69</v>
      </c>
      <c r="M29" s="141" t="s">
        <v>66</v>
      </c>
      <c r="N29" s="186" t="str">
        <f t="shared" si="4"/>
        <v>EUR3E6E22Y</v>
      </c>
      <c r="O29" s="140" t="str">
        <v>EUR3E6E22Y=ICAP</v>
      </c>
      <c r="P29" s="185" t="s">
        <v>109</v>
      </c>
      <c r="Q29" s="185" t="s">
        <v>109</v>
      </c>
      <c r="R29" s="185" t="e">
        <f ca="1">_xll.qlMidSafe(P29,Q29)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3E</v>
      </c>
      <c r="D30" s="86" t="str">
        <f t="shared" si="2"/>
        <v>6E</v>
      </c>
      <c r="E30" s="85" t="str">
        <f t="shared" si="3"/>
        <v>EUR3E6E23Y_Quote</v>
      </c>
      <c r="F30" s="85" t="e">
        <f ca="1">_xll.qlSimpleQuote(E30,,RateTickValue,Permanent,Trigger,ObjectOverwrite)</f>
        <v>#NAME?</v>
      </c>
      <c r="G30" s="42" t="e">
        <f ca="1">_xll.ohRangeRetrieveError(F30)</f>
        <v>#NAME?</v>
      </c>
      <c r="H30" s="36"/>
      <c r="J30" s="135"/>
      <c r="K30" s="141" t="s">
        <v>33</v>
      </c>
      <c r="L30" s="141" t="s">
        <v>69</v>
      </c>
      <c r="M30" s="141" t="s">
        <v>66</v>
      </c>
      <c r="N30" s="186" t="str">
        <f t="shared" si="4"/>
        <v>EUR3E6E23Y</v>
      </c>
      <c r="O30" s="140" t="str">
        <v>EUR3E6E23Y=ICAP</v>
      </c>
      <c r="P30" s="185" t="s">
        <v>109</v>
      </c>
      <c r="Q30" s="185" t="s">
        <v>109</v>
      </c>
      <c r="R30" s="185" t="e">
        <f ca="1">_xll.qlMidSafe(P30,Q30)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3E</v>
      </c>
      <c r="D31" s="86" t="str">
        <f t="shared" si="2"/>
        <v>6E</v>
      </c>
      <c r="E31" s="85" t="str">
        <f t="shared" si="3"/>
        <v>EUR3E6E24Y_Quote</v>
      </c>
      <c r="F31" s="85" t="e">
        <f ca="1">_xll.qlSimpleQuote(E31,,RateTickValue,Permanent,Trigger,ObjectOverwrite)</f>
        <v>#NAME?</v>
      </c>
      <c r="G31" s="42" t="e">
        <f ca="1">_xll.ohRangeRetrieveError(F31)</f>
        <v>#NAME?</v>
      </c>
      <c r="H31" s="36"/>
      <c r="J31" s="135"/>
      <c r="K31" s="141" t="s">
        <v>32</v>
      </c>
      <c r="L31" s="141" t="s">
        <v>69</v>
      </c>
      <c r="M31" s="141" t="s">
        <v>66</v>
      </c>
      <c r="N31" s="186" t="str">
        <f t="shared" si="4"/>
        <v>EUR3E6E24Y</v>
      </c>
      <c r="O31" s="140" t="str">
        <v>EUR3E6E24Y=ICAP</v>
      </c>
      <c r="P31" s="185" t="s">
        <v>109</v>
      </c>
      <c r="Q31" s="185" t="s">
        <v>109</v>
      </c>
      <c r="R31" s="185" t="e">
        <f ca="1">_xll.qlMidSafe(P31,Q31)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3E</v>
      </c>
      <c r="D32" s="86" t="str">
        <f t="shared" si="2"/>
        <v>6E</v>
      </c>
      <c r="E32" s="85" t="str">
        <f t="shared" si="3"/>
        <v>EUR3E6E25Y_Quote</v>
      </c>
      <c r="F32" s="85" t="e">
        <f ca="1">_xll.qlSimpleQuote(E32,,RateTickValue,Permanent,Trigger,ObjectOverwrite)</f>
        <v>#NAME?</v>
      </c>
      <c r="G32" s="42" t="e">
        <f ca="1">_xll.ohRangeRetrieveError(F32)</f>
        <v>#NAME?</v>
      </c>
      <c r="H32" s="36"/>
      <c r="J32" s="135"/>
      <c r="K32" s="141" t="s">
        <v>31</v>
      </c>
      <c r="L32" s="141" t="s">
        <v>69</v>
      </c>
      <c r="M32" s="141" t="s">
        <v>66</v>
      </c>
      <c r="N32" s="186" t="str">
        <f t="shared" si="4"/>
        <v>EUR3E6E25Y</v>
      </c>
      <c r="O32" s="140" t="str">
        <v>EUR3E6E25Y=ICAP</v>
      </c>
      <c r="P32" s="185">
        <v>5</v>
      </c>
      <c r="Q32" s="185">
        <v>6</v>
      </c>
      <c r="R32" s="185" t="e">
        <f ca="1">_xll.qlMidSafe(P32,Q32)</f>
        <v>#NAME?</v>
      </c>
      <c r="S32" s="185" t="e">
        <f t="shared" ca="1" si="5"/>
        <v>#NAME?</v>
      </c>
      <c r="T32" s="183"/>
      <c r="U32" s="182">
        <v>5.5</v>
      </c>
      <c r="V32" s="111"/>
      <c r="W32" s="181">
        <v>5.5</v>
      </c>
      <c r="X32" s="180" t="e">
        <f ca="1">_xll.qlSimpleQuoteSetValue(F32,ROUND(W32/10000,6),Trigger)</f>
        <v>#NAME?</v>
      </c>
      <c r="Y32" s="130"/>
    </row>
    <row r="33" spans="1:25" ht="11.25" customHeight="1" x14ac:dyDescent="0.2">
      <c r="A33" s="135"/>
      <c r="B33" s="86" t="str">
        <f t="shared" si="0"/>
        <v>26Y</v>
      </c>
      <c r="C33" s="86" t="str">
        <f t="shared" si="1"/>
        <v>3E</v>
      </c>
      <c r="D33" s="86" t="str">
        <f t="shared" si="2"/>
        <v>6E</v>
      </c>
      <c r="E33" s="85" t="str">
        <f t="shared" si="3"/>
        <v>EUR3E6E26Y_Quote</v>
      </c>
      <c r="F33" s="85" t="e">
        <f ca="1">_xll.qlSimpleQuote(E33,,RateTickValue,Permanent,Trigger,ObjectOverwrite)</f>
        <v>#NAME?</v>
      </c>
      <c r="G33" s="42" t="e">
        <f ca="1">_xll.ohRangeRetrieveError(F33)</f>
        <v>#NAME?</v>
      </c>
      <c r="H33" s="36"/>
      <c r="J33" s="135"/>
      <c r="K33" s="141" t="s">
        <v>30</v>
      </c>
      <c r="L33" s="141" t="s">
        <v>69</v>
      </c>
      <c r="M33" s="141" t="s">
        <v>66</v>
      </c>
      <c r="N33" s="186" t="str">
        <f t="shared" si="4"/>
        <v>EUR3E6E26Y</v>
      </c>
      <c r="O33" s="140" t="str">
        <v>EUR3E6E26Y=ICAP</v>
      </c>
      <c r="P33" s="185" t="s">
        <v>109</v>
      </c>
      <c r="Q33" s="185" t="s">
        <v>109</v>
      </c>
      <c r="R33" s="185" t="e">
        <f ca="1">_xll.qlMidSafe(P33,Q33)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3E</v>
      </c>
      <c r="D34" s="86" t="str">
        <f t="shared" si="2"/>
        <v>6E</v>
      </c>
      <c r="E34" s="85" t="str">
        <f t="shared" si="3"/>
        <v>EUR3E6E27Y_Quote</v>
      </c>
      <c r="F34" s="85" t="e">
        <f ca="1">_xll.qlSimpleQuote(E34,,RateTickValue,Permanent,Trigger,ObjectOverwrite)</f>
        <v>#NAME?</v>
      </c>
      <c r="G34" s="42" t="e">
        <f ca="1">_xll.ohRangeRetrieveError(F34)</f>
        <v>#NAME?</v>
      </c>
      <c r="H34" s="36"/>
      <c r="J34" s="135"/>
      <c r="K34" s="141" t="s">
        <v>29</v>
      </c>
      <c r="L34" s="141" t="s">
        <v>69</v>
      </c>
      <c r="M34" s="141" t="s">
        <v>66</v>
      </c>
      <c r="N34" s="186" t="str">
        <f t="shared" si="4"/>
        <v>EUR3E6E27Y</v>
      </c>
      <c r="O34" s="140" t="str">
        <v>EUR3E6E27Y=ICAP</v>
      </c>
      <c r="P34" s="185" t="s">
        <v>109</v>
      </c>
      <c r="Q34" s="185" t="s">
        <v>109</v>
      </c>
      <c r="R34" s="185" t="e">
        <f ca="1">_xll.qlMidSafe(P34,Q34)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3E</v>
      </c>
      <c r="D35" s="86" t="str">
        <f t="shared" si="2"/>
        <v>6E</v>
      </c>
      <c r="E35" s="85" t="str">
        <f t="shared" si="3"/>
        <v>EUR3E6E28Y_Quote</v>
      </c>
      <c r="F35" s="85" t="e">
        <f ca="1">_xll.qlSimpleQuote(E35,,RateTickValue,Permanent,Trigger,ObjectOverwrite)</f>
        <v>#NAME?</v>
      </c>
      <c r="G35" s="42" t="e">
        <f ca="1">_xll.ohRangeRetrieveError(F35)</f>
        <v>#NAME?</v>
      </c>
      <c r="H35" s="36"/>
      <c r="J35" s="135"/>
      <c r="K35" s="141" t="s">
        <v>28</v>
      </c>
      <c r="L35" s="141" t="s">
        <v>69</v>
      </c>
      <c r="M35" s="141" t="s">
        <v>66</v>
      </c>
      <c r="N35" s="186" t="str">
        <f t="shared" si="4"/>
        <v>EUR3E6E28Y</v>
      </c>
      <c r="O35" s="140" t="str">
        <v>EUR3E6E28Y=ICAP</v>
      </c>
      <c r="P35" s="185" t="s">
        <v>109</v>
      </c>
      <c r="Q35" s="185" t="s">
        <v>109</v>
      </c>
      <c r="R35" s="185" t="e">
        <f ca="1">_xll.qlMidSafe(P35,Q35)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3E</v>
      </c>
      <c r="D36" s="86" t="str">
        <f t="shared" si="2"/>
        <v>6E</v>
      </c>
      <c r="E36" s="85" t="str">
        <f t="shared" si="3"/>
        <v>EUR3E6E29Y_Quote</v>
      </c>
      <c r="F36" s="85" t="e">
        <f ca="1">_xll.qlSimpleQuote(E36,,RateTickValue,Permanent,Trigger,ObjectOverwrite)</f>
        <v>#NAME?</v>
      </c>
      <c r="G36" s="42" t="e">
        <f ca="1">_xll.ohRangeRetrieveError(F36)</f>
        <v>#NAME?</v>
      </c>
      <c r="H36" s="36"/>
      <c r="J36" s="135"/>
      <c r="K36" s="141" t="s">
        <v>27</v>
      </c>
      <c r="L36" s="141" t="s">
        <v>69</v>
      </c>
      <c r="M36" s="141" t="s">
        <v>66</v>
      </c>
      <c r="N36" s="186" t="str">
        <f t="shared" si="4"/>
        <v>EUR3E6E29Y</v>
      </c>
      <c r="O36" s="140" t="str">
        <v>EUR3E6E29Y=ICAP</v>
      </c>
      <c r="P36" s="185" t="s">
        <v>109</v>
      </c>
      <c r="Q36" s="185" t="s">
        <v>109</v>
      </c>
      <c r="R36" s="185" t="e">
        <f ca="1">_xll.qlMidSafe(P36,Q36)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3E</v>
      </c>
      <c r="D37" s="86" t="str">
        <f t="shared" si="2"/>
        <v>6E</v>
      </c>
      <c r="E37" s="85" t="str">
        <f t="shared" si="3"/>
        <v>EUR3E6E30Y_Quote</v>
      </c>
      <c r="F37" s="85" t="e">
        <f ca="1">_xll.qlSimpleQuote(E37,,RateTickValue,Permanent,Trigger,ObjectOverwrite)</f>
        <v>#NAME?</v>
      </c>
      <c r="G37" s="42" t="e">
        <f ca="1">_xll.ohRangeRetrieveError(F37)</f>
        <v>#NAME?</v>
      </c>
      <c r="H37" s="36"/>
      <c r="J37" s="135"/>
      <c r="K37" s="141" t="s">
        <v>26</v>
      </c>
      <c r="L37" s="141" t="s">
        <v>69</v>
      </c>
      <c r="M37" s="141" t="s">
        <v>66</v>
      </c>
      <c r="N37" s="186" t="str">
        <f t="shared" si="4"/>
        <v>EUR3E6E30Y</v>
      </c>
      <c r="O37" s="140" t="str">
        <v>EUR3E6E30Y=ICAP</v>
      </c>
      <c r="P37" s="185">
        <v>4.4000000000000004</v>
      </c>
      <c r="Q37" s="185">
        <v>5.4</v>
      </c>
      <c r="R37" s="185" t="e">
        <f ca="1">_xll.qlMidSafe(P37,Q37)</f>
        <v>#NAME?</v>
      </c>
      <c r="S37" s="185" t="e">
        <f t="shared" ca="1" si="5"/>
        <v>#NAME?</v>
      </c>
      <c r="T37" s="183"/>
      <c r="U37" s="182">
        <v>4.9000000000000004</v>
      </c>
      <c r="V37" s="111"/>
      <c r="W37" s="181">
        <v>4.9000000000000004</v>
      </c>
      <c r="X37" s="180" t="e">
        <f ca="1">_xll.qlSimpleQuoteSetValue(F37,ROUND(W37/10000,6),Trigger)</f>
        <v>#NAME?</v>
      </c>
      <c r="Y37" s="130"/>
    </row>
    <row r="38" spans="1:25" ht="11.25" customHeight="1" x14ac:dyDescent="0.2">
      <c r="A38" s="135"/>
      <c r="B38" s="86" t="str">
        <f t="shared" si="0"/>
        <v>35Y</v>
      </c>
      <c r="C38" s="86" t="str">
        <f t="shared" si="1"/>
        <v>3E</v>
      </c>
      <c r="D38" s="86" t="str">
        <f t="shared" si="2"/>
        <v>6E</v>
      </c>
      <c r="E38" s="85" t="str">
        <f t="shared" si="3"/>
        <v>EUR3E6E35Y_Quote</v>
      </c>
      <c r="F38" s="85" t="e">
        <f ca="1">_xll.qlSimpleQuote(E38,,RateTickValue,Permanent,Trigger,ObjectOverwrite)</f>
        <v>#NAME?</v>
      </c>
      <c r="G38" s="42" t="e">
        <f ca="1">_xll.ohRangeRetrieveError(F38)</f>
        <v>#NAME?</v>
      </c>
      <c r="H38" s="36"/>
      <c r="J38" s="135"/>
      <c r="K38" s="141" t="s">
        <v>25</v>
      </c>
      <c r="L38" s="141" t="s">
        <v>69</v>
      </c>
      <c r="M38" s="141" t="s">
        <v>66</v>
      </c>
      <c r="N38" s="186" t="str">
        <f t="shared" si="4"/>
        <v>EUR3E6E35Y</v>
      </c>
      <c r="O38" s="140" t="str">
        <v>EUR3E6E35Y=ICAP</v>
      </c>
      <c r="P38" s="185" t="s">
        <v>109</v>
      </c>
      <c r="Q38" s="185" t="s">
        <v>109</v>
      </c>
      <c r="R38" s="185" t="e">
        <f ca="1">_xll.qlMidSafe(P38,Q38)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3E</v>
      </c>
      <c r="D39" s="86" t="str">
        <f t="shared" si="2"/>
        <v>6E</v>
      </c>
      <c r="E39" s="85" t="str">
        <f t="shared" si="3"/>
        <v>EUR3E6E40Y_Quote</v>
      </c>
      <c r="F39" s="85" t="e">
        <f ca="1">_xll.qlSimpleQuote(E39,,RateTickValue,Permanent,Trigger,ObjectOverwrite)</f>
        <v>#NAME?</v>
      </c>
      <c r="G39" s="42" t="e">
        <f ca="1">_xll.ohRangeRetrieveError(F39)</f>
        <v>#NAME?</v>
      </c>
      <c r="H39" s="36"/>
      <c r="J39" s="135"/>
      <c r="K39" s="141" t="s">
        <v>24</v>
      </c>
      <c r="L39" s="141" t="s">
        <v>69</v>
      </c>
      <c r="M39" s="141" t="s">
        <v>66</v>
      </c>
      <c r="N39" s="186" t="str">
        <f t="shared" si="4"/>
        <v>EUR3E6E40Y</v>
      </c>
      <c r="O39" s="140" t="str">
        <v>EUR3E6E40Y=ICAP</v>
      </c>
      <c r="P39" s="185">
        <v>3.55</v>
      </c>
      <c r="Q39" s="185">
        <v>4.55</v>
      </c>
      <c r="R39" s="185" t="e">
        <f ca="1">_xll.qlMidSafe(P39,Q39)</f>
        <v>#NAME?</v>
      </c>
      <c r="S39" s="185" t="e">
        <f t="shared" ca="1" si="5"/>
        <v>#NAME?</v>
      </c>
      <c r="T39" s="183"/>
      <c r="U39" s="182">
        <v>4.05</v>
      </c>
      <c r="V39" s="111"/>
      <c r="W39" s="181">
        <v>4.05</v>
      </c>
      <c r="X39" s="180" t="e">
        <f ca="1">_xll.qlSimpleQuoteSetValue(F39,ROUND(W39/10000,6),Trigger)</f>
        <v>#NAME?</v>
      </c>
      <c r="Y39" s="130"/>
    </row>
    <row r="40" spans="1:25" ht="11.25" customHeight="1" x14ac:dyDescent="0.2">
      <c r="A40" s="135"/>
      <c r="B40" s="86" t="str">
        <f t="shared" si="0"/>
        <v>50Y</v>
      </c>
      <c r="C40" s="86" t="str">
        <f t="shared" si="1"/>
        <v>3E</v>
      </c>
      <c r="D40" s="86" t="str">
        <f t="shared" si="2"/>
        <v>6E</v>
      </c>
      <c r="E40" s="85" t="str">
        <f t="shared" si="3"/>
        <v>EUR3E6E50Y_Quote</v>
      </c>
      <c r="F40" s="85" t="e">
        <f ca="1">_xll.qlSimpleQuote(E40,,RateTickValue,Permanent,Trigger,ObjectOverwrite)</f>
        <v>#NAME?</v>
      </c>
      <c r="G40" s="42" t="e">
        <f ca="1">_xll.ohRangeRetrieveError(F40)</f>
        <v>#NAME?</v>
      </c>
      <c r="H40" s="36"/>
      <c r="J40" s="135"/>
      <c r="K40" s="141" t="s">
        <v>23</v>
      </c>
      <c r="L40" s="141" t="s">
        <v>69</v>
      </c>
      <c r="M40" s="141" t="s">
        <v>66</v>
      </c>
      <c r="N40" s="186" t="str">
        <f t="shared" si="4"/>
        <v>EUR3E6E50Y</v>
      </c>
      <c r="O40" s="140" t="str">
        <v>EUR3E6E50Y=ICAP</v>
      </c>
      <c r="P40" s="185">
        <v>3.05</v>
      </c>
      <c r="Q40" s="185">
        <v>4.05</v>
      </c>
      <c r="R40" s="185" t="e">
        <f ca="1">_xll.qlMidSafe(P40,Q40)</f>
        <v>#NAME?</v>
      </c>
      <c r="S40" s="185" t="e">
        <f t="shared" ca="1" si="5"/>
        <v>#NAME?</v>
      </c>
      <c r="T40" s="183"/>
      <c r="U40" s="182">
        <v>3.55</v>
      </c>
      <c r="V40" s="111"/>
      <c r="W40" s="181">
        <v>3.55</v>
      </c>
      <c r="X40" s="180" t="e">
        <f ca="1">_xll.qlSimpleQuoteSetValue(F40,ROUND(W40/10000,6),Trigger)</f>
        <v>#NAME?</v>
      </c>
      <c r="Y40" s="130"/>
    </row>
    <row r="41" spans="1:25" ht="11.25" customHeight="1" x14ac:dyDescent="0.2">
      <c r="A41" s="135"/>
      <c r="B41" s="75" t="str">
        <f t="shared" si="0"/>
        <v>60Y</v>
      </c>
      <c r="C41" s="75" t="str">
        <f t="shared" si="1"/>
        <v>3E</v>
      </c>
      <c r="D41" s="75" t="str">
        <f t="shared" si="2"/>
        <v>6E</v>
      </c>
      <c r="E41" s="74" t="str">
        <f t="shared" si="3"/>
        <v>EUR3E6E60Y_Quote</v>
      </c>
      <c r="F41" s="74" t="e">
        <f ca="1">_xll.qlSimpleQuote(E41,,RateTickValue,Permanent,Trigger,ObjectOverwrite)</f>
        <v>#NAME?</v>
      </c>
      <c r="G41" s="37" t="e">
        <f ca="1">_xll.ohRangeRetrieveError(F41)</f>
        <v>#NAME?</v>
      </c>
      <c r="H41" s="36"/>
      <c r="J41" s="135"/>
      <c r="K41" s="141" t="s">
        <v>22</v>
      </c>
      <c r="L41" s="141" t="s">
        <v>69</v>
      </c>
      <c r="M41" s="141" t="s">
        <v>66</v>
      </c>
      <c r="N41" s="186" t="str">
        <f t="shared" si="4"/>
        <v>EUR3E6E60Y</v>
      </c>
      <c r="O41" s="140" t="str">
        <v>EUR3E6E60Y=ICAP</v>
      </c>
      <c r="P41" s="185">
        <v>2.7</v>
      </c>
      <c r="Q41" s="185">
        <v>3.7</v>
      </c>
      <c r="R41" s="185" t="e">
        <f ca="1">_xll.qlMidSafe(P41,Q41)</f>
        <v>#NAME?</v>
      </c>
      <c r="S41" s="184" t="e">
        <f t="shared" ca="1" si="5"/>
        <v>#NAME?</v>
      </c>
      <c r="T41" s="183"/>
      <c r="U41" s="182">
        <v>3.2</v>
      </c>
      <c r="V41" s="111"/>
      <c r="W41" s="181">
        <v>3.2</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horizontalDpi="300" verticalDpi="300"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AB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191"/>
      <c r="B1" s="109"/>
      <c r="C1" s="109"/>
      <c r="D1" s="109"/>
      <c r="E1" s="109"/>
      <c r="F1" s="109"/>
      <c r="G1" s="109"/>
      <c r="H1" s="120"/>
      <c r="J1" s="153" t="s">
        <v>114</v>
      </c>
      <c r="K1" s="123"/>
      <c r="L1" s="123"/>
      <c r="M1" s="123"/>
      <c r="N1" s="123"/>
      <c r="O1" s="123"/>
      <c r="P1" s="123"/>
      <c r="Q1" s="123"/>
      <c r="R1" s="123"/>
      <c r="S1" s="123"/>
      <c r="T1" s="123"/>
      <c r="U1" s="123"/>
      <c r="V1" s="123"/>
      <c r="W1" s="123"/>
      <c r="X1" s="123"/>
      <c r="Y1" s="171"/>
    </row>
    <row r="2" spans="1:28" ht="11.25" customHeight="1" x14ac:dyDescent="0.25">
      <c r="A2" s="109"/>
      <c r="B2" s="109"/>
      <c r="C2" s="109"/>
      <c r="D2" s="109"/>
      <c r="E2" s="109"/>
      <c r="F2" s="109"/>
      <c r="G2" s="109"/>
      <c r="H2" s="120"/>
      <c r="J2" s="113"/>
      <c r="K2" s="110"/>
      <c r="L2" s="111"/>
      <c r="M2" s="111"/>
      <c r="N2" s="111"/>
      <c r="O2" s="119" t="str">
        <f>VLOOKUP(J1,AreaTable,2,FALSE)</f>
        <v>ICAP</v>
      </c>
      <c r="P2" s="111"/>
      <c r="Q2" s="111"/>
      <c r="R2" s="111"/>
      <c r="S2" s="111"/>
      <c r="T2" s="111"/>
      <c r="U2" s="111"/>
      <c r="V2" s="111"/>
      <c r="W2" s="111"/>
      <c r="X2" s="118" t="e">
        <f ca="1">_xll.ohTrigger(X5:X41)</f>
        <v>#NAME?</v>
      </c>
      <c r="Y2" s="36"/>
      <c r="AA2" s="1361" t="s">
        <v>529</v>
      </c>
      <c r="AB2" s="1364" t="e">
        <f ca="1">_xll.ohTrigger('General Settings'!Trigger)</f>
        <v>#NAME?</v>
      </c>
    </row>
    <row r="3" spans="1:28" ht="11.25" customHeight="1" thickBot="1" x14ac:dyDescent="0.3">
      <c r="A3" s="190"/>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_xll.ohTrigger(X5:X41)</f>
        <v>#NAME?</v>
      </c>
    </row>
    <row r="4" spans="1:28" s="99" customFormat="1" ht="21" customHeight="1" x14ac:dyDescent="0.25">
      <c r="A4" s="106"/>
      <c r="B4" s="52" t="s">
        <v>107</v>
      </c>
      <c r="C4" s="52"/>
      <c r="D4" s="52"/>
      <c r="E4" s="51" t="s">
        <v>91</v>
      </c>
      <c r="F4" s="51" t="s">
        <v>90</v>
      </c>
      <c r="G4" s="50" t="s">
        <v>59</v>
      </c>
      <c r="H4" s="100"/>
      <c r="J4" s="106"/>
      <c r="K4" s="52"/>
      <c r="L4" s="50"/>
      <c r="M4" s="50"/>
      <c r="N4" s="50" t="s">
        <v>101</v>
      </c>
      <c r="O4" s="189" t="e">
        <f ca="1">_xll.RData(O5:O41,P4:Q4,,ReutersRtMode,,P5)</f>
        <v>#NAME?</v>
      </c>
      <c r="P4" s="50" t="s">
        <v>84</v>
      </c>
      <c r="Q4" s="50" t="s">
        <v>83</v>
      </c>
      <c r="R4" s="188" t="s">
        <v>106</v>
      </c>
      <c r="S4" s="188" t="s">
        <v>79</v>
      </c>
      <c r="T4" s="102"/>
      <c r="U4" s="50" t="s">
        <v>78</v>
      </c>
      <c r="V4" s="179"/>
      <c r="W4" s="52" t="s">
        <v>77</v>
      </c>
      <c r="X4" s="50" t="s">
        <v>76</v>
      </c>
      <c r="Y4" s="100"/>
    </row>
    <row r="5" spans="1:28" ht="11.25" customHeight="1" x14ac:dyDescent="0.2">
      <c r="A5" s="135"/>
      <c r="B5" s="86" t="str">
        <f t="shared" ref="B5:B41" si="0">K5</f>
        <v>1Y</v>
      </c>
      <c r="C5" s="86" t="str">
        <f t="shared" ref="C5:C41" si="1">L5</f>
        <v>6E</v>
      </c>
      <c r="D5" s="86" t="str">
        <f t="shared" ref="D5:D41" si="2">M5</f>
        <v>12E</v>
      </c>
      <c r="E5" s="85" t="str">
        <f t="shared" ref="E5:E41" si="3">IF(ISBLANK(C5),"#",Currency&amp;$C5&amp;$D5&amp;$B5&amp;QuoteSuffix)</f>
        <v>EUR6E12E1Y_Quote</v>
      </c>
      <c r="F5" s="85" t="e">
        <f ca="1">_xll.qlSimpleQuote(E5,,RateTickValue,Permanent,Trigger,ObjectOverwrite)</f>
        <v>#NAME?</v>
      </c>
      <c r="G5" s="42" t="e">
        <f ca="1">_xll.ohRangeRetrieveError(F5)</f>
        <v>#NAME?</v>
      </c>
      <c r="H5" s="36"/>
      <c r="J5" s="187"/>
      <c r="K5" s="141" t="s">
        <v>58</v>
      </c>
      <c r="L5" s="141" t="s">
        <v>66</v>
      </c>
      <c r="M5" s="141" t="s">
        <v>20</v>
      </c>
      <c r="N5" s="186" t="str">
        <f t="shared" ref="N5:N41" si="4">Currency&amp;$L5&amp;$M5&amp;$K5</f>
        <v>EUR6E12E1Y</v>
      </c>
      <c r="O5" s="140" t="str">
        <f t="array" ref="O5:O41">Instruments&amp;"="&amp;VLOOKUP(Contributor,ContributorTable,2,FALSE)</f>
        <v>EUR6E12E1Y=ICAP</v>
      </c>
      <c r="P5" s="185">
        <v>11.9</v>
      </c>
      <c r="Q5" s="185">
        <v>0</v>
      </c>
      <c r="R5" s="185" t="e">
        <f ca="1">_xll.qlMidEquivalent(P5,Q5)</f>
        <v>#NAME?</v>
      </c>
      <c r="S5" s="185" t="e">
        <f t="shared" ref="S5:S41" ca="1" si="5">(R5-P5)*2</f>
        <v>#NAME?</v>
      </c>
      <c r="T5" s="183"/>
      <c r="U5" s="182">
        <v>11.9</v>
      </c>
      <c r="V5" s="111"/>
      <c r="W5" s="181">
        <f t="array" ref="W5:W41">QuoteStatic</f>
        <v>11.9</v>
      </c>
      <c r="X5" s="180" t="e">
        <f ca="1">_xll.qlSimpleQuoteSetValue(F5,ROUND(W5/10000,6),Trigger)</f>
        <v>#NAME?</v>
      </c>
      <c r="Y5" s="130"/>
    </row>
    <row r="6" spans="1:28" ht="11.25" customHeight="1" x14ac:dyDescent="0.2">
      <c r="A6" s="135"/>
      <c r="B6" s="86" t="str">
        <f t="shared" si="0"/>
        <v>15M</v>
      </c>
      <c r="C6" s="86" t="str">
        <f t="shared" si="1"/>
        <v>6E</v>
      </c>
      <c r="D6" s="86" t="str">
        <f t="shared" si="2"/>
        <v>12E</v>
      </c>
      <c r="E6" s="85" t="str">
        <f t="shared" si="3"/>
        <v>EUR6E12E15M_Quote</v>
      </c>
      <c r="F6" s="85" t="e">
        <f ca="1">_xll.qlSimpleQuote(E6,,RateTickValue,Permanent,Trigger,ObjectOverwrite)</f>
        <v>#NAME?</v>
      </c>
      <c r="G6" s="42" t="e">
        <f ca="1">_xll.ohRangeRetrieveError(F6)</f>
        <v>#NAME?</v>
      </c>
      <c r="H6" s="36"/>
      <c r="J6" s="187"/>
      <c r="K6" s="141" t="s">
        <v>57</v>
      </c>
      <c r="L6" s="141" t="s">
        <v>66</v>
      </c>
      <c r="M6" s="141" t="s">
        <v>20</v>
      </c>
      <c r="N6" s="186" t="str">
        <f t="shared" si="4"/>
        <v>EUR6E12E15M</v>
      </c>
      <c r="O6" s="140" t="str">
        <v>EUR6E12E15M=ICAP</v>
      </c>
      <c r="P6" s="185" t="s">
        <v>109</v>
      </c>
      <c r="Q6" s="185" t="s">
        <v>109</v>
      </c>
      <c r="R6" s="185" t="e">
        <f ca="1">_xll.qlMidEquivalent(P6,Q6)</f>
        <v>#NAME?</v>
      </c>
      <c r="S6" s="185" t="e">
        <f t="shared" ca="1" si="5"/>
        <v>#NAME?</v>
      </c>
      <c r="T6" s="183"/>
      <c r="U6" s="182" t="e">
        <v>#NUM!</v>
      </c>
      <c r="V6" s="111"/>
      <c r="W6" s="181" t="e">
        <v>#NUM!</v>
      </c>
      <c r="X6" s="180" t="e">
        <f ca="1">_xll.qlSimpleQuoteSetValue(F6,ROUND(W6/10000,6),Trigger)</f>
        <v>#NAME?</v>
      </c>
      <c r="Y6" s="130"/>
    </row>
    <row r="7" spans="1:28" ht="11.25" customHeight="1" x14ac:dyDescent="0.2">
      <c r="A7" s="135"/>
      <c r="B7" s="86" t="str">
        <f t="shared" si="0"/>
        <v>18M</v>
      </c>
      <c r="C7" s="86" t="str">
        <f t="shared" si="1"/>
        <v>6E</v>
      </c>
      <c r="D7" s="86" t="str">
        <f t="shared" si="2"/>
        <v>12E</v>
      </c>
      <c r="E7" s="85" t="str">
        <f t="shared" si="3"/>
        <v>EUR6E12E18M_Quote</v>
      </c>
      <c r="F7" s="85" t="e">
        <f ca="1">_xll.qlSimpleQuote(E7,,RateTickValue,Permanent,Trigger,ObjectOverwrite)</f>
        <v>#NAME?</v>
      </c>
      <c r="G7" s="42" t="e">
        <f ca="1">_xll.ohRangeRetrieveError(F7)</f>
        <v>#NAME?</v>
      </c>
      <c r="H7" s="36"/>
      <c r="J7" s="187"/>
      <c r="K7" s="141" t="s">
        <v>56</v>
      </c>
      <c r="L7" s="141" t="s">
        <v>66</v>
      </c>
      <c r="M7" s="141" t="s">
        <v>20</v>
      </c>
      <c r="N7" s="186" t="str">
        <f t="shared" si="4"/>
        <v>EUR6E12E18M</v>
      </c>
      <c r="O7" s="140" t="str">
        <v>EUR6E12E18M=ICAP</v>
      </c>
      <c r="P7" s="185" t="s">
        <v>109</v>
      </c>
      <c r="Q7" s="185" t="s">
        <v>109</v>
      </c>
      <c r="R7" s="185" t="e">
        <f ca="1">_xll.qlMidEquivalent(P7,Q7)</f>
        <v>#NAME?</v>
      </c>
      <c r="S7" s="185" t="e">
        <f t="shared" ca="1" si="5"/>
        <v>#NAME?</v>
      </c>
      <c r="T7" s="183"/>
      <c r="U7" s="182" t="e">
        <v>#NUM!</v>
      </c>
      <c r="V7" s="111"/>
      <c r="W7" s="181" t="e">
        <v>#NUM!</v>
      </c>
      <c r="X7" s="180" t="e">
        <f ca="1">_xll.qlSimpleQuoteSetValue(F7,ROUND(W7/10000,6),Trigger)</f>
        <v>#NAME?</v>
      </c>
      <c r="Y7" s="130"/>
    </row>
    <row r="8" spans="1:28" ht="11.25" customHeight="1" x14ac:dyDescent="0.2">
      <c r="A8" s="135"/>
      <c r="B8" s="86" t="str">
        <f t="shared" si="0"/>
        <v>21M</v>
      </c>
      <c r="C8" s="86" t="str">
        <f t="shared" si="1"/>
        <v>6E</v>
      </c>
      <c r="D8" s="86" t="str">
        <f t="shared" si="2"/>
        <v>12E</v>
      </c>
      <c r="E8" s="85" t="str">
        <f t="shared" si="3"/>
        <v>EUR6E12E21M_Quote</v>
      </c>
      <c r="F8" s="85" t="e">
        <f ca="1">_xll.qlSimpleQuote(E8,,RateTickValue,Permanent,Trigger,ObjectOverwrite)</f>
        <v>#NAME?</v>
      </c>
      <c r="G8" s="42" t="e">
        <f ca="1">_xll.ohRangeRetrieveError(F8)</f>
        <v>#NAME?</v>
      </c>
      <c r="H8" s="36"/>
      <c r="J8" s="187"/>
      <c r="K8" s="141" t="s">
        <v>55</v>
      </c>
      <c r="L8" s="141" t="s">
        <v>66</v>
      </c>
      <c r="M8" s="141" t="s">
        <v>20</v>
      </c>
      <c r="N8" s="186" t="str">
        <f t="shared" si="4"/>
        <v>EUR6E12E21M</v>
      </c>
      <c r="O8" s="140" t="str">
        <v>EUR6E12E21M=ICAP</v>
      </c>
      <c r="P8" s="185" t="s">
        <v>109</v>
      </c>
      <c r="Q8" s="185" t="s">
        <v>109</v>
      </c>
      <c r="R8" s="185" t="e">
        <f ca="1">_xll.qlMidEquivalent(P8,Q8)</f>
        <v>#NAME?</v>
      </c>
      <c r="S8" s="185" t="e">
        <f t="shared" ca="1" si="5"/>
        <v>#NAME?</v>
      </c>
      <c r="T8" s="183"/>
      <c r="U8" s="182" t="e">
        <v>#NUM!</v>
      </c>
      <c r="V8" s="111"/>
      <c r="W8" s="181" t="e">
        <v>#NUM!</v>
      </c>
      <c r="X8" s="180" t="e">
        <f ca="1">_xll.qlSimpleQuoteSetValue(F8,ROUND(W8/10000,6),Trigger)</f>
        <v>#NAME?</v>
      </c>
      <c r="Y8" s="130"/>
    </row>
    <row r="9" spans="1:28" ht="11.25" customHeight="1" x14ac:dyDescent="0.2">
      <c r="A9" s="135"/>
      <c r="B9" s="86" t="str">
        <f t="shared" si="0"/>
        <v>2Y</v>
      </c>
      <c r="C9" s="86" t="str">
        <f t="shared" si="1"/>
        <v>6E</v>
      </c>
      <c r="D9" s="86" t="str">
        <f t="shared" si="2"/>
        <v>12E</v>
      </c>
      <c r="E9" s="85" t="str">
        <f t="shared" si="3"/>
        <v>EUR6E12E2Y_Quote</v>
      </c>
      <c r="F9" s="85" t="e">
        <f ca="1">_xll.qlSimpleQuote(E9,,RateTickValue,Permanent,Trigger,ObjectOverwrite)</f>
        <v>#NAME?</v>
      </c>
      <c r="G9" s="42" t="e">
        <f ca="1">_xll.ohRangeRetrieveError(F9)</f>
        <v>#NAME?</v>
      </c>
      <c r="H9" s="36"/>
      <c r="J9" s="135"/>
      <c r="K9" s="141" t="s">
        <v>54</v>
      </c>
      <c r="L9" s="141" t="s">
        <v>66</v>
      </c>
      <c r="M9" s="141" t="s">
        <v>20</v>
      </c>
      <c r="N9" s="186" t="str">
        <f t="shared" si="4"/>
        <v>EUR6E12E2Y</v>
      </c>
      <c r="O9" s="140" t="str">
        <v>EUR6E12E2Y=ICAP</v>
      </c>
      <c r="P9" s="185">
        <v>12.7</v>
      </c>
      <c r="Q9" s="185">
        <v>0</v>
      </c>
      <c r="R9" s="185" t="e">
        <f ca="1">_xll.qlMidEquivalent(P9,Q9)</f>
        <v>#NAME?</v>
      </c>
      <c r="S9" s="185" t="e">
        <f t="shared" ca="1" si="5"/>
        <v>#NAME?</v>
      </c>
      <c r="T9" s="183"/>
      <c r="U9" s="182">
        <v>12.7</v>
      </c>
      <c r="V9" s="111"/>
      <c r="W9" s="181">
        <v>12.7</v>
      </c>
      <c r="X9" s="180" t="e">
        <f ca="1">_xll.qlSimpleQuoteSetValue(F9,ROUND(W9/10000,6),Trigger)</f>
        <v>#NAME?</v>
      </c>
      <c r="Y9" s="130"/>
    </row>
    <row r="10" spans="1:28" ht="11.25" customHeight="1" x14ac:dyDescent="0.2">
      <c r="A10" s="135"/>
      <c r="B10" s="86" t="str">
        <f t="shared" si="0"/>
        <v>3Y</v>
      </c>
      <c r="C10" s="86" t="str">
        <f t="shared" si="1"/>
        <v>6E</v>
      </c>
      <c r="D10" s="86" t="str">
        <f t="shared" si="2"/>
        <v>12E</v>
      </c>
      <c r="E10" s="85" t="str">
        <f t="shared" si="3"/>
        <v>EUR6E12E3Y_Quote</v>
      </c>
      <c r="F10" s="85" t="e">
        <f ca="1">_xll.qlSimpleQuote(E10,,RateTickValue,Permanent,Trigger,ObjectOverwrite)</f>
        <v>#NAME?</v>
      </c>
      <c r="G10" s="42" t="e">
        <f ca="1">_xll.ohRangeRetrieveError(F10)</f>
        <v>#NAME?</v>
      </c>
      <c r="H10" s="36"/>
      <c r="J10" s="135"/>
      <c r="K10" s="141" t="s">
        <v>53</v>
      </c>
      <c r="L10" s="141" t="s">
        <v>66</v>
      </c>
      <c r="M10" s="141" t="s">
        <v>20</v>
      </c>
      <c r="N10" s="186" t="str">
        <f t="shared" si="4"/>
        <v>EUR6E12E3Y</v>
      </c>
      <c r="O10" s="140" t="str">
        <v>EUR6E12E3Y=ICAP</v>
      </c>
      <c r="P10" s="185">
        <v>13.5</v>
      </c>
      <c r="Q10" s="185">
        <v>0</v>
      </c>
      <c r="R10" s="185" t="e">
        <f ca="1">_xll.qlMidEquivalent(P10,Q10)</f>
        <v>#NAME?</v>
      </c>
      <c r="S10" s="185" t="e">
        <f t="shared" ca="1" si="5"/>
        <v>#NAME?</v>
      </c>
      <c r="T10" s="183"/>
      <c r="U10" s="182">
        <v>13.5</v>
      </c>
      <c r="V10" s="111"/>
      <c r="W10" s="181">
        <v>13.5</v>
      </c>
      <c r="X10" s="180" t="e">
        <f ca="1">_xll.qlSimpleQuoteSetValue(F10,ROUND(W10/10000,6),Trigger)</f>
        <v>#NAME?</v>
      </c>
      <c r="Y10" s="130"/>
    </row>
    <row r="11" spans="1:28" ht="11.25" customHeight="1" x14ac:dyDescent="0.2">
      <c r="A11" s="135"/>
      <c r="B11" s="86" t="str">
        <f t="shared" si="0"/>
        <v>4Y</v>
      </c>
      <c r="C11" s="86" t="str">
        <f t="shared" si="1"/>
        <v>6E</v>
      </c>
      <c r="D11" s="86" t="str">
        <f t="shared" si="2"/>
        <v>12E</v>
      </c>
      <c r="E11" s="85" t="str">
        <f t="shared" si="3"/>
        <v>EUR6E12E4Y_Quote</v>
      </c>
      <c r="F11" s="85" t="e">
        <f ca="1">_xll.qlSimpleQuote(E11,,RateTickValue,Permanent,Trigger,ObjectOverwrite)</f>
        <v>#NAME?</v>
      </c>
      <c r="G11" s="42" t="e">
        <f ca="1">_xll.ohRangeRetrieveError(F11)</f>
        <v>#NAME?</v>
      </c>
      <c r="H11" s="36"/>
      <c r="J11" s="135"/>
      <c r="K11" s="141" t="s">
        <v>52</v>
      </c>
      <c r="L11" s="141" t="s">
        <v>66</v>
      </c>
      <c r="M11" s="141" t="s">
        <v>20</v>
      </c>
      <c r="N11" s="186" t="str">
        <f t="shared" si="4"/>
        <v>EUR6E12E4Y</v>
      </c>
      <c r="O11" s="140" t="str">
        <v>EUR6E12E4Y=ICAP</v>
      </c>
      <c r="P11" s="185">
        <v>14</v>
      </c>
      <c r="Q11" s="185">
        <v>0</v>
      </c>
      <c r="R11" s="185" t="e">
        <f ca="1">_xll.qlMidEquivalent(P11,Q11)</f>
        <v>#NAME?</v>
      </c>
      <c r="S11" s="185" t="e">
        <f t="shared" ca="1" si="5"/>
        <v>#NAME?</v>
      </c>
      <c r="T11" s="183"/>
      <c r="U11" s="182">
        <v>14</v>
      </c>
      <c r="V11" s="111"/>
      <c r="W11" s="181">
        <v>14</v>
      </c>
      <c r="X11" s="180" t="e">
        <f ca="1">_xll.qlSimpleQuoteSetValue(F11,ROUND(W11/10000,6),Trigger)</f>
        <v>#NAME?</v>
      </c>
      <c r="Y11" s="130"/>
    </row>
    <row r="12" spans="1:28" ht="11.25" customHeight="1" x14ac:dyDescent="0.2">
      <c r="A12" s="135"/>
      <c r="B12" s="86" t="str">
        <f t="shared" si="0"/>
        <v>5Y</v>
      </c>
      <c r="C12" s="86" t="str">
        <f t="shared" si="1"/>
        <v>6E</v>
      </c>
      <c r="D12" s="86" t="str">
        <f t="shared" si="2"/>
        <v>12E</v>
      </c>
      <c r="E12" s="85" t="str">
        <f t="shared" si="3"/>
        <v>EUR6E12E5Y_Quote</v>
      </c>
      <c r="F12" s="85" t="e">
        <f ca="1">_xll.qlSimpleQuote(E12,,RateTickValue,Permanent,Trigger,ObjectOverwrite)</f>
        <v>#NAME?</v>
      </c>
      <c r="G12" s="42" t="e">
        <f ca="1">_xll.ohRangeRetrieveError(F12)</f>
        <v>#NAME?</v>
      </c>
      <c r="H12" s="36"/>
      <c r="J12" s="135"/>
      <c r="K12" s="141" t="s">
        <v>51</v>
      </c>
      <c r="L12" s="141" t="s">
        <v>66</v>
      </c>
      <c r="M12" s="141" t="s">
        <v>20</v>
      </c>
      <c r="N12" s="186" t="str">
        <f t="shared" si="4"/>
        <v>EUR6E12E5Y</v>
      </c>
      <c r="O12" s="140" t="str">
        <v>EUR6E12E5Y=ICAP</v>
      </c>
      <c r="P12" s="185">
        <v>14.2</v>
      </c>
      <c r="Q12" s="185">
        <v>0</v>
      </c>
      <c r="R12" s="185" t="e">
        <f ca="1">_xll.qlMidEquivalent(P12,Q12)</f>
        <v>#NAME?</v>
      </c>
      <c r="S12" s="185" t="e">
        <f t="shared" ca="1" si="5"/>
        <v>#NAME?</v>
      </c>
      <c r="T12" s="183"/>
      <c r="U12" s="182">
        <v>14.2</v>
      </c>
      <c r="V12" s="111"/>
      <c r="W12" s="181">
        <v>14.2</v>
      </c>
      <c r="X12" s="180" t="e">
        <f ca="1">_xll.qlSimpleQuoteSetValue(F12,ROUND(W12/10000,6),Trigger)</f>
        <v>#NAME?</v>
      </c>
      <c r="Y12" s="130"/>
    </row>
    <row r="13" spans="1:28" ht="11.25" customHeight="1" x14ac:dyDescent="0.2">
      <c r="A13" s="135"/>
      <c r="B13" s="86" t="str">
        <f t="shared" si="0"/>
        <v>6Y</v>
      </c>
      <c r="C13" s="86" t="str">
        <f t="shared" si="1"/>
        <v>6E</v>
      </c>
      <c r="D13" s="86" t="str">
        <f t="shared" si="2"/>
        <v>12E</v>
      </c>
      <c r="E13" s="85" t="str">
        <f t="shared" si="3"/>
        <v>EUR6E12E6Y_Quote</v>
      </c>
      <c r="F13" s="85" t="e">
        <f ca="1">_xll.qlSimpleQuote(E13,,RateTickValue,Permanent,Trigger,ObjectOverwrite)</f>
        <v>#NAME?</v>
      </c>
      <c r="G13" s="42" t="e">
        <f ca="1">_xll.ohRangeRetrieveError(F13)</f>
        <v>#NAME?</v>
      </c>
      <c r="H13" s="36"/>
      <c r="J13" s="135"/>
      <c r="K13" s="141" t="s">
        <v>50</v>
      </c>
      <c r="L13" s="141" t="s">
        <v>66</v>
      </c>
      <c r="M13" s="141" t="s">
        <v>20</v>
      </c>
      <c r="N13" s="186" t="str">
        <f t="shared" si="4"/>
        <v>EUR6E12E6Y</v>
      </c>
      <c r="O13" s="140" t="str">
        <v>EUR6E12E6Y=ICAP</v>
      </c>
      <c r="P13" s="185">
        <v>14.2</v>
      </c>
      <c r="Q13" s="185">
        <v>0</v>
      </c>
      <c r="R13" s="185" t="e">
        <f ca="1">_xll.qlMidEquivalent(P13,Q13)</f>
        <v>#NAME?</v>
      </c>
      <c r="S13" s="185" t="e">
        <f t="shared" ca="1" si="5"/>
        <v>#NAME?</v>
      </c>
      <c r="T13" s="183"/>
      <c r="U13" s="182">
        <v>14.2</v>
      </c>
      <c r="V13" s="111"/>
      <c r="W13" s="181">
        <v>14.2</v>
      </c>
      <c r="X13" s="180" t="e">
        <f ca="1">_xll.qlSimpleQuoteSetValue(F13,ROUND(W13/10000,6),Trigger)</f>
        <v>#NAME?</v>
      </c>
      <c r="Y13" s="130"/>
    </row>
    <row r="14" spans="1:28" ht="11.25" customHeight="1" x14ac:dyDescent="0.2">
      <c r="A14" s="135"/>
      <c r="B14" s="86" t="str">
        <f t="shared" si="0"/>
        <v>7Y</v>
      </c>
      <c r="C14" s="86" t="str">
        <f t="shared" si="1"/>
        <v>6E</v>
      </c>
      <c r="D14" s="86" t="str">
        <f t="shared" si="2"/>
        <v>12E</v>
      </c>
      <c r="E14" s="85" t="str">
        <f t="shared" si="3"/>
        <v>EUR6E12E7Y_Quote</v>
      </c>
      <c r="F14" s="85" t="e">
        <f ca="1">_xll.qlSimpleQuote(E14,,RateTickValue,Permanent,Trigger,ObjectOverwrite)</f>
        <v>#NAME?</v>
      </c>
      <c r="G14" s="42" t="e">
        <f ca="1">_xll.ohRangeRetrieveError(F14)</f>
        <v>#NAME?</v>
      </c>
      <c r="H14" s="36"/>
      <c r="J14" s="135"/>
      <c r="K14" s="141" t="s">
        <v>49</v>
      </c>
      <c r="L14" s="141" t="s">
        <v>66</v>
      </c>
      <c r="M14" s="141" t="s">
        <v>20</v>
      </c>
      <c r="N14" s="186" t="str">
        <f t="shared" si="4"/>
        <v>EUR6E12E7Y</v>
      </c>
      <c r="O14" s="140" t="str">
        <v>EUR6E12E7Y=ICAP</v>
      </c>
      <c r="P14" s="185">
        <v>14</v>
      </c>
      <c r="Q14" s="185">
        <v>0</v>
      </c>
      <c r="R14" s="185" t="e">
        <f ca="1">_xll.qlMidEquivalent(P14,Q14)</f>
        <v>#NAME?</v>
      </c>
      <c r="S14" s="185" t="e">
        <f t="shared" ca="1" si="5"/>
        <v>#NAME?</v>
      </c>
      <c r="T14" s="183"/>
      <c r="U14" s="182">
        <v>14</v>
      </c>
      <c r="V14" s="111"/>
      <c r="W14" s="181">
        <v>14</v>
      </c>
      <c r="X14" s="180" t="e">
        <f ca="1">_xll.qlSimpleQuoteSetValue(F14,ROUND(W14/10000,6),Trigger)</f>
        <v>#NAME?</v>
      </c>
      <c r="Y14" s="130"/>
    </row>
    <row r="15" spans="1:28" ht="11.25" customHeight="1" x14ac:dyDescent="0.2">
      <c r="A15" s="135"/>
      <c r="B15" s="86" t="str">
        <f t="shared" si="0"/>
        <v>8Y</v>
      </c>
      <c r="C15" s="86" t="str">
        <f t="shared" si="1"/>
        <v>6E</v>
      </c>
      <c r="D15" s="86" t="str">
        <f t="shared" si="2"/>
        <v>12E</v>
      </c>
      <c r="E15" s="85" t="str">
        <f t="shared" si="3"/>
        <v>EUR6E12E8Y_Quote</v>
      </c>
      <c r="F15" s="85" t="e">
        <f ca="1">_xll.qlSimpleQuote(E15,,RateTickValue,Permanent,Trigger,ObjectOverwrite)</f>
        <v>#NAME?</v>
      </c>
      <c r="G15" s="42" t="e">
        <f ca="1">_xll.ohRangeRetrieveError(F15)</f>
        <v>#NAME?</v>
      </c>
      <c r="H15" s="36"/>
      <c r="J15" s="135"/>
      <c r="K15" s="141" t="s">
        <v>48</v>
      </c>
      <c r="L15" s="141" t="s">
        <v>66</v>
      </c>
      <c r="M15" s="141" t="s">
        <v>20</v>
      </c>
      <c r="N15" s="186" t="str">
        <f t="shared" si="4"/>
        <v>EUR6E12E8Y</v>
      </c>
      <c r="O15" s="140" t="str">
        <v>EUR6E12E8Y=ICAP</v>
      </c>
      <c r="P15" s="185">
        <v>13.8</v>
      </c>
      <c r="Q15" s="185">
        <v>0</v>
      </c>
      <c r="R15" s="185" t="e">
        <f ca="1">_xll.qlMidEquivalent(P15,Q15)</f>
        <v>#NAME?</v>
      </c>
      <c r="S15" s="185" t="e">
        <f t="shared" ca="1" si="5"/>
        <v>#NAME?</v>
      </c>
      <c r="T15" s="183"/>
      <c r="U15" s="182">
        <v>13.8</v>
      </c>
      <c r="V15" s="111"/>
      <c r="W15" s="181">
        <v>13.8</v>
      </c>
      <c r="X15" s="180" t="e">
        <f ca="1">_xll.qlSimpleQuoteSetValue(F15,ROUND(W15/10000,6),Trigger)</f>
        <v>#NAME?</v>
      </c>
      <c r="Y15" s="130"/>
    </row>
    <row r="16" spans="1:28" ht="11.25" customHeight="1" x14ac:dyDescent="0.2">
      <c r="A16" s="135"/>
      <c r="B16" s="86" t="str">
        <f t="shared" si="0"/>
        <v>9Y</v>
      </c>
      <c r="C16" s="86" t="str">
        <f t="shared" si="1"/>
        <v>6E</v>
      </c>
      <c r="D16" s="86" t="str">
        <f t="shared" si="2"/>
        <v>12E</v>
      </c>
      <c r="E16" s="85" t="str">
        <f t="shared" si="3"/>
        <v>EUR6E12E9Y_Quote</v>
      </c>
      <c r="F16" s="85" t="e">
        <f ca="1">_xll.qlSimpleQuote(E16,,RateTickValue,Permanent,Trigger,ObjectOverwrite)</f>
        <v>#NAME?</v>
      </c>
      <c r="G16" s="42" t="e">
        <f ca="1">_xll.ohRangeRetrieveError(F16)</f>
        <v>#NAME?</v>
      </c>
      <c r="H16" s="36"/>
      <c r="J16" s="135"/>
      <c r="K16" s="141" t="s">
        <v>47</v>
      </c>
      <c r="L16" s="141" t="s">
        <v>66</v>
      </c>
      <c r="M16" s="141" t="s">
        <v>20</v>
      </c>
      <c r="N16" s="186" t="str">
        <f t="shared" si="4"/>
        <v>EUR6E12E9Y</v>
      </c>
      <c r="O16" s="140" t="str">
        <v>EUR6E12E9Y=ICAP</v>
      </c>
      <c r="P16" s="185">
        <v>13.5</v>
      </c>
      <c r="Q16" s="185">
        <v>0</v>
      </c>
      <c r="R16" s="185" t="e">
        <f ca="1">_xll.qlMidEquivalent(P16,Q16)</f>
        <v>#NAME?</v>
      </c>
      <c r="S16" s="185" t="e">
        <f t="shared" ca="1" si="5"/>
        <v>#NAME?</v>
      </c>
      <c r="T16" s="183"/>
      <c r="U16" s="182">
        <v>13.5</v>
      </c>
      <c r="V16" s="111"/>
      <c r="W16" s="181">
        <v>13.5</v>
      </c>
      <c r="X16" s="180" t="e">
        <f ca="1">_xll.qlSimpleQuoteSetValue(F16,ROUND(W16/10000,6),Trigger)</f>
        <v>#NAME?</v>
      </c>
      <c r="Y16" s="130"/>
    </row>
    <row r="17" spans="1:25" ht="11.25" customHeight="1" x14ac:dyDescent="0.2">
      <c r="A17" s="135"/>
      <c r="B17" s="86" t="str">
        <f t="shared" si="0"/>
        <v>10Y</v>
      </c>
      <c r="C17" s="86" t="str">
        <f t="shared" si="1"/>
        <v>6E</v>
      </c>
      <c r="D17" s="86" t="str">
        <f t="shared" si="2"/>
        <v>12E</v>
      </c>
      <c r="E17" s="85" t="str">
        <f t="shared" si="3"/>
        <v>EUR6E12E10Y_Quote</v>
      </c>
      <c r="F17" s="85" t="e">
        <f ca="1">_xll.qlSimpleQuote(E17,,RateTickValue,Permanent,Trigger,ObjectOverwrite)</f>
        <v>#NAME?</v>
      </c>
      <c r="G17" s="42" t="e">
        <f ca="1">_xll.ohRangeRetrieveError(F17)</f>
        <v>#NAME?</v>
      </c>
      <c r="H17" s="36"/>
      <c r="J17" s="135"/>
      <c r="K17" s="141" t="s">
        <v>46</v>
      </c>
      <c r="L17" s="141" t="s">
        <v>66</v>
      </c>
      <c r="M17" s="141" t="s">
        <v>20</v>
      </c>
      <c r="N17" s="186" t="str">
        <f t="shared" si="4"/>
        <v>EUR6E12E10Y</v>
      </c>
      <c r="O17" s="140" t="str">
        <v>EUR6E12E10Y=ICAP</v>
      </c>
      <c r="P17" s="185">
        <v>13.2</v>
      </c>
      <c r="Q17" s="185">
        <v>0</v>
      </c>
      <c r="R17" s="185" t="e">
        <f ca="1">_xll.qlMidEquivalent(P17,Q17)</f>
        <v>#NAME?</v>
      </c>
      <c r="S17" s="185" t="e">
        <f t="shared" ca="1" si="5"/>
        <v>#NAME?</v>
      </c>
      <c r="T17" s="183"/>
      <c r="U17" s="182">
        <v>13.2</v>
      </c>
      <c r="V17" s="111"/>
      <c r="W17" s="181">
        <v>13.2</v>
      </c>
      <c r="X17" s="180" t="e">
        <f ca="1">_xll.qlSimpleQuoteSetValue(F17,ROUND(W17/10000,6),Trigger)</f>
        <v>#NAME?</v>
      </c>
      <c r="Y17" s="130"/>
    </row>
    <row r="18" spans="1:25" ht="11.25" customHeight="1" x14ac:dyDescent="0.2">
      <c r="A18" s="135"/>
      <c r="B18" s="86" t="str">
        <f t="shared" si="0"/>
        <v>11Y</v>
      </c>
      <c r="C18" s="86" t="str">
        <f t="shared" si="1"/>
        <v>6E</v>
      </c>
      <c r="D18" s="86" t="str">
        <f t="shared" si="2"/>
        <v>12E</v>
      </c>
      <c r="E18" s="85" t="str">
        <f t="shared" si="3"/>
        <v>EUR6E12E11Y_Quote</v>
      </c>
      <c r="F18" s="85" t="e">
        <f ca="1">_xll.qlSimpleQuote(E18,,RateTickValue,Permanent,Trigger,ObjectOverwrite)</f>
        <v>#NAME?</v>
      </c>
      <c r="G18" s="42" t="e">
        <f ca="1">_xll.ohRangeRetrieveError(F18)</f>
        <v>#NAME?</v>
      </c>
      <c r="H18" s="36"/>
      <c r="J18" s="135"/>
      <c r="K18" s="141" t="s">
        <v>45</v>
      </c>
      <c r="L18" s="141" t="s">
        <v>66</v>
      </c>
      <c r="M18" s="141" t="s">
        <v>20</v>
      </c>
      <c r="N18" s="186" t="str">
        <f t="shared" si="4"/>
        <v>EUR6E12E11Y</v>
      </c>
      <c r="O18" s="140" t="str">
        <v>EUR6E12E11Y=ICAP</v>
      </c>
      <c r="P18" s="185">
        <v>12.7</v>
      </c>
      <c r="Q18" s="185">
        <v>0</v>
      </c>
      <c r="R18" s="185" t="e">
        <f ca="1">_xll.qlMidEquivalent(P18,Q18)</f>
        <v>#NAME?</v>
      </c>
      <c r="S18" s="185" t="e">
        <f t="shared" ca="1" si="5"/>
        <v>#NAME?</v>
      </c>
      <c r="T18" s="183"/>
      <c r="U18" s="182">
        <v>12.7</v>
      </c>
      <c r="V18" s="111"/>
      <c r="W18" s="181">
        <v>12.7</v>
      </c>
      <c r="X18" s="180" t="e">
        <f ca="1">_xll.qlSimpleQuoteSetValue(F18,ROUND(W18/10000,6),Trigger)</f>
        <v>#NAME?</v>
      </c>
      <c r="Y18" s="130"/>
    </row>
    <row r="19" spans="1:25" ht="11.25" customHeight="1" x14ac:dyDescent="0.2">
      <c r="A19" s="135"/>
      <c r="B19" s="86" t="str">
        <f t="shared" si="0"/>
        <v>12Y</v>
      </c>
      <c r="C19" s="86" t="str">
        <f t="shared" si="1"/>
        <v>6E</v>
      </c>
      <c r="D19" s="86" t="str">
        <f t="shared" si="2"/>
        <v>12E</v>
      </c>
      <c r="E19" s="85" t="str">
        <f t="shared" si="3"/>
        <v>EUR6E12E12Y_Quote</v>
      </c>
      <c r="F19" s="85" t="e">
        <f ca="1">_xll.qlSimpleQuote(E19,,RateTickValue,Permanent,Trigger,ObjectOverwrite)</f>
        <v>#NAME?</v>
      </c>
      <c r="G19" s="42" t="e">
        <f ca="1">_xll.ohRangeRetrieveError(F19)</f>
        <v>#NAME?</v>
      </c>
      <c r="H19" s="36"/>
      <c r="J19" s="135"/>
      <c r="K19" s="141" t="s">
        <v>44</v>
      </c>
      <c r="L19" s="141" t="s">
        <v>66</v>
      </c>
      <c r="M19" s="141" t="s">
        <v>20</v>
      </c>
      <c r="N19" s="186" t="str">
        <f t="shared" si="4"/>
        <v>EUR6E12E12Y</v>
      </c>
      <c r="O19" s="140" t="str">
        <v>EUR6E12E12Y=ICAP</v>
      </c>
      <c r="P19" s="185">
        <v>12.2</v>
      </c>
      <c r="Q19" s="185">
        <v>0</v>
      </c>
      <c r="R19" s="185" t="e">
        <f ca="1">_xll.qlMidEquivalent(P19,Q19)</f>
        <v>#NAME?</v>
      </c>
      <c r="S19" s="185" t="e">
        <f t="shared" ca="1" si="5"/>
        <v>#NAME?</v>
      </c>
      <c r="T19" s="183"/>
      <c r="U19" s="182">
        <v>12.2</v>
      </c>
      <c r="V19" s="111"/>
      <c r="W19" s="181">
        <v>12.2</v>
      </c>
      <c r="X19" s="180" t="e">
        <f ca="1">_xll.qlSimpleQuoteSetValue(F19,ROUND(W19/10000,6),Trigger)</f>
        <v>#NAME?</v>
      </c>
      <c r="Y19" s="130"/>
    </row>
    <row r="20" spans="1:25" ht="11.25" customHeight="1" x14ac:dyDescent="0.2">
      <c r="A20" s="135"/>
      <c r="B20" s="86" t="str">
        <f t="shared" si="0"/>
        <v>13Y</v>
      </c>
      <c r="C20" s="86" t="str">
        <f t="shared" si="1"/>
        <v>6E</v>
      </c>
      <c r="D20" s="86" t="str">
        <f t="shared" si="2"/>
        <v>12E</v>
      </c>
      <c r="E20" s="85" t="str">
        <f t="shared" si="3"/>
        <v>EUR6E12E13Y_Quote</v>
      </c>
      <c r="F20" s="85" t="e">
        <f ca="1">_xll.qlSimpleQuote(E20,,RateTickValue,Permanent,Trigger,ObjectOverwrite)</f>
        <v>#NAME?</v>
      </c>
      <c r="G20" s="42" t="e">
        <f ca="1">_xll.ohRangeRetrieveError(F20)</f>
        <v>#NAME?</v>
      </c>
      <c r="H20" s="36"/>
      <c r="J20" s="135"/>
      <c r="K20" s="141" t="s">
        <v>43</v>
      </c>
      <c r="L20" s="141" t="s">
        <v>66</v>
      </c>
      <c r="M20" s="141" t="s">
        <v>20</v>
      </c>
      <c r="N20" s="186" t="str">
        <f t="shared" si="4"/>
        <v>EUR6E12E13Y</v>
      </c>
      <c r="O20" s="140" t="str">
        <v>EUR6E12E13Y=ICAP</v>
      </c>
      <c r="P20" s="185" t="s">
        <v>109</v>
      </c>
      <c r="Q20" s="185" t="s">
        <v>109</v>
      </c>
      <c r="R20" s="185" t="e">
        <f ca="1">_xll.qlMidEquivalent(P20,Q20)</f>
        <v>#NAME?</v>
      </c>
      <c r="S20" s="185" t="e">
        <f t="shared" ca="1" si="5"/>
        <v>#NAME?</v>
      </c>
      <c r="T20" s="183"/>
      <c r="U20" s="182" t="e">
        <v>#NUM!</v>
      </c>
      <c r="V20" s="111"/>
      <c r="W20" s="181" t="e">
        <v>#NUM!</v>
      </c>
      <c r="X20" s="180" t="e">
        <f ca="1">_xll.qlSimpleQuoteSetValue(F20,ROUND(W20/10000,6),Trigger)</f>
        <v>#NAME?</v>
      </c>
      <c r="Y20" s="130"/>
    </row>
    <row r="21" spans="1:25" ht="11.25" customHeight="1" x14ac:dyDescent="0.2">
      <c r="A21" s="135"/>
      <c r="B21" s="86" t="str">
        <f t="shared" si="0"/>
        <v>14Y</v>
      </c>
      <c r="C21" s="86" t="str">
        <f t="shared" si="1"/>
        <v>6E</v>
      </c>
      <c r="D21" s="86" t="str">
        <f t="shared" si="2"/>
        <v>12E</v>
      </c>
      <c r="E21" s="85" t="str">
        <f t="shared" si="3"/>
        <v>EUR6E12E14Y_Quote</v>
      </c>
      <c r="F21" s="85" t="e">
        <f ca="1">_xll.qlSimpleQuote(E21,,RateTickValue,Permanent,Trigger,ObjectOverwrite)</f>
        <v>#NAME?</v>
      </c>
      <c r="G21" s="42" t="e">
        <f ca="1">_xll.ohRangeRetrieveError(F21)</f>
        <v>#NAME?</v>
      </c>
      <c r="H21" s="36"/>
      <c r="J21" s="135"/>
      <c r="K21" s="141" t="s">
        <v>42</v>
      </c>
      <c r="L21" s="141" t="s">
        <v>66</v>
      </c>
      <c r="M21" s="141" t="s">
        <v>20</v>
      </c>
      <c r="N21" s="186" t="str">
        <f t="shared" si="4"/>
        <v>EUR6E12E14Y</v>
      </c>
      <c r="O21" s="140" t="str">
        <v>EUR6E12E14Y=ICAP</v>
      </c>
      <c r="P21" s="185" t="s">
        <v>109</v>
      </c>
      <c r="Q21" s="185" t="s">
        <v>109</v>
      </c>
      <c r="R21" s="185" t="e">
        <f ca="1">_xll.qlMidEquivalent(P21,Q21)</f>
        <v>#NAME?</v>
      </c>
      <c r="S21" s="185" t="e">
        <f t="shared" ca="1" si="5"/>
        <v>#NAME?</v>
      </c>
      <c r="T21" s="183"/>
      <c r="U21" s="182" t="e">
        <v>#NUM!</v>
      </c>
      <c r="V21" s="111"/>
      <c r="W21" s="181" t="e">
        <v>#NUM!</v>
      </c>
      <c r="X21" s="180" t="e">
        <f ca="1">_xll.qlSimpleQuoteSetValue(F21,ROUND(W21/10000,6),Trigger)</f>
        <v>#NAME?</v>
      </c>
      <c r="Y21" s="130"/>
    </row>
    <row r="22" spans="1:25" ht="11.25" customHeight="1" x14ac:dyDescent="0.2">
      <c r="A22" s="135"/>
      <c r="B22" s="86" t="str">
        <f t="shared" si="0"/>
        <v>15Y</v>
      </c>
      <c r="C22" s="86" t="str">
        <f t="shared" si="1"/>
        <v>6E</v>
      </c>
      <c r="D22" s="86" t="str">
        <f t="shared" si="2"/>
        <v>12E</v>
      </c>
      <c r="E22" s="85" t="str">
        <f t="shared" si="3"/>
        <v>EUR6E12E15Y_Quote</v>
      </c>
      <c r="F22" s="85" t="e">
        <f ca="1">_xll.qlSimpleQuote(E22,,RateTickValue,Permanent,Trigger,ObjectOverwrite)</f>
        <v>#NAME?</v>
      </c>
      <c r="G22" s="42" t="e">
        <f ca="1">_xll.ohRangeRetrieveError(F22)</f>
        <v>#NAME?</v>
      </c>
      <c r="H22" s="36"/>
      <c r="J22" s="135"/>
      <c r="K22" s="141" t="s">
        <v>41</v>
      </c>
      <c r="L22" s="141" t="s">
        <v>66</v>
      </c>
      <c r="M22" s="141" t="s">
        <v>20</v>
      </c>
      <c r="N22" s="186" t="str">
        <f t="shared" si="4"/>
        <v>EUR6E12E15Y</v>
      </c>
      <c r="O22" s="140" t="str">
        <v>EUR6E12E15Y=ICAP</v>
      </c>
      <c r="P22" s="185">
        <v>10.7</v>
      </c>
      <c r="Q22" s="185">
        <v>0</v>
      </c>
      <c r="R22" s="185" t="e">
        <f ca="1">_xll.qlMidEquivalent(P22,Q22)</f>
        <v>#NAME?</v>
      </c>
      <c r="S22" s="185" t="e">
        <f t="shared" ca="1" si="5"/>
        <v>#NAME?</v>
      </c>
      <c r="T22" s="183"/>
      <c r="U22" s="182">
        <v>10.7</v>
      </c>
      <c r="V22" s="111"/>
      <c r="W22" s="181">
        <v>10.7</v>
      </c>
      <c r="X22" s="180" t="e">
        <f ca="1">_xll.qlSimpleQuoteSetValue(F22,ROUND(W22/10000,6),Trigger)</f>
        <v>#NAME?</v>
      </c>
      <c r="Y22" s="130"/>
    </row>
    <row r="23" spans="1:25" ht="11.25" customHeight="1" x14ac:dyDescent="0.2">
      <c r="A23" s="135"/>
      <c r="B23" s="86" t="str">
        <f t="shared" si="0"/>
        <v>16Y</v>
      </c>
      <c r="C23" s="86" t="str">
        <f t="shared" si="1"/>
        <v>6E</v>
      </c>
      <c r="D23" s="86" t="str">
        <f t="shared" si="2"/>
        <v>12E</v>
      </c>
      <c r="E23" s="85" t="str">
        <f t="shared" si="3"/>
        <v>EUR6E12E16Y_Quote</v>
      </c>
      <c r="F23" s="85" t="e">
        <f ca="1">_xll.qlSimpleQuote(E23,,RateTickValue,Permanent,Trigger,ObjectOverwrite)</f>
        <v>#NAME?</v>
      </c>
      <c r="G23" s="42" t="e">
        <f ca="1">_xll.ohRangeRetrieveError(F23)</f>
        <v>#NAME?</v>
      </c>
      <c r="H23" s="36"/>
      <c r="J23" s="135"/>
      <c r="K23" s="141" t="s">
        <v>40</v>
      </c>
      <c r="L23" s="141" t="s">
        <v>66</v>
      </c>
      <c r="M23" s="141" t="s">
        <v>20</v>
      </c>
      <c r="N23" s="186" t="str">
        <f t="shared" si="4"/>
        <v>EUR6E12E16Y</v>
      </c>
      <c r="O23" s="140" t="str">
        <v>EUR6E12E16Y=ICAP</v>
      </c>
      <c r="P23" s="185" t="s">
        <v>109</v>
      </c>
      <c r="Q23" s="185" t="s">
        <v>109</v>
      </c>
      <c r="R23" s="185" t="e">
        <f ca="1">_xll.qlMidEquivalent(P23,Q23)</f>
        <v>#NAME?</v>
      </c>
      <c r="S23" s="185" t="e">
        <f t="shared" ca="1" si="5"/>
        <v>#NAME?</v>
      </c>
      <c r="T23" s="183"/>
      <c r="U23" s="182" t="e">
        <v>#NUM!</v>
      </c>
      <c r="V23" s="111"/>
      <c r="W23" s="181" t="e">
        <v>#NUM!</v>
      </c>
      <c r="X23" s="180" t="e">
        <f ca="1">_xll.qlSimpleQuoteSetValue(F23,ROUND(W23/10000,6),Trigger)</f>
        <v>#NAME?</v>
      </c>
      <c r="Y23" s="130"/>
    </row>
    <row r="24" spans="1:25" ht="11.25" customHeight="1" x14ac:dyDescent="0.2">
      <c r="A24" s="135"/>
      <c r="B24" s="86" t="str">
        <f t="shared" si="0"/>
        <v>17Y</v>
      </c>
      <c r="C24" s="86" t="str">
        <f t="shared" si="1"/>
        <v>6E</v>
      </c>
      <c r="D24" s="86" t="str">
        <f t="shared" si="2"/>
        <v>12E</v>
      </c>
      <c r="E24" s="85" t="str">
        <f t="shared" si="3"/>
        <v>EUR6E12E17Y_Quote</v>
      </c>
      <c r="F24" s="85" t="e">
        <f ca="1">_xll.qlSimpleQuote(E24,,RateTickValue,Permanent,Trigger,ObjectOverwrite)</f>
        <v>#NAME?</v>
      </c>
      <c r="G24" s="42" t="e">
        <f ca="1">_xll.ohRangeRetrieveError(F24)</f>
        <v>#NAME?</v>
      </c>
      <c r="H24" s="36"/>
      <c r="J24" s="135"/>
      <c r="K24" s="141" t="s">
        <v>39</v>
      </c>
      <c r="L24" s="141" t="s">
        <v>66</v>
      </c>
      <c r="M24" s="141" t="s">
        <v>20</v>
      </c>
      <c r="N24" s="186" t="str">
        <f t="shared" si="4"/>
        <v>EUR6E12E17Y</v>
      </c>
      <c r="O24" s="140" t="str">
        <v>EUR6E12E17Y=ICAP</v>
      </c>
      <c r="P24" s="185" t="s">
        <v>109</v>
      </c>
      <c r="Q24" s="185" t="s">
        <v>109</v>
      </c>
      <c r="R24" s="185" t="e">
        <f ca="1">_xll.qlMidEquivalent(P24,Q24)</f>
        <v>#NAME?</v>
      </c>
      <c r="S24" s="185" t="e">
        <f t="shared" ca="1" si="5"/>
        <v>#NAME?</v>
      </c>
      <c r="T24" s="183"/>
      <c r="U24" s="182" t="e">
        <v>#NUM!</v>
      </c>
      <c r="V24" s="111"/>
      <c r="W24" s="181" t="e">
        <v>#NUM!</v>
      </c>
      <c r="X24" s="180" t="e">
        <f ca="1">_xll.qlSimpleQuoteSetValue(F24,ROUND(W24/10000,6),Trigger)</f>
        <v>#NAME?</v>
      </c>
      <c r="Y24" s="130"/>
    </row>
    <row r="25" spans="1:25" ht="11.25" customHeight="1" x14ac:dyDescent="0.2">
      <c r="A25" s="135"/>
      <c r="B25" s="86" t="str">
        <f t="shared" si="0"/>
        <v>18Y</v>
      </c>
      <c r="C25" s="86" t="str">
        <f t="shared" si="1"/>
        <v>6E</v>
      </c>
      <c r="D25" s="86" t="str">
        <f t="shared" si="2"/>
        <v>12E</v>
      </c>
      <c r="E25" s="85" t="str">
        <f t="shared" si="3"/>
        <v>EUR6E12E18Y_Quote</v>
      </c>
      <c r="F25" s="85" t="e">
        <f ca="1">_xll.qlSimpleQuote(E25,,RateTickValue,Permanent,Trigger,ObjectOverwrite)</f>
        <v>#NAME?</v>
      </c>
      <c r="G25" s="42" t="e">
        <f ca="1">_xll.ohRangeRetrieveError(F25)</f>
        <v>#NAME?</v>
      </c>
      <c r="H25" s="36"/>
      <c r="J25" s="135"/>
      <c r="K25" s="141" t="s">
        <v>38</v>
      </c>
      <c r="L25" s="141" t="s">
        <v>66</v>
      </c>
      <c r="M25" s="141" t="s">
        <v>20</v>
      </c>
      <c r="N25" s="186" t="str">
        <f t="shared" si="4"/>
        <v>EUR6E12E18Y</v>
      </c>
      <c r="O25" s="140" t="str">
        <v>EUR6E12E18Y=ICAP</v>
      </c>
      <c r="P25" s="185" t="s">
        <v>109</v>
      </c>
      <c r="Q25" s="185" t="s">
        <v>109</v>
      </c>
      <c r="R25" s="185" t="e">
        <f ca="1">_xll.qlMidEquivalent(P25,Q25)</f>
        <v>#NAME?</v>
      </c>
      <c r="S25" s="185" t="e">
        <f t="shared" ca="1" si="5"/>
        <v>#NAME?</v>
      </c>
      <c r="T25" s="183"/>
      <c r="U25" s="182" t="e">
        <v>#NUM!</v>
      </c>
      <c r="V25" s="111"/>
      <c r="W25" s="181" t="e">
        <v>#NUM!</v>
      </c>
      <c r="X25" s="180" t="e">
        <f ca="1">_xll.qlSimpleQuoteSetValue(F25,ROUND(W25/10000,6),Trigger)</f>
        <v>#NAME?</v>
      </c>
      <c r="Y25" s="130"/>
    </row>
    <row r="26" spans="1:25" ht="11.25" customHeight="1" x14ac:dyDescent="0.2">
      <c r="A26" s="135"/>
      <c r="B26" s="86" t="str">
        <f t="shared" si="0"/>
        <v>19Y</v>
      </c>
      <c r="C26" s="86" t="str">
        <f t="shared" si="1"/>
        <v>6E</v>
      </c>
      <c r="D26" s="86" t="str">
        <f t="shared" si="2"/>
        <v>12E</v>
      </c>
      <c r="E26" s="85" t="str">
        <f t="shared" si="3"/>
        <v>EUR6E12E19Y_Quote</v>
      </c>
      <c r="F26" s="85" t="e">
        <f ca="1">_xll.qlSimpleQuote(E26,,RateTickValue,Permanent,Trigger,ObjectOverwrite)</f>
        <v>#NAME?</v>
      </c>
      <c r="G26" s="42" t="e">
        <f ca="1">_xll.ohRangeRetrieveError(F26)</f>
        <v>#NAME?</v>
      </c>
      <c r="H26" s="36"/>
      <c r="J26" s="135"/>
      <c r="K26" s="141" t="s">
        <v>37</v>
      </c>
      <c r="L26" s="141" t="s">
        <v>66</v>
      </c>
      <c r="M26" s="141" t="s">
        <v>20</v>
      </c>
      <c r="N26" s="186" t="str">
        <f t="shared" si="4"/>
        <v>EUR6E12E19Y</v>
      </c>
      <c r="O26" s="140" t="str">
        <v>EUR6E12E19Y=ICAP</v>
      </c>
      <c r="P26" s="185" t="s">
        <v>109</v>
      </c>
      <c r="Q26" s="185" t="s">
        <v>109</v>
      </c>
      <c r="R26" s="185" t="e">
        <f ca="1">_xll.qlMidEquivalent(P26,Q26)</f>
        <v>#NAME?</v>
      </c>
      <c r="S26" s="185" t="e">
        <f t="shared" ca="1" si="5"/>
        <v>#NAME?</v>
      </c>
      <c r="T26" s="183"/>
      <c r="U26" s="182" t="e">
        <v>#NUM!</v>
      </c>
      <c r="V26" s="111"/>
      <c r="W26" s="181" t="e">
        <v>#NUM!</v>
      </c>
      <c r="X26" s="180" t="e">
        <f ca="1">_xll.qlSimpleQuoteSetValue(F26,ROUND(W26/10000,6),Trigger)</f>
        <v>#NAME?</v>
      </c>
      <c r="Y26" s="130"/>
    </row>
    <row r="27" spans="1:25" ht="11.25" customHeight="1" x14ac:dyDescent="0.2">
      <c r="A27" s="135"/>
      <c r="B27" s="86" t="str">
        <f t="shared" si="0"/>
        <v>20Y</v>
      </c>
      <c r="C27" s="86" t="str">
        <f t="shared" si="1"/>
        <v>6E</v>
      </c>
      <c r="D27" s="86" t="str">
        <f t="shared" si="2"/>
        <v>12E</v>
      </c>
      <c r="E27" s="85" t="str">
        <f t="shared" si="3"/>
        <v>EUR6E12E20Y_Quote</v>
      </c>
      <c r="F27" s="85" t="e">
        <f ca="1">_xll.qlSimpleQuote(E27,,RateTickValue,Permanent,Trigger,ObjectOverwrite)</f>
        <v>#NAME?</v>
      </c>
      <c r="G27" s="42" t="e">
        <f ca="1">_xll.ohRangeRetrieveError(F27)</f>
        <v>#NAME?</v>
      </c>
      <c r="H27" s="36"/>
      <c r="J27" s="135"/>
      <c r="K27" s="141" t="s">
        <v>36</v>
      </c>
      <c r="L27" s="141" t="s">
        <v>66</v>
      </c>
      <c r="M27" s="141" t="s">
        <v>20</v>
      </c>
      <c r="N27" s="186" t="str">
        <f t="shared" si="4"/>
        <v>EUR6E12E20Y</v>
      </c>
      <c r="O27" s="140" t="str">
        <v>EUR6E12E20Y=ICAP</v>
      </c>
      <c r="P27" s="185">
        <v>9.1999999999999993</v>
      </c>
      <c r="Q27" s="185">
        <v>0</v>
      </c>
      <c r="R27" s="185" t="e">
        <f ca="1">_xll.qlMidEquivalent(P27,Q27)</f>
        <v>#NAME?</v>
      </c>
      <c r="S27" s="185" t="e">
        <f t="shared" ca="1" si="5"/>
        <v>#NAME?</v>
      </c>
      <c r="T27" s="183"/>
      <c r="U27" s="182">
        <v>9.1999999999999993</v>
      </c>
      <c r="V27" s="111"/>
      <c r="W27" s="181">
        <v>9.1999999999999993</v>
      </c>
      <c r="X27" s="180" t="e">
        <f ca="1">_xll.qlSimpleQuoteSetValue(F27,ROUND(W27/10000,6),Trigger)</f>
        <v>#NAME?</v>
      </c>
      <c r="Y27" s="130"/>
    </row>
    <row r="28" spans="1:25" ht="11.25" customHeight="1" x14ac:dyDescent="0.2">
      <c r="A28" s="135"/>
      <c r="B28" s="86" t="str">
        <f t="shared" si="0"/>
        <v>21Y</v>
      </c>
      <c r="C28" s="86" t="str">
        <f t="shared" si="1"/>
        <v>6E</v>
      </c>
      <c r="D28" s="86" t="str">
        <f t="shared" si="2"/>
        <v>12E</v>
      </c>
      <c r="E28" s="85" t="str">
        <f t="shared" si="3"/>
        <v>EUR6E12E21Y_Quote</v>
      </c>
      <c r="F28" s="85" t="e">
        <f ca="1">_xll.qlSimpleQuote(E28,,RateTickValue,Permanent,Trigger,ObjectOverwrite)</f>
        <v>#NAME?</v>
      </c>
      <c r="G28" s="42" t="e">
        <f ca="1">_xll.ohRangeRetrieveError(F28)</f>
        <v>#NAME?</v>
      </c>
      <c r="H28" s="36"/>
      <c r="J28" s="135"/>
      <c r="K28" s="141" t="s">
        <v>35</v>
      </c>
      <c r="L28" s="141" t="s">
        <v>66</v>
      </c>
      <c r="M28" s="141" t="s">
        <v>20</v>
      </c>
      <c r="N28" s="186" t="str">
        <f t="shared" si="4"/>
        <v>EUR6E12E21Y</v>
      </c>
      <c r="O28" s="140" t="str">
        <v>EUR6E12E21Y=ICAP</v>
      </c>
      <c r="P28" s="185" t="s">
        <v>109</v>
      </c>
      <c r="Q28" s="185" t="s">
        <v>109</v>
      </c>
      <c r="R28" s="185" t="e">
        <f ca="1">_xll.qlMidEquivalent(P28,Q28)</f>
        <v>#NAME?</v>
      </c>
      <c r="S28" s="185" t="e">
        <f t="shared" ca="1" si="5"/>
        <v>#NAME?</v>
      </c>
      <c r="T28" s="183"/>
      <c r="U28" s="182" t="e">
        <v>#NUM!</v>
      </c>
      <c r="V28" s="111"/>
      <c r="W28" s="181" t="e">
        <v>#NUM!</v>
      </c>
      <c r="X28" s="180" t="e">
        <f ca="1">_xll.qlSimpleQuoteSetValue(F28,ROUND(W28/10000,6),Trigger)</f>
        <v>#NAME?</v>
      </c>
      <c r="Y28" s="130"/>
    </row>
    <row r="29" spans="1:25" ht="11.25" customHeight="1" x14ac:dyDescent="0.2">
      <c r="A29" s="135"/>
      <c r="B29" s="86" t="str">
        <f t="shared" si="0"/>
        <v>22Y</v>
      </c>
      <c r="C29" s="86" t="str">
        <f t="shared" si="1"/>
        <v>6E</v>
      </c>
      <c r="D29" s="86" t="str">
        <f t="shared" si="2"/>
        <v>12E</v>
      </c>
      <c r="E29" s="85" t="str">
        <f t="shared" si="3"/>
        <v>EUR6E12E22Y_Quote</v>
      </c>
      <c r="F29" s="85" t="e">
        <f ca="1">_xll.qlSimpleQuote(E29,,RateTickValue,Permanent,Trigger,ObjectOverwrite)</f>
        <v>#NAME?</v>
      </c>
      <c r="G29" s="42" t="e">
        <f ca="1">_xll.ohRangeRetrieveError(F29)</f>
        <v>#NAME?</v>
      </c>
      <c r="H29" s="36"/>
      <c r="J29" s="135"/>
      <c r="K29" s="141" t="s">
        <v>34</v>
      </c>
      <c r="L29" s="141" t="s">
        <v>66</v>
      </c>
      <c r="M29" s="141" t="s">
        <v>20</v>
      </c>
      <c r="N29" s="186" t="str">
        <f t="shared" si="4"/>
        <v>EUR6E12E22Y</v>
      </c>
      <c r="O29" s="140" t="str">
        <v>EUR6E12E22Y=ICAP</v>
      </c>
      <c r="P29" s="185" t="s">
        <v>109</v>
      </c>
      <c r="Q29" s="185" t="s">
        <v>109</v>
      </c>
      <c r="R29" s="185" t="e">
        <f ca="1">_xll.qlMidEquivalent(P29,Q29)</f>
        <v>#NAME?</v>
      </c>
      <c r="S29" s="185" t="e">
        <f t="shared" ca="1" si="5"/>
        <v>#NAME?</v>
      </c>
      <c r="T29" s="183"/>
      <c r="U29" s="182" t="e">
        <v>#NUM!</v>
      </c>
      <c r="V29" s="111"/>
      <c r="W29" s="181" t="e">
        <v>#NUM!</v>
      </c>
      <c r="X29" s="180" t="e">
        <f ca="1">_xll.qlSimpleQuoteSetValue(F29,ROUND(W29/10000,6),Trigger)</f>
        <v>#NAME?</v>
      </c>
      <c r="Y29" s="130"/>
    </row>
    <row r="30" spans="1:25" ht="11.25" customHeight="1" x14ac:dyDescent="0.2">
      <c r="A30" s="135"/>
      <c r="B30" s="86" t="str">
        <f t="shared" si="0"/>
        <v>23Y</v>
      </c>
      <c r="C30" s="86" t="str">
        <f t="shared" si="1"/>
        <v>6E</v>
      </c>
      <c r="D30" s="86" t="str">
        <f t="shared" si="2"/>
        <v>12E</v>
      </c>
      <c r="E30" s="85" t="str">
        <f t="shared" si="3"/>
        <v>EUR6E12E23Y_Quote</v>
      </c>
      <c r="F30" s="85" t="e">
        <f ca="1">_xll.qlSimpleQuote(E30,,RateTickValue,Permanent,Trigger,ObjectOverwrite)</f>
        <v>#NAME?</v>
      </c>
      <c r="G30" s="42" t="e">
        <f ca="1">_xll.ohRangeRetrieveError(F30)</f>
        <v>#NAME?</v>
      </c>
      <c r="H30" s="36"/>
      <c r="J30" s="135"/>
      <c r="K30" s="141" t="s">
        <v>33</v>
      </c>
      <c r="L30" s="141" t="s">
        <v>66</v>
      </c>
      <c r="M30" s="141" t="s">
        <v>20</v>
      </c>
      <c r="N30" s="186" t="str">
        <f t="shared" si="4"/>
        <v>EUR6E12E23Y</v>
      </c>
      <c r="O30" s="140" t="str">
        <v>EUR6E12E23Y=ICAP</v>
      </c>
      <c r="P30" s="185" t="s">
        <v>109</v>
      </c>
      <c r="Q30" s="185" t="s">
        <v>109</v>
      </c>
      <c r="R30" s="185" t="e">
        <f ca="1">_xll.qlMidEquivalent(P30,Q30)</f>
        <v>#NAME?</v>
      </c>
      <c r="S30" s="185" t="e">
        <f t="shared" ca="1" si="5"/>
        <v>#NAME?</v>
      </c>
      <c r="T30" s="183"/>
      <c r="U30" s="182" t="e">
        <v>#NUM!</v>
      </c>
      <c r="V30" s="111"/>
      <c r="W30" s="181" t="e">
        <v>#NUM!</v>
      </c>
      <c r="X30" s="180" t="e">
        <f ca="1">_xll.qlSimpleQuoteSetValue(F30,ROUND(W30/10000,6),Trigger)</f>
        <v>#NAME?</v>
      </c>
      <c r="Y30" s="130"/>
    </row>
    <row r="31" spans="1:25" ht="11.25" customHeight="1" x14ac:dyDescent="0.2">
      <c r="A31" s="135"/>
      <c r="B31" s="86" t="str">
        <f t="shared" si="0"/>
        <v>24Y</v>
      </c>
      <c r="C31" s="86" t="str">
        <f t="shared" si="1"/>
        <v>6E</v>
      </c>
      <c r="D31" s="86" t="str">
        <f t="shared" si="2"/>
        <v>12E</v>
      </c>
      <c r="E31" s="85" t="str">
        <f t="shared" si="3"/>
        <v>EUR6E12E24Y_Quote</v>
      </c>
      <c r="F31" s="85" t="e">
        <f ca="1">_xll.qlSimpleQuote(E31,,RateTickValue,Permanent,Trigger,ObjectOverwrite)</f>
        <v>#NAME?</v>
      </c>
      <c r="G31" s="42" t="e">
        <f ca="1">_xll.ohRangeRetrieveError(F31)</f>
        <v>#NAME?</v>
      </c>
      <c r="H31" s="36"/>
      <c r="J31" s="135"/>
      <c r="K31" s="141" t="s">
        <v>32</v>
      </c>
      <c r="L31" s="141" t="s">
        <v>66</v>
      </c>
      <c r="M31" s="141" t="s">
        <v>20</v>
      </c>
      <c r="N31" s="186" t="str">
        <f t="shared" si="4"/>
        <v>EUR6E12E24Y</v>
      </c>
      <c r="O31" s="140" t="str">
        <v>EUR6E12E24Y=ICAP</v>
      </c>
      <c r="P31" s="185" t="s">
        <v>109</v>
      </c>
      <c r="Q31" s="185" t="s">
        <v>109</v>
      </c>
      <c r="R31" s="185" t="e">
        <f ca="1">_xll.qlMidEquivalent(P31,Q31)</f>
        <v>#NAME?</v>
      </c>
      <c r="S31" s="185" t="e">
        <f t="shared" ca="1" si="5"/>
        <v>#NAME?</v>
      </c>
      <c r="T31" s="183"/>
      <c r="U31" s="182" t="e">
        <v>#NUM!</v>
      </c>
      <c r="V31" s="111"/>
      <c r="W31" s="181" t="e">
        <v>#NUM!</v>
      </c>
      <c r="X31" s="180" t="e">
        <f ca="1">_xll.qlSimpleQuoteSetValue(F31,ROUND(W31/10000,6),Trigger)</f>
        <v>#NAME?</v>
      </c>
      <c r="Y31" s="130"/>
    </row>
    <row r="32" spans="1:25" ht="11.25" customHeight="1" x14ac:dyDescent="0.2">
      <c r="A32" s="135"/>
      <c r="B32" s="86" t="str">
        <f t="shared" si="0"/>
        <v>25Y</v>
      </c>
      <c r="C32" s="86" t="str">
        <f t="shared" si="1"/>
        <v>6E</v>
      </c>
      <c r="D32" s="86" t="str">
        <f t="shared" si="2"/>
        <v>12E</v>
      </c>
      <c r="E32" s="85" t="str">
        <f t="shared" si="3"/>
        <v>EUR6E12E25Y_Quote</v>
      </c>
      <c r="F32" s="85" t="e">
        <f ca="1">_xll.qlSimpleQuote(E32,,RateTickValue,Permanent,Trigger,ObjectOverwrite)</f>
        <v>#NAME?</v>
      </c>
      <c r="G32" s="42" t="e">
        <f ca="1">_xll.ohRangeRetrieveError(F32)</f>
        <v>#NAME?</v>
      </c>
      <c r="H32" s="36"/>
      <c r="J32" s="135"/>
      <c r="K32" s="141" t="s">
        <v>31</v>
      </c>
      <c r="L32" s="141" t="s">
        <v>66</v>
      </c>
      <c r="M32" s="141" t="s">
        <v>20</v>
      </c>
      <c r="N32" s="186" t="str">
        <f t="shared" si="4"/>
        <v>EUR6E12E25Y</v>
      </c>
      <c r="O32" s="140" t="str">
        <v>EUR6E12E25Y=ICAP</v>
      </c>
      <c r="P32" s="185">
        <v>8.3000000000000007</v>
      </c>
      <c r="Q32" s="185">
        <v>0</v>
      </c>
      <c r="R32" s="185" t="e">
        <f ca="1">_xll.qlMidEquivalent(P32,Q32)</f>
        <v>#NAME?</v>
      </c>
      <c r="S32" s="185" t="e">
        <f t="shared" ca="1" si="5"/>
        <v>#NAME?</v>
      </c>
      <c r="T32" s="183"/>
      <c r="U32" s="182">
        <v>8.3000000000000007</v>
      </c>
      <c r="V32" s="111"/>
      <c r="W32" s="181">
        <v>8.3000000000000007</v>
      </c>
      <c r="X32" s="180" t="e">
        <f ca="1">_xll.qlSimpleQuoteSetValue(F32,ROUND(W32/10000,6),Trigger)</f>
        <v>#NAME?</v>
      </c>
      <c r="Y32" s="130"/>
    </row>
    <row r="33" spans="1:25" ht="11.25" customHeight="1" x14ac:dyDescent="0.2">
      <c r="A33" s="135"/>
      <c r="B33" s="86" t="str">
        <f t="shared" si="0"/>
        <v>26Y</v>
      </c>
      <c r="C33" s="86" t="str">
        <f t="shared" si="1"/>
        <v>6E</v>
      </c>
      <c r="D33" s="86" t="str">
        <f t="shared" si="2"/>
        <v>12E</v>
      </c>
      <c r="E33" s="85" t="str">
        <f t="shared" si="3"/>
        <v>EUR6E12E26Y_Quote</v>
      </c>
      <c r="F33" s="85" t="e">
        <f ca="1">_xll.qlSimpleQuote(E33,,RateTickValue,Permanent,Trigger,ObjectOverwrite)</f>
        <v>#NAME?</v>
      </c>
      <c r="G33" s="42" t="e">
        <f ca="1">_xll.ohRangeRetrieveError(F33)</f>
        <v>#NAME?</v>
      </c>
      <c r="H33" s="36"/>
      <c r="J33" s="135"/>
      <c r="K33" s="141" t="s">
        <v>30</v>
      </c>
      <c r="L33" s="141" t="s">
        <v>66</v>
      </c>
      <c r="M33" s="141" t="s">
        <v>20</v>
      </c>
      <c r="N33" s="186" t="str">
        <f t="shared" si="4"/>
        <v>EUR6E12E26Y</v>
      </c>
      <c r="O33" s="140" t="str">
        <v>EUR6E12E26Y=ICAP</v>
      </c>
      <c r="P33" s="185" t="s">
        <v>109</v>
      </c>
      <c r="Q33" s="185" t="s">
        <v>109</v>
      </c>
      <c r="R33" s="185" t="e">
        <f ca="1">_xll.qlMidEquivalent(P33,Q33)</f>
        <v>#NAME?</v>
      </c>
      <c r="S33" s="185" t="e">
        <f t="shared" ca="1" si="5"/>
        <v>#NAME?</v>
      </c>
      <c r="T33" s="183"/>
      <c r="U33" s="182" t="e">
        <v>#NUM!</v>
      </c>
      <c r="V33" s="111"/>
      <c r="W33" s="181" t="e">
        <v>#NUM!</v>
      </c>
      <c r="X33" s="180" t="e">
        <f ca="1">_xll.qlSimpleQuoteSetValue(F33,ROUND(W33/10000,6),Trigger)</f>
        <v>#NAME?</v>
      </c>
      <c r="Y33" s="130"/>
    </row>
    <row r="34" spans="1:25" ht="11.25" customHeight="1" x14ac:dyDescent="0.2">
      <c r="A34" s="135"/>
      <c r="B34" s="86" t="str">
        <f t="shared" si="0"/>
        <v>27Y</v>
      </c>
      <c r="C34" s="86" t="str">
        <f t="shared" si="1"/>
        <v>6E</v>
      </c>
      <c r="D34" s="86" t="str">
        <f t="shared" si="2"/>
        <v>12E</v>
      </c>
      <c r="E34" s="85" t="str">
        <f t="shared" si="3"/>
        <v>EUR6E12E27Y_Quote</v>
      </c>
      <c r="F34" s="85" t="e">
        <f ca="1">_xll.qlSimpleQuote(E34,,RateTickValue,Permanent,Trigger,ObjectOverwrite)</f>
        <v>#NAME?</v>
      </c>
      <c r="G34" s="42" t="e">
        <f ca="1">_xll.ohRangeRetrieveError(F34)</f>
        <v>#NAME?</v>
      </c>
      <c r="H34" s="36"/>
      <c r="J34" s="135"/>
      <c r="K34" s="141" t="s">
        <v>29</v>
      </c>
      <c r="L34" s="141" t="s">
        <v>66</v>
      </c>
      <c r="M34" s="141" t="s">
        <v>20</v>
      </c>
      <c r="N34" s="186" t="str">
        <f t="shared" si="4"/>
        <v>EUR6E12E27Y</v>
      </c>
      <c r="O34" s="140" t="str">
        <v>EUR6E12E27Y=ICAP</v>
      </c>
      <c r="P34" s="185" t="s">
        <v>109</v>
      </c>
      <c r="Q34" s="185" t="s">
        <v>109</v>
      </c>
      <c r="R34" s="185" t="e">
        <f ca="1">_xll.qlMidEquivalent(P34,Q34)</f>
        <v>#NAME?</v>
      </c>
      <c r="S34" s="185" t="e">
        <f t="shared" ca="1" si="5"/>
        <v>#NAME?</v>
      </c>
      <c r="T34" s="183"/>
      <c r="U34" s="182" t="e">
        <v>#NUM!</v>
      </c>
      <c r="V34" s="111"/>
      <c r="W34" s="181" t="e">
        <v>#NUM!</v>
      </c>
      <c r="X34" s="180" t="e">
        <f ca="1">_xll.qlSimpleQuoteSetValue(F34,ROUND(W34/10000,6),Trigger)</f>
        <v>#NAME?</v>
      </c>
      <c r="Y34" s="130"/>
    </row>
    <row r="35" spans="1:25" ht="11.25" customHeight="1" x14ac:dyDescent="0.2">
      <c r="A35" s="135"/>
      <c r="B35" s="86" t="str">
        <f t="shared" si="0"/>
        <v>28Y</v>
      </c>
      <c r="C35" s="86" t="str">
        <f t="shared" si="1"/>
        <v>6E</v>
      </c>
      <c r="D35" s="86" t="str">
        <f t="shared" si="2"/>
        <v>12E</v>
      </c>
      <c r="E35" s="85" t="str">
        <f t="shared" si="3"/>
        <v>EUR6E12E28Y_Quote</v>
      </c>
      <c r="F35" s="85" t="e">
        <f ca="1">_xll.qlSimpleQuote(E35,,RateTickValue,Permanent,Trigger,ObjectOverwrite)</f>
        <v>#NAME?</v>
      </c>
      <c r="G35" s="42" t="e">
        <f ca="1">_xll.ohRangeRetrieveError(F35)</f>
        <v>#NAME?</v>
      </c>
      <c r="H35" s="36"/>
      <c r="J35" s="135"/>
      <c r="K35" s="141" t="s">
        <v>28</v>
      </c>
      <c r="L35" s="141" t="s">
        <v>66</v>
      </c>
      <c r="M35" s="141" t="s">
        <v>20</v>
      </c>
      <c r="N35" s="186" t="str">
        <f t="shared" si="4"/>
        <v>EUR6E12E28Y</v>
      </c>
      <c r="O35" s="140" t="str">
        <v>EUR6E12E28Y=ICAP</v>
      </c>
      <c r="P35" s="185" t="s">
        <v>109</v>
      </c>
      <c r="Q35" s="185" t="s">
        <v>109</v>
      </c>
      <c r="R35" s="185" t="e">
        <f ca="1">_xll.qlMidEquivalent(P35,Q35)</f>
        <v>#NAME?</v>
      </c>
      <c r="S35" s="185" t="e">
        <f t="shared" ca="1" si="5"/>
        <v>#NAME?</v>
      </c>
      <c r="T35" s="183"/>
      <c r="U35" s="182" t="e">
        <v>#NUM!</v>
      </c>
      <c r="V35" s="111"/>
      <c r="W35" s="181" t="e">
        <v>#NUM!</v>
      </c>
      <c r="X35" s="180" t="e">
        <f ca="1">_xll.qlSimpleQuoteSetValue(F35,ROUND(W35/10000,6),Trigger)</f>
        <v>#NAME?</v>
      </c>
      <c r="Y35" s="130"/>
    </row>
    <row r="36" spans="1:25" ht="11.25" customHeight="1" x14ac:dyDescent="0.2">
      <c r="A36" s="135"/>
      <c r="B36" s="86" t="str">
        <f t="shared" si="0"/>
        <v>29Y</v>
      </c>
      <c r="C36" s="86" t="str">
        <f t="shared" si="1"/>
        <v>6E</v>
      </c>
      <c r="D36" s="86" t="str">
        <f t="shared" si="2"/>
        <v>12E</v>
      </c>
      <c r="E36" s="85" t="str">
        <f t="shared" si="3"/>
        <v>EUR6E12E29Y_Quote</v>
      </c>
      <c r="F36" s="85" t="e">
        <f ca="1">_xll.qlSimpleQuote(E36,,RateTickValue,Permanent,Trigger,ObjectOverwrite)</f>
        <v>#NAME?</v>
      </c>
      <c r="G36" s="42" t="e">
        <f ca="1">_xll.ohRangeRetrieveError(F36)</f>
        <v>#NAME?</v>
      </c>
      <c r="H36" s="36"/>
      <c r="J36" s="135"/>
      <c r="K36" s="141" t="s">
        <v>27</v>
      </c>
      <c r="L36" s="141" t="s">
        <v>66</v>
      </c>
      <c r="M36" s="141" t="s">
        <v>20</v>
      </c>
      <c r="N36" s="186" t="str">
        <f t="shared" si="4"/>
        <v>EUR6E12E29Y</v>
      </c>
      <c r="O36" s="140" t="str">
        <v>EUR6E12E29Y=ICAP</v>
      </c>
      <c r="P36" s="185" t="s">
        <v>109</v>
      </c>
      <c r="Q36" s="185" t="s">
        <v>109</v>
      </c>
      <c r="R36" s="185" t="e">
        <f ca="1">_xll.qlMidEquivalent(P36,Q36)</f>
        <v>#NAME?</v>
      </c>
      <c r="S36" s="185" t="e">
        <f t="shared" ca="1" si="5"/>
        <v>#NAME?</v>
      </c>
      <c r="T36" s="183"/>
      <c r="U36" s="182" t="e">
        <v>#NUM!</v>
      </c>
      <c r="V36" s="111"/>
      <c r="W36" s="181" t="e">
        <v>#NUM!</v>
      </c>
      <c r="X36" s="180" t="e">
        <f ca="1">_xll.qlSimpleQuoteSetValue(F36,ROUND(W36/10000,6),Trigger)</f>
        <v>#NAME?</v>
      </c>
      <c r="Y36" s="130"/>
    </row>
    <row r="37" spans="1:25" ht="11.25" customHeight="1" x14ac:dyDescent="0.2">
      <c r="A37" s="135"/>
      <c r="B37" s="86" t="str">
        <f t="shared" si="0"/>
        <v>30Y</v>
      </c>
      <c r="C37" s="86" t="str">
        <f t="shared" si="1"/>
        <v>6E</v>
      </c>
      <c r="D37" s="86" t="str">
        <f t="shared" si="2"/>
        <v>12E</v>
      </c>
      <c r="E37" s="85" t="str">
        <f t="shared" si="3"/>
        <v>EUR6E12E30Y_Quote</v>
      </c>
      <c r="F37" s="85" t="e">
        <f ca="1">_xll.qlSimpleQuote(E37,,RateTickValue,Permanent,Trigger,ObjectOverwrite)</f>
        <v>#NAME?</v>
      </c>
      <c r="G37" s="42" t="e">
        <f ca="1">_xll.ohRangeRetrieveError(F37)</f>
        <v>#NAME?</v>
      </c>
      <c r="H37" s="36"/>
      <c r="J37" s="135"/>
      <c r="K37" s="141" t="s">
        <v>26</v>
      </c>
      <c r="L37" s="141" t="s">
        <v>66</v>
      </c>
      <c r="M37" s="141" t="s">
        <v>20</v>
      </c>
      <c r="N37" s="186" t="str">
        <f t="shared" si="4"/>
        <v>EUR6E12E30Y</v>
      </c>
      <c r="O37" s="140" t="str">
        <v>EUR6E12E30Y=ICAP</v>
      </c>
      <c r="P37" s="185">
        <v>7.7</v>
      </c>
      <c r="Q37" s="185">
        <v>0</v>
      </c>
      <c r="R37" s="185" t="e">
        <f ca="1">_xll.qlMidEquivalent(P37,Q37)</f>
        <v>#NAME?</v>
      </c>
      <c r="S37" s="185" t="e">
        <f t="shared" ca="1" si="5"/>
        <v>#NAME?</v>
      </c>
      <c r="T37" s="183"/>
      <c r="U37" s="182">
        <v>7.7</v>
      </c>
      <c r="V37" s="111"/>
      <c r="W37" s="181">
        <v>7.7</v>
      </c>
      <c r="X37" s="180" t="e">
        <f ca="1">_xll.qlSimpleQuoteSetValue(F37,ROUND(W37/10000,6),Trigger)</f>
        <v>#NAME?</v>
      </c>
      <c r="Y37" s="130"/>
    </row>
    <row r="38" spans="1:25" ht="11.25" customHeight="1" x14ac:dyDescent="0.2">
      <c r="A38" s="135"/>
      <c r="B38" s="86" t="str">
        <f t="shared" si="0"/>
        <v>35Y</v>
      </c>
      <c r="C38" s="86" t="str">
        <f t="shared" si="1"/>
        <v>6E</v>
      </c>
      <c r="D38" s="86" t="str">
        <f t="shared" si="2"/>
        <v>12E</v>
      </c>
      <c r="E38" s="85" t="str">
        <f t="shared" si="3"/>
        <v>EUR6E12E35Y_Quote</v>
      </c>
      <c r="F38" s="85" t="e">
        <f ca="1">_xll.qlSimpleQuote(E38,,RateTickValue,Permanent,Trigger,ObjectOverwrite)</f>
        <v>#NAME?</v>
      </c>
      <c r="G38" s="42" t="e">
        <f ca="1">_xll.ohRangeRetrieveError(F38)</f>
        <v>#NAME?</v>
      </c>
      <c r="H38" s="36"/>
      <c r="J38" s="135"/>
      <c r="K38" s="141" t="s">
        <v>25</v>
      </c>
      <c r="L38" s="141" t="s">
        <v>66</v>
      </c>
      <c r="M38" s="141" t="s">
        <v>20</v>
      </c>
      <c r="N38" s="186" t="str">
        <f t="shared" si="4"/>
        <v>EUR6E12E35Y</v>
      </c>
      <c r="O38" s="140" t="str">
        <v>EUR6E12E35Y=ICAP</v>
      </c>
      <c r="P38" s="185" t="s">
        <v>109</v>
      </c>
      <c r="Q38" s="185" t="s">
        <v>109</v>
      </c>
      <c r="R38" s="185" t="e">
        <f ca="1">_xll.qlMidEquivalent(P38,Q38)</f>
        <v>#NAME?</v>
      </c>
      <c r="S38" s="185" t="e">
        <f t="shared" ca="1" si="5"/>
        <v>#NAME?</v>
      </c>
      <c r="T38" s="183"/>
      <c r="U38" s="182" t="e">
        <v>#NUM!</v>
      </c>
      <c r="V38" s="111"/>
      <c r="W38" s="181" t="e">
        <v>#NUM!</v>
      </c>
      <c r="X38" s="180" t="e">
        <f ca="1">_xll.qlSimpleQuoteSetValue(F38,ROUND(W38/10000,6),Trigger)</f>
        <v>#NAME?</v>
      </c>
      <c r="Y38" s="130"/>
    </row>
    <row r="39" spans="1:25" ht="11.25" customHeight="1" x14ac:dyDescent="0.2">
      <c r="A39" s="135"/>
      <c r="B39" s="86" t="str">
        <f t="shared" si="0"/>
        <v>40Y</v>
      </c>
      <c r="C39" s="86" t="str">
        <f t="shared" si="1"/>
        <v>6E</v>
      </c>
      <c r="D39" s="86" t="str">
        <f t="shared" si="2"/>
        <v>12E</v>
      </c>
      <c r="E39" s="85" t="str">
        <f t="shared" si="3"/>
        <v>EUR6E12E40Y_Quote</v>
      </c>
      <c r="F39" s="85" t="e">
        <f ca="1">_xll.qlSimpleQuote(E39,,RateTickValue,Permanent,Trigger,ObjectOverwrite)</f>
        <v>#NAME?</v>
      </c>
      <c r="G39" s="42" t="e">
        <f ca="1">_xll.ohRangeRetrieveError(F39)</f>
        <v>#NAME?</v>
      </c>
      <c r="H39" s="36"/>
      <c r="J39" s="135"/>
      <c r="K39" s="141" t="s">
        <v>24</v>
      </c>
      <c r="L39" s="141" t="s">
        <v>66</v>
      </c>
      <c r="M39" s="141" t="s">
        <v>20</v>
      </c>
      <c r="N39" s="186" t="str">
        <f t="shared" si="4"/>
        <v>EUR6E12E40Y</v>
      </c>
      <c r="O39" s="140" t="str">
        <v>EUR6E12E40Y=ICAP</v>
      </c>
      <c r="P39" s="185">
        <v>6.9</v>
      </c>
      <c r="Q39" s="185">
        <v>0</v>
      </c>
      <c r="R39" s="185" t="e">
        <f ca="1">_xll.qlMidEquivalent(P39,Q39)</f>
        <v>#NAME?</v>
      </c>
      <c r="S39" s="185" t="e">
        <f t="shared" ca="1" si="5"/>
        <v>#NAME?</v>
      </c>
      <c r="T39" s="183"/>
      <c r="U39" s="182">
        <v>6.9</v>
      </c>
      <c r="V39" s="111"/>
      <c r="W39" s="181">
        <v>6.9</v>
      </c>
      <c r="X39" s="180" t="e">
        <f ca="1">_xll.qlSimpleQuoteSetValue(F39,ROUND(W39/10000,6),Trigger)</f>
        <v>#NAME?</v>
      </c>
      <c r="Y39" s="130"/>
    </row>
    <row r="40" spans="1:25" ht="11.25" customHeight="1" x14ac:dyDescent="0.2">
      <c r="A40" s="135"/>
      <c r="B40" s="86" t="str">
        <f t="shared" si="0"/>
        <v>50Y</v>
      </c>
      <c r="C40" s="86" t="str">
        <f t="shared" si="1"/>
        <v>6E</v>
      </c>
      <c r="D40" s="86" t="str">
        <f t="shared" si="2"/>
        <v>12E</v>
      </c>
      <c r="E40" s="85" t="str">
        <f t="shared" si="3"/>
        <v>EUR6E12E50Y_Quote</v>
      </c>
      <c r="F40" s="85" t="e">
        <f ca="1">_xll.qlSimpleQuote(E40,,RateTickValue,Permanent,Trigger,ObjectOverwrite)</f>
        <v>#NAME?</v>
      </c>
      <c r="G40" s="42" t="e">
        <f ca="1">_xll.ohRangeRetrieveError(F40)</f>
        <v>#NAME?</v>
      </c>
      <c r="H40" s="36"/>
      <c r="J40" s="135"/>
      <c r="K40" s="141" t="s">
        <v>23</v>
      </c>
      <c r="L40" s="141" t="s">
        <v>66</v>
      </c>
      <c r="M40" s="141" t="s">
        <v>20</v>
      </c>
      <c r="N40" s="186" t="str">
        <f t="shared" si="4"/>
        <v>EUR6E12E50Y</v>
      </c>
      <c r="O40" s="140" t="str">
        <v>EUR6E12E50Y=ICAP</v>
      </c>
      <c r="P40" s="185">
        <v>6.4</v>
      </c>
      <c r="Q40" s="185">
        <v>0</v>
      </c>
      <c r="R40" s="185" t="e">
        <f ca="1">_xll.qlMidEquivalent(P40,Q40)</f>
        <v>#NAME?</v>
      </c>
      <c r="S40" s="185" t="e">
        <f t="shared" ca="1" si="5"/>
        <v>#NAME?</v>
      </c>
      <c r="T40" s="183"/>
      <c r="U40" s="182">
        <v>6.4</v>
      </c>
      <c r="V40" s="111"/>
      <c r="W40" s="181">
        <v>6.4</v>
      </c>
      <c r="X40" s="180" t="e">
        <f ca="1">_xll.qlSimpleQuoteSetValue(F40,ROUND(W40/10000,6),Trigger)</f>
        <v>#NAME?</v>
      </c>
      <c r="Y40" s="130"/>
    </row>
    <row r="41" spans="1:25" ht="11.25" customHeight="1" x14ac:dyDescent="0.2">
      <c r="A41" s="135"/>
      <c r="B41" s="75" t="str">
        <f t="shared" si="0"/>
        <v>60Y</v>
      </c>
      <c r="C41" s="75" t="str">
        <f t="shared" si="1"/>
        <v>6E</v>
      </c>
      <c r="D41" s="75" t="str">
        <f t="shared" si="2"/>
        <v>12E</v>
      </c>
      <c r="E41" s="74" t="str">
        <f t="shared" si="3"/>
        <v>EUR6E12E60Y_Quote</v>
      </c>
      <c r="F41" s="74" t="e">
        <f ca="1">_xll.qlSimpleQuote(E41,,RateTickValue,Permanent,Trigger,ObjectOverwrite)</f>
        <v>#NAME?</v>
      </c>
      <c r="G41" s="37" t="e">
        <f ca="1">_xll.ohRangeRetrieveError(F41)</f>
        <v>#NAME?</v>
      </c>
      <c r="H41" s="36"/>
      <c r="J41" s="135"/>
      <c r="K41" s="141" t="s">
        <v>22</v>
      </c>
      <c r="L41" s="141" t="s">
        <v>66</v>
      </c>
      <c r="M41" s="141" t="s">
        <v>20</v>
      </c>
      <c r="N41" s="186" t="str">
        <f t="shared" si="4"/>
        <v>EUR6E12E60Y</v>
      </c>
      <c r="O41" s="140" t="str">
        <v>EUR6E12E60Y=ICAP</v>
      </c>
      <c r="P41" s="185">
        <v>6</v>
      </c>
      <c r="Q41" s="185">
        <v>0</v>
      </c>
      <c r="R41" s="185" t="e">
        <f ca="1">_xll.qlMidEquivalent(P41,Q41)</f>
        <v>#NAME?</v>
      </c>
      <c r="S41" s="184" t="e">
        <f t="shared" ca="1" si="5"/>
        <v>#NAME?</v>
      </c>
      <c r="T41" s="183"/>
      <c r="U41" s="182">
        <v>6</v>
      </c>
      <c r="V41" s="111"/>
      <c r="W41" s="181">
        <v>6</v>
      </c>
      <c r="X41" s="180" t="e">
        <f ca="1">_xll.qlSimpleQuoteSetValue(F41,ROUND(W41/10000,6),Trigger)</f>
        <v>#NAME?</v>
      </c>
      <c r="Y41" s="130"/>
    </row>
    <row r="42" spans="1:25" ht="11.25" customHeight="1" x14ac:dyDescent="0.2">
      <c r="A42" s="35"/>
      <c r="B42" s="34"/>
      <c r="C42" s="34"/>
      <c r="D42" s="34"/>
      <c r="E42" s="34"/>
      <c r="F42" s="33"/>
      <c r="G42" s="33"/>
      <c r="H42" s="32"/>
      <c r="J42" s="35"/>
      <c r="K42" s="172"/>
      <c r="L42" s="172"/>
      <c r="M42" s="172"/>
      <c r="N42" s="172"/>
      <c r="O42" s="172"/>
      <c r="P42" s="172"/>
      <c r="Q42" s="172"/>
      <c r="R42" s="172"/>
      <c r="S42" s="34"/>
      <c r="T42" s="34"/>
      <c r="U42" s="172"/>
      <c r="V42" s="34"/>
      <c r="W42" s="172"/>
      <c r="X42" s="172"/>
      <c r="Y42" s="129"/>
    </row>
  </sheetData>
  <dataValidations count="2">
    <dataValidation showInputMessage="1" showErrorMessage="1" sqref="O2"/>
    <dataValidation type="list" allowBlank="1" showInputMessage="1" showErrorMessage="1" sqref="O42">
      <formula1>"FirstDerivative,SecondDerivative,Lagrange,NotAKnot,Periodic"</formula1>
    </dataValidation>
  </dataValidations>
  <pageMargins left="0.75" right="0.75" top="1" bottom="1" header="0.5" footer="0.5"/>
  <pageSetup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AB16"/>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28" ht="11.25" customHeight="1" thickBot="1" x14ac:dyDescent="0.25">
      <c r="A1" s="56"/>
      <c r="B1" s="54"/>
      <c r="C1" s="54"/>
      <c r="D1" s="54"/>
      <c r="E1" s="54"/>
      <c r="F1" s="55"/>
      <c r="G1" s="54"/>
      <c r="H1" s="53"/>
      <c r="J1" s="153" t="s">
        <v>113</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1"/>
      <c r="L2" s="111"/>
      <c r="M2" s="111"/>
      <c r="N2" s="111"/>
      <c r="O2" s="119" t="str">
        <f>VLOOKUP(J1,AreaTable,2,FALSE)</f>
        <v>ICAP</v>
      </c>
      <c r="P2" s="111"/>
      <c r="Q2" s="111"/>
      <c r="R2" s="110"/>
      <c r="S2" s="110"/>
      <c r="T2" s="111"/>
      <c r="U2" s="111"/>
      <c r="V2" s="111"/>
      <c r="W2" s="111"/>
      <c r="X2" s="118" t="e">
        <f ca="1">_xll.ohTrigger(X5:X15)</f>
        <v>#NAME?</v>
      </c>
      <c r="Y2" s="36"/>
      <c r="AA2" s="1361" t="s">
        <v>529</v>
      </c>
      <c r="AB2" s="1364" t="e">
        <f ca="1">_xll.ohTrigger('General Settings'!Trigger)</f>
        <v>#NAME?</v>
      </c>
    </row>
    <row r="3" spans="1:28" ht="11.25" customHeight="1" thickBot="1" x14ac:dyDescent="0.3">
      <c r="A3" s="121"/>
      <c r="B3" s="109"/>
      <c r="C3" s="109"/>
      <c r="D3" s="109"/>
      <c r="E3" s="109"/>
      <c r="F3" s="151"/>
      <c r="G3" s="109"/>
      <c r="H3" s="120"/>
      <c r="J3" s="135"/>
      <c r="K3" s="111"/>
      <c r="L3" s="110"/>
      <c r="M3" s="110"/>
      <c r="N3" s="110"/>
      <c r="O3" s="110"/>
      <c r="P3" s="110"/>
      <c r="Q3" s="110"/>
      <c r="R3" s="110"/>
      <c r="S3" s="110"/>
      <c r="T3" s="111"/>
      <c r="U3" s="111"/>
      <c r="V3" s="111"/>
      <c r="W3" s="110"/>
      <c r="X3" s="109"/>
      <c r="Y3" s="130"/>
      <c r="AA3" s="1362" t="s">
        <v>530</v>
      </c>
      <c r="AB3" s="1365" t="e">
        <f ca="1">_xll.ohTrigger(X5:X15)</f>
        <v>#NAME?</v>
      </c>
    </row>
    <row r="4" spans="1:28" s="99" customFormat="1" ht="21" customHeight="1" x14ac:dyDescent="0.25">
      <c r="A4" s="106"/>
      <c r="B4" s="52"/>
      <c r="C4" s="52"/>
      <c r="D4" s="52"/>
      <c r="E4" s="51" t="s">
        <v>91</v>
      </c>
      <c r="F4" s="51" t="s">
        <v>90</v>
      </c>
      <c r="G4" s="50" t="s">
        <v>59</v>
      </c>
      <c r="H4" s="100"/>
      <c r="J4" s="106"/>
      <c r="K4" s="146"/>
      <c r="L4" s="149"/>
      <c r="M4" s="146"/>
      <c r="N4" s="146"/>
      <c r="O4" s="148" t="e">
        <f ca="1">_xll.RData(O5:O15,P4:Q4,,ReutersRtMode,,P5)</f>
        <v>#NAME?</v>
      </c>
      <c r="P4" s="147" t="s">
        <v>84</v>
      </c>
      <c r="Q4" s="147" t="s">
        <v>83</v>
      </c>
      <c r="R4" s="103" t="s">
        <v>106</v>
      </c>
      <c r="S4" s="103" t="s">
        <v>79</v>
      </c>
      <c r="T4" s="179"/>
      <c r="U4" s="147" t="s">
        <v>78</v>
      </c>
      <c r="V4" s="179"/>
      <c r="W4" s="146" t="s">
        <v>77</v>
      </c>
      <c r="X4" s="146" t="s">
        <v>76</v>
      </c>
      <c r="Y4" s="100"/>
    </row>
    <row r="5" spans="1:28" ht="11.25" customHeight="1" x14ac:dyDescent="0.2">
      <c r="A5" s="135"/>
      <c r="B5" s="145"/>
      <c r="C5" s="144">
        <f t="shared" ref="C5:C15" si="0">L5</f>
        <v>2</v>
      </c>
      <c r="D5" s="49" t="str">
        <f t="shared" ref="D5:D15" si="1">M5</f>
        <v>X1S</v>
      </c>
      <c r="E5" s="47" t="str">
        <f t="shared" ref="E5:E15" si="2">Currency&amp;$C5&amp;$D5&amp;$B5&amp;QuoteSuffix</f>
        <v>EUR2X1S_Quote</v>
      </c>
      <c r="F5" s="47" t="e">
        <f ca="1">_xll.qlSimpleQuote(Currency&amp;$C5&amp;$D5&amp;$B5&amp;QuoteSuffix,,RateTickValue,Permanent,Trigger,ObjectOverwrite)</f>
        <v>#NAME?</v>
      </c>
      <c r="G5" s="46" t="e">
        <f ca="1">_xll.ohRangeRetrieveError(F5)</f>
        <v>#NAME?</v>
      </c>
      <c r="H5" s="36"/>
      <c r="J5" s="135"/>
      <c r="K5" s="141"/>
      <c r="L5" s="141">
        <v>2</v>
      </c>
      <c r="M5" s="141" t="s">
        <v>112</v>
      </c>
      <c r="N5" s="140" t="str">
        <f t="shared" ref="N5:N15" si="3">Currency&amp;$L5&amp;$M5&amp;$K5</f>
        <v>EUR2X1S</v>
      </c>
      <c r="O5" s="140" t="str">
        <f t="array" ref="O5:O15">Instruments&amp;"="&amp;VLOOKUP(Contributor,ContributorTable,2,FALSE)</f>
        <v>EUR2X1S=ICAP</v>
      </c>
      <c r="P5" s="78">
        <v>-0.14299999999999999</v>
      </c>
      <c r="Q5" s="78">
        <v>-9.2999999999999999E-2</v>
      </c>
      <c r="R5" s="78">
        <f t="shared" ref="R5:R15" si="4">IF(ISERROR(AVERAGE(P5,Q5)),#NUM!,AVERAGE(P5,Q5))</f>
        <v>-0.11799999999999999</v>
      </c>
      <c r="S5" s="78">
        <f t="shared" ref="S5:S15" si="5">(R5-P5)*2</f>
        <v>4.9999999999999989E-2</v>
      </c>
      <c r="T5" s="115"/>
      <c r="U5" s="139">
        <v>-0.11799999999999999</v>
      </c>
      <c r="V5" s="115"/>
      <c r="W5" s="78">
        <f t="array" ref="W5:W15">QuoteStatic</f>
        <v>-0.11799999999999999</v>
      </c>
      <c r="X5" s="138" t="e">
        <f ca="1">_xll.qlSimpleQuoteSetValue(F5,W5/100,Trigger)</f>
        <v>#NAME?</v>
      </c>
      <c r="Y5" s="130"/>
    </row>
    <row r="6" spans="1:28" ht="11.25" customHeight="1" x14ac:dyDescent="0.2">
      <c r="A6" s="135"/>
      <c r="B6" s="143"/>
      <c r="C6" s="142">
        <f t="shared" si="0"/>
        <v>3</v>
      </c>
      <c r="D6" s="45" t="str">
        <f t="shared" si="1"/>
        <v>X1S</v>
      </c>
      <c r="E6" s="43" t="str">
        <f t="shared" si="2"/>
        <v>EUR3X1S_Quote</v>
      </c>
      <c r="F6" s="43" t="e">
        <f ca="1">_xll.qlSimpleQuote(Currency&amp;$C6&amp;$D6&amp;$B6&amp;QuoteSuffix,,RateTickValue,Permanent,Trigger,ObjectOverwrite)</f>
        <v>#NAME?</v>
      </c>
      <c r="G6" s="42" t="e">
        <f ca="1">_xll.ohRangeRetrieveError(F6)</f>
        <v>#NAME?</v>
      </c>
      <c r="H6" s="36"/>
      <c r="J6" s="135"/>
      <c r="K6" s="141"/>
      <c r="L6" s="141">
        <v>3</v>
      </c>
      <c r="M6" s="141" t="s">
        <v>112</v>
      </c>
      <c r="N6" s="140" t="str">
        <f t="shared" si="3"/>
        <v>EUR3X1S</v>
      </c>
      <c r="O6" s="140" t="str">
        <v>EUR3X1S=ICAP</v>
      </c>
      <c r="P6" s="78">
        <v>-0.14299999999999999</v>
      </c>
      <c r="Q6" s="78">
        <v>-9.2999999999999999E-2</v>
      </c>
      <c r="R6" s="78">
        <f t="shared" si="4"/>
        <v>-0.11799999999999999</v>
      </c>
      <c r="S6" s="78">
        <f t="shared" si="5"/>
        <v>4.9999999999999989E-2</v>
      </c>
      <c r="T6" s="115"/>
      <c r="U6" s="139">
        <v>-0.11799999999999999</v>
      </c>
      <c r="V6" s="115"/>
      <c r="W6" s="78">
        <v>-0.11799999999999999</v>
      </c>
      <c r="X6" s="138" t="e">
        <f ca="1">_xll.qlSimpleQuoteSetValue(F6,W6/100,Trigger)</f>
        <v>#NAME?</v>
      </c>
      <c r="Y6" s="130"/>
    </row>
    <row r="7" spans="1:28" ht="11.25" customHeight="1" x14ac:dyDescent="0.2">
      <c r="A7" s="135"/>
      <c r="B7" s="143"/>
      <c r="C7" s="142">
        <f t="shared" si="0"/>
        <v>4</v>
      </c>
      <c r="D7" s="45" t="str">
        <f t="shared" si="1"/>
        <v>X1S</v>
      </c>
      <c r="E7" s="43" t="str">
        <f t="shared" si="2"/>
        <v>EUR4X1S_Quote</v>
      </c>
      <c r="F7" s="43" t="e">
        <f ca="1">_xll.qlSimpleQuote(Currency&amp;$C7&amp;$D7&amp;$B7&amp;QuoteSuffix,,RateTickValue,Permanent,Trigger,ObjectOverwrite)</f>
        <v>#NAME?</v>
      </c>
      <c r="G7" s="42" t="e">
        <f ca="1">_xll.ohRangeRetrieveError(F7)</f>
        <v>#NAME?</v>
      </c>
      <c r="H7" s="36"/>
      <c r="J7" s="135"/>
      <c r="K7" s="141"/>
      <c r="L7" s="141">
        <v>4</v>
      </c>
      <c r="M7" s="141" t="s">
        <v>112</v>
      </c>
      <c r="N7" s="140" t="str">
        <f t="shared" si="3"/>
        <v>EUR4X1S</v>
      </c>
      <c r="O7" s="140" t="str">
        <v>EUR4X1S=ICAP</v>
      </c>
      <c r="P7" s="78">
        <v>-0.14599999999999999</v>
      </c>
      <c r="Q7" s="78">
        <v>-9.6000000000000002E-2</v>
      </c>
      <c r="R7" s="78">
        <f t="shared" si="4"/>
        <v>-0.121</v>
      </c>
      <c r="S7" s="78">
        <f t="shared" si="5"/>
        <v>4.9999999999999989E-2</v>
      </c>
      <c r="T7" s="115"/>
      <c r="U7" s="139">
        <v>-0.121</v>
      </c>
      <c r="V7" s="115"/>
      <c r="W7" s="78">
        <v>-0.121</v>
      </c>
      <c r="X7" s="138" t="e">
        <f ca="1">_xll.qlSimpleQuoteSetValue(F7,W7/100,Trigger)</f>
        <v>#NAME?</v>
      </c>
      <c r="Y7" s="130"/>
    </row>
    <row r="8" spans="1:28" ht="11.25" customHeight="1" x14ac:dyDescent="0.2">
      <c r="A8" s="135"/>
      <c r="B8" s="143"/>
      <c r="C8" s="142">
        <f t="shared" si="0"/>
        <v>5</v>
      </c>
      <c r="D8" s="45" t="str">
        <f t="shared" si="1"/>
        <v>X1S</v>
      </c>
      <c r="E8" s="43" t="str">
        <f t="shared" si="2"/>
        <v>EUR5X1S_Quote</v>
      </c>
      <c r="F8" s="43" t="e">
        <f ca="1">_xll.qlSimpleQuote(Currency&amp;$C8&amp;$D8&amp;$B8&amp;QuoteSuffix,,RateTickValue,Permanent,Trigger,ObjectOverwrite)</f>
        <v>#NAME?</v>
      </c>
      <c r="G8" s="42" t="e">
        <f ca="1">_xll.ohRangeRetrieveError(F8)</f>
        <v>#NAME?</v>
      </c>
      <c r="H8" s="36"/>
      <c r="J8" s="135"/>
      <c r="K8" s="141"/>
      <c r="L8" s="141">
        <v>5</v>
      </c>
      <c r="M8" s="141" t="s">
        <v>112</v>
      </c>
      <c r="N8" s="140" t="str">
        <f t="shared" si="3"/>
        <v>EUR5X1S</v>
      </c>
      <c r="O8" s="140" t="str">
        <v>EUR5X1S=ICAP</v>
      </c>
      <c r="P8" s="78">
        <v>-0.14799999999999999</v>
      </c>
      <c r="Q8" s="78">
        <v>-9.8000000000000004E-2</v>
      </c>
      <c r="R8" s="78">
        <f t="shared" si="4"/>
        <v>-0.123</v>
      </c>
      <c r="S8" s="78">
        <f t="shared" si="5"/>
        <v>4.9999999999999989E-2</v>
      </c>
      <c r="T8" s="115"/>
      <c r="U8" s="139">
        <v>-0.123</v>
      </c>
      <c r="V8" s="115"/>
      <c r="W8" s="78">
        <v>-0.123</v>
      </c>
      <c r="X8" s="138" t="e">
        <f ca="1">_xll.qlSimpleQuoteSetValue(F8,W8/100,Trigger)</f>
        <v>#NAME?</v>
      </c>
      <c r="Y8" s="130"/>
    </row>
    <row r="9" spans="1:28" ht="11.25" customHeight="1" x14ac:dyDescent="0.2">
      <c r="A9" s="135"/>
      <c r="B9" s="143"/>
      <c r="C9" s="142">
        <f t="shared" si="0"/>
        <v>6</v>
      </c>
      <c r="D9" s="45" t="str">
        <f t="shared" si="1"/>
        <v>X1S</v>
      </c>
      <c r="E9" s="43" t="str">
        <f t="shared" si="2"/>
        <v>EUR6X1S_Quote</v>
      </c>
      <c r="F9" s="43" t="e">
        <f ca="1">_xll.qlSimpleQuote(Currency&amp;$C9&amp;$D9&amp;$B9&amp;QuoteSuffix,,RateTickValue,Permanent,Trigger,ObjectOverwrite)</f>
        <v>#NAME?</v>
      </c>
      <c r="G9" s="42" t="e">
        <f ca="1">_xll.ohRangeRetrieveError(F9)</f>
        <v>#NAME?</v>
      </c>
      <c r="H9" s="36"/>
      <c r="J9" s="135"/>
      <c r="K9" s="141"/>
      <c r="L9" s="141">
        <v>6</v>
      </c>
      <c r="M9" s="141" t="s">
        <v>112</v>
      </c>
      <c r="N9" s="140" t="str">
        <f t="shared" si="3"/>
        <v>EUR6X1S</v>
      </c>
      <c r="O9" s="140" t="str">
        <v>EUR6X1S=ICAP</v>
      </c>
      <c r="P9" s="78">
        <v>-0.14899999999999999</v>
      </c>
      <c r="Q9" s="78">
        <v>-9.9000000000000005E-2</v>
      </c>
      <c r="R9" s="78">
        <f t="shared" si="4"/>
        <v>-0.124</v>
      </c>
      <c r="S9" s="78">
        <f t="shared" si="5"/>
        <v>4.9999999999999989E-2</v>
      </c>
      <c r="T9" s="115"/>
      <c r="U9" s="139">
        <v>-0.124</v>
      </c>
      <c r="V9" s="115"/>
      <c r="W9" s="78">
        <v>-0.124</v>
      </c>
      <c r="X9" s="138" t="e">
        <f ca="1">_xll.qlSimpleQuoteSetValue(F9,W9/100,Trigger)</f>
        <v>#NAME?</v>
      </c>
      <c r="Y9" s="130"/>
    </row>
    <row r="10" spans="1:28" ht="11.25" customHeight="1" x14ac:dyDescent="0.2">
      <c r="A10" s="135"/>
      <c r="B10" s="143"/>
      <c r="C10" s="142">
        <f t="shared" si="0"/>
        <v>7</v>
      </c>
      <c r="D10" s="45" t="str">
        <f t="shared" si="1"/>
        <v>X1S</v>
      </c>
      <c r="E10" s="43" t="str">
        <f t="shared" si="2"/>
        <v>EUR7X1S_Quote</v>
      </c>
      <c r="F10" s="43" t="e">
        <f ca="1">_xll.qlSimpleQuote(Currency&amp;$C10&amp;$D10&amp;$B10&amp;QuoteSuffix,,RateTickValue,Permanent,Trigger,ObjectOverwrite)</f>
        <v>#NAME?</v>
      </c>
      <c r="G10" s="42" t="e">
        <f ca="1">_xll.ohRangeRetrieveError(F10)</f>
        <v>#NAME?</v>
      </c>
      <c r="H10" s="36"/>
      <c r="J10" s="135"/>
      <c r="K10" s="141"/>
      <c r="L10" s="141">
        <v>7</v>
      </c>
      <c r="M10" s="141" t="s">
        <v>112</v>
      </c>
      <c r="N10" s="140" t="str">
        <f t="shared" si="3"/>
        <v>EUR7X1S</v>
      </c>
      <c r="O10" s="140" t="str">
        <v>EUR7X1S=ICAP</v>
      </c>
      <c r="P10" s="78">
        <v>-0.15</v>
      </c>
      <c r="Q10" s="78">
        <v>-0.1</v>
      </c>
      <c r="R10" s="78">
        <f t="shared" si="4"/>
        <v>-0.125</v>
      </c>
      <c r="S10" s="78">
        <f t="shared" si="5"/>
        <v>4.9999999999999989E-2</v>
      </c>
      <c r="T10" s="115"/>
      <c r="U10" s="139">
        <v>-0.125</v>
      </c>
      <c r="V10" s="115"/>
      <c r="W10" s="78">
        <v>-0.125</v>
      </c>
      <c r="X10" s="138" t="e">
        <f ca="1">_xll.qlSimpleQuoteSetValue(F10,W10/100,Trigger)</f>
        <v>#NAME?</v>
      </c>
      <c r="Y10" s="130"/>
    </row>
    <row r="11" spans="1:28" ht="11.25" customHeight="1" x14ac:dyDescent="0.2">
      <c r="A11" s="135"/>
      <c r="B11" s="143"/>
      <c r="C11" s="142">
        <f t="shared" si="0"/>
        <v>8</v>
      </c>
      <c r="D11" s="45" t="str">
        <f t="shared" si="1"/>
        <v>X1S</v>
      </c>
      <c r="E11" s="43" t="str">
        <f t="shared" si="2"/>
        <v>EUR8X1S_Quote</v>
      </c>
      <c r="F11" s="43" t="e">
        <f ca="1">_xll.qlSimpleQuote(Currency&amp;$C11&amp;$D11&amp;$B11&amp;QuoteSuffix,,RateTickValue,Permanent,Trigger,ObjectOverwrite)</f>
        <v>#NAME?</v>
      </c>
      <c r="G11" s="42" t="e">
        <f ca="1">_xll.ohRangeRetrieveError(F11)</f>
        <v>#NAME?</v>
      </c>
      <c r="H11" s="36"/>
      <c r="J11" s="135"/>
      <c r="K11" s="141"/>
      <c r="L11" s="141">
        <v>8</v>
      </c>
      <c r="M11" s="141" t="s">
        <v>112</v>
      </c>
      <c r="N11" s="140" t="str">
        <f t="shared" si="3"/>
        <v>EUR8X1S</v>
      </c>
      <c r="O11" s="140" t="str">
        <v>EUR8X1S=ICAP</v>
      </c>
      <c r="P11" s="78">
        <v>-0.153</v>
      </c>
      <c r="Q11" s="78">
        <v>-0.10300000000000001</v>
      </c>
      <c r="R11" s="78">
        <f t="shared" si="4"/>
        <v>-0.128</v>
      </c>
      <c r="S11" s="78">
        <f t="shared" si="5"/>
        <v>4.9999999999999989E-2</v>
      </c>
      <c r="T11" s="115"/>
      <c r="U11" s="139">
        <v>-0.128</v>
      </c>
      <c r="V11" s="115"/>
      <c r="W11" s="78">
        <v>-0.128</v>
      </c>
      <c r="X11" s="138" t="e">
        <f ca="1">_xll.qlSimpleQuoteSetValue(F11,W11/100,Trigger)</f>
        <v>#NAME?</v>
      </c>
      <c r="Y11" s="130"/>
    </row>
    <row r="12" spans="1:28" ht="11.25" customHeight="1" x14ac:dyDescent="0.2">
      <c r="A12" s="135"/>
      <c r="B12" s="143"/>
      <c r="C12" s="142">
        <f t="shared" si="0"/>
        <v>9</v>
      </c>
      <c r="D12" s="45" t="str">
        <f t="shared" si="1"/>
        <v>X1S</v>
      </c>
      <c r="E12" s="43" t="str">
        <f t="shared" si="2"/>
        <v>EUR9X1S_Quote</v>
      </c>
      <c r="F12" s="43" t="e">
        <f ca="1">_xll.qlSimpleQuote(Currency&amp;$C12&amp;$D12&amp;$B12&amp;QuoteSuffix,,RateTickValue,Permanent,Trigger,ObjectOverwrite)</f>
        <v>#NAME?</v>
      </c>
      <c r="G12" s="42" t="e">
        <f ca="1">_xll.ohRangeRetrieveError(F12)</f>
        <v>#NAME?</v>
      </c>
      <c r="H12" s="36"/>
      <c r="J12" s="135"/>
      <c r="K12" s="141"/>
      <c r="L12" s="141">
        <v>9</v>
      </c>
      <c r="M12" s="141" t="s">
        <v>112</v>
      </c>
      <c r="N12" s="140" t="str">
        <f t="shared" si="3"/>
        <v>EUR9X1S</v>
      </c>
      <c r="O12" s="140" t="str">
        <v>EUR9X1S=ICAP</v>
      </c>
      <c r="P12" s="78">
        <v>-0.156</v>
      </c>
      <c r="Q12" s="78">
        <v>-0.10600000000000001</v>
      </c>
      <c r="R12" s="78">
        <f t="shared" si="4"/>
        <v>-0.13100000000000001</v>
      </c>
      <c r="S12" s="78">
        <f t="shared" si="5"/>
        <v>4.9999999999999989E-2</v>
      </c>
      <c r="T12" s="115"/>
      <c r="U12" s="139">
        <v>-0.13100000000000001</v>
      </c>
      <c r="V12" s="115"/>
      <c r="W12" s="78">
        <v>-0.13100000000000001</v>
      </c>
      <c r="X12" s="138" t="e">
        <f ca="1">_xll.qlSimpleQuoteSetValue(F12,W12/100,Trigger)</f>
        <v>#NAME?</v>
      </c>
      <c r="Y12" s="130"/>
    </row>
    <row r="13" spans="1:28" ht="11.25" customHeight="1" x14ac:dyDescent="0.2">
      <c r="A13" s="135"/>
      <c r="B13" s="143"/>
      <c r="C13" s="142">
        <f t="shared" si="0"/>
        <v>10</v>
      </c>
      <c r="D13" s="45" t="str">
        <f t="shared" si="1"/>
        <v>X1S</v>
      </c>
      <c r="E13" s="43" t="str">
        <f t="shared" si="2"/>
        <v>EUR10X1S_Quote</v>
      </c>
      <c r="F13" s="43" t="e">
        <f ca="1">_xll.qlSimpleQuote(Currency&amp;$C13&amp;$D13&amp;$B13&amp;QuoteSuffix,,RateTickValue,Permanent,Trigger,ObjectOverwrite)</f>
        <v>#NAME?</v>
      </c>
      <c r="G13" s="42" t="e">
        <f ca="1">_xll.ohRangeRetrieveError(F13)</f>
        <v>#NAME?</v>
      </c>
      <c r="H13" s="36"/>
      <c r="J13" s="135"/>
      <c r="K13" s="141"/>
      <c r="L13" s="141">
        <v>10</v>
      </c>
      <c r="M13" s="141" t="s">
        <v>112</v>
      </c>
      <c r="N13" s="140" t="str">
        <f t="shared" si="3"/>
        <v>EUR10X1S</v>
      </c>
      <c r="O13" s="140" t="str">
        <v>EUR10X1S=ICAP</v>
      </c>
      <c r="P13" s="78">
        <v>-0.158</v>
      </c>
      <c r="Q13" s="78">
        <v>-0.10800000000000001</v>
      </c>
      <c r="R13" s="78">
        <f t="shared" si="4"/>
        <v>-0.13300000000000001</v>
      </c>
      <c r="S13" s="78">
        <f t="shared" si="5"/>
        <v>4.9999999999999989E-2</v>
      </c>
      <c r="T13" s="115"/>
      <c r="U13" s="139">
        <v>-0.13300000000000001</v>
      </c>
      <c r="V13" s="115"/>
      <c r="W13" s="78">
        <v>-0.13300000000000001</v>
      </c>
      <c r="X13" s="138" t="e">
        <f ca="1">_xll.qlSimpleQuoteSetValue(F13,W13/100,Trigger)</f>
        <v>#NAME?</v>
      </c>
      <c r="Y13" s="130"/>
    </row>
    <row r="14" spans="1:28" ht="11.25" customHeight="1" x14ac:dyDescent="0.2">
      <c r="A14" s="135"/>
      <c r="B14" s="143"/>
      <c r="C14" s="142">
        <f t="shared" si="0"/>
        <v>11</v>
      </c>
      <c r="D14" s="45" t="str">
        <f t="shared" si="1"/>
        <v>X1S</v>
      </c>
      <c r="E14" s="43" t="str">
        <f t="shared" si="2"/>
        <v>EUR11X1S_Quote</v>
      </c>
      <c r="F14" s="43" t="e">
        <f ca="1">_xll.qlSimpleQuote(Currency&amp;$C14&amp;$D14&amp;$B14&amp;QuoteSuffix,,RateTickValue,Permanent,Trigger,ObjectOverwrite)</f>
        <v>#NAME?</v>
      </c>
      <c r="G14" s="42" t="e">
        <f ca="1">_xll.ohRangeRetrieveError(F14)</f>
        <v>#NAME?</v>
      </c>
      <c r="H14" s="36"/>
      <c r="J14" s="135"/>
      <c r="K14" s="141"/>
      <c r="L14" s="141">
        <v>11</v>
      </c>
      <c r="M14" s="141" t="s">
        <v>112</v>
      </c>
      <c r="N14" s="140" t="str">
        <f t="shared" si="3"/>
        <v>EUR11X1S</v>
      </c>
      <c r="O14" s="140" t="str">
        <v>EUR11X1S=ICAP</v>
      </c>
      <c r="P14" s="78">
        <v>-0.16</v>
      </c>
      <c r="Q14" s="78">
        <v>-0.11000000000000001</v>
      </c>
      <c r="R14" s="78">
        <f t="shared" si="4"/>
        <v>-0.13500000000000001</v>
      </c>
      <c r="S14" s="78">
        <f t="shared" si="5"/>
        <v>4.9999999999999989E-2</v>
      </c>
      <c r="T14" s="115"/>
      <c r="U14" s="139">
        <v>-0.13500000000000001</v>
      </c>
      <c r="V14" s="115"/>
      <c r="W14" s="78">
        <v>-0.13500000000000001</v>
      </c>
      <c r="X14" s="138" t="e">
        <f ca="1">_xll.qlSimpleQuoteSetValue(F14,W14/100,Trigger)</f>
        <v>#NAME?</v>
      </c>
      <c r="Y14" s="130"/>
    </row>
    <row r="15" spans="1:28" ht="11.25" customHeight="1" x14ac:dyDescent="0.2">
      <c r="A15" s="135"/>
      <c r="B15" s="137"/>
      <c r="C15" s="136">
        <f t="shared" si="0"/>
        <v>12</v>
      </c>
      <c r="D15" s="40" t="str">
        <f t="shared" si="1"/>
        <v>X1S</v>
      </c>
      <c r="E15" s="38" t="str">
        <f t="shared" si="2"/>
        <v>EUR12X1S_Quote</v>
      </c>
      <c r="F15" s="38" t="e">
        <f ca="1">_xll.qlSimpleQuote(Currency&amp;$C15&amp;$D15&amp;$B15&amp;QuoteSuffix,,RateTickValue,Permanent,Trigger,ObjectOverwrite)</f>
        <v>#NAME?</v>
      </c>
      <c r="G15" s="37" t="e">
        <f ca="1">_xll.ohRangeRetrieveError(F15)</f>
        <v>#NAME?</v>
      </c>
      <c r="H15" s="36"/>
      <c r="J15" s="135"/>
      <c r="K15" s="134"/>
      <c r="L15" s="134">
        <v>12</v>
      </c>
      <c r="M15" s="134" t="s">
        <v>112</v>
      </c>
      <c r="N15" s="133" t="str">
        <f t="shared" si="3"/>
        <v>EUR12X1S</v>
      </c>
      <c r="O15" s="133" t="str">
        <v>EUR12X1S=ICAP</v>
      </c>
      <c r="P15" s="65">
        <v>-0.16099999999999998</v>
      </c>
      <c r="Q15" s="65">
        <v>-0.11100000000000002</v>
      </c>
      <c r="R15" s="65">
        <f t="shared" si="4"/>
        <v>-0.13600000000000001</v>
      </c>
      <c r="S15" s="65">
        <f t="shared" si="5"/>
        <v>4.9999999999999933E-2</v>
      </c>
      <c r="T15" s="115"/>
      <c r="U15" s="132">
        <v>-0.13600000000000001</v>
      </c>
      <c r="V15" s="115"/>
      <c r="W15" s="65">
        <v>-0.13600000000000001</v>
      </c>
      <c r="X15" s="131" t="e">
        <f ca="1">_xll.qlSimpleQuoteSetValue(F15,W15/100,Trigger)</f>
        <v>#NAME?</v>
      </c>
      <c r="Y15" s="130"/>
    </row>
    <row r="16" spans="1:28" ht="11.25" customHeight="1" x14ac:dyDescent="0.2">
      <c r="A16" s="35"/>
      <c r="B16" s="34"/>
      <c r="C16" s="34"/>
      <c r="D16" s="34"/>
      <c r="E16" s="34"/>
      <c r="F16" s="33"/>
      <c r="G16" s="33"/>
      <c r="H16" s="32"/>
      <c r="J16" s="35"/>
      <c r="K16" s="34"/>
      <c r="L16" s="34"/>
      <c r="M16" s="34"/>
      <c r="N16" s="34"/>
      <c r="O16" s="34"/>
      <c r="P16" s="34"/>
      <c r="Q16" s="34"/>
      <c r="R16" s="34"/>
      <c r="S16" s="34"/>
      <c r="T16" s="34"/>
      <c r="U16" s="34"/>
      <c r="V16" s="34"/>
      <c r="W16" s="34"/>
      <c r="X16" s="34"/>
      <c r="Y16" s="129"/>
    </row>
  </sheetData>
  <conditionalFormatting sqref="X5:X11">
    <cfRule type="cellIs" dxfId="31" priority="3" stopIfTrue="1" operator="greaterThan">
      <formula>0</formula>
    </cfRule>
    <cfRule type="cellIs" dxfId="30" priority="4" stopIfTrue="1" operator="lessThan">
      <formula>0</formula>
    </cfRule>
  </conditionalFormatting>
  <conditionalFormatting sqref="X12:X15">
    <cfRule type="cellIs" dxfId="29" priority="1" stopIfTrue="1" operator="greaterThan">
      <formula>0</formula>
    </cfRule>
    <cfRule type="cellIs" dxfId="28"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111</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1E</v>
      </c>
      <c r="E5" s="43" t="str">
        <f t="shared" ref="E5:E41" si="3">Currency&amp;$C5&amp;$D5&amp;$B5&amp;QuoteSuffix</f>
        <v>EURAB1E1Y_Quote</v>
      </c>
      <c r="F5" s="43" t="e">
        <f ca="1">_xll.qlSimpleQuote(Currency&amp;$C5&amp;$D5&amp;$B5&amp;QuoteSuffix,,RateTickValue,Permanent,Trigger,ObjectOverwrite)</f>
        <v>#NAME?</v>
      </c>
      <c r="G5" s="42" t="e">
        <f ca="1">_xll.ohRangeRetrieveError(F5)</f>
        <v>#NAME?</v>
      </c>
      <c r="H5" s="36"/>
      <c r="J5" s="135"/>
      <c r="K5" s="141" t="s">
        <v>58</v>
      </c>
      <c r="L5" s="141" t="s">
        <v>21</v>
      </c>
      <c r="M5" s="141" t="s">
        <v>71</v>
      </c>
      <c r="N5" s="140" t="str">
        <f t="shared" ref="N5:N41" si="4">Currency&amp;$L5&amp;$M5&amp;$K5</f>
        <v>EURAB1E1Y</v>
      </c>
      <c r="O5" s="140" t="str">
        <f t="array" ref="O5:O41">Instruments&amp;"="&amp;VLOOKUP(Contributor,ContributorTable,2,FALSE)</f>
        <v>EURAB1E1Y=ICAP</v>
      </c>
      <c r="P5" s="78">
        <v>-0.17399999999999999</v>
      </c>
      <c r="Q5" s="78">
        <v>-0.10400000000000001</v>
      </c>
      <c r="R5" s="78">
        <f t="shared" ref="R5:R41" si="5">IF(ISERROR(AVERAGE(P5,Q5)),#NUM!,AVERAGE(P5,Q5))</f>
        <v>-0.13900000000000001</v>
      </c>
      <c r="S5" s="78">
        <f t="shared" ref="S5:S41" si="6">(R5-P5)*2</f>
        <v>6.9999999999999951E-2</v>
      </c>
      <c r="T5" s="115"/>
      <c r="U5" s="139">
        <v>-0.13900000000000001</v>
      </c>
      <c r="V5" s="115"/>
      <c r="W5" s="78">
        <f t="array" ref="W5:W41">QuoteStatic</f>
        <v>-0.13900000000000001</v>
      </c>
      <c r="X5" s="138" t="e">
        <f ca="1">_xll.qlSimpleQuoteSetValue(F5,W5/100,Trigger)</f>
        <v>#NAME?</v>
      </c>
      <c r="Y5" s="130"/>
    </row>
    <row r="6" spans="1:28" ht="11.25" customHeight="1" x14ac:dyDescent="0.2">
      <c r="A6" s="135"/>
      <c r="B6" s="143" t="str">
        <f t="shared" si="0"/>
        <v>15M</v>
      </c>
      <c r="C6" s="142" t="str">
        <f t="shared" si="1"/>
        <v>AB</v>
      </c>
      <c r="D6" s="45" t="str">
        <f t="shared" si="2"/>
        <v>1E</v>
      </c>
      <c r="E6" s="43" t="str">
        <f t="shared" si="3"/>
        <v>EURAB1E15M_Quote</v>
      </c>
      <c r="F6" s="43" t="e">
        <f ca="1">_xll.qlSimpleQuote(Currency&amp;$C6&amp;$D6&amp;$B6&amp;QuoteSuffix,,RateTickValue,Permanent,Trigger,ObjectOverwrite)</f>
        <v>#NAME?</v>
      </c>
      <c r="G6" s="42" t="e">
        <f ca="1">_xll.ohRangeRetrieveError(F6)</f>
        <v>#NAME?</v>
      </c>
      <c r="H6" s="36"/>
      <c r="J6" s="135"/>
      <c r="K6" s="141" t="s">
        <v>57</v>
      </c>
      <c r="L6" s="141" t="s">
        <v>21</v>
      </c>
      <c r="M6" s="141" t="s">
        <v>71</v>
      </c>
      <c r="N6" s="140" t="str">
        <f t="shared" si="4"/>
        <v>EURAB1E15M</v>
      </c>
      <c r="O6" s="140" t="str">
        <v>EURAB1E15M=ICAP</v>
      </c>
      <c r="P6" s="78" t="s">
        <v>109</v>
      </c>
      <c r="Q6" s="78" t="s">
        <v>109</v>
      </c>
      <c r="R6" s="78" t="e">
        <f t="shared" si="5"/>
        <v>#NUM!</v>
      </c>
      <c r="S6" s="78" t="e">
        <f t="shared" si="6"/>
        <v>#NUM!</v>
      </c>
      <c r="T6" s="115"/>
      <c r="U6" s="139" t="e">
        <v>#NUM!</v>
      </c>
      <c r="V6" s="115"/>
      <c r="W6" s="78" t="e">
        <v>#NUM!</v>
      </c>
      <c r="X6" s="138" t="e">
        <f ca="1">_xll.qlSimpleQuoteSetValue(F6,W6/100,Trigger)</f>
        <v>#NAME?</v>
      </c>
      <c r="Y6" s="130"/>
    </row>
    <row r="7" spans="1:28" ht="11.25" customHeight="1" x14ac:dyDescent="0.2">
      <c r="A7" s="135"/>
      <c r="B7" s="143" t="str">
        <f t="shared" si="0"/>
        <v>18M</v>
      </c>
      <c r="C7" s="142" t="str">
        <f t="shared" si="1"/>
        <v>AB</v>
      </c>
      <c r="D7" s="45" t="str">
        <f t="shared" si="2"/>
        <v>1E</v>
      </c>
      <c r="E7" s="43" t="str">
        <f t="shared" si="3"/>
        <v>EURAB1E18M_Quote</v>
      </c>
      <c r="F7" s="43" t="e">
        <f ca="1">_xll.qlSimpleQuote(Currency&amp;$C7&amp;$D7&amp;$B7&amp;QuoteSuffix,,RateTickValue,Permanent,Trigger,ObjectOverwrite)</f>
        <v>#NAME?</v>
      </c>
      <c r="G7" s="42" t="e">
        <f ca="1">_xll.ohRangeRetrieveError(F7)</f>
        <v>#NAME?</v>
      </c>
      <c r="H7" s="36"/>
      <c r="J7" s="135"/>
      <c r="K7" s="141" t="s">
        <v>56</v>
      </c>
      <c r="L7" s="141" t="s">
        <v>21</v>
      </c>
      <c r="M7" s="141" t="s">
        <v>71</v>
      </c>
      <c r="N7" s="140" t="str">
        <f t="shared" si="4"/>
        <v>EURAB1E18M</v>
      </c>
      <c r="O7" s="140" t="str">
        <v>EURAB1E18M=ICAP</v>
      </c>
      <c r="P7" s="78" t="s">
        <v>109</v>
      </c>
      <c r="Q7" s="78" t="s">
        <v>109</v>
      </c>
      <c r="R7" s="78" t="e">
        <f t="shared" si="5"/>
        <v>#NUM!</v>
      </c>
      <c r="S7" s="78" t="e">
        <f t="shared" si="6"/>
        <v>#NUM!</v>
      </c>
      <c r="T7" s="115"/>
      <c r="U7" s="139" t="e">
        <v>#NUM!</v>
      </c>
      <c r="V7" s="115"/>
      <c r="W7" s="78" t="e">
        <v>#NUM!</v>
      </c>
      <c r="X7" s="138" t="e">
        <f ca="1">_xll.qlSimpleQuoteSetValue(F7,W7/100,Trigger)</f>
        <v>#NAME?</v>
      </c>
      <c r="Y7" s="130"/>
    </row>
    <row r="8" spans="1:28" ht="11.25" customHeight="1" x14ac:dyDescent="0.2">
      <c r="A8" s="135"/>
      <c r="B8" s="143" t="str">
        <f t="shared" si="0"/>
        <v>21M</v>
      </c>
      <c r="C8" s="142" t="str">
        <f t="shared" si="1"/>
        <v>AB</v>
      </c>
      <c r="D8" s="45" t="str">
        <f t="shared" si="2"/>
        <v>1E</v>
      </c>
      <c r="E8" s="43" t="str">
        <f t="shared" si="3"/>
        <v>EURAB1E21M_Quote</v>
      </c>
      <c r="F8" s="43" t="e">
        <f ca="1">_xll.qlSimpleQuote(Currency&amp;$C8&amp;$D8&amp;$B8&amp;QuoteSuffix,,RateTickValue,Permanent,Trigger,ObjectOverwrite)</f>
        <v>#NAME?</v>
      </c>
      <c r="G8" s="42" t="e">
        <f ca="1">_xll.ohRangeRetrieveError(F8)</f>
        <v>#NAME?</v>
      </c>
      <c r="H8" s="36"/>
      <c r="J8" s="135"/>
      <c r="K8" s="141" t="s">
        <v>55</v>
      </c>
      <c r="L8" s="141" t="s">
        <v>21</v>
      </c>
      <c r="M8" s="141" t="s">
        <v>71</v>
      </c>
      <c r="N8" s="140" t="str">
        <f t="shared" si="4"/>
        <v>EURAB1E21M</v>
      </c>
      <c r="O8" s="140" t="str">
        <v>EURAB1E21M=ICAP</v>
      </c>
      <c r="P8" s="78" t="s">
        <v>109</v>
      </c>
      <c r="Q8" s="78" t="s">
        <v>109</v>
      </c>
      <c r="R8" s="78" t="e">
        <f t="shared" si="5"/>
        <v>#NUM!</v>
      </c>
      <c r="S8" s="78" t="e">
        <f t="shared" si="6"/>
        <v>#NUM!</v>
      </c>
      <c r="T8" s="115"/>
      <c r="U8" s="139" t="e">
        <v>#NUM!</v>
      </c>
      <c r="V8" s="115"/>
      <c r="W8" s="78" t="e">
        <v>#NUM!</v>
      </c>
      <c r="X8" s="138" t="e">
        <f ca="1">_xll.qlSimpleQuoteSetValue(F8,W8/100,Trigger)</f>
        <v>#NAME?</v>
      </c>
      <c r="Y8" s="130"/>
    </row>
    <row r="9" spans="1:28" ht="11.25" customHeight="1" x14ac:dyDescent="0.2">
      <c r="A9" s="135"/>
      <c r="B9" s="143" t="str">
        <f t="shared" si="0"/>
        <v>2Y</v>
      </c>
      <c r="C9" s="142" t="str">
        <f t="shared" si="1"/>
        <v>AB</v>
      </c>
      <c r="D9" s="45" t="str">
        <f t="shared" si="2"/>
        <v>1E</v>
      </c>
      <c r="E9" s="43" t="str">
        <f t="shared" si="3"/>
        <v>EURAB1E2Y_Quote</v>
      </c>
      <c r="F9" s="43" t="e">
        <f ca="1">_xll.qlSimpleQuote(Currency&amp;$C9&amp;$D9&amp;$B9&amp;QuoteSuffix,,RateTickValue,Permanent,Trigger,ObjectOverwrite)</f>
        <v>#NAME?</v>
      </c>
      <c r="G9" s="42" t="e">
        <f ca="1">_xll.ohRangeRetrieveError(F9)</f>
        <v>#NAME?</v>
      </c>
      <c r="H9" s="36"/>
      <c r="J9" s="135"/>
      <c r="K9" s="141" t="s">
        <v>54</v>
      </c>
      <c r="L9" s="141" t="s">
        <v>21</v>
      </c>
      <c r="M9" s="141" t="s">
        <v>71</v>
      </c>
      <c r="N9" s="140" t="str">
        <f t="shared" si="4"/>
        <v>EURAB1E2Y</v>
      </c>
      <c r="O9" s="140" t="str">
        <v>EURAB1E2Y=ICAP</v>
      </c>
      <c r="P9" s="78">
        <v>-0.16400000000000001</v>
      </c>
      <c r="Q9" s="78">
        <v>-9.4E-2</v>
      </c>
      <c r="R9" s="78">
        <f t="shared" si="5"/>
        <v>-0.129</v>
      </c>
      <c r="S9" s="78">
        <f t="shared" si="6"/>
        <v>7.0000000000000007E-2</v>
      </c>
      <c r="T9" s="115"/>
      <c r="U9" s="139">
        <v>-0.129</v>
      </c>
      <c r="V9" s="115"/>
      <c r="W9" s="78">
        <v>-0.129</v>
      </c>
      <c r="X9" s="138" t="e">
        <f ca="1">_xll.qlSimpleQuoteSetValue(F9,W9/100,Trigger)</f>
        <v>#NAME?</v>
      </c>
      <c r="Y9" s="130"/>
    </row>
    <row r="10" spans="1:28" ht="11.25" customHeight="1" x14ac:dyDescent="0.2">
      <c r="A10" s="135"/>
      <c r="B10" s="143" t="str">
        <f t="shared" si="0"/>
        <v>3Y</v>
      </c>
      <c r="C10" s="142" t="str">
        <f t="shared" si="1"/>
        <v>AB</v>
      </c>
      <c r="D10" s="45" t="str">
        <f t="shared" si="2"/>
        <v>1E</v>
      </c>
      <c r="E10" s="43" t="str">
        <f t="shared" si="3"/>
        <v>EURAB1E3Y_Quote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71</v>
      </c>
      <c r="N10" s="140" t="str">
        <f t="shared" si="4"/>
        <v>EURAB1E3Y</v>
      </c>
      <c r="O10" s="140" t="str">
        <v>EURAB1E3Y=ICAP</v>
      </c>
      <c r="P10" s="78">
        <v>-0.10800000000000001</v>
      </c>
      <c r="Q10" s="78">
        <v>-3.7999999999999999E-2</v>
      </c>
      <c r="R10" s="78">
        <f t="shared" si="5"/>
        <v>-7.3000000000000009E-2</v>
      </c>
      <c r="S10" s="78">
        <f t="shared" si="6"/>
        <v>7.0000000000000007E-2</v>
      </c>
      <c r="T10" s="115"/>
      <c r="U10" s="139">
        <v>-7.3000000000000009E-2</v>
      </c>
      <c r="V10" s="115"/>
      <c r="W10" s="78">
        <v>-7.3000000000000009E-2</v>
      </c>
      <c r="X10" s="138" t="e">
        <f ca="1">_xll.qlSimpleQuoteSetValue(F10,W10/100,Trigger)</f>
        <v>#NAME?</v>
      </c>
      <c r="Y10" s="130"/>
    </row>
    <row r="11" spans="1:28" ht="11.25" customHeight="1" x14ac:dyDescent="0.2">
      <c r="A11" s="135"/>
      <c r="B11" s="143" t="str">
        <f t="shared" si="0"/>
        <v>4Y</v>
      </c>
      <c r="C11" s="142" t="str">
        <f t="shared" si="1"/>
        <v>AB</v>
      </c>
      <c r="D11" s="45" t="str">
        <f t="shared" si="2"/>
        <v>1E</v>
      </c>
      <c r="E11" s="43" t="str">
        <f t="shared" si="3"/>
        <v>EURAB1E4Y_Quote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71</v>
      </c>
      <c r="N11" s="140" t="str">
        <f t="shared" si="4"/>
        <v>EURAB1E4Y</v>
      </c>
      <c r="O11" s="140" t="str">
        <v>EURAB1E4Y=ICAP</v>
      </c>
      <c r="P11" s="78">
        <v>-1.3999999999999999E-2</v>
      </c>
      <c r="Q11" s="78">
        <v>5.5999999999999994E-2</v>
      </c>
      <c r="R11" s="78">
        <f t="shared" si="5"/>
        <v>2.0999999999999998E-2</v>
      </c>
      <c r="S11" s="78">
        <f t="shared" si="6"/>
        <v>6.9999999999999993E-2</v>
      </c>
      <c r="T11" s="115"/>
      <c r="U11" s="139">
        <v>2.0999999999999998E-2</v>
      </c>
      <c r="V11" s="115"/>
      <c r="W11" s="78">
        <v>2.0999999999999998E-2</v>
      </c>
      <c r="X11" s="138" t="e">
        <f ca="1">_xll.qlSimpleQuoteSetValue(F11,W11/100,Trigger)</f>
        <v>#NAME?</v>
      </c>
      <c r="Y11" s="130"/>
    </row>
    <row r="12" spans="1:28" ht="11.25" customHeight="1" x14ac:dyDescent="0.2">
      <c r="A12" s="135"/>
      <c r="B12" s="143" t="str">
        <f t="shared" si="0"/>
        <v>5Y</v>
      </c>
      <c r="C12" s="142" t="str">
        <f t="shared" si="1"/>
        <v>AB</v>
      </c>
      <c r="D12" s="45" t="str">
        <f t="shared" si="2"/>
        <v>1E</v>
      </c>
      <c r="E12" s="43" t="str">
        <f t="shared" si="3"/>
        <v>EURAB1E5Y_Quote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71</v>
      </c>
      <c r="N12" s="140" t="str">
        <f t="shared" si="4"/>
        <v>EURAB1E5Y</v>
      </c>
      <c r="O12" s="140" t="str">
        <v>EURAB1E5Y=ICAP</v>
      </c>
      <c r="P12" s="78">
        <v>0.10100000000000001</v>
      </c>
      <c r="Q12" s="78">
        <v>0.17099999999999999</v>
      </c>
      <c r="R12" s="78">
        <f t="shared" si="5"/>
        <v>0.13600000000000001</v>
      </c>
      <c r="S12" s="78">
        <f t="shared" si="6"/>
        <v>7.0000000000000007E-2</v>
      </c>
      <c r="T12" s="115"/>
      <c r="U12" s="139">
        <v>0.13600000000000001</v>
      </c>
      <c r="V12" s="115"/>
      <c r="W12" s="78">
        <v>0.13600000000000001</v>
      </c>
      <c r="X12" s="138" t="e">
        <f ca="1">_xll.qlSimpleQuoteSetValue(F12,W12/100,Trigger)</f>
        <v>#NAME?</v>
      </c>
      <c r="Y12" s="130"/>
    </row>
    <row r="13" spans="1:28" ht="11.25" customHeight="1" x14ac:dyDescent="0.2">
      <c r="A13" s="135"/>
      <c r="B13" s="143" t="str">
        <f t="shared" si="0"/>
        <v>6Y</v>
      </c>
      <c r="C13" s="142" t="str">
        <f t="shared" si="1"/>
        <v>AB</v>
      </c>
      <c r="D13" s="45" t="str">
        <f t="shared" si="2"/>
        <v>1E</v>
      </c>
      <c r="E13" s="43" t="str">
        <f t="shared" si="3"/>
        <v>EURAB1E6Y_Quote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71</v>
      </c>
      <c r="N13" s="140" t="str">
        <f t="shared" si="4"/>
        <v>EURAB1E6Y</v>
      </c>
      <c r="O13" s="140" t="str">
        <v>EURAB1E6Y=ICAP</v>
      </c>
      <c r="P13" s="78">
        <v>0.23199999999999998</v>
      </c>
      <c r="Q13" s="78">
        <v>0.30199999999999999</v>
      </c>
      <c r="R13" s="78">
        <f t="shared" si="5"/>
        <v>0.26700000000000002</v>
      </c>
      <c r="S13" s="78">
        <f t="shared" si="6"/>
        <v>7.0000000000000062E-2</v>
      </c>
      <c r="T13" s="115"/>
      <c r="U13" s="139">
        <v>0.26700000000000002</v>
      </c>
      <c r="V13" s="115"/>
      <c r="W13" s="78">
        <v>0.26700000000000002</v>
      </c>
      <c r="X13" s="138" t="e">
        <f ca="1">_xll.qlSimpleQuoteSetValue(F13,W13/100,Trigger)</f>
        <v>#NAME?</v>
      </c>
      <c r="Y13" s="130"/>
    </row>
    <row r="14" spans="1:28" ht="11.25" customHeight="1" x14ac:dyDescent="0.2">
      <c r="A14" s="135"/>
      <c r="B14" s="143" t="str">
        <f t="shared" si="0"/>
        <v>7Y</v>
      </c>
      <c r="C14" s="142" t="str">
        <f t="shared" si="1"/>
        <v>AB</v>
      </c>
      <c r="D14" s="45" t="str">
        <f t="shared" si="2"/>
        <v>1E</v>
      </c>
      <c r="E14" s="43" t="str">
        <f t="shared" si="3"/>
        <v>EURAB1E7Y_Quote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71</v>
      </c>
      <c r="N14" s="140" t="str">
        <f t="shared" si="4"/>
        <v>EURAB1E7Y</v>
      </c>
      <c r="O14" s="140" t="str">
        <v>EURAB1E7Y=ICAP</v>
      </c>
      <c r="P14" s="78">
        <v>0.36599999999999999</v>
      </c>
      <c r="Q14" s="78">
        <v>0.43600000000000005</v>
      </c>
      <c r="R14" s="78">
        <f t="shared" si="5"/>
        <v>0.40100000000000002</v>
      </c>
      <c r="S14" s="78">
        <f t="shared" si="6"/>
        <v>7.0000000000000062E-2</v>
      </c>
      <c r="T14" s="115"/>
      <c r="U14" s="139">
        <v>0.40100000000000002</v>
      </c>
      <c r="V14" s="115"/>
      <c r="W14" s="78">
        <v>0.40100000000000002</v>
      </c>
      <c r="X14" s="138" t="e">
        <f ca="1">_xll.qlSimpleQuoteSetValue(F14,W14/100,Trigger)</f>
        <v>#NAME?</v>
      </c>
      <c r="Y14" s="130"/>
    </row>
    <row r="15" spans="1:28" ht="11.25" customHeight="1" x14ac:dyDescent="0.2">
      <c r="A15" s="135"/>
      <c r="B15" s="143" t="str">
        <f t="shared" si="0"/>
        <v>8Y</v>
      </c>
      <c r="C15" s="142" t="str">
        <f t="shared" si="1"/>
        <v>AB</v>
      </c>
      <c r="D15" s="45" t="str">
        <f t="shared" si="2"/>
        <v>1E</v>
      </c>
      <c r="E15" s="43" t="str">
        <f t="shared" si="3"/>
        <v>EURAB1E8Y_Quote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71</v>
      </c>
      <c r="N15" s="140" t="str">
        <f t="shared" si="4"/>
        <v>EURAB1E8Y</v>
      </c>
      <c r="O15" s="140" t="str">
        <v>EURAB1E8Y=ICAP</v>
      </c>
      <c r="P15" s="78">
        <v>0.496</v>
      </c>
      <c r="Q15" s="78">
        <v>0.56600000000000006</v>
      </c>
      <c r="R15" s="78">
        <f t="shared" si="5"/>
        <v>0.53100000000000003</v>
      </c>
      <c r="S15" s="78">
        <f t="shared" si="6"/>
        <v>7.0000000000000062E-2</v>
      </c>
      <c r="T15" s="115"/>
      <c r="U15" s="139">
        <v>0.53100000000000003</v>
      </c>
      <c r="V15" s="115"/>
      <c r="W15" s="78">
        <v>0.53100000000000003</v>
      </c>
      <c r="X15" s="138" t="e">
        <f ca="1">_xll.qlSimpleQuoteSetValue(F15,W15/100,Trigger)</f>
        <v>#NAME?</v>
      </c>
      <c r="Y15" s="130"/>
    </row>
    <row r="16" spans="1:28" ht="11.25" customHeight="1" x14ac:dyDescent="0.2">
      <c r="A16" s="135"/>
      <c r="B16" s="143" t="str">
        <f t="shared" si="0"/>
        <v>9Y</v>
      </c>
      <c r="C16" s="142" t="str">
        <f t="shared" si="1"/>
        <v>AB</v>
      </c>
      <c r="D16" s="45" t="str">
        <f t="shared" si="2"/>
        <v>1E</v>
      </c>
      <c r="E16" s="43" t="str">
        <f t="shared" si="3"/>
        <v>EURAB1E9Y_Quote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71</v>
      </c>
      <c r="N16" s="140" t="str">
        <f t="shared" si="4"/>
        <v>EURAB1E9Y</v>
      </c>
      <c r="O16" s="140" t="str">
        <v>EURAB1E9Y=ICAP</v>
      </c>
      <c r="P16" s="78">
        <v>0.61899999999999999</v>
      </c>
      <c r="Q16" s="78">
        <v>0.68899999999999995</v>
      </c>
      <c r="R16" s="78">
        <f t="shared" si="5"/>
        <v>0.65399999999999991</v>
      </c>
      <c r="S16" s="78">
        <f t="shared" si="6"/>
        <v>6.999999999999984E-2</v>
      </c>
      <c r="T16" s="115"/>
      <c r="U16" s="139">
        <v>0.65399999999999991</v>
      </c>
      <c r="V16" s="115"/>
      <c r="W16" s="78">
        <v>0.65399999999999991</v>
      </c>
      <c r="X16" s="138" t="e">
        <f ca="1">_xll.qlSimpleQuoteSetValue(F16,W16/100,Trigger)</f>
        <v>#NAME?</v>
      </c>
      <c r="Y16" s="130"/>
    </row>
    <row r="17" spans="1:25" ht="11.25" customHeight="1" x14ac:dyDescent="0.2">
      <c r="A17" s="135"/>
      <c r="B17" s="143" t="str">
        <f t="shared" si="0"/>
        <v>10Y</v>
      </c>
      <c r="C17" s="142" t="str">
        <f t="shared" si="1"/>
        <v>AB</v>
      </c>
      <c r="D17" s="45" t="str">
        <f t="shared" si="2"/>
        <v>1E</v>
      </c>
      <c r="E17" s="43" t="str">
        <f t="shared" si="3"/>
        <v>EURAB1E10Y_Quote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71</v>
      </c>
      <c r="N17" s="140" t="str">
        <f t="shared" si="4"/>
        <v>EURAB1E10Y</v>
      </c>
      <c r="O17" s="140" t="str">
        <v>EURAB1E10Y=ICAP</v>
      </c>
      <c r="P17" s="78">
        <v>0.72799999999999998</v>
      </c>
      <c r="Q17" s="78">
        <v>0.79800000000000004</v>
      </c>
      <c r="R17" s="78">
        <f t="shared" si="5"/>
        <v>0.76300000000000001</v>
      </c>
      <c r="S17" s="78">
        <f t="shared" si="6"/>
        <v>7.0000000000000062E-2</v>
      </c>
      <c r="T17" s="115"/>
      <c r="U17" s="139">
        <v>0.76300000000000001</v>
      </c>
      <c r="V17" s="115"/>
      <c r="W17" s="78">
        <v>0.76300000000000001</v>
      </c>
      <c r="X17" s="138" t="e">
        <f ca="1">_xll.qlSimpleQuoteSetValue(F17,W17/100,Trigger)</f>
        <v>#NAME?</v>
      </c>
      <c r="Y17" s="130"/>
    </row>
    <row r="18" spans="1:25" ht="11.25" customHeight="1" x14ac:dyDescent="0.2">
      <c r="A18" s="135"/>
      <c r="B18" s="143" t="str">
        <f t="shared" si="0"/>
        <v>11Y</v>
      </c>
      <c r="C18" s="142" t="str">
        <f t="shared" si="1"/>
        <v>AB</v>
      </c>
      <c r="D18" s="45" t="str">
        <f t="shared" si="2"/>
        <v>1E</v>
      </c>
      <c r="E18" s="43" t="str">
        <f t="shared" si="3"/>
        <v>EURAB1E11Y_Quote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71</v>
      </c>
      <c r="N18" s="140" t="str">
        <f t="shared" si="4"/>
        <v>EURAB1E11Y</v>
      </c>
      <c r="O18" s="140" t="str">
        <v>EURAB1E11Y=ICAP</v>
      </c>
      <c r="P18" s="78">
        <v>0.82899999999999996</v>
      </c>
      <c r="Q18" s="78">
        <v>0.89900000000000002</v>
      </c>
      <c r="R18" s="78">
        <f t="shared" si="5"/>
        <v>0.86399999999999999</v>
      </c>
      <c r="S18" s="78">
        <f t="shared" si="6"/>
        <v>7.0000000000000062E-2</v>
      </c>
      <c r="T18" s="115"/>
      <c r="U18" s="139">
        <v>0.86399999999999999</v>
      </c>
      <c r="V18" s="115"/>
      <c r="W18" s="78">
        <v>0.86399999999999999</v>
      </c>
      <c r="X18" s="138" t="e">
        <f ca="1">_xll.qlSimpleQuoteSetValue(F18,W18/100,Trigger)</f>
        <v>#NAME?</v>
      </c>
      <c r="Y18" s="130"/>
    </row>
    <row r="19" spans="1:25" ht="11.25" customHeight="1" x14ac:dyDescent="0.2">
      <c r="A19" s="135"/>
      <c r="B19" s="143" t="str">
        <f t="shared" si="0"/>
        <v>12Y</v>
      </c>
      <c r="C19" s="142" t="str">
        <f t="shared" si="1"/>
        <v>AB</v>
      </c>
      <c r="D19" s="45" t="str">
        <f t="shared" si="2"/>
        <v>1E</v>
      </c>
      <c r="E19" s="43" t="str">
        <f t="shared" si="3"/>
        <v>EURAB1E12Y_Quote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71</v>
      </c>
      <c r="N19" s="140" t="str">
        <f t="shared" si="4"/>
        <v>EURAB1E12Y</v>
      </c>
      <c r="O19" s="140" t="str">
        <v>EURAB1E12Y=ICAP</v>
      </c>
      <c r="P19" s="78">
        <v>0.91799999999999993</v>
      </c>
      <c r="Q19" s="78">
        <v>0.9880000000000001</v>
      </c>
      <c r="R19" s="78">
        <f t="shared" si="5"/>
        <v>0.95300000000000007</v>
      </c>
      <c r="S19" s="78">
        <f t="shared" si="6"/>
        <v>7.0000000000000284E-2</v>
      </c>
      <c r="T19" s="115"/>
      <c r="U19" s="139">
        <v>0.95300000000000007</v>
      </c>
      <c r="V19" s="115"/>
      <c r="W19" s="78">
        <v>0.95300000000000007</v>
      </c>
      <c r="X19" s="138" t="e">
        <f ca="1">_xll.qlSimpleQuoteSetValue(F19,W19/100,Trigger)</f>
        <v>#NAME?</v>
      </c>
      <c r="Y19" s="130"/>
    </row>
    <row r="20" spans="1:25" ht="11.25" customHeight="1" x14ac:dyDescent="0.2">
      <c r="A20" s="135"/>
      <c r="B20" s="143" t="str">
        <f t="shared" si="0"/>
        <v>13Y</v>
      </c>
      <c r="C20" s="142" t="str">
        <f t="shared" si="1"/>
        <v>AB</v>
      </c>
      <c r="D20" s="45" t="str">
        <f t="shared" si="2"/>
        <v>1E</v>
      </c>
      <c r="E20" s="43" t="str">
        <f t="shared" si="3"/>
        <v>EURAB1E13Y_Quote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71</v>
      </c>
      <c r="N20" s="140" t="str">
        <f t="shared" si="4"/>
        <v>EURAB1E13Y</v>
      </c>
      <c r="O20" s="140" t="str">
        <v>EURAB1E13Y=ICAP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1E</v>
      </c>
      <c r="E21" s="43" t="str">
        <f t="shared" si="3"/>
        <v>EURAB1E14Y_Quote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71</v>
      </c>
      <c r="N21" s="140" t="str">
        <f t="shared" si="4"/>
        <v>EURAB1E14Y</v>
      </c>
      <c r="O21" s="140" t="str">
        <v>EURAB1E14Y=ICAP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1E</v>
      </c>
      <c r="E22" s="43" t="str">
        <f t="shared" si="3"/>
        <v>EURAB1E15Y_Quote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71</v>
      </c>
      <c r="N22" s="140" t="str">
        <f t="shared" si="4"/>
        <v>EURAB1E15Y</v>
      </c>
      <c r="O22" s="140" t="str">
        <v>EURAB1E15Y=ICAP</v>
      </c>
      <c r="P22" s="78">
        <v>1.125</v>
      </c>
      <c r="Q22" s="78">
        <v>1.1950000000000001</v>
      </c>
      <c r="R22" s="78">
        <f t="shared" si="5"/>
        <v>1.1600000000000001</v>
      </c>
      <c r="S22" s="78">
        <f t="shared" si="6"/>
        <v>7.0000000000000284E-2</v>
      </c>
      <c r="T22" s="115"/>
      <c r="U22" s="139">
        <v>1.1600000000000001</v>
      </c>
      <c r="V22" s="115"/>
      <c r="W22" s="78">
        <v>1.1600000000000001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1E</v>
      </c>
      <c r="E23" s="43" t="str">
        <f t="shared" si="3"/>
        <v>EURAB1E16Y_Quote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71</v>
      </c>
      <c r="N23" s="140" t="str">
        <f t="shared" si="4"/>
        <v>EURAB1E16Y</v>
      </c>
      <c r="O23" s="140" t="str">
        <v>EURAB1E16Y=ICAP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1E</v>
      </c>
      <c r="E24" s="43" t="str">
        <f t="shared" si="3"/>
        <v>EURAB1E17Y_Quote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71</v>
      </c>
      <c r="N24" s="140" t="str">
        <f t="shared" si="4"/>
        <v>EURAB1E17Y</v>
      </c>
      <c r="O24" s="140" t="str">
        <v>EURAB1E17Y=ICAP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1E</v>
      </c>
      <c r="E25" s="43" t="str">
        <f t="shared" si="3"/>
        <v>EURAB1E18Y_Quote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71</v>
      </c>
      <c r="N25" s="140" t="str">
        <f t="shared" si="4"/>
        <v>EURAB1E18Y</v>
      </c>
      <c r="O25" s="140" t="str">
        <v>EURAB1E18Y=ICAP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1E</v>
      </c>
      <c r="E26" s="43" t="str">
        <f t="shared" si="3"/>
        <v>EURAB1E19Y_Quote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71</v>
      </c>
      <c r="N26" s="140" t="str">
        <f t="shared" si="4"/>
        <v>EURAB1E19Y</v>
      </c>
      <c r="O26" s="140" t="str">
        <v>EURAB1E19Y=ICAP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1E</v>
      </c>
      <c r="E27" s="43" t="str">
        <f t="shared" si="3"/>
        <v>EURAB1E20Y_Quote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71</v>
      </c>
      <c r="N27" s="140" t="str">
        <f t="shared" si="4"/>
        <v>EURAB1E20Y</v>
      </c>
      <c r="O27" s="140" t="str">
        <v>EURAB1E20Y=ICAP</v>
      </c>
      <c r="P27" s="78">
        <v>1.304</v>
      </c>
      <c r="Q27" s="78">
        <v>1.3740000000000001</v>
      </c>
      <c r="R27" s="78">
        <f t="shared" si="5"/>
        <v>1.339</v>
      </c>
      <c r="S27" s="78">
        <f t="shared" si="6"/>
        <v>6.999999999999984E-2</v>
      </c>
      <c r="T27" s="115"/>
      <c r="U27" s="139">
        <v>1.339</v>
      </c>
      <c r="V27" s="115"/>
      <c r="W27" s="78">
        <v>1.339</v>
      </c>
      <c r="X27" s="138" t="e">
        <f ca="1">_xll.qlSimpleQuoteSetValue(F27,W27/100,Trigger)</f>
        <v>#NAME?</v>
      </c>
      <c r="Y27" s="130"/>
    </row>
    <row r="28" spans="1:25" ht="11.25" customHeight="1" x14ac:dyDescent="0.2">
      <c r="A28" s="135"/>
      <c r="B28" s="143" t="str">
        <f t="shared" si="0"/>
        <v>21Y</v>
      </c>
      <c r="C28" s="142" t="str">
        <f t="shared" si="1"/>
        <v>AB</v>
      </c>
      <c r="D28" s="45" t="str">
        <f t="shared" si="2"/>
        <v>1E</v>
      </c>
      <c r="E28" s="43" t="str">
        <f t="shared" si="3"/>
        <v>EURAB1E21Y_Quote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71</v>
      </c>
      <c r="N28" s="140" t="str">
        <f t="shared" si="4"/>
        <v>EURAB1E21Y</v>
      </c>
      <c r="O28" s="140" t="str">
        <v>EURAB1E21Y=ICAP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1E</v>
      </c>
      <c r="E29" s="43" t="str">
        <f t="shared" si="3"/>
        <v>EURAB1E22Y_Quote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71</v>
      </c>
      <c r="N29" s="140" t="str">
        <f t="shared" si="4"/>
        <v>EURAB1E22Y</v>
      </c>
      <c r="O29" s="140" t="str">
        <v>EURAB1E22Y=ICAP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1E</v>
      </c>
      <c r="E30" s="43" t="str">
        <f t="shared" si="3"/>
        <v>EURAB1E23Y_Quote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71</v>
      </c>
      <c r="N30" s="140" t="str">
        <f t="shared" si="4"/>
        <v>EURAB1E23Y</v>
      </c>
      <c r="O30" s="140" t="str">
        <v>EURAB1E23Y=ICAP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1E</v>
      </c>
      <c r="E31" s="43" t="str">
        <f t="shared" si="3"/>
        <v>EURAB1E24Y_Quote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71</v>
      </c>
      <c r="N31" s="140" t="str">
        <f t="shared" si="4"/>
        <v>EURAB1E24Y</v>
      </c>
      <c r="O31" s="140" t="str">
        <v>EURAB1E24Y=ICAP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1E</v>
      </c>
      <c r="E32" s="43" t="str">
        <f t="shared" si="3"/>
        <v>EURAB1E25Y_Quote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71</v>
      </c>
      <c r="N32" s="140" t="str">
        <f t="shared" si="4"/>
        <v>EURAB1E25Y</v>
      </c>
      <c r="O32" s="140" t="str">
        <v>EURAB1E25Y=ICAP</v>
      </c>
      <c r="P32" s="78">
        <v>1.3559999999999999</v>
      </c>
      <c r="Q32" s="78">
        <v>1.4259999999999999</v>
      </c>
      <c r="R32" s="78">
        <f t="shared" si="5"/>
        <v>1.391</v>
      </c>
      <c r="S32" s="78">
        <f t="shared" si="6"/>
        <v>7.0000000000000284E-2</v>
      </c>
      <c r="T32" s="115"/>
      <c r="U32" s="139">
        <v>1.391</v>
      </c>
      <c r="V32" s="115"/>
      <c r="W32" s="78">
        <v>1.391</v>
      </c>
      <c r="X32" s="138" t="e">
        <f ca="1">_xll.qlSimpleQuoteSetValue(F32,W32/100,Trigger)</f>
        <v>#NAME?</v>
      </c>
      <c r="Y32" s="130"/>
    </row>
    <row r="33" spans="1:31" ht="11.25" customHeight="1" x14ac:dyDescent="0.2">
      <c r="A33" s="135"/>
      <c r="B33" s="143" t="str">
        <f t="shared" si="0"/>
        <v>26Y</v>
      </c>
      <c r="C33" s="142" t="str">
        <f t="shared" si="1"/>
        <v>AB</v>
      </c>
      <c r="D33" s="45" t="str">
        <f t="shared" si="2"/>
        <v>1E</v>
      </c>
      <c r="E33" s="43" t="str">
        <f t="shared" si="3"/>
        <v>EURAB1E26Y_Quote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71</v>
      </c>
      <c r="N33" s="140" t="str">
        <f t="shared" si="4"/>
        <v>EURAB1E26Y</v>
      </c>
      <c r="O33" s="140" t="str">
        <v>EURAB1E26Y=ICAP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1E</v>
      </c>
      <c r="E34" s="43" t="str">
        <f t="shared" si="3"/>
        <v>EURAB1E27Y_Quote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71</v>
      </c>
      <c r="N34" s="140" t="str">
        <f t="shared" si="4"/>
        <v>EURAB1E27Y</v>
      </c>
      <c r="O34" s="140" t="str">
        <v>EURAB1E27Y=ICAP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1E</v>
      </c>
      <c r="E35" s="43" t="str">
        <f t="shared" si="3"/>
        <v>EURAB1E28Y_Quote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71</v>
      </c>
      <c r="N35" s="140" t="str">
        <f t="shared" si="4"/>
        <v>EURAB1E28Y</v>
      </c>
      <c r="O35" s="140" t="str">
        <v>EURAB1E28Y=ICAP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1E</v>
      </c>
      <c r="E36" s="43" t="str">
        <f t="shared" si="3"/>
        <v>EURAB1E29Y_Quote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71</v>
      </c>
      <c r="N36" s="140" t="str">
        <f t="shared" si="4"/>
        <v>EURAB1E29Y</v>
      </c>
      <c r="O36" s="140" t="str">
        <v>EURAB1E29Y=ICAP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1E</v>
      </c>
      <c r="E37" s="43" t="str">
        <f t="shared" si="3"/>
        <v>EURAB1E30Y_Quote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71</v>
      </c>
      <c r="N37" s="140" t="str">
        <f t="shared" si="4"/>
        <v>EURAB1E30Y</v>
      </c>
      <c r="O37" s="140" t="str">
        <v>EURAB1E30Y=ICAP</v>
      </c>
      <c r="P37" s="78">
        <v>1.371</v>
      </c>
      <c r="Q37" s="78">
        <v>1.4410000000000001</v>
      </c>
      <c r="R37" s="78">
        <f t="shared" si="5"/>
        <v>1.4060000000000001</v>
      </c>
      <c r="S37" s="78">
        <f t="shared" si="6"/>
        <v>7.0000000000000284E-2</v>
      </c>
      <c r="T37" s="115"/>
      <c r="U37" s="139">
        <v>1.4060000000000001</v>
      </c>
      <c r="V37" s="115"/>
      <c r="W37" s="78">
        <v>1.4060000000000001</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1E</v>
      </c>
      <c r="E38" s="43" t="str">
        <f t="shared" si="3"/>
        <v>EURAB1E35Y_Quote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71</v>
      </c>
      <c r="N38" s="140" t="str">
        <f t="shared" si="4"/>
        <v>EURAB1E35Y</v>
      </c>
      <c r="O38" s="140" t="str">
        <v>EURAB1E35Y=ICAP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1E</v>
      </c>
      <c r="E39" s="43" t="str">
        <f t="shared" si="3"/>
        <v>EURAB1E40Y_Quote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71</v>
      </c>
      <c r="N39" s="140" t="str">
        <f t="shared" si="4"/>
        <v>EURAB1E40Y</v>
      </c>
      <c r="O39" s="140" t="str">
        <v>EURAB1E40Y=ICAP</v>
      </c>
      <c r="P39" s="78">
        <v>1.391</v>
      </c>
      <c r="Q39" s="78">
        <v>1.4610000000000001</v>
      </c>
      <c r="R39" s="78">
        <f t="shared" si="5"/>
        <v>1.4260000000000002</v>
      </c>
      <c r="S39" s="78">
        <f t="shared" si="6"/>
        <v>7.0000000000000284E-2</v>
      </c>
      <c r="T39" s="115"/>
      <c r="U39" s="139">
        <v>1.4260000000000002</v>
      </c>
      <c r="V39" s="115"/>
      <c r="W39" s="78">
        <v>1.4260000000000002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1E</v>
      </c>
      <c r="E40" s="43" t="str">
        <f t="shared" si="3"/>
        <v>EURAB1E50Y_Quote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71</v>
      </c>
      <c r="N40" s="140" t="str">
        <f t="shared" si="4"/>
        <v>EURAB1E50Y</v>
      </c>
      <c r="O40" s="140" t="str">
        <v>EURAB1E50Y=ICAP</v>
      </c>
      <c r="P40" s="78">
        <v>1.355</v>
      </c>
      <c r="Q40" s="78">
        <v>1.425</v>
      </c>
      <c r="R40" s="78">
        <f t="shared" si="5"/>
        <v>1.3900000000000001</v>
      </c>
      <c r="S40" s="78">
        <f t="shared" si="6"/>
        <v>7.0000000000000284E-2</v>
      </c>
      <c r="T40" s="115"/>
      <c r="U40" s="139">
        <v>1.3900000000000001</v>
      </c>
      <c r="V40" s="115"/>
      <c r="W40" s="78">
        <v>1.3900000000000001</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1E</v>
      </c>
      <c r="E41" s="38" t="str">
        <f t="shared" si="3"/>
        <v>EURAB1E60Y_Quote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71</v>
      </c>
      <c r="N41" s="140" t="str">
        <f t="shared" si="4"/>
        <v>EURAB1E60Y</v>
      </c>
      <c r="O41" s="140" t="str">
        <v>EURAB1E60Y=ICAP</v>
      </c>
      <c r="P41" s="78">
        <v>1.347</v>
      </c>
      <c r="Q41" s="78">
        <v>1.417</v>
      </c>
      <c r="R41" s="78">
        <f t="shared" si="5"/>
        <v>1.3820000000000001</v>
      </c>
      <c r="S41" s="65">
        <f t="shared" si="6"/>
        <v>7.0000000000000284E-2</v>
      </c>
      <c r="T41" s="115"/>
      <c r="U41" s="132">
        <v>1.3820000000000001</v>
      </c>
      <c r="V41" s="115"/>
      <c r="W41" s="65">
        <v>1.3820000000000001</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27" priority="7" stopIfTrue="1" operator="greaterThan">
      <formula>0</formula>
    </cfRule>
    <cfRule type="cellIs" dxfId="26" priority="8" stopIfTrue="1" operator="lessThan">
      <formula>0</formula>
    </cfRule>
  </conditionalFormatting>
  <conditionalFormatting sqref="X11:X12">
    <cfRule type="cellIs" dxfId="25" priority="5" stopIfTrue="1" operator="greaterThan">
      <formula>0</formula>
    </cfRule>
    <cfRule type="cellIs" dxfId="24" priority="6" stopIfTrue="1" operator="lessThan">
      <formula>0</formula>
    </cfRule>
  </conditionalFormatting>
  <conditionalFormatting sqref="X13:X17 X19:X23 X25:X29 X31:X35 X37:X41">
    <cfRule type="cellIs" dxfId="23" priority="3" stopIfTrue="1" operator="greaterThan">
      <formula>0</formula>
    </cfRule>
    <cfRule type="cellIs" dxfId="22" priority="4" stopIfTrue="1" operator="lessThan">
      <formula>0</formula>
    </cfRule>
  </conditionalFormatting>
  <conditionalFormatting sqref="X18 X24 X30 X36">
    <cfRule type="cellIs" dxfId="21" priority="1" stopIfTrue="1" operator="greaterThan">
      <formula>0</formula>
    </cfRule>
    <cfRule type="cellIs" dxfId="2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AE4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29" width="9.140625" style="30"/>
    <col min="30" max="30" width="2.7109375" style="30" customWidth="1"/>
    <col min="31" max="16384" width="9.140625" style="30"/>
  </cols>
  <sheetData>
    <row r="1" spans="1:28" ht="11.25" customHeight="1" thickBot="1" x14ac:dyDescent="0.25">
      <c r="A1" s="178"/>
      <c r="B1" s="125"/>
      <c r="C1" s="54"/>
      <c r="D1" s="54"/>
      <c r="E1" s="54"/>
      <c r="F1" s="55"/>
      <c r="G1" s="54"/>
      <c r="H1" s="53"/>
      <c r="J1" s="153" t="s">
        <v>110</v>
      </c>
      <c r="K1" s="123"/>
      <c r="L1" s="123"/>
      <c r="M1" s="123"/>
      <c r="N1" s="123"/>
      <c r="O1" s="123"/>
      <c r="P1" s="123"/>
      <c r="Q1" s="123"/>
      <c r="R1" s="123"/>
      <c r="S1" s="123"/>
      <c r="T1" s="123"/>
      <c r="U1" s="123"/>
      <c r="V1" s="123"/>
      <c r="W1" s="123"/>
      <c r="X1" s="123"/>
      <c r="Y1" s="171"/>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28"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28" ht="11.25" customHeight="1" x14ac:dyDescent="0.2">
      <c r="A5" s="135"/>
      <c r="B5" s="143" t="str">
        <f t="shared" ref="B5:B41" si="0">K5</f>
        <v>1Y</v>
      </c>
      <c r="C5" s="142" t="str">
        <f t="shared" ref="C5:C41" si="1">L5</f>
        <v>AB</v>
      </c>
      <c r="D5" s="45" t="str">
        <f t="shared" ref="D5:D41" si="2">M5</f>
        <v>3E</v>
      </c>
      <c r="E5" s="43" t="str">
        <f t="shared" ref="E5:E41" si="3">Currency&amp;$C5&amp;$D5&amp;$B5&amp;QuoteSuffix</f>
        <v>EURAB3E1Y_Quote</v>
      </c>
      <c r="F5" s="43" t="e">
        <f ca="1">_xll.qlSimpleQuote(Currency&amp;$C5&amp;$D5&amp;$B5&amp;QuoteSuffix,,RateTickValue,Permanent,Trigger,ObjectOverwrite)</f>
        <v>#NAME?</v>
      </c>
      <c r="G5" s="42" t="e">
        <f ca="1">_xll.ohRangeRetrieveError(F5)</f>
        <v>#NAME?</v>
      </c>
      <c r="H5" s="36"/>
      <c r="J5" s="135"/>
      <c r="K5" s="141" t="s">
        <v>58</v>
      </c>
      <c r="L5" s="141" t="s">
        <v>21</v>
      </c>
      <c r="M5" s="141" t="s">
        <v>69</v>
      </c>
      <c r="N5" s="140" t="str">
        <f t="shared" ref="N5:N41" si="4">Currency&amp;$L5&amp;$M5&amp;$K5</f>
        <v>EURAB3E1Y</v>
      </c>
      <c r="O5" s="140" t="str">
        <f t="array" ref="O5:O41">Instruments&amp;"="&amp;VLOOKUP(Contributor,ContributorTable,2,FALSE)</f>
        <v>EURAB3E1Y=ICAP</v>
      </c>
      <c r="P5" s="78">
        <v>-8.0999999999999989E-2</v>
      </c>
      <c r="Q5" s="78">
        <v>-3.1E-2</v>
      </c>
      <c r="R5" s="78">
        <f t="shared" ref="R5:R41" si="5">IF(ISERROR(AVERAGE(P5,Q5)),#NUM!,AVERAGE(P5,Q5))</f>
        <v>-5.5999999999999994E-2</v>
      </c>
      <c r="S5" s="78">
        <f t="shared" ref="S5:S41" si="6">(R5-P5)*2</f>
        <v>4.9999999999999989E-2</v>
      </c>
      <c r="T5" s="115"/>
      <c r="U5" s="139">
        <v>-5.5999999999999994E-2</v>
      </c>
      <c r="V5" s="115"/>
      <c r="W5" s="78">
        <f t="array" ref="W5:W41">QuoteStatic</f>
        <v>-5.5999999999999994E-2</v>
      </c>
      <c r="X5" s="138" t="e">
        <f ca="1">_xll.qlSimpleQuoteSetValue(F5,W5/100,Trigger)</f>
        <v>#NAME?</v>
      </c>
      <c r="Y5" s="130"/>
    </row>
    <row r="6" spans="1:28" ht="11.25" customHeight="1" x14ac:dyDescent="0.2">
      <c r="A6" s="135"/>
      <c r="B6" s="143" t="str">
        <f t="shared" si="0"/>
        <v>15M</v>
      </c>
      <c r="C6" s="142" t="str">
        <f t="shared" si="1"/>
        <v>AB</v>
      </c>
      <c r="D6" s="45" t="str">
        <f t="shared" si="2"/>
        <v>3E</v>
      </c>
      <c r="E6" s="43" t="str">
        <f t="shared" si="3"/>
        <v>EURAB3E15M_Quote</v>
      </c>
      <c r="F6" s="43" t="e">
        <f ca="1">_xll.qlSimpleQuote(Currency&amp;$C6&amp;$D6&amp;$B6&amp;QuoteSuffix,,RateTickValue,Permanent,Trigger,ObjectOverwrite)</f>
        <v>#NAME?</v>
      </c>
      <c r="G6" s="42" t="e">
        <f ca="1">_xll.ohRangeRetrieveError(F6)</f>
        <v>#NAME?</v>
      </c>
      <c r="H6" s="36"/>
      <c r="J6" s="135"/>
      <c r="K6" s="141" t="s">
        <v>57</v>
      </c>
      <c r="L6" s="141" t="s">
        <v>21</v>
      </c>
      <c r="M6" s="141" t="s">
        <v>69</v>
      </c>
      <c r="N6" s="140" t="str">
        <f t="shared" si="4"/>
        <v>EURAB3E15M</v>
      </c>
      <c r="O6" s="140" t="str">
        <v>EURAB3E15M=ICAP</v>
      </c>
      <c r="P6" s="78">
        <v>-8.0999999999999989E-2</v>
      </c>
      <c r="Q6" s="78">
        <v>-3.1E-2</v>
      </c>
      <c r="R6" s="78">
        <f t="shared" si="5"/>
        <v>-5.5999999999999994E-2</v>
      </c>
      <c r="S6" s="78">
        <f t="shared" si="6"/>
        <v>4.9999999999999989E-2</v>
      </c>
      <c r="T6" s="115"/>
      <c r="U6" s="139">
        <v>-5.5999999999999994E-2</v>
      </c>
      <c r="V6" s="115"/>
      <c r="W6" s="78">
        <v>-5.5999999999999994E-2</v>
      </c>
      <c r="X6" s="138" t="e">
        <f ca="1">_xll.qlSimpleQuoteSetValue(F6,W6/100,Trigger)</f>
        <v>#NAME?</v>
      </c>
      <c r="Y6" s="130"/>
    </row>
    <row r="7" spans="1:28" ht="11.25" customHeight="1" x14ac:dyDescent="0.2">
      <c r="A7" s="135"/>
      <c r="B7" s="143" t="str">
        <f t="shared" si="0"/>
        <v>18M</v>
      </c>
      <c r="C7" s="142" t="str">
        <f t="shared" si="1"/>
        <v>AB</v>
      </c>
      <c r="D7" s="45" t="str">
        <f t="shared" si="2"/>
        <v>3E</v>
      </c>
      <c r="E7" s="43" t="str">
        <f t="shared" si="3"/>
        <v>EURAB3E18M_Quote</v>
      </c>
      <c r="F7" s="43" t="e">
        <f ca="1">_xll.qlSimpleQuote(Currency&amp;$C7&amp;$D7&amp;$B7&amp;QuoteSuffix,,RateTickValue,Permanent,Trigger,ObjectOverwrite)</f>
        <v>#NAME?</v>
      </c>
      <c r="G7" s="42" t="e">
        <f ca="1">_xll.ohRangeRetrieveError(F7)</f>
        <v>#NAME?</v>
      </c>
      <c r="H7" s="36"/>
      <c r="J7" s="135"/>
      <c r="K7" s="141" t="s">
        <v>56</v>
      </c>
      <c r="L7" s="141" t="s">
        <v>21</v>
      </c>
      <c r="M7" s="141" t="s">
        <v>69</v>
      </c>
      <c r="N7" s="140" t="str">
        <f t="shared" si="4"/>
        <v>EURAB3E18M</v>
      </c>
      <c r="O7" s="140" t="str">
        <v>EURAB3E18M=ICAP</v>
      </c>
      <c r="P7" s="78">
        <v>-7.8E-2</v>
      </c>
      <c r="Q7" s="78">
        <v>-2.7999999999999997E-2</v>
      </c>
      <c r="R7" s="78">
        <f t="shared" si="5"/>
        <v>-5.2999999999999999E-2</v>
      </c>
      <c r="S7" s="78">
        <f t="shared" si="6"/>
        <v>0.05</v>
      </c>
      <c r="T7" s="115"/>
      <c r="U7" s="139">
        <v>-5.2999999999999999E-2</v>
      </c>
      <c r="V7" s="115"/>
      <c r="W7" s="78">
        <v>-5.2999999999999999E-2</v>
      </c>
      <c r="X7" s="138" t="e">
        <f ca="1">_xll.qlSimpleQuoteSetValue(F7,W7/100,Trigger)</f>
        <v>#NAME?</v>
      </c>
      <c r="Y7" s="130"/>
    </row>
    <row r="8" spans="1:28" ht="11.25" customHeight="1" x14ac:dyDescent="0.2">
      <c r="A8" s="135"/>
      <c r="B8" s="143" t="str">
        <f t="shared" si="0"/>
        <v>21M</v>
      </c>
      <c r="C8" s="142" t="str">
        <f t="shared" si="1"/>
        <v>AB</v>
      </c>
      <c r="D8" s="45" t="str">
        <f t="shared" si="2"/>
        <v>3E</v>
      </c>
      <c r="E8" s="43" t="str">
        <f t="shared" si="3"/>
        <v>EURAB3E21M_Quote</v>
      </c>
      <c r="F8" s="43" t="e">
        <f ca="1">_xll.qlSimpleQuote(Currency&amp;$C8&amp;$D8&amp;$B8&amp;QuoteSuffix,,RateTickValue,Permanent,Trigger,ObjectOverwrite)</f>
        <v>#NAME?</v>
      </c>
      <c r="G8" s="42" t="e">
        <f ca="1">_xll.ohRangeRetrieveError(F8)</f>
        <v>#NAME?</v>
      </c>
      <c r="H8" s="36"/>
      <c r="J8" s="135"/>
      <c r="K8" s="141" t="s">
        <v>55</v>
      </c>
      <c r="L8" s="141" t="s">
        <v>21</v>
      </c>
      <c r="M8" s="141" t="s">
        <v>69</v>
      </c>
      <c r="N8" s="140" t="str">
        <f t="shared" si="4"/>
        <v>EURAB3E21M</v>
      </c>
      <c r="O8" s="140" t="str">
        <v>EURAB3E21M=ICAP</v>
      </c>
      <c r="P8" s="78">
        <v>-7.3999999999999996E-2</v>
      </c>
      <c r="Q8" s="78">
        <v>-2.4E-2</v>
      </c>
      <c r="R8" s="78">
        <f t="shared" si="5"/>
        <v>-4.9000000000000002E-2</v>
      </c>
      <c r="S8" s="78">
        <f t="shared" si="6"/>
        <v>4.9999999999999989E-2</v>
      </c>
      <c r="T8" s="115"/>
      <c r="U8" s="139">
        <v>-4.9000000000000002E-2</v>
      </c>
      <c r="V8" s="115"/>
      <c r="W8" s="78">
        <v>-4.9000000000000002E-2</v>
      </c>
      <c r="X8" s="138" t="e">
        <f ca="1">_xll.qlSimpleQuoteSetValue(F8,W8/100,Trigger)</f>
        <v>#NAME?</v>
      </c>
      <c r="Y8" s="130"/>
    </row>
    <row r="9" spans="1:28" ht="11.25" customHeight="1" x14ac:dyDescent="0.2">
      <c r="A9" s="135"/>
      <c r="B9" s="143" t="str">
        <f t="shared" si="0"/>
        <v>2Y</v>
      </c>
      <c r="C9" s="142" t="str">
        <f t="shared" si="1"/>
        <v>AB</v>
      </c>
      <c r="D9" s="45" t="str">
        <f t="shared" si="2"/>
        <v>3E</v>
      </c>
      <c r="E9" s="43" t="str">
        <f t="shared" si="3"/>
        <v>EURAB3E2Y_Quote</v>
      </c>
      <c r="F9" s="43" t="e">
        <f ca="1">_xll.qlSimpleQuote(Currency&amp;$C9&amp;$D9&amp;$B9&amp;QuoteSuffix,,RateTickValue,Permanent,Trigger,ObjectOverwrite)</f>
        <v>#NAME?</v>
      </c>
      <c r="G9" s="42" t="e">
        <f ca="1">_xll.ohRangeRetrieveError(F9)</f>
        <v>#NAME?</v>
      </c>
      <c r="H9" s="36"/>
      <c r="J9" s="135"/>
      <c r="K9" s="141" t="s">
        <v>54</v>
      </c>
      <c r="L9" s="141" t="s">
        <v>21</v>
      </c>
      <c r="M9" s="141" t="s">
        <v>69</v>
      </c>
      <c r="N9" s="140" t="str">
        <f t="shared" si="4"/>
        <v>EURAB3E2Y</v>
      </c>
      <c r="O9" s="140" t="str">
        <v>EURAB3E2Y=ICAP</v>
      </c>
      <c r="P9" s="78">
        <v>-6.4000000000000001E-2</v>
      </c>
      <c r="Q9" s="78">
        <v>-1.3999999999999999E-2</v>
      </c>
      <c r="R9" s="78">
        <f t="shared" si="5"/>
        <v>-3.9E-2</v>
      </c>
      <c r="S9" s="78">
        <f t="shared" si="6"/>
        <v>0.05</v>
      </c>
      <c r="T9" s="115"/>
      <c r="U9" s="139">
        <v>-3.9E-2</v>
      </c>
      <c r="V9" s="115"/>
      <c r="W9" s="78">
        <v>-3.9E-2</v>
      </c>
      <c r="X9" s="138" t="e">
        <f ca="1">_xll.qlSimpleQuoteSetValue(F9,W9/100,Trigger)</f>
        <v>#NAME?</v>
      </c>
      <c r="Y9" s="130"/>
    </row>
    <row r="10" spans="1:28" ht="11.25" customHeight="1" x14ac:dyDescent="0.2">
      <c r="A10" s="135"/>
      <c r="B10" s="143" t="str">
        <f t="shared" si="0"/>
        <v>3Y</v>
      </c>
      <c r="C10" s="142" t="str">
        <f t="shared" si="1"/>
        <v>AB</v>
      </c>
      <c r="D10" s="45" t="str">
        <f t="shared" si="2"/>
        <v>3E</v>
      </c>
      <c r="E10" s="43" t="str">
        <f t="shared" si="3"/>
        <v>EURAB3E3Y_Quote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69</v>
      </c>
      <c r="N10" s="140" t="str">
        <f t="shared" si="4"/>
        <v>EURAB3E3Y</v>
      </c>
      <c r="O10" s="140" t="str">
        <v>EURAB3E3Y=ICAP</v>
      </c>
      <c r="P10" s="78">
        <v>0</v>
      </c>
      <c r="Q10" s="78">
        <v>0.05</v>
      </c>
      <c r="R10" s="78">
        <f t="shared" si="5"/>
        <v>2.5000000000000001E-2</v>
      </c>
      <c r="S10" s="78">
        <f t="shared" si="6"/>
        <v>0.05</v>
      </c>
      <c r="T10" s="115"/>
      <c r="U10" s="139">
        <v>2.5000000000000001E-2</v>
      </c>
      <c r="V10" s="115"/>
      <c r="W10" s="78">
        <v>2.5000000000000001E-2</v>
      </c>
      <c r="X10" s="138" t="e">
        <f ca="1">_xll.qlSimpleQuoteSetValue(F10,W10/100,Trigger)</f>
        <v>#NAME?</v>
      </c>
      <c r="Y10" s="130"/>
    </row>
    <row r="11" spans="1:28" ht="11.25" customHeight="1" x14ac:dyDescent="0.2">
      <c r="A11" s="135"/>
      <c r="B11" s="143" t="str">
        <f t="shared" si="0"/>
        <v>4Y</v>
      </c>
      <c r="C11" s="142" t="str">
        <f t="shared" si="1"/>
        <v>AB</v>
      </c>
      <c r="D11" s="45" t="str">
        <f t="shared" si="2"/>
        <v>3E</v>
      </c>
      <c r="E11" s="43" t="str">
        <f t="shared" si="3"/>
        <v>EURAB3E4Y_Quote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69</v>
      </c>
      <c r="N11" s="140" t="str">
        <f t="shared" si="4"/>
        <v>EURAB3E4Y</v>
      </c>
      <c r="O11" s="140" t="str">
        <v>EURAB3E4Y=ICAP</v>
      </c>
      <c r="P11" s="78">
        <v>0.1</v>
      </c>
      <c r="Q11" s="78">
        <v>0.15</v>
      </c>
      <c r="R11" s="78">
        <f t="shared" si="5"/>
        <v>0.125</v>
      </c>
      <c r="S11" s="78">
        <f t="shared" si="6"/>
        <v>4.9999999999999989E-2</v>
      </c>
      <c r="T11" s="115"/>
      <c r="U11" s="139">
        <v>0.125</v>
      </c>
      <c r="V11" s="115"/>
      <c r="W11" s="78">
        <v>0.125</v>
      </c>
      <c r="X11" s="138" t="e">
        <f ca="1">_xll.qlSimpleQuoteSetValue(F11,W11/100,Trigger)</f>
        <v>#NAME?</v>
      </c>
      <c r="Y11" s="130"/>
    </row>
    <row r="12" spans="1:28" ht="11.25" customHeight="1" x14ac:dyDescent="0.2">
      <c r="A12" s="135"/>
      <c r="B12" s="143" t="str">
        <f t="shared" si="0"/>
        <v>5Y</v>
      </c>
      <c r="C12" s="142" t="str">
        <f t="shared" si="1"/>
        <v>AB</v>
      </c>
      <c r="D12" s="45" t="str">
        <f t="shared" si="2"/>
        <v>3E</v>
      </c>
      <c r="E12" s="43" t="str">
        <f t="shared" si="3"/>
        <v>EURAB3E5Y_Quote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69</v>
      </c>
      <c r="N12" s="140" t="str">
        <f t="shared" si="4"/>
        <v>EURAB3E5Y</v>
      </c>
      <c r="O12" s="140" t="str">
        <v>EURAB3E5Y=ICAP</v>
      </c>
      <c r="P12" s="78">
        <v>0.217</v>
      </c>
      <c r="Q12" s="78">
        <v>0.26700000000000002</v>
      </c>
      <c r="R12" s="78">
        <f t="shared" si="5"/>
        <v>0.24199999999999999</v>
      </c>
      <c r="S12" s="78">
        <f t="shared" si="6"/>
        <v>4.9999999999999989E-2</v>
      </c>
      <c r="T12" s="115"/>
      <c r="U12" s="139">
        <v>0.24199999999999999</v>
      </c>
      <c r="V12" s="115"/>
      <c r="W12" s="78">
        <v>0.24199999999999999</v>
      </c>
      <c r="X12" s="138" t="e">
        <f ca="1">_xll.qlSimpleQuoteSetValue(F12,W12/100,Trigger)</f>
        <v>#NAME?</v>
      </c>
      <c r="Y12" s="130"/>
    </row>
    <row r="13" spans="1:28" ht="11.25" customHeight="1" x14ac:dyDescent="0.2">
      <c r="A13" s="135"/>
      <c r="B13" s="143" t="str">
        <f t="shared" si="0"/>
        <v>6Y</v>
      </c>
      <c r="C13" s="142" t="str">
        <f t="shared" si="1"/>
        <v>AB</v>
      </c>
      <c r="D13" s="45" t="str">
        <f t="shared" si="2"/>
        <v>3E</v>
      </c>
      <c r="E13" s="43" t="str">
        <f t="shared" si="3"/>
        <v>EURAB3E6Y_Quote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69</v>
      </c>
      <c r="N13" s="140" t="str">
        <f t="shared" si="4"/>
        <v>EURAB3E6Y</v>
      </c>
      <c r="O13" s="140" t="str">
        <v>EURAB3E6Y=ICAP</v>
      </c>
      <c r="P13" s="78">
        <v>0.34900000000000003</v>
      </c>
      <c r="Q13" s="78">
        <v>0.39900000000000002</v>
      </c>
      <c r="R13" s="78">
        <f t="shared" si="5"/>
        <v>0.374</v>
      </c>
      <c r="S13" s="78">
        <f t="shared" si="6"/>
        <v>4.9999999999999933E-2</v>
      </c>
      <c r="T13" s="115"/>
      <c r="U13" s="139">
        <v>0.374</v>
      </c>
      <c r="V13" s="115"/>
      <c r="W13" s="78">
        <v>0.374</v>
      </c>
      <c r="X13" s="138" t="e">
        <f ca="1">_xll.qlSimpleQuoteSetValue(F13,W13/100,Trigger)</f>
        <v>#NAME?</v>
      </c>
      <c r="Y13" s="130"/>
    </row>
    <row r="14" spans="1:28" ht="11.25" customHeight="1" x14ac:dyDescent="0.2">
      <c r="A14" s="135"/>
      <c r="B14" s="143" t="str">
        <f t="shared" si="0"/>
        <v>7Y</v>
      </c>
      <c r="C14" s="142" t="str">
        <f t="shared" si="1"/>
        <v>AB</v>
      </c>
      <c r="D14" s="45" t="str">
        <f t="shared" si="2"/>
        <v>3E</v>
      </c>
      <c r="E14" s="43" t="str">
        <f t="shared" si="3"/>
        <v>EURAB3E7Y_Quote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69</v>
      </c>
      <c r="N14" s="140" t="str">
        <f t="shared" si="4"/>
        <v>EURAB3E7Y</v>
      </c>
      <c r="O14" s="140" t="str">
        <v>EURAB3E7Y=ICAP</v>
      </c>
      <c r="P14" s="78">
        <v>0.48399999999999999</v>
      </c>
      <c r="Q14" s="78">
        <v>0.53400000000000003</v>
      </c>
      <c r="R14" s="78">
        <f t="shared" si="5"/>
        <v>0.50900000000000001</v>
      </c>
      <c r="S14" s="78">
        <f t="shared" si="6"/>
        <v>5.0000000000000044E-2</v>
      </c>
      <c r="T14" s="115"/>
      <c r="U14" s="139">
        <v>0.50900000000000001</v>
      </c>
      <c r="V14" s="115"/>
      <c r="W14" s="78">
        <v>0.50900000000000001</v>
      </c>
      <c r="X14" s="138" t="e">
        <f ca="1">_xll.qlSimpleQuoteSetValue(F14,W14/100,Trigger)</f>
        <v>#NAME?</v>
      </c>
      <c r="Y14" s="130"/>
    </row>
    <row r="15" spans="1:28" ht="11.25" customHeight="1" x14ac:dyDescent="0.2">
      <c r="A15" s="135"/>
      <c r="B15" s="143" t="str">
        <f t="shared" si="0"/>
        <v>8Y</v>
      </c>
      <c r="C15" s="142" t="str">
        <f t="shared" si="1"/>
        <v>AB</v>
      </c>
      <c r="D15" s="45" t="str">
        <f t="shared" si="2"/>
        <v>3E</v>
      </c>
      <c r="E15" s="43" t="str">
        <f t="shared" si="3"/>
        <v>EURAB3E8Y_Quote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69</v>
      </c>
      <c r="N15" s="140" t="str">
        <f t="shared" si="4"/>
        <v>EURAB3E8Y</v>
      </c>
      <c r="O15" s="140" t="str">
        <v>EURAB3E8Y=ICAP</v>
      </c>
      <c r="P15" s="78">
        <v>0.61399999999999999</v>
      </c>
      <c r="Q15" s="78">
        <v>0.66399999999999992</v>
      </c>
      <c r="R15" s="78">
        <f t="shared" si="5"/>
        <v>0.63900000000000001</v>
      </c>
      <c r="S15" s="78">
        <f t="shared" si="6"/>
        <v>5.0000000000000044E-2</v>
      </c>
      <c r="T15" s="115"/>
      <c r="U15" s="139">
        <v>0.63900000000000001</v>
      </c>
      <c r="V15" s="115"/>
      <c r="W15" s="78">
        <v>0.63900000000000001</v>
      </c>
      <c r="X15" s="138" t="e">
        <f ca="1">_xll.qlSimpleQuoteSetValue(F15,W15/100,Trigger)</f>
        <v>#NAME?</v>
      </c>
      <c r="Y15" s="130"/>
    </row>
    <row r="16" spans="1:28" ht="11.25" customHeight="1" x14ac:dyDescent="0.2">
      <c r="A16" s="135"/>
      <c r="B16" s="143" t="str">
        <f t="shared" si="0"/>
        <v>9Y</v>
      </c>
      <c r="C16" s="142" t="str">
        <f t="shared" si="1"/>
        <v>AB</v>
      </c>
      <c r="D16" s="45" t="str">
        <f t="shared" si="2"/>
        <v>3E</v>
      </c>
      <c r="E16" s="43" t="str">
        <f t="shared" si="3"/>
        <v>EURAB3E9Y_Quote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69</v>
      </c>
      <c r="N16" s="140" t="str">
        <f t="shared" si="4"/>
        <v>EURAB3E9Y</v>
      </c>
      <c r="O16" s="140" t="str">
        <v>EURAB3E9Y=ICAP</v>
      </c>
      <c r="P16" s="78">
        <v>0.73599999999999999</v>
      </c>
      <c r="Q16" s="78">
        <v>0.78600000000000003</v>
      </c>
      <c r="R16" s="78">
        <f t="shared" si="5"/>
        <v>0.76100000000000001</v>
      </c>
      <c r="S16" s="78">
        <f t="shared" si="6"/>
        <v>5.0000000000000044E-2</v>
      </c>
      <c r="T16" s="115"/>
      <c r="U16" s="139">
        <v>0.76100000000000001</v>
      </c>
      <c r="V16" s="115"/>
      <c r="W16" s="78">
        <v>0.76100000000000001</v>
      </c>
      <c r="X16" s="138" t="e">
        <f ca="1">_xll.qlSimpleQuoteSetValue(F16,W16/100,Trigger)</f>
        <v>#NAME?</v>
      </c>
      <c r="Y16" s="130"/>
    </row>
    <row r="17" spans="1:25" ht="11.25" customHeight="1" x14ac:dyDescent="0.2">
      <c r="A17" s="135"/>
      <c r="B17" s="143" t="str">
        <f t="shared" si="0"/>
        <v>10Y</v>
      </c>
      <c r="C17" s="142" t="str">
        <f t="shared" si="1"/>
        <v>AB</v>
      </c>
      <c r="D17" s="45" t="str">
        <f t="shared" si="2"/>
        <v>3E</v>
      </c>
      <c r="E17" s="43" t="str">
        <f t="shared" si="3"/>
        <v>EURAB3E10Y_Quote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69</v>
      </c>
      <c r="N17" s="140" t="str">
        <f t="shared" si="4"/>
        <v>EURAB3E10Y</v>
      </c>
      <c r="O17" s="140" t="str">
        <v>EURAB3E10Y=ICAP</v>
      </c>
      <c r="P17" s="78">
        <v>0.84499999999999997</v>
      </c>
      <c r="Q17" s="78">
        <v>0.89499999999999991</v>
      </c>
      <c r="R17" s="78">
        <f t="shared" si="5"/>
        <v>0.86999999999999988</v>
      </c>
      <c r="S17" s="78">
        <f t="shared" si="6"/>
        <v>4.9999999999999822E-2</v>
      </c>
      <c r="T17" s="115"/>
      <c r="U17" s="139">
        <v>0.86999999999999988</v>
      </c>
      <c r="V17" s="115"/>
      <c r="W17" s="78">
        <v>0.86999999999999988</v>
      </c>
      <c r="X17" s="138" t="e">
        <f ca="1">_xll.qlSimpleQuoteSetValue(F17,W17/100,Trigger)</f>
        <v>#NAME?</v>
      </c>
      <c r="Y17" s="130"/>
    </row>
    <row r="18" spans="1:25" ht="11.25" customHeight="1" x14ac:dyDescent="0.2">
      <c r="A18" s="135"/>
      <c r="B18" s="143" t="str">
        <f t="shared" si="0"/>
        <v>11Y</v>
      </c>
      <c r="C18" s="142" t="str">
        <f t="shared" si="1"/>
        <v>AB</v>
      </c>
      <c r="D18" s="45" t="str">
        <f t="shared" si="2"/>
        <v>3E</v>
      </c>
      <c r="E18" s="43" t="str">
        <f t="shared" si="3"/>
        <v>EURAB3E11Y_Quote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69</v>
      </c>
      <c r="N18" s="140" t="str">
        <f t="shared" si="4"/>
        <v>EURAB3E11Y</v>
      </c>
      <c r="O18" s="140" t="str">
        <v>EURAB3E11Y=ICAP</v>
      </c>
      <c r="P18" s="78">
        <v>0.94399999999999995</v>
      </c>
      <c r="Q18" s="78">
        <v>0.99399999999999999</v>
      </c>
      <c r="R18" s="78">
        <f t="shared" si="5"/>
        <v>0.96899999999999997</v>
      </c>
      <c r="S18" s="78">
        <f t="shared" si="6"/>
        <v>5.0000000000000044E-2</v>
      </c>
      <c r="T18" s="115"/>
      <c r="U18" s="139">
        <v>0.96899999999999997</v>
      </c>
      <c r="V18" s="115"/>
      <c r="W18" s="78">
        <v>0.96899999999999997</v>
      </c>
      <c r="X18" s="138" t="e">
        <f ca="1">_xll.qlSimpleQuoteSetValue(F18,W18/100,Trigger)</f>
        <v>#NAME?</v>
      </c>
      <c r="Y18" s="130"/>
    </row>
    <row r="19" spans="1:25" ht="11.25" customHeight="1" x14ac:dyDescent="0.2">
      <c r="A19" s="135"/>
      <c r="B19" s="143" t="str">
        <f t="shared" si="0"/>
        <v>12Y</v>
      </c>
      <c r="C19" s="142" t="str">
        <f t="shared" si="1"/>
        <v>AB</v>
      </c>
      <c r="D19" s="45" t="str">
        <f t="shared" si="2"/>
        <v>3E</v>
      </c>
      <c r="E19" s="43" t="str">
        <f t="shared" si="3"/>
        <v>EURAB3E12Y_Quote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69</v>
      </c>
      <c r="N19" s="140" t="str">
        <f t="shared" si="4"/>
        <v>EURAB3E12Y</v>
      </c>
      <c r="O19" s="140" t="str">
        <v>EURAB3E12Y=ICAP</v>
      </c>
      <c r="P19" s="78">
        <v>1.0309999999999999</v>
      </c>
      <c r="Q19" s="78">
        <v>1.081</v>
      </c>
      <c r="R19" s="78">
        <f t="shared" si="5"/>
        <v>1.056</v>
      </c>
      <c r="S19" s="78">
        <f t="shared" si="6"/>
        <v>5.0000000000000266E-2</v>
      </c>
      <c r="T19" s="115"/>
      <c r="U19" s="139">
        <v>1.056</v>
      </c>
      <c r="V19" s="115"/>
      <c r="W19" s="78">
        <v>1.056</v>
      </c>
      <c r="X19" s="138" t="e">
        <f ca="1">_xll.qlSimpleQuoteSetValue(F19,W19/100,Trigger)</f>
        <v>#NAME?</v>
      </c>
      <c r="Y19" s="130"/>
    </row>
    <row r="20" spans="1:25" ht="11.25" customHeight="1" x14ac:dyDescent="0.2">
      <c r="A20" s="135"/>
      <c r="B20" s="143" t="str">
        <f t="shared" si="0"/>
        <v>13Y</v>
      </c>
      <c r="C20" s="142" t="str">
        <f t="shared" si="1"/>
        <v>AB</v>
      </c>
      <c r="D20" s="45" t="str">
        <f t="shared" si="2"/>
        <v>3E</v>
      </c>
      <c r="E20" s="43" t="str">
        <f t="shared" si="3"/>
        <v>EURAB3E13Y_Quote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69</v>
      </c>
      <c r="N20" s="140" t="str">
        <f t="shared" si="4"/>
        <v>EURAB3E13Y</v>
      </c>
      <c r="O20" s="140" t="str">
        <v>EURAB3E13Y=ICAP</v>
      </c>
      <c r="P20" s="78" t="s">
        <v>109</v>
      </c>
      <c r="Q20" s="78" t="s">
        <v>109</v>
      </c>
      <c r="R20" s="78" t="e">
        <f t="shared" si="5"/>
        <v>#NUM!</v>
      </c>
      <c r="S20" s="78" t="e">
        <f t="shared" si="6"/>
        <v>#NUM!</v>
      </c>
      <c r="T20" s="115"/>
      <c r="U20" s="139" t="e">
        <v>#NUM!</v>
      </c>
      <c r="V20" s="115"/>
      <c r="W20" s="78" t="e">
        <v>#NUM!</v>
      </c>
      <c r="X20" s="138" t="e">
        <f ca="1">_xll.qlSimpleQuoteSetValue(F20,W20/100,Trigger)</f>
        <v>#NAME?</v>
      </c>
      <c r="Y20" s="130"/>
    </row>
    <row r="21" spans="1:25" ht="11.25" customHeight="1" x14ac:dyDescent="0.2">
      <c r="A21" s="135"/>
      <c r="B21" s="143" t="str">
        <f t="shared" si="0"/>
        <v>14Y</v>
      </c>
      <c r="C21" s="142" t="str">
        <f t="shared" si="1"/>
        <v>AB</v>
      </c>
      <c r="D21" s="45" t="str">
        <f t="shared" si="2"/>
        <v>3E</v>
      </c>
      <c r="E21" s="43" t="str">
        <f t="shared" si="3"/>
        <v>EURAB3E14Y_Quote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69</v>
      </c>
      <c r="N21" s="140" t="str">
        <f t="shared" si="4"/>
        <v>EURAB3E14Y</v>
      </c>
      <c r="O21" s="140" t="str">
        <v>EURAB3E14Y=ICAP</v>
      </c>
      <c r="P21" s="78" t="s">
        <v>109</v>
      </c>
      <c r="Q21" s="78" t="s">
        <v>109</v>
      </c>
      <c r="R21" s="78" t="e">
        <f t="shared" si="5"/>
        <v>#NUM!</v>
      </c>
      <c r="S21" s="78" t="e">
        <f t="shared" si="6"/>
        <v>#NUM!</v>
      </c>
      <c r="T21" s="115"/>
      <c r="U21" s="139" t="e">
        <v>#NUM!</v>
      </c>
      <c r="V21" s="115"/>
      <c r="W21" s="78" t="e">
        <v>#NUM!</v>
      </c>
      <c r="X21" s="138" t="e">
        <f ca="1">_xll.qlSimpleQuoteSetValue(F21,W21/100,Trigger)</f>
        <v>#NAME?</v>
      </c>
      <c r="Y21" s="130"/>
    </row>
    <row r="22" spans="1:25" ht="11.25" customHeight="1" x14ac:dyDescent="0.2">
      <c r="A22" s="135"/>
      <c r="B22" s="143" t="str">
        <f t="shared" si="0"/>
        <v>15Y</v>
      </c>
      <c r="C22" s="142" t="str">
        <f t="shared" si="1"/>
        <v>AB</v>
      </c>
      <c r="D22" s="45" t="str">
        <f t="shared" si="2"/>
        <v>3E</v>
      </c>
      <c r="E22" s="43" t="str">
        <f t="shared" si="3"/>
        <v>EURAB3E15Y_Quote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69</v>
      </c>
      <c r="N22" s="140" t="str">
        <f t="shared" si="4"/>
        <v>EURAB3E15Y</v>
      </c>
      <c r="O22" s="140" t="str">
        <v>EURAB3E15Y=ICAP</v>
      </c>
      <c r="P22" s="78">
        <v>1.232</v>
      </c>
      <c r="Q22" s="78">
        <v>1.282</v>
      </c>
      <c r="R22" s="78">
        <f t="shared" si="5"/>
        <v>1.2570000000000001</v>
      </c>
      <c r="S22" s="78">
        <f t="shared" si="6"/>
        <v>5.0000000000000266E-2</v>
      </c>
      <c r="T22" s="115"/>
      <c r="U22" s="139">
        <v>1.2570000000000001</v>
      </c>
      <c r="V22" s="115"/>
      <c r="W22" s="78">
        <v>1.2570000000000001</v>
      </c>
      <c r="X22" s="138" t="e">
        <f ca="1">_xll.qlSimpleQuoteSetValue(F22,W22/100,Trigger)</f>
        <v>#NAME?</v>
      </c>
      <c r="Y22" s="130"/>
    </row>
    <row r="23" spans="1:25" ht="11.25" customHeight="1" x14ac:dyDescent="0.2">
      <c r="A23" s="135"/>
      <c r="B23" s="143" t="str">
        <f t="shared" si="0"/>
        <v>16Y</v>
      </c>
      <c r="C23" s="142" t="str">
        <f t="shared" si="1"/>
        <v>AB</v>
      </c>
      <c r="D23" s="45" t="str">
        <f t="shared" si="2"/>
        <v>3E</v>
      </c>
      <c r="E23" s="43" t="str">
        <f t="shared" si="3"/>
        <v>EURAB3E16Y_Quote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69</v>
      </c>
      <c r="N23" s="140" t="str">
        <f t="shared" si="4"/>
        <v>EURAB3E16Y</v>
      </c>
      <c r="O23" s="140" t="str">
        <v>EURAB3E16Y=ICAP</v>
      </c>
      <c r="P23" s="78" t="s">
        <v>109</v>
      </c>
      <c r="Q23" s="78" t="s">
        <v>109</v>
      </c>
      <c r="R23" s="78" t="e">
        <f t="shared" si="5"/>
        <v>#NUM!</v>
      </c>
      <c r="S23" s="78" t="e">
        <f t="shared" si="6"/>
        <v>#NUM!</v>
      </c>
      <c r="T23" s="115"/>
      <c r="U23" s="139" t="e">
        <v>#NUM!</v>
      </c>
      <c r="V23" s="115"/>
      <c r="W23" s="78" t="e">
        <v>#NUM!</v>
      </c>
      <c r="X23" s="138" t="e">
        <f ca="1">_xll.qlSimpleQuoteSetValue(F23,W23/100,Trigger)</f>
        <v>#NAME?</v>
      </c>
      <c r="Y23" s="130"/>
    </row>
    <row r="24" spans="1:25" ht="11.25" customHeight="1" x14ac:dyDescent="0.2">
      <c r="A24" s="135"/>
      <c r="B24" s="143" t="str">
        <f t="shared" si="0"/>
        <v>17Y</v>
      </c>
      <c r="C24" s="142" t="str">
        <f t="shared" si="1"/>
        <v>AB</v>
      </c>
      <c r="D24" s="45" t="str">
        <f t="shared" si="2"/>
        <v>3E</v>
      </c>
      <c r="E24" s="43" t="str">
        <f t="shared" si="3"/>
        <v>EURAB3E17Y_Quote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69</v>
      </c>
      <c r="N24" s="140" t="str">
        <f t="shared" si="4"/>
        <v>EURAB3E17Y</v>
      </c>
      <c r="O24" s="140" t="str">
        <v>EURAB3E17Y=ICAP</v>
      </c>
      <c r="P24" s="78" t="s">
        <v>109</v>
      </c>
      <c r="Q24" s="78" t="s">
        <v>109</v>
      </c>
      <c r="R24" s="78" t="e">
        <f t="shared" si="5"/>
        <v>#NUM!</v>
      </c>
      <c r="S24" s="78" t="e">
        <f t="shared" si="6"/>
        <v>#NUM!</v>
      </c>
      <c r="T24" s="115"/>
      <c r="U24" s="139" t="e">
        <v>#NUM!</v>
      </c>
      <c r="V24" s="115"/>
      <c r="W24" s="78" t="e">
        <v>#NUM!</v>
      </c>
      <c r="X24" s="138" t="e">
        <f ca="1">_xll.qlSimpleQuoteSetValue(F24,W24/100,Trigger)</f>
        <v>#NAME?</v>
      </c>
      <c r="Y24" s="130"/>
    </row>
    <row r="25" spans="1:25" ht="11.25" customHeight="1" x14ac:dyDescent="0.2">
      <c r="A25" s="135"/>
      <c r="B25" s="143" t="str">
        <f t="shared" si="0"/>
        <v>18Y</v>
      </c>
      <c r="C25" s="142" t="str">
        <f t="shared" si="1"/>
        <v>AB</v>
      </c>
      <c r="D25" s="45" t="str">
        <f t="shared" si="2"/>
        <v>3E</v>
      </c>
      <c r="E25" s="43" t="str">
        <f t="shared" si="3"/>
        <v>EURAB3E18Y_Quote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69</v>
      </c>
      <c r="N25" s="140" t="str">
        <f t="shared" si="4"/>
        <v>EURAB3E18Y</v>
      </c>
      <c r="O25" s="140" t="str">
        <v>EURAB3E18Y=ICAP</v>
      </c>
      <c r="P25" s="78" t="s">
        <v>109</v>
      </c>
      <c r="Q25" s="78" t="s">
        <v>109</v>
      </c>
      <c r="R25" s="78" t="e">
        <f t="shared" si="5"/>
        <v>#NUM!</v>
      </c>
      <c r="S25" s="78" t="e">
        <f t="shared" si="6"/>
        <v>#NUM!</v>
      </c>
      <c r="T25" s="115"/>
      <c r="U25" s="139" t="e">
        <v>#NUM!</v>
      </c>
      <c r="V25" s="115"/>
      <c r="W25" s="78" t="e">
        <v>#NUM!</v>
      </c>
      <c r="X25" s="138" t="e">
        <f ca="1">_xll.qlSimpleQuoteSetValue(F25,W25/100,Trigger)</f>
        <v>#NAME?</v>
      </c>
      <c r="Y25" s="130"/>
    </row>
    <row r="26" spans="1:25" ht="11.25" customHeight="1" x14ac:dyDescent="0.2">
      <c r="A26" s="135"/>
      <c r="B26" s="143" t="str">
        <f t="shared" si="0"/>
        <v>19Y</v>
      </c>
      <c r="C26" s="142" t="str">
        <f t="shared" si="1"/>
        <v>AB</v>
      </c>
      <c r="D26" s="45" t="str">
        <f t="shared" si="2"/>
        <v>3E</v>
      </c>
      <c r="E26" s="43" t="str">
        <f t="shared" si="3"/>
        <v>EURAB3E19Y_Quote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69</v>
      </c>
      <c r="N26" s="140" t="str">
        <f t="shared" si="4"/>
        <v>EURAB3E19Y</v>
      </c>
      <c r="O26" s="140" t="str">
        <v>EURAB3E19Y=ICAP</v>
      </c>
      <c r="P26" s="78" t="s">
        <v>109</v>
      </c>
      <c r="Q26" s="78" t="s">
        <v>109</v>
      </c>
      <c r="R26" s="78" t="e">
        <f t="shared" si="5"/>
        <v>#NUM!</v>
      </c>
      <c r="S26" s="78" t="e">
        <f t="shared" si="6"/>
        <v>#NUM!</v>
      </c>
      <c r="T26" s="115"/>
      <c r="U26" s="139" t="e">
        <v>#NUM!</v>
      </c>
      <c r="V26" s="115"/>
      <c r="W26" s="78" t="e">
        <v>#NUM!</v>
      </c>
      <c r="X26" s="138" t="e">
        <f ca="1">_xll.qlSimpleQuoteSetValue(F26,W26/100,Trigger)</f>
        <v>#NAME?</v>
      </c>
      <c r="Y26" s="130"/>
    </row>
    <row r="27" spans="1:25" ht="11.25" customHeight="1" x14ac:dyDescent="0.2">
      <c r="A27" s="135"/>
      <c r="B27" s="143" t="str">
        <f t="shared" si="0"/>
        <v>20Y</v>
      </c>
      <c r="C27" s="142" t="str">
        <f t="shared" si="1"/>
        <v>AB</v>
      </c>
      <c r="D27" s="45" t="str">
        <f t="shared" si="2"/>
        <v>3E</v>
      </c>
      <c r="E27" s="43" t="str">
        <f t="shared" si="3"/>
        <v>EURAB3E20Y_Quote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69</v>
      </c>
      <c r="N27" s="140" t="str">
        <f t="shared" si="4"/>
        <v>EURAB3E20Y</v>
      </c>
      <c r="O27" s="140" t="str">
        <v>EURAB3E20Y=ICAP</v>
      </c>
      <c r="P27" s="78">
        <v>1.4</v>
      </c>
      <c r="Q27" s="78">
        <v>1.45</v>
      </c>
      <c r="R27" s="78">
        <f t="shared" si="5"/>
        <v>1.4249999999999998</v>
      </c>
      <c r="S27" s="78">
        <f t="shared" si="6"/>
        <v>4.9999999999999822E-2</v>
      </c>
      <c r="T27" s="115"/>
      <c r="U27" s="139">
        <v>1.4249999999999998</v>
      </c>
      <c r="V27" s="115"/>
      <c r="W27" s="78">
        <v>1.4249999999999998</v>
      </c>
      <c r="X27" s="138" t="e">
        <f ca="1">_xll.qlSimpleQuoteSetValue(F27,W27/100,Trigger)</f>
        <v>#NAME?</v>
      </c>
      <c r="Y27" s="130"/>
    </row>
    <row r="28" spans="1:25" ht="11.25" customHeight="1" x14ac:dyDescent="0.2">
      <c r="A28" s="135"/>
      <c r="B28" s="143" t="str">
        <f t="shared" si="0"/>
        <v>21Y</v>
      </c>
      <c r="C28" s="142" t="str">
        <f t="shared" si="1"/>
        <v>AB</v>
      </c>
      <c r="D28" s="45" t="str">
        <f t="shared" si="2"/>
        <v>3E</v>
      </c>
      <c r="E28" s="43" t="str">
        <f t="shared" si="3"/>
        <v>EURAB3E21Y_Quote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69</v>
      </c>
      <c r="N28" s="140" t="str">
        <f t="shared" si="4"/>
        <v>EURAB3E21Y</v>
      </c>
      <c r="O28" s="140" t="str">
        <v>EURAB3E21Y=ICAP</v>
      </c>
      <c r="P28" s="78" t="s">
        <v>109</v>
      </c>
      <c r="Q28" s="78" t="s">
        <v>109</v>
      </c>
      <c r="R28" s="78" t="e">
        <f t="shared" si="5"/>
        <v>#NUM!</v>
      </c>
      <c r="S28" s="78" t="e">
        <f t="shared" si="6"/>
        <v>#NUM!</v>
      </c>
      <c r="T28" s="115"/>
      <c r="U28" s="139" t="e">
        <v>#NUM!</v>
      </c>
      <c r="V28" s="115"/>
      <c r="W28" s="78" t="e">
        <v>#NUM!</v>
      </c>
      <c r="X28" s="138" t="e">
        <f ca="1">_xll.qlSimpleQuoteSetValue(F28,W28/100,Trigger)</f>
        <v>#NAME?</v>
      </c>
      <c r="Y28" s="130"/>
    </row>
    <row r="29" spans="1:25" ht="11.25" customHeight="1" x14ac:dyDescent="0.2">
      <c r="A29" s="135"/>
      <c r="B29" s="143" t="str">
        <f t="shared" si="0"/>
        <v>22Y</v>
      </c>
      <c r="C29" s="142" t="str">
        <f t="shared" si="1"/>
        <v>AB</v>
      </c>
      <c r="D29" s="45" t="str">
        <f t="shared" si="2"/>
        <v>3E</v>
      </c>
      <c r="E29" s="43" t="str">
        <f t="shared" si="3"/>
        <v>EURAB3E22Y_Quote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69</v>
      </c>
      <c r="N29" s="140" t="str">
        <f t="shared" si="4"/>
        <v>EURAB3E22Y</v>
      </c>
      <c r="O29" s="140" t="str">
        <v>EURAB3E22Y=ICAP</v>
      </c>
      <c r="P29" s="78" t="s">
        <v>109</v>
      </c>
      <c r="Q29" s="78" t="s">
        <v>109</v>
      </c>
      <c r="R29" s="78" t="e">
        <f t="shared" si="5"/>
        <v>#NUM!</v>
      </c>
      <c r="S29" s="78" t="e">
        <f t="shared" si="6"/>
        <v>#NUM!</v>
      </c>
      <c r="T29" s="115"/>
      <c r="U29" s="139" t="e">
        <v>#NUM!</v>
      </c>
      <c r="V29" s="115"/>
      <c r="W29" s="78" t="e">
        <v>#NUM!</v>
      </c>
      <c r="X29" s="138" t="e">
        <f ca="1">_xll.qlSimpleQuoteSetValue(F29,W29/100,Trigger)</f>
        <v>#NAME?</v>
      </c>
      <c r="Y29" s="130"/>
    </row>
    <row r="30" spans="1:25" ht="11.25" customHeight="1" x14ac:dyDescent="0.2">
      <c r="A30" s="135"/>
      <c r="B30" s="143" t="str">
        <f t="shared" si="0"/>
        <v>23Y</v>
      </c>
      <c r="C30" s="142" t="str">
        <f t="shared" si="1"/>
        <v>AB</v>
      </c>
      <c r="D30" s="45" t="str">
        <f t="shared" si="2"/>
        <v>3E</v>
      </c>
      <c r="E30" s="43" t="str">
        <f t="shared" si="3"/>
        <v>EURAB3E23Y_Quote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69</v>
      </c>
      <c r="N30" s="140" t="str">
        <f t="shared" si="4"/>
        <v>EURAB3E23Y</v>
      </c>
      <c r="O30" s="140" t="str">
        <v>EURAB3E23Y=ICAP</v>
      </c>
      <c r="P30" s="78" t="s">
        <v>109</v>
      </c>
      <c r="Q30" s="78" t="s">
        <v>109</v>
      </c>
      <c r="R30" s="78" t="e">
        <f t="shared" si="5"/>
        <v>#NUM!</v>
      </c>
      <c r="S30" s="78" t="e">
        <f t="shared" si="6"/>
        <v>#NUM!</v>
      </c>
      <c r="T30" s="115"/>
      <c r="U30" s="139" t="e">
        <v>#NUM!</v>
      </c>
      <c r="V30" s="115"/>
      <c r="W30" s="78" t="e">
        <v>#NUM!</v>
      </c>
      <c r="X30" s="138" t="e">
        <f ca="1">_xll.qlSimpleQuoteSetValue(F30,W30/100,Trigger)</f>
        <v>#NAME?</v>
      </c>
      <c r="Y30" s="130"/>
    </row>
    <row r="31" spans="1:25" ht="11.25" customHeight="1" x14ac:dyDescent="0.2">
      <c r="A31" s="135"/>
      <c r="B31" s="143" t="str">
        <f t="shared" si="0"/>
        <v>24Y</v>
      </c>
      <c r="C31" s="142" t="str">
        <f t="shared" si="1"/>
        <v>AB</v>
      </c>
      <c r="D31" s="45" t="str">
        <f t="shared" si="2"/>
        <v>3E</v>
      </c>
      <c r="E31" s="43" t="str">
        <f t="shared" si="3"/>
        <v>EURAB3E24Y_Quote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69</v>
      </c>
      <c r="N31" s="140" t="str">
        <f t="shared" si="4"/>
        <v>EURAB3E24Y</v>
      </c>
      <c r="O31" s="140" t="str">
        <v>EURAB3E24Y=ICAP</v>
      </c>
      <c r="P31" s="78" t="s">
        <v>109</v>
      </c>
      <c r="Q31" s="78" t="s">
        <v>109</v>
      </c>
      <c r="R31" s="78" t="e">
        <f t="shared" si="5"/>
        <v>#NUM!</v>
      </c>
      <c r="S31" s="78" t="e">
        <f t="shared" si="6"/>
        <v>#NUM!</v>
      </c>
      <c r="T31" s="115"/>
      <c r="U31" s="139" t="e">
        <v>#NUM!</v>
      </c>
      <c r="V31" s="115"/>
      <c r="W31" s="78" t="e">
        <v>#NUM!</v>
      </c>
      <c r="X31" s="138" t="e">
        <f ca="1">_xll.qlSimpleQuoteSetValue(F31,W31/100,Trigger)</f>
        <v>#NAME?</v>
      </c>
      <c r="Y31" s="130"/>
    </row>
    <row r="32" spans="1:25" ht="11.25" customHeight="1" x14ac:dyDescent="0.2">
      <c r="A32" s="135"/>
      <c r="B32" s="143" t="str">
        <f t="shared" si="0"/>
        <v>25Y</v>
      </c>
      <c r="C32" s="142" t="str">
        <f t="shared" si="1"/>
        <v>AB</v>
      </c>
      <c r="D32" s="45" t="str">
        <f t="shared" si="2"/>
        <v>3E</v>
      </c>
      <c r="E32" s="43" t="str">
        <f t="shared" si="3"/>
        <v>EURAB3E25Y_Quote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69</v>
      </c>
      <c r="N32" s="140" t="str">
        <f t="shared" si="4"/>
        <v>EURAB3E25Y</v>
      </c>
      <c r="O32" s="140" t="str">
        <v>EURAB3E25Y=ICAP</v>
      </c>
      <c r="P32" s="78">
        <v>1.4430000000000001</v>
      </c>
      <c r="Q32" s="78">
        <v>1.4929999999999999</v>
      </c>
      <c r="R32" s="78">
        <f t="shared" si="5"/>
        <v>1.468</v>
      </c>
      <c r="S32" s="78">
        <f t="shared" si="6"/>
        <v>4.9999999999999822E-2</v>
      </c>
      <c r="T32" s="115"/>
      <c r="U32" s="139">
        <v>1.468</v>
      </c>
      <c r="V32" s="115"/>
      <c r="W32" s="78">
        <v>1.468</v>
      </c>
      <c r="X32" s="138" t="e">
        <f ca="1">_xll.qlSimpleQuoteSetValue(F32,W32/100,Trigger)</f>
        <v>#NAME?</v>
      </c>
      <c r="Y32" s="130"/>
    </row>
    <row r="33" spans="1:31" ht="11.25" customHeight="1" x14ac:dyDescent="0.2">
      <c r="A33" s="135"/>
      <c r="B33" s="143" t="str">
        <f t="shared" si="0"/>
        <v>26Y</v>
      </c>
      <c r="C33" s="142" t="str">
        <f t="shared" si="1"/>
        <v>AB</v>
      </c>
      <c r="D33" s="45" t="str">
        <f t="shared" si="2"/>
        <v>3E</v>
      </c>
      <c r="E33" s="43" t="str">
        <f t="shared" si="3"/>
        <v>EURAB3E26Y_Quote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69</v>
      </c>
      <c r="N33" s="140" t="str">
        <f t="shared" si="4"/>
        <v>EURAB3E26Y</v>
      </c>
      <c r="O33" s="140" t="str">
        <v>EURAB3E26Y=ICAP</v>
      </c>
      <c r="P33" s="78" t="s">
        <v>109</v>
      </c>
      <c r="Q33" s="78" t="s">
        <v>109</v>
      </c>
      <c r="R33" s="78" t="e">
        <f t="shared" si="5"/>
        <v>#NUM!</v>
      </c>
      <c r="S33" s="78" t="e">
        <f t="shared" si="6"/>
        <v>#NUM!</v>
      </c>
      <c r="T33" s="115"/>
      <c r="U33" s="139" t="e">
        <v>#NUM!</v>
      </c>
      <c r="V33" s="115"/>
      <c r="W33" s="78" t="e">
        <v>#NUM!</v>
      </c>
      <c r="X33" s="138" t="e">
        <f ca="1">_xll.qlSimpleQuoteSetValue(F33,W33/100,Trigger)</f>
        <v>#NAME?</v>
      </c>
      <c r="Y33" s="130"/>
    </row>
    <row r="34" spans="1:31" ht="11.25" customHeight="1" x14ac:dyDescent="0.2">
      <c r="A34" s="135"/>
      <c r="B34" s="143" t="str">
        <f t="shared" si="0"/>
        <v>27Y</v>
      </c>
      <c r="C34" s="142" t="str">
        <f t="shared" si="1"/>
        <v>AB</v>
      </c>
      <c r="D34" s="45" t="str">
        <f t="shared" si="2"/>
        <v>3E</v>
      </c>
      <c r="E34" s="43" t="str">
        <f t="shared" si="3"/>
        <v>EURAB3E27Y_Quote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69</v>
      </c>
      <c r="N34" s="140" t="str">
        <f t="shared" si="4"/>
        <v>EURAB3E27Y</v>
      </c>
      <c r="O34" s="140" t="str">
        <v>EURAB3E27Y=ICAP</v>
      </c>
      <c r="P34" s="78" t="s">
        <v>109</v>
      </c>
      <c r="Q34" s="78" t="s">
        <v>109</v>
      </c>
      <c r="R34" s="78" t="e">
        <f t="shared" si="5"/>
        <v>#NUM!</v>
      </c>
      <c r="S34" s="78" t="e">
        <f t="shared" si="6"/>
        <v>#NUM!</v>
      </c>
      <c r="T34" s="115"/>
      <c r="U34" s="139" t="e">
        <v>#NUM!</v>
      </c>
      <c r="V34" s="115"/>
      <c r="W34" s="78" t="e">
        <v>#NUM!</v>
      </c>
      <c r="X34" s="138" t="e">
        <f ca="1">_xll.qlSimpleQuoteSetValue(F34,W34/100,Trigger)</f>
        <v>#NAME?</v>
      </c>
      <c r="Y34" s="130"/>
    </row>
    <row r="35" spans="1:31" ht="11.25" customHeight="1" x14ac:dyDescent="0.2">
      <c r="A35" s="135"/>
      <c r="B35" s="143" t="str">
        <f t="shared" si="0"/>
        <v>28Y</v>
      </c>
      <c r="C35" s="142" t="str">
        <f t="shared" si="1"/>
        <v>AB</v>
      </c>
      <c r="D35" s="45" t="str">
        <f t="shared" si="2"/>
        <v>3E</v>
      </c>
      <c r="E35" s="43" t="str">
        <f t="shared" si="3"/>
        <v>EURAB3E28Y_Quote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69</v>
      </c>
      <c r="N35" s="140" t="str">
        <f t="shared" si="4"/>
        <v>EURAB3E28Y</v>
      </c>
      <c r="O35" s="140" t="str">
        <v>EURAB3E28Y=ICAP</v>
      </c>
      <c r="P35" s="78" t="s">
        <v>109</v>
      </c>
      <c r="Q35" s="78" t="s">
        <v>109</v>
      </c>
      <c r="R35" s="78" t="e">
        <f t="shared" si="5"/>
        <v>#NUM!</v>
      </c>
      <c r="S35" s="78" t="e">
        <f t="shared" si="6"/>
        <v>#NUM!</v>
      </c>
      <c r="T35" s="115"/>
      <c r="U35" s="139" t="e">
        <v>#NUM!</v>
      </c>
      <c r="V35" s="115"/>
      <c r="W35" s="78" t="e">
        <v>#NUM!</v>
      </c>
      <c r="X35" s="138" t="e">
        <f ca="1">_xll.qlSimpleQuoteSetValue(F35,W35/100,Trigger)</f>
        <v>#NAME?</v>
      </c>
      <c r="Y35" s="130"/>
      <c r="AE35" s="177"/>
    </row>
    <row r="36" spans="1:31" ht="11.25" customHeight="1" x14ac:dyDescent="0.2">
      <c r="A36" s="135"/>
      <c r="B36" s="143" t="str">
        <f t="shared" si="0"/>
        <v>29Y</v>
      </c>
      <c r="C36" s="142" t="str">
        <f t="shared" si="1"/>
        <v>AB</v>
      </c>
      <c r="D36" s="45" t="str">
        <f t="shared" si="2"/>
        <v>3E</v>
      </c>
      <c r="E36" s="43" t="str">
        <f t="shared" si="3"/>
        <v>EURAB3E29Y_Quote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69</v>
      </c>
      <c r="N36" s="140" t="str">
        <f t="shared" si="4"/>
        <v>EURAB3E29Y</v>
      </c>
      <c r="O36" s="140" t="str">
        <v>EURAB3E29Y=ICAP</v>
      </c>
      <c r="P36" s="78" t="s">
        <v>109</v>
      </c>
      <c r="Q36" s="78" t="s">
        <v>109</v>
      </c>
      <c r="R36" s="78" t="e">
        <f t="shared" si="5"/>
        <v>#NUM!</v>
      </c>
      <c r="S36" s="78" t="e">
        <f t="shared" si="6"/>
        <v>#NUM!</v>
      </c>
      <c r="T36" s="115"/>
      <c r="U36" s="139" t="e">
        <v>#NUM!</v>
      </c>
      <c r="V36" s="115"/>
      <c r="W36" s="78" t="e">
        <v>#NUM!</v>
      </c>
      <c r="X36" s="138" t="e">
        <f ca="1">_xll.qlSimpleQuoteSetValue(F36,W36/100,Trigger)</f>
        <v>#NAME?</v>
      </c>
      <c r="Y36" s="130"/>
      <c r="AE36" s="177"/>
    </row>
    <row r="37" spans="1:31" ht="11.25" customHeight="1" x14ac:dyDescent="0.2">
      <c r="A37" s="135"/>
      <c r="B37" s="143" t="str">
        <f t="shared" si="0"/>
        <v>30Y</v>
      </c>
      <c r="C37" s="142" t="str">
        <f t="shared" si="1"/>
        <v>AB</v>
      </c>
      <c r="D37" s="45" t="str">
        <f t="shared" si="2"/>
        <v>3E</v>
      </c>
      <c r="E37" s="43" t="str">
        <f t="shared" si="3"/>
        <v>EURAB3E30Y_Quote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69</v>
      </c>
      <c r="N37" s="140" t="str">
        <f t="shared" si="4"/>
        <v>EURAB3E30Y</v>
      </c>
      <c r="O37" s="140" t="str">
        <v>EURAB3E30Y=ICAP</v>
      </c>
      <c r="P37" s="78">
        <v>1.4530000000000001</v>
      </c>
      <c r="Q37" s="78">
        <v>1.5030000000000001</v>
      </c>
      <c r="R37" s="78">
        <f t="shared" si="5"/>
        <v>1.4780000000000002</v>
      </c>
      <c r="S37" s="78">
        <f t="shared" si="6"/>
        <v>5.0000000000000266E-2</v>
      </c>
      <c r="T37" s="115"/>
      <c r="U37" s="139">
        <v>1.4780000000000002</v>
      </c>
      <c r="V37" s="115"/>
      <c r="W37" s="78">
        <v>1.4780000000000002</v>
      </c>
      <c r="X37" s="138" t="e">
        <f ca="1">_xll.qlSimpleQuoteSetValue(F37,W37/100,Trigger)</f>
        <v>#NAME?</v>
      </c>
      <c r="Y37" s="130"/>
      <c r="AE37" s="177"/>
    </row>
    <row r="38" spans="1:31" ht="11.25" customHeight="1" x14ac:dyDescent="0.2">
      <c r="A38" s="135"/>
      <c r="B38" s="143" t="str">
        <f t="shared" si="0"/>
        <v>35Y</v>
      </c>
      <c r="C38" s="142" t="str">
        <f t="shared" si="1"/>
        <v>AB</v>
      </c>
      <c r="D38" s="45" t="str">
        <f t="shared" si="2"/>
        <v>3E</v>
      </c>
      <c r="E38" s="43" t="str">
        <f t="shared" si="3"/>
        <v>EURAB3E35Y_Quote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69</v>
      </c>
      <c r="N38" s="140" t="str">
        <f t="shared" si="4"/>
        <v>EURAB3E35Y</v>
      </c>
      <c r="O38" s="140" t="str">
        <v>EURAB3E35Y=ICAP</v>
      </c>
      <c r="P38" s="78" t="s">
        <v>109</v>
      </c>
      <c r="Q38" s="78" t="s">
        <v>109</v>
      </c>
      <c r="R38" s="78" t="e">
        <f t="shared" si="5"/>
        <v>#NUM!</v>
      </c>
      <c r="S38" s="78" t="e">
        <f t="shared" si="6"/>
        <v>#NUM!</v>
      </c>
      <c r="T38" s="115"/>
      <c r="U38" s="139" t="e">
        <v>#NUM!</v>
      </c>
      <c r="V38" s="115"/>
      <c r="W38" s="78" t="e">
        <v>#NUM!</v>
      </c>
      <c r="X38" s="138" t="e">
        <f ca="1">_xll.qlSimpleQuoteSetValue(F38,W38/100,Trigger)</f>
        <v>#NAME?</v>
      </c>
      <c r="Y38" s="130"/>
      <c r="AE38" s="177"/>
    </row>
    <row r="39" spans="1:31" ht="11.25" customHeight="1" x14ac:dyDescent="0.2">
      <c r="A39" s="135"/>
      <c r="B39" s="143" t="str">
        <f t="shared" si="0"/>
        <v>40Y</v>
      </c>
      <c r="C39" s="142" t="str">
        <f t="shared" si="1"/>
        <v>AB</v>
      </c>
      <c r="D39" s="45" t="str">
        <f t="shared" si="2"/>
        <v>3E</v>
      </c>
      <c r="E39" s="43" t="str">
        <f t="shared" si="3"/>
        <v>EURAB3E40Y_Quote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69</v>
      </c>
      <c r="N39" s="140" t="str">
        <f t="shared" si="4"/>
        <v>EURAB3E40Y</v>
      </c>
      <c r="O39" s="140" t="str">
        <v>EURAB3E40Y=ICAP</v>
      </c>
      <c r="P39" s="78">
        <v>1.4650000000000001</v>
      </c>
      <c r="Q39" s="78">
        <v>1.5150000000000001</v>
      </c>
      <c r="R39" s="78">
        <f t="shared" si="5"/>
        <v>1.4900000000000002</v>
      </c>
      <c r="S39" s="78">
        <f t="shared" si="6"/>
        <v>5.0000000000000266E-2</v>
      </c>
      <c r="T39" s="115"/>
      <c r="U39" s="139">
        <v>1.4900000000000002</v>
      </c>
      <c r="V39" s="115"/>
      <c r="W39" s="78">
        <v>1.4900000000000002</v>
      </c>
      <c r="X39" s="138" t="e">
        <f ca="1">_xll.qlSimpleQuoteSetValue(F39,W39/100,Trigger)</f>
        <v>#NAME?</v>
      </c>
      <c r="Y39" s="130"/>
      <c r="AE39" s="177"/>
    </row>
    <row r="40" spans="1:31" ht="11.25" customHeight="1" x14ac:dyDescent="0.2">
      <c r="A40" s="135"/>
      <c r="B40" s="143" t="str">
        <f t="shared" si="0"/>
        <v>50Y</v>
      </c>
      <c r="C40" s="142" t="str">
        <f t="shared" si="1"/>
        <v>AB</v>
      </c>
      <c r="D40" s="45" t="str">
        <f t="shared" si="2"/>
        <v>3E</v>
      </c>
      <c r="E40" s="43" t="str">
        <f t="shared" si="3"/>
        <v>EURAB3E50Y_Quote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69</v>
      </c>
      <c r="N40" s="140" t="str">
        <f t="shared" si="4"/>
        <v>EURAB3E50Y</v>
      </c>
      <c r="O40" s="140" t="str">
        <v>EURAB3E50Y=ICAP</v>
      </c>
      <c r="P40" s="78">
        <v>1.4239999999999999</v>
      </c>
      <c r="Q40" s="78">
        <v>1.474</v>
      </c>
      <c r="R40" s="78">
        <f t="shared" si="5"/>
        <v>1.4489999999999998</v>
      </c>
      <c r="S40" s="78">
        <f t="shared" si="6"/>
        <v>4.9999999999999822E-2</v>
      </c>
      <c r="T40" s="115"/>
      <c r="U40" s="139">
        <v>1.4489999999999998</v>
      </c>
      <c r="V40" s="115"/>
      <c r="W40" s="78">
        <v>1.4489999999999998</v>
      </c>
      <c r="X40" s="138" t="e">
        <f ca="1">_xll.qlSimpleQuoteSetValue(F40,W40/100,Trigger)</f>
        <v>#NAME?</v>
      </c>
      <c r="Y40" s="130"/>
      <c r="AE40" s="177"/>
    </row>
    <row r="41" spans="1:31" ht="11.25" customHeight="1" x14ac:dyDescent="0.2">
      <c r="A41" s="135"/>
      <c r="B41" s="137" t="str">
        <f t="shared" si="0"/>
        <v>60Y</v>
      </c>
      <c r="C41" s="136" t="str">
        <f t="shared" si="1"/>
        <v>AB</v>
      </c>
      <c r="D41" s="40" t="str">
        <f t="shared" si="2"/>
        <v>3E</v>
      </c>
      <c r="E41" s="38" t="str">
        <f t="shared" si="3"/>
        <v>EURAB3E60Y_Quote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69</v>
      </c>
      <c r="N41" s="140" t="str">
        <f t="shared" si="4"/>
        <v>EURAB3E60Y</v>
      </c>
      <c r="O41" s="140" t="str">
        <v>EURAB3E60Y=ICAP</v>
      </c>
      <c r="P41" s="78">
        <v>1.4119999999999999</v>
      </c>
      <c r="Q41" s="78">
        <v>1.462</v>
      </c>
      <c r="R41" s="78">
        <f t="shared" si="5"/>
        <v>1.4369999999999998</v>
      </c>
      <c r="S41" s="65">
        <f t="shared" si="6"/>
        <v>4.9999999999999822E-2</v>
      </c>
      <c r="T41" s="115"/>
      <c r="U41" s="132">
        <v>1.4369999999999998</v>
      </c>
      <c r="V41" s="115"/>
      <c r="W41" s="65">
        <v>1.4369999999999998</v>
      </c>
      <c r="X41" s="131" t="e">
        <f ca="1">_xll.qlSimpleQuoteSetValue(F41,W41/100,Trigger)</f>
        <v>#NAME?</v>
      </c>
      <c r="Y41" s="130"/>
      <c r="AE41" s="177"/>
    </row>
    <row r="42" spans="1:31" ht="11.25" customHeight="1" x14ac:dyDescent="0.2">
      <c r="A42" s="35"/>
      <c r="B42" s="34"/>
      <c r="C42" s="34"/>
      <c r="D42" s="34"/>
      <c r="E42" s="34"/>
      <c r="F42" s="33"/>
      <c r="G42" s="33"/>
      <c r="H42" s="32"/>
      <c r="J42" s="174"/>
      <c r="K42" s="176"/>
      <c r="L42" s="172"/>
      <c r="M42" s="172"/>
      <c r="N42" s="172"/>
      <c r="O42" s="172"/>
      <c r="P42" s="172"/>
      <c r="Q42" s="172"/>
      <c r="R42" s="172"/>
      <c r="S42" s="34"/>
      <c r="T42" s="173"/>
      <c r="U42" s="173"/>
      <c r="V42" s="173"/>
      <c r="W42" s="173"/>
      <c r="X42" s="173"/>
      <c r="Y42" s="129"/>
    </row>
  </sheetData>
  <conditionalFormatting sqref="X5:X10">
    <cfRule type="cellIs" dxfId="19" priority="7" stopIfTrue="1" operator="greaterThan">
      <formula>0</formula>
    </cfRule>
    <cfRule type="cellIs" dxfId="18" priority="8" stopIfTrue="1" operator="lessThan">
      <formula>0</formula>
    </cfRule>
  </conditionalFormatting>
  <conditionalFormatting sqref="X11:X12">
    <cfRule type="cellIs" dxfId="17" priority="5" stopIfTrue="1" operator="greaterThan">
      <formula>0</formula>
    </cfRule>
    <cfRule type="cellIs" dxfId="16" priority="6" stopIfTrue="1" operator="lessThan">
      <formula>0</formula>
    </cfRule>
  </conditionalFormatting>
  <conditionalFormatting sqref="X13:X17 X19:X23 X25:X29 X31:X35 X37:X41">
    <cfRule type="cellIs" dxfId="15" priority="3" stopIfTrue="1" operator="greaterThan">
      <formula>0</formula>
    </cfRule>
    <cfRule type="cellIs" dxfId="14" priority="4" stopIfTrue="1" operator="lessThan">
      <formula>0</formula>
    </cfRule>
  </conditionalFormatting>
  <conditionalFormatting sqref="X18 X24 X30 X36">
    <cfRule type="cellIs" dxfId="13" priority="1" stopIfTrue="1" operator="greaterThan">
      <formula>0</formula>
    </cfRule>
    <cfRule type="cellIs" dxfId="1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AD42"/>
  <sheetViews>
    <sheetView showGridLines="0" topLeftCell="C2" workbookViewId="0">
      <selection activeCell="AB2" sqref="AB2:AB3"/>
    </sheetView>
  </sheetViews>
  <sheetFormatPr defaultRowHeight="11.25" outlineLevelCol="1" x14ac:dyDescent="0.2"/>
  <cols>
    <col min="1" max="1" width="2.7109375" style="30" customWidth="1" outlineLevel="1"/>
    <col min="2" max="2" width="6" style="30" customWidth="1" outlineLevel="1"/>
    <col min="3" max="4" width="4" style="30" customWidth="1" outlineLevel="1"/>
    <col min="5" max="5" width="19.28515625" style="30" customWidth="1" outlineLevel="1"/>
    <col min="6" max="6" width="25.7109375" style="31" customWidth="1" outlineLevel="1"/>
    <col min="7" max="7" width="25.7109375" style="30" customWidth="1" outlineLevel="1"/>
    <col min="8" max="8" width="2.7109375" style="30" customWidth="1" outlineLevel="1"/>
    <col min="9" max="10" width="2.7109375" style="30" customWidth="1"/>
    <col min="11" max="13" width="4.28515625" style="30" customWidth="1"/>
    <col min="14" max="14" width="14.7109375" style="30" customWidth="1"/>
    <col min="15" max="15" width="18.7109375" style="30" customWidth="1"/>
    <col min="16" max="19" width="10.7109375" style="30" customWidth="1"/>
    <col min="20" max="20" width="2.7109375" style="30" customWidth="1"/>
    <col min="21" max="21" width="10.7109375" style="30" customWidth="1"/>
    <col min="22" max="22" width="2.7109375" style="30" customWidth="1"/>
    <col min="23" max="24" width="10.7109375" style="30" customWidth="1"/>
    <col min="25" max="26" width="2.7109375" style="30" customWidth="1"/>
    <col min="27" max="16384" width="9.140625" style="30"/>
  </cols>
  <sheetData>
    <row r="1" spans="1:30" ht="12" thickBot="1" x14ac:dyDescent="0.25">
      <c r="A1" s="128"/>
      <c r="B1" s="125"/>
      <c r="C1" s="54"/>
      <c r="D1" s="54"/>
      <c r="E1" s="54"/>
      <c r="F1" s="55"/>
      <c r="G1" s="54"/>
      <c r="H1" s="53"/>
      <c r="J1" s="153" t="s">
        <v>108</v>
      </c>
      <c r="K1" s="123"/>
      <c r="L1" s="123"/>
      <c r="M1" s="123"/>
      <c r="N1" s="123"/>
      <c r="O1" s="123"/>
      <c r="P1" s="123"/>
      <c r="Q1" s="123"/>
      <c r="R1" s="123"/>
      <c r="S1" s="123"/>
      <c r="T1" s="123"/>
      <c r="U1" s="123"/>
      <c r="V1" s="123"/>
      <c r="W1" s="123"/>
      <c r="X1" s="123"/>
      <c r="Y1" s="171"/>
    </row>
    <row r="2" spans="1:30" ht="15" x14ac:dyDescent="0.25">
      <c r="A2" s="121"/>
      <c r="B2" s="109"/>
      <c r="C2" s="109"/>
      <c r="D2" s="109"/>
      <c r="E2" s="109"/>
      <c r="F2" s="151"/>
      <c r="G2" s="109"/>
      <c r="H2" s="120"/>
      <c r="J2" s="113"/>
      <c r="K2" s="110"/>
      <c r="L2" s="170"/>
      <c r="M2" s="170"/>
      <c r="N2" s="170"/>
      <c r="O2" s="119" t="str">
        <f>VLOOKUP(J1,AreaTable,2,FALSE)</f>
        <v>ICAP</v>
      </c>
      <c r="P2" s="111"/>
      <c r="Q2" s="111"/>
      <c r="R2" s="110"/>
      <c r="S2" s="110"/>
      <c r="T2" s="111"/>
      <c r="U2" s="111"/>
      <c r="V2" s="111"/>
      <c r="W2" s="111"/>
      <c r="X2" s="118" t="e">
        <f ca="1">_xll.ohTrigger(X5:X41)</f>
        <v>#NAME?</v>
      </c>
      <c r="Y2" s="36"/>
      <c r="AA2" s="1361" t="s">
        <v>529</v>
      </c>
      <c r="AB2" s="1364" t="e">
        <f ca="1">_xll.ohTrigger('General Settings'!Trigger)</f>
        <v>#NAME?</v>
      </c>
    </row>
    <row r="3" spans="1:30" ht="15.75" thickBot="1" x14ac:dyDescent="0.3">
      <c r="A3" s="117"/>
      <c r="B3" s="109"/>
      <c r="C3" s="109"/>
      <c r="D3" s="109"/>
      <c r="E3" s="109"/>
      <c r="F3" s="151"/>
      <c r="G3" s="109"/>
      <c r="H3" s="120"/>
      <c r="J3" s="135"/>
      <c r="K3" s="111"/>
      <c r="L3" s="110"/>
      <c r="M3" s="110"/>
      <c r="N3" s="110"/>
      <c r="O3" s="110"/>
      <c r="P3" s="110"/>
      <c r="Q3" s="110"/>
      <c r="R3" s="110"/>
      <c r="S3" s="110"/>
      <c r="T3" s="111"/>
      <c r="U3" s="111"/>
      <c r="V3" s="111"/>
      <c r="W3" s="110"/>
      <c r="X3" s="168"/>
      <c r="Y3" s="130"/>
      <c r="AA3" s="1362" t="s">
        <v>530</v>
      </c>
      <c r="AB3" s="1365" t="e">
        <f ca="1">_xll.ohTrigger(X5:X41)</f>
        <v>#NAME?</v>
      </c>
    </row>
    <row r="4" spans="1:30" ht="21" customHeight="1" x14ac:dyDescent="0.2">
      <c r="A4" s="135"/>
      <c r="B4" s="150" t="s">
        <v>107</v>
      </c>
      <c r="C4" s="150"/>
      <c r="D4" s="150"/>
      <c r="E4" s="51" t="s">
        <v>91</v>
      </c>
      <c r="F4" s="51" t="s">
        <v>90</v>
      </c>
      <c r="G4" s="50" t="s">
        <v>59</v>
      </c>
      <c r="H4" s="36"/>
      <c r="J4" s="135"/>
      <c r="K4" s="146"/>
      <c r="L4" s="149"/>
      <c r="M4" s="146"/>
      <c r="N4" s="146" t="s">
        <v>101</v>
      </c>
      <c r="O4" s="148" t="e">
        <f ca="1">_xll.RData(O5:O41,P4:Q4,,ReutersRtMode,,P5)</f>
        <v>#NAME?</v>
      </c>
      <c r="P4" s="147" t="s">
        <v>84</v>
      </c>
      <c r="Q4" s="147" t="s">
        <v>83</v>
      </c>
      <c r="R4" s="103" t="s">
        <v>106</v>
      </c>
      <c r="S4" s="103" t="s">
        <v>79</v>
      </c>
      <c r="T4" s="111"/>
      <c r="U4" s="147" t="s">
        <v>78</v>
      </c>
      <c r="V4" s="111"/>
      <c r="W4" s="146" t="s">
        <v>77</v>
      </c>
      <c r="X4" s="146" t="s">
        <v>76</v>
      </c>
      <c r="Y4" s="130"/>
    </row>
    <row r="5" spans="1:30" x14ac:dyDescent="0.2">
      <c r="A5" s="135"/>
      <c r="B5" s="143" t="str">
        <f t="shared" ref="B5:B41" si="0">K5</f>
        <v>1Y</v>
      </c>
      <c r="C5" s="142" t="str">
        <f t="shared" ref="C5:C41" si="1">L5</f>
        <v>AB</v>
      </c>
      <c r="D5" s="45" t="str">
        <f t="shared" ref="D5:D41" si="2">M5</f>
        <v>6E</v>
      </c>
      <c r="E5" s="43" t="str">
        <f t="shared" ref="E5:E41" si="3">Currency&amp;$C5&amp;$D5&amp;$B5&amp;QuoteSuffix</f>
        <v>EURAB6E1Y_Quote</v>
      </c>
      <c r="F5" s="43" t="e">
        <f ca="1">_xll.qlSimpleQuote(Currency&amp;$C5&amp;$D5&amp;$B5&amp;QuoteSuffix,,RateTickValue,Permanent,Trigger,ObjectOverwrite)</f>
        <v>#NAME?</v>
      </c>
      <c r="G5" s="42" t="e">
        <f ca="1">_xll.ohRangeRetrieveError(F5)</f>
        <v>#NAME?</v>
      </c>
      <c r="H5" s="36"/>
      <c r="J5" s="135"/>
      <c r="K5" s="141" t="s">
        <v>58</v>
      </c>
      <c r="L5" s="141" t="s">
        <v>21</v>
      </c>
      <c r="M5" s="141" t="s">
        <v>66</v>
      </c>
      <c r="N5" s="140" t="str">
        <f t="shared" ref="N5:N41" si="4">Currency&amp;$L5&amp;$M5&amp;$K5</f>
        <v>EURAB6E1Y</v>
      </c>
      <c r="O5" s="140" t="str">
        <f t="array" ref="O5:O41">Instruments&amp;"="&amp;VLOOKUP(Contributor,ContributorTable,2,FALSE)</f>
        <v>EURAB6E1Y=ICAP</v>
      </c>
      <c r="P5" s="78">
        <v>5.0000000000000001E-3</v>
      </c>
      <c r="Q5" s="78">
        <v>4.4999999999999998E-2</v>
      </c>
      <c r="R5" s="78">
        <f t="shared" ref="R5:R41" si="5">IF(ISERROR(AVERAGE(P5,Q5)),#NUM!,AVERAGE(P5,Q5))</f>
        <v>2.4999999999999998E-2</v>
      </c>
      <c r="S5" s="78">
        <f t="shared" ref="S5:S41" si="6">(R5-P5)*2</f>
        <v>3.9999999999999994E-2</v>
      </c>
      <c r="T5" s="115"/>
      <c r="U5" s="139">
        <v>2.4999999999999998E-2</v>
      </c>
      <c r="V5" s="115"/>
      <c r="W5" s="78">
        <f t="array" ref="W5:W41">QuoteStatic</f>
        <v>2.4999999999999998E-2</v>
      </c>
      <c r="X5" s="138" t="e">
        <f ca="1">_xll.qlSimpleQuoteSetValue(F5,W5/100,Trigger)</f>
        <v>#NAME?</v>
      </c>
      <c r="Y5" s="130"/>
    </row>
    <row r="6" spans="1:30" x14ac:dyDescent="0.2">
      <c r="A6" s="135"/>
      <c r="B6" s="143" t="str">
        <f t="shared" si="0"/>
        <v>15M</v>
      </c>
      <c r="C6" s="142" t="str">
        <f t="shared" si="1"/>
        <v>AB</v>
      </c>
      <c r="D6" s="45" t="str">
        <f t="shared" si="2"/>
        <v>6E</v>
      </c>
      <c r="E6" s="43" t="str">
        <f t="shared" si="3"/>
        <v>EURAB6E15M_Quote</v>
      </c>
      <c r="F6" s="43" t="e">
        <f ca="1">_xll.qlSimpleQuote(Currency&amp;$C6&amp;$D6&amp;$B6&amp;QuoteSuffix,,RateTickValue,Permanent,Trigger,ObjectOverwrite)</f>
        <v>#NAME?</v>
      </c>
      <c r="G6" s="42" t="e">
        <f ca="1">_xll.ohRangeRetrieveError(F6)</f>
        <v>#NAME?</v>
      </c>
      <c r="H6" s="36"/>
      <c r="J6" s="135"/>
      <c r="K6" s="141" t="s">
        <v>57</v>
      </c>
      <c r="L6" s="141" t="s">
        <v>21</v>
      </c>
      <c r="M6" s="141" t="s">
        <v>66</v>
      </c>
      <c r="N6" s="140" t="str">
        <f t="shared" si="4"/>
        <v>EURAB6E15M</v>
      </c>
      <c r="O6" s="140" t="str">
        <v>EURAB6E15M=ICAP</v>
      </c>
      <c r="P6" s="78">
        <v>-1.3999999999999999E-2</v>
      </c>
      <c r="Q6" s="78">
        <v>3.5999999999999997E-2</v>
      </c>
      <c r="R6" s="78">
        <f t="shared" si="5"/>
        <v>1.0999999999999999E-2</v>
      </c>
      <c r="S6" s="78">
        <f t="shared" si="6"/>
        <v>4.9999999999999996E-2</v>
      </c>
      <c r="T6" s="115"/>
      <c r="U6" s="139">
        <v>1.0999999999999999E-2</v>
      </c>
      <c r="V6" s="115"/>
      <c r="W6" s="78">
        <v>1.0999999999999999E-2</v>
      </c>
      <c r="X6" s="138" t="e">
        <f ca="1">_xll.qlSimpleQuoteSetValue(F6,W6/100,Trigger)</f>
        <v>#NAME?</v>
      </c>
      <c r="Y6" s="130"/>
      <c r="AD6" s="175"/>
    </row>
    <row r="7" spans="1:30" x14ac:dyDescent="0.2">
      <c r="A7" s="135"/>
      <c r="B7" s="143" t="str">
        <f t="shared" si="0"/>
        <v>18M</v>
      </c>
      <c r="C7" s="142" t="str">
        <f t="shared" si="1"/>
        <v>AB</v>
      </c>
      <c r="D7" s="45" t="str">
        <f t="shared" si="2"/>
        <v>6E</v>
      </c>
      <c r="E7" s="43" t="str">
        <f t="shared" si="3"/>
        <v>EURAB6E18M_Quote</v>
      </c>
      <c r="F7" s="43" t="e">
        <f ca="1">_xll.qlSimpleQuote(Currency&amp;$C7&amp;$D7&amp;$B7&amp;QuoteSuffix,,RateTickValue,Permanent,Trigger,ObjectOverwrite)</f>
        <v>#NAME?</v>
      </c>
      <c r="G7" s="42" t="e">
        <f ca="1">_xll.ohRangeRetrieveError(F7)</f>
        <v>#NAME?</v>
      </c>
      <c r="H7" s="36"/>
      <c r="J7" s="135"/>
      <c r="K7" s="141" t="s">
        <v>56</v>
      </c>
      <c r="L7" s="141" t="s">
        <v>21</v>
      </c>
      <c r="M7" s="141" t="s">
        <v>66</v>
      </c>
      <c r="N7" s="140" t="str">
        <f t="shared" si="4"/>
        <v>EURAB6E18M</v>
      </c>
      <c r="O7" s="140" t="str">
        <v>EURAB6E18M=ICAP</v>
      </c>
      <c r="P7" s="78">
        <v>6.0000000000000001E-3</v>
      </c>
      <c r="Q7" s="78">
        <v>5.5999999999999994E-2</v>
      </c>
      <c r="R7" s="78">
        <f t="shared" si="5"/>
        <v>3.0999999999999996E-2</v>
      </c>
      <c r="S7" s="78">
        <f t="shared" si="6"/>
        <v>4.9999999999999989E-2</v>
      </c>
      <c r="T7" s="115"/>
      <c r="U7" s="139">
        <v>3.0999999999999996E-2</v>
      </c>
      <c r="V7" s="115"/>
      <c r="W7" s="78">
        <v>3.0999999999999996E-2</v>
      </c>
      <c r="X7" s="138" t="e">
        <f ca="1">_xll.qlSimpleQuoteSetValue(F7,W7/100,Trigger)</f>
        <v>#NAME?</v>
      </c>
      <c r="Y7" s="130"/>
      <c r="AD7" s="175"/>
    </row>
    <row r="8" spans="1:30" x14ac:dyDescent="0.2">
      <c r="A8" s="135"/>
      <c r="B8" s="143" t="str">
        <f t="shared" si="0"/>
        <v>21M</v>
      </c>
      <c r="C8" s="142" t="str">
        <f t="shared" si="1"/>
        <v>AB</v>
      </c>
      <c r="D8" s="45" t="str">
        <f t="shared" si="2"/>
        <v>6E</v>
      </c>
      <c r="E8" s="43" t="str">
        <f t="shared" si="3"/>
        <v>EURAB6E21M_Quote</v>
      </c>
      <c r="F8" s="43" t="e">
        <f ca="1">_xll.qlSimpleQuote(Currency&amp;$C8&amp;$D8&amp;$B8&amp;QuoteSuffix,,RateTickValue,Permanent,Trigger,ObjectOverwrite)</f>
        <v>#NAME?</v>
      </c>
      <c r="G8" s="42" t="e">
        <f ca="1">_xll.ohRangeRetrieveError(F8)</f>
        <v>#NAME?</v>
      </c>
      <c r="H8" s="36"/>
      <c r="J8" s="135"/>
      <c r="K8" s="141" t="s">
        <v>55</v>
      </c>
      <c r="L8" s="141" t="s">
        <v>21</v>
      </c>
      <c r="M8" s="141" t="s">
        <v>66</v>
      </c>
      <c r="N8" s="140" t="str">
        <f t="shared" si="4"/>
        <v>EURAB6E21M</v>
      </c>
      <c r="O8" s="140" t="str">
        <v>EURAB6E21M=ICAP</v>
      </c>
      <c r="P8" s="78">
        <v>1E-3</v>
      </c>
      <c r="Q8" s="78">
        <v>5.1000000000000004E-2</v>
      </c>
      <c r="R8" s="78">
        <f t="shared" si="5"/>
        <v>2.6000000000000002E-2</v>
      </c>
      <c r="S8" s="78">
        <f t="shared" si="6"/>
        <v>0.05</v>
      </c>
      <c r="T8" s="115"/>
      <c r="U8" s="139">
        <v>2.6000000000000002E-2</v>
      </c>
      <c r="V8" s="115"/>
      <c r="W8" s="78">
        <v>2.6000000000000002E-2</v>
      </c>
      <c r="X8" s="138" t="e">
        <f ca="1">_xll.qlSimpleQuoteSetValue(F8,W8/100,Trigger)</f>
        <v>#NAME?</v>
      </c>
      <c r="Y8" s="130"/>
    </row>
    <row r="9" spans="1:30" x14ac:dyDescent="0.2">
      <c r="A9" s="135"/>
      <c r="B9" s="143" t="str">
        <f t="shared" si="0"/>
        <v>2Y</v>
      </c>
      <c r="C9" s="142" t="str">
        <f t="shared" si="1"/>
        <v>AB</v>
      </c>
      <c r="D9" s="45" t="str">
        <f t="shared" si="2"/>
        <v>6E</v>
      </c>
      <c r="E9" s="43" t="str">
        <f t="shared" si="3"/>
        <v>EURAB6E2Y_Quote</v>
      </c>
      <c r="F9" s="43" t="e">
        <f ca="1">_xll.qlSimpleQuote(Currency&amp;$C9&amp;$D9&amp;$B9&amp;QuoteSuffix,,RateTickValue,Permanent,Trigger,ObjectOverwrite)</f>
        <v>#NAME?</v>
      </c>
      <c r="G9" s="42" t="e">
        <f ca="1">_xll.ohRangeRetrieveError(F9)</f>
        <v>#NAME?</v>
      </c>
      <c r="H9" s="36"/>
      <c r="J9" s="135"/>
      <c r="K9" s="141" t="s">
        <v>54</v>
      </c>
      <c r="L9" s="141" t="s">
        <v>21</v>
      </c>
      <c r="M9" s="141" t="s">
        <v>66</v>
      </c>
      <c r="N9" s="140" t="str">
        <f t="shared" si="4"/>
        <v>EURAB6E2Y</v>
      </c>
      <c r="O9" s="140" t="str">
        <v>EURAB6E2Y=ICAP</v>
      </c>
      <c r="P9" s="78">
        <v>0.03</v>
      </c>
      <c r="Q9" s="78">
        <v>6.9999999999999993E-2</v>
      </c>
      <c r="R9" s="78">
        <f t="shared" si="5"/>
        <v>4.9999999999999996E-2</v>
      </c>
      <c r="S9" s="78">
        <f t="shared" si="6"/>
        <v>3.9999999999999994E-2</v>
      </c>
      <c r="T9" s="115"/>
      <c r="U9" s="139">
        <v>4.9999999999999996E-2</v>
      </c>
      <c r="V9" s="115"/>
      <c r="W9" s="78">
        <v>4.9999999999999996E-2</v>
      </c>
      <c r="X9" s="138" t="e">
        <f ca="1">_xll.qlSimpleQuoteSetValue(F9,W9/100,Trigger)</f>
        <v>#NAME?</v>
      </c>
      <c r="Y9" s="130"/>
    </row>
    <row r="10" spans="1:30" x14ac:dyDescent="0.2">
      <c r="A10" s="135"/>
      <c r="B10" s="143" t="str">
        <f t="shared" si="0"/>
        <v>3Y</v>
      </c>
      <c r="C10" s="142" t="str">
        <f t="shared" si="1"/>
        <v>AB</v>
      </c>
      <c r="D10" s="45" t="str">
        <f t="shared" si="2"/>
        <v>6E</v>
      </c>
      <c r="E10" s="43" t="str">
        <f t="shared" si="3"/>
        <v>EURAB6E3Y_Quote</v>
      </c>
      <c r="F10" s="43" t="e">
        <f ca="1">_xll.qlSimpleQuote(Currency&amp;$C10&amp;$D10&amp;$B10&amp;QuoteSuffix,,RateTickValue,Permanent,Trigger,ObjectOverwrite)</f>
        <v>#NAME?</v>
      </c>
      <c r="G10" s="42" t="e">
        <f ca="1">_xll.ohRangeRetrieveError(F10)</f>
        <v>#NAME?</v>
      </c>
      <c r="H10" s="36"/>
      <c r="J10" s="135"/>
      <c r="K10" s="141" t="s">
        <v>53</v>
      </c>
      <c r="L10" s="141" t="s">
        <v>21</v>
      </c>
      <c r="M10" s="141" t="s">
        <v>66</v>
      </c>
      <c r="N10" s="140" t="str">
        <f t="shared" si="4"/>
        <v>EURAB6E3Y</v>
      </c>
      <c r="O10" s="140" t="str">
        <v>EURAB6E3Y=ICAP</v>
      </c>
      <c r="P10" s="78">
        <v>0.10200000000000001</v>
      </c>
      <c r="Q10" s="78">
        <v>0.14199999999999999</v>
      </c>
      <c r="R10" s="78">
        <f t="shared" si="5"/>
        <v>0.122</v>
      </c>
      <c r="S10" s="78">
        <f t="shared" si="6"/>
        <v>3.999999999999998E-2</v>
      </c>
      <c r="T10" s="115"/>
      <c r="U10" s="139">
        <v>0.122</v>
      </c>
      <c r="V10" s="115"/>
      <c r="W10" s="78">
        <v>0.122</v>
      </c>
      <c r="X10" s="138" t="e">
        <f ca="1">_xll.qlSimpleQuoteSetValue(F10,W10/100,Trigger)</f>
        <v>#NAME?</v>
      </c>
      <c r="Y10" s="130"/>
    </row>
    <row r="11" spans="1:30" x14ac:dyDescent="0.2">
      <c r="A11" s="135"/>
      <c r="B11" s="143" t="str">
        <f t="shared" si="0"/>
        <v>4Y</v>
      </c>
      <c r="C11" s="142" t="str">
        <f t="shared" si="1"/>
        <v>AB</v>
      </c>
      <c r="D11" s="45" t="str">
        <f t="shared" si="2"/>
        <v>6E</v>
      </c>
      <c r="E11" s="43" t="str">
        <f t="shared" si="3"/>
        <v>EURAB6E4Y_Quote</v>
      </c>
      <c r="F11" s="43" t="e">
        <f ca="1">_xll.qlSimpleQuote(Currency&amp;$C11&amp;$D11&amp;$B11&amp;QuoteSuffix,,RateTickValue,Permanent,Trigger,ObjectOverwrite)</f>
        <v>#NAME?</v>
      </c>
      <c r="G11" s="42" t="e">
        <f ca="1">_xll.ohRangeRetrieveError(F11)</f>
        <v>#NAME?</v>
      </c>
      <c r="H11" s="36"/>
      <c r="J11" s="135"/>
      <c r="K11" s="141" t="s">
        <v>52</v>
      </c>
      <c r="L11" s="141" t="s">
        <v>21</v>
      </c>
      <c r="M11" s="141" t="s">
        <v>66</v>
      </c>
      <c r="N11" s="140" t="str">
        <f t="shared" si="4"/>
        <v>EURAB6E4Y</v>
      </c>
      <c r="O11" s="140" t="str">
        <v>EURAB6E4Y=ICAP</v>
      </c>
      <c r="P11" s="78">
        <v>0.20899999999999999</v>
      </c>
      <c r="Q11" s="78">
        <v>0.24900000000000003</v>
      </c>
      <c r="R11" s="78">
        <f t="shared" si="5"/>
        <v>0.22900000000000001</v>
      </c>
      <c r="S11" s="78">
        <f t="shared" si="6"/>
        <v>4.0000000000000036E-2</v>
      </c>
      <c r="T11" s="115"/>
      <c r="U11" s="139">
        <v>0.22900000000000001</v>
      </c>
      <c r="V11" s="115"/>
      <c r="W11" s="78">
        <v>0.22900000000000001</v>
      </c>
      <c r="X11" s="138" t="e">
        <f ca="1">_xll.qlSimpleQuoteSetValue(F11,W11/100,Trigger)</f>
        <v>#NAME?</v>
      </c>
      <c r="Y11" s="130"/>
    </row>
    <row r="12" spans="1:30" x14ac:dyDescent="0.2">
      <c r="A12" s="135"/>
      <c r="B12" s="143" t="str">
        <f t="shared" si="0"/>
        <v>5Y</v>
      </c>
      <c r="C12" s="142" t="str">
        <f t="shared" si="1"/>
        <v>AB</v>
      </c>
      <c r="D12" s="45" t="str">
        <f t="shared" si="2"/>
        <v>6E</v>
      </c>
      <c r="E12" s="43" t="str">
        <f t="shared" si="3"/>
        <v>EURAB6E5Y_Quote</v>
      </c>
      <c r="F12" s="43" t="e">
        <f ca="1">_xll.qlSimpleQuote(Currency&amp;$C12&amp;$D12&amp;$B12&amp;QuoteSuffix,,RateTickValue,Permanent,Trigger,ObjectOverwrite)</f>
        <v>#NAME?</v>
      </c>
      <c r="G12" s="42" t="e">
        <f ca="1">_xll.ohRangeRetrieveError(F12)</f>
        <v>#NAME?</v>
      </c>
      <c r="H12" s="36"/>
      <c r="J12" s="135"/>
      <c r="K12" s="141" t="s">
        <v>51</v>
      </c>
      <c r="L12" s="141" t="s">
        <v>21</v>
      </c>
      <c r="M12" s="141" t="s">
        <v>66</v>
      </c>
      <c r="N12" s="140" t="str">
        <f t="shared" si="4"/>
        <v>EURAB6E5Y</v>
      </c>
      <c r="O12" s="140" t="str">
        <v>EURAB6E5Y=ICAP</v>
      </c>
      <c r="P12" s="78">
        <v>0.33300000000000002</v>
      </c>
      <c r="Q12" s="78">
        <v>0.373</v>
      </c>
      <c r="R12" s="78">
        <f t="shared" si="5"/>
        <v>0.35299999999999998</v>
      </c>
      <c r="S12" s="78">
        <f t="shared" si="6"/>
        <v>3.9999999999999925E-2</v>
      </c>
      <c r="T12" s="115"/>
      <c r="U12" s="139">
        <v>0.35299999999999998</v>
      </c>
      <c r="V12" s="115"/>
      <c r="W12" s="78">
        <v>0.35299999999999998</v>
      </c>
      <c r="X12" s="138" t="e">
        <f ca="1">_xll.qlSimpleQuoteSetValue(F12,W12/100,Trigger)</f>
        <v>#NAME?</v>
      </c>
      <c r="Y12" s="130"/>
    </row>
    <row r="13" spans="1:30" x14ac:dyDescent="0.2">
      <c r="A13" s="135"/>
      <c r="B13" s="143" t="str">
        <f t="shared" si="0"/>
        <v>6Y</v>
      </c>
      <c r="C13" s="142" t="str">
        <f t="shared" si="1"/>
        <v>AB</v>
      </c>
      <c r="D13" s="45" t="str">
        <f t="shared" si="2"/>
        <v>6E</v>
      </c>
      <c r="E13" s="43" t="str">
        <f t="shared" si="3"/>
        <v>EURAB6E6Y_Quote</v>
      </c>
      <c r="F13" s="43" t="e">
        <f ca="1">_xll.qlSimpleQuote(Currency&amp;$C13&amp;$D13&amp;$B13&amp;QuoteSuffix,,RateTickValue,Permanent,Trigger,ObjectOverwrite)</f>
        <v>#NAME?</v>
      </c>
      <c r="G13" s="42" t="e">
        <f ca="1">_xll.ohRangeRetrieveError(F13)</f>
        <v>#NAME?</v>
      </c>
      <c r="H13" s="36"/>
      <c r="J13" s="135"/>
      <c r="K13" s="141" t="s">
        <v>50</v>
      </c>
      <c r="L13" s="141" t="s">
        <v>21</v>
      </c>
      <c r="M13" s="141" t="s">
        <v>66</v>
      </c>
      <c r="N13" s="140" t="str">
        <f t="shared" si="4"/>
        <v>EURAB6E6Y</v>
      </c>
      <c r="O13" s="140" t="str">
        <v>EURAB6E6Y=ICAP</v>
      </c>
      <c r="P13" s="78">
        <v>0.46399999999999997</v>
      </c>
      <c r="Q13" s="78">
        <v>0.504</v>
      </c>
      <c r="R13" s="78">
        <f t="shared" si="5"/>
        <v>0.48399999999999999</v>
      </c>
      <c r="S13" s="78">
        <f t="shared" si="6"/>
        <v>4.0000000000000036E-2</v>
      </c>
      <c r="T13" s="115"/>
      <c r="U13" s="139">
        <v>0.48399999999999999</v>
      </c>
      <c r="V13" s="115"/>
      <c r="W13" s="78">
        <v>0.48399999999999999</v>
      </c>
      <c r="X13" s="138" t="e">
        <f ca="1">_xll.qlSimpleQuoteSetValue(F13,W13/100,Trigger)</f>
        <v>#NAME?</v>
      </c>
      <c r="Y13" s="130"/>
    </row>
    <row r="14" spans="1:30" x14ac:dyDescent="0.2">
      <c r="A14" s="135"/>
      <c r="B14" s="143" t="str">
        <f t="shared" si="0"/>
        <v>7Y</v>
      </c>
      <c r="C14" s="142" t="str">
        <f t="shared" si="1"/>
        <v>AB</v>
      </c>
      <c r="D14" s="45" t="str">
        <f t="shared" si="2"/>
        <v>6E</v>
      </c>
      <c r="E14" s="43" t="str">
        <f t="shared" si="3"/>
        <v>EURAB6E7Y_Quote</v>
      </c>
      <c r="F14" s="43" t="e">
        <f ca="1">_xll.qlSimpleQuote(Currency&amp;$C14&amp;$D14&amp;$B14&amp;QuoteSuffix,,RateTickValue,Permanent,Trigger,ObjectOverwrite)</f>
        <v>#NAME?</v>
      </c>
      <c r="G14" s="42" t="e">
        <f ca="1">_xll.ohRangeRetrieveError(F14)</f>
        <v>#NAME?</v>
      </c>
      <c r="H14" s="36"/>
      <c r="J14" s="135"/>
      <c r="K14" s="141" t="s">
        <v>49</v>
      </c>
      <c r="L14" s="141" t="s">
        <v>21</v>
      </c>
      <c r="M14" s="141" t="s">
        <v>66</v>
      </c>
      <c r="N14" s="140" t="str">
        <f t="shared" si="4"/>
        <v>EURAB6E7Y</v>
      </c>
      <c r="O14" s="140" t="str">
        <v>EURAB6E7Y=ICAP</v>
      </c>
      <c r="P14" s="78">
        <v>0.59699999999999998</v>
      </c>
      <c r="Q14" s="78">
        <v>0.63700000000000001</v>
      </c>
      <c r="R14" s="78">
        <f t="shared" si="5"/>
        <v>0.61699999999999999</v>
      </c>
      <c r="S14" s="78">
        <f t="shared" si="6"/>
        <v>4.0000000000000036E-2</v>
      </c>
      <c r="T14" s="115"/>
      <c r="U14" s="139">
        <v>0.61699999999999999</v>
      </c>
      <c r="V14" s="115"/>
      <c r="W14" s="78">
        <v>0.61699999999999999</v>
      </c>
      <c r="X14" s="138" t="e">
        <f ca="1">_xll.qlSimpleQuoteSetValue(F14,W14/100,Trigger)</f>
        <v>#NAME?</v>
      </c>
      <c r="Y14" s="130"/>
    </row>
    <row r="15" spans="1:30" x14ac:dyDescent="0.2">
      <c r="A15" s="135"/>
      <c r="B15" s="143" t="str">
        <f t="shared" si="0"/>
        <v>8Y</v>
      </c>
      <c r="C15" s="142" t="str">
        <f t="shared" si="1"/>
        <v>AB</v>
      </c>
      <c r="D15" s="45" t="str">
        <f t="shared" si="2"/>
        <v>6E</v>
      </c>
      <c r="E15" s="43" t="str">
        <f t="shared" si="3"/>
        <v>EURAB6E8Y_Quote</v>
      </c>
      <c r="F15" s="43" t="e">
        <f ca="1">_xll.qlSimpleQuote(Currency&amp;$C15&amp;$D15&amp;$B15&amp;QuoteSuffix,,RateTickValue,Permanent,Trigger,ObjectOverwrite)</f>
        <v>#NAME?</v>
      </c>
      <c r="G15" s="42" t="e">
        <f ca="1">_xll.ohRangeRetrieveError(F15)</f>
        <v>#NAME?</v>
      </c>
      <c r="H15" s="36"/>
      <c r="J15" s="135"/>
      <c r="K15" s="141" t="s">
        <v>48</v>
      </c>
      <c r="L15" s="141" t="s">
        <v>21</v>
      </c>
      <c r="M15" s="141" t="s">
        <v>66</v>
      </c>
      <c r="N15" s="140" t="str">
        <f t="shared" si="4"/>
        <v>EURAB6E8Y</v>
      </c>
      <c r="O15" s="140" t="str">
        <v>EURAB6E8Y=ICAP</v>
      </c>
      <c r="P15" s="78">
        <v>0.72399999999999998</v>
      </c>
      <c r="Q15" s="78">
        <v>0.76400000000000001</v>
      </c>
      <c r="R15" s="78">
        <f t="shared" si="5"/>
        <v>0.74399999999999999</v>
      </c>
      <c r="S15" s="78">
        <f t="shared" si="6"/>
        <v>4.0000000000000036E-2</v>
      </c>
      <c r="T15" s="115"/>
      <c r="U15" s="139">
        <v>0.74399999999999999</v>
      </c>
      <c r="V15" s="115"/>
      <c r="W15" s="78">
        <v>0.74399999999999999</v>
      </c>
      <c r="X15" s="138" t="e">
        <f ca="1">_xll.qlSimpleQuoteSetValue(F15,W15/100,Trigger)</f>
        <v>#NAME?</v>
      </c>
      <c r="Y15" s="130"/>
    </row>
    <row r="16" spans="1:30" x14ac:dyDescent="0.2">
      <c r="A16" s="135"/>
      <c r="B16" s="143" t="str">
        <f t="shared" si="0"/>
        <v>9Y</v>
      </c>
      <c r="C16" s="142" t="str">
        <f t="shared" si="1"/>
        <v>AB</v>
      </c>
      <c r="D16" s="45" t="str">
        <f t="shared" si="2"/>
        <v>6E</v>
      </c>
      <c r="E16" s="43" t="str">
        <f t="shared" si="3"/>
        <v>EURAB6E9Y_Quote</v>
      </c>
      <c r="F16" s="43" t="e">
        <f ca="1">_xll.qlSimpleQuote(Currency&amp;$C16&amp;$D16&amp;$B16&amp;QuoteSuffix,,RateTickValue,Permanent,Trigger,ObjectOverwrite)</f>
        <v>#NAME?</v>
      </c>
      <c r="G16" s="42" t="e">
        <f ca="1">_xll.ohRangeRetrieveError(F16)</f>
        <v>#NAME?</v>
      </c>
      <c r="H16" s="36"/>
      <c r="J16" s="135"/>
      <c r="K16" s="141" t="s">
        <v>47</v>
      </c>
      <c r="L16" s="141" t="s">
        <v>21</v>
      </c>
      <c r="M16" s="141" t="s">
        <v>66</v>
      </c>
      <c r="N16" s="140" t="str">
        <f t="shared" si="4"/>
        <v>EURAB6E9Y</v>
      </c>
      <c r="O16" s="140" t="str">
        <v>EURAB6E9Y=ICAP</v>
      </c>
      <c r="P16" s="78">
        <v>0.84099999999999997</v>
      </c>
      <c r="Q16" s="78">
        <v>0.88100000000000001</v>
      </c>
      <c r="R16" s="78">
        <f t="shared" si="5"/>
        <v>0.86099999999999999</v>
      </c>
      <c r="S16" s="78">
        <f t="shared" si="6"/>
        <v>4.0000000000000036E-2</v>
      </c>
      <c r="T16" s="115"/>
      <c r="U16" s="139">
        <v>0.86099999999999999</v>
      </c>
      <c r="V16" s="115"/>
      <c r="W16" s="78">
        <v>0.86099999999999999</v>
      </c>
      <c r="X16" s="138" t="e">
        <f ca="1">_xll.qlSimpleQuoteSetValue(F16,W16/100,Trigger)</f>
        <v>#NAME?</v>
      </c>
      <c r="Y16" s="130"/>
    </row>
    <row r="17" spans="1:25" x14ac:dyDescent="0.2">
      <c r="A17" s="135"/>
      <c r="B17" s="143" t="str">
        <f t="shared" si="0"/>
        <v>10Y</v>
      </c>
      <c r="C17" s="142" t="str">
        <f t="shared" si="1"/>
        <v>AB</v>
      </c>
      <c r="D17" s="45" t="str">
        <f t="shared" si="2"/>
        <v>6E</v>
      </c>
      <c r="E17" s="43" t="str">
        <f t="shared" si="3"/>
        <v>EURAB6E10Y_Quote</v>
      </c>
      <c r="F17" s="43" t="e">
        <f ca="1">_xll.qlSimpleQuote(Currency&amp;$C17&amp;$D17&amp;$B17&amp;QuoteSuffix,,RateTickValue,Permanent,Trigger,ObjectOverwrite)</f>
        <v>#NAME?</v>
      </c>
      <c r="G17" s="42" t="e">
        <f ca="1">_xll.ohRangeRetrieveError(F17)</f>
        <v>#NAME?</v>
      </c>
      <c r="H17" s="36"/>
      <c r="J17" s="135"/>
      <c r="K17" s="141" t="s">
        <v>46</v>
      </c>
      <c r="L17" s="141" t="s">
        <v>21</v>
      </c>
      <c r="M17" s="141" t="s">
        <v>66</v>
      </c>
      <c r="N17" s="140" t="str">
        <f t="shared" si="4"/>
        <v>EURAB6E10Y</v>
      </c>
      <c r="O17" s="140" t="str">
        <v>EURAB6E10Y=ICAP</v>
      </c>
      <c r="P17" s="78">
        <v>0.94499999999999995</v>
      </c>
      <c r="Q17" s="78">
        <v>0.98499999999999999</v>
      </c>
      <c r="R17" s="78">
        <f t="shared" si="5"/>
        <v>0.96499999999999997</v>
      </c>
      <c r="S17" s="78">
        <f t="shared" si="6"/>
        <v>4.0000000000000036E-2</v>
      </c>
      <c r="T17" s="115"/>
      <c r="U17" s="139">
        <v>0.96499999999999997</v>
      </c>
      <c r="V17" s="115"/>
      <c r="W17" s="78">
        <v>0.96499999999999997</v>
      </c>
      <c r="X17" s="138" t="e">
        <f ca="1">_xll.qlSimpleQuoteSetValue(F17,W17/100,Trigger)</f>
        <v>#NAME?</v>
      </c>
      <c r="Y17" s="130"/>
    </row>
    <row r="18" spans="1:25" x14ac:dyDescent="0.2">
      <c r="A18" s="135"/>
      <c r="B18" s="143" t="str">
        <f t="shared" si="0"/>
        <v>11Y</v>
      </c>
      <c r="C18" s="142" t="str">
        <f t="shared" si="1"/>
        <v>AB</v>
      </c>
      <c r="D18" s="45" t="str">
        <f t="shared" si="2"/>
        <v>6E</v>
      </c>
      <c r="E18" s="43" t="str">
        <f t="shared" si="3"/>
        <v>EURAB6E11Y_Quote</v>
      </c>
      <c r="F18" s="43" t="e">
        <f ca="1">_xll.qlSimpleQuote(Currency&amp;$C18&amp;$D18&amp;$B18&amp;QuoteSuffix,,RateTickValue,Permanent,Trigger,ObjectOverwrite)</f>
        <v>#NAME?</v>
      </c>
      <c r="G18" s="42" t="e">
        <f ca="1">_xll.ohRangeRetrieveError(F18)</f>
        <v>#NAME?</v>
      </c>
      <c r="H18" s="36"/>
      <c r="J18" s="135"/>
      <c r="K18" s="141" t="s">
        <v>45</v>
      </c>
      <c r="L18" s="141" t="s">
        <v>21</v>
      </c>
      <c r="M18" s="141" t="s">
        <v>66</v>
      </c>
      <c r="N18" s="140" t="str">
        <f t="shared" si="4"/>
        <v>EURAB6E11Y</v>
      </c>
      <c r="O18" s="140" t="str">
        <v>EURAB6E11Y=ICAP</v>
      </c>
      <c r="P18" s="78">
        <v>1.0389999999999999</v>
      </c>
      <c r="Q18" s="78">
        <v>1.079</v>
      </c>
      <c r="R18" s="78">
        <f t="shared" si="5"/>
        <v>1.0589999999999999</v>
      </c>
      <c r="S18" s="78">
        <f t="shared" si="6"/>
        <v>4.0000000000000036E-2</v>
      </c>
      <c r="T18" s="115"/>
      <c r="U18" s="139">
        <v>1.0589999999999999</v>
      </c>
      <c r="V18" s="115"/>
      <c r="W18" s="78">
        <v>1.0589999999999999</v>
      </c>
      <c r="X18" s="138" t="e">
        <f ca="1">_xll.qlSimpleQuoteSetValue(F18,W18/100,Trigger)</f>
        <v>#NAME?</v>
      </c>
      <c r="Y18" s="130"/>
    </row>
    <row r="19" spans="1:25" x14ac:dyDescent="0.2">
      <c r="A19" s="135"/>
      <c r="B19" s="143" t="str">
        <f t="shared" si="0"/>
        <v>12Y</v>
      </c>
      <c r="C19" s="142" t="str">
        <f t="shared" si="1"/>
        <v>AB</v>
      </c>
      <c r="D19" s="45" t="str">
        <f t="shared" si="2"/>
        <v>6E</v>
      </c>
      <c r="E19" s="43" t="str">
        <f t="shared" si="3"/>
        <v>EURAB6E12Y_Quote</v>
      </c>
      <c r="F19" s="43" t="e">
        <f ca="1">_xll.qlSimpleQuote(Currency&amp;$C19&amp;$D19&amp;$B19&amp;QuoteSuffix,,RateTickValue,Permanent,Trigger,ObjectOverwrite)</f>
        <v>#NAME?</v>
      </c>
      <c r="G19" s="42" t="e">
        <f ca="1">_xll.ohRangeRetrieveError(F19)</f>
        <v>#NAME?</v>
      </c>
      <c r="H19" s="36"/>
      <c r="J19" s="135"/>
      <c r="K19" s="141" t="s">
        <v>44</v>
      </c>
      <c r="L19" s="141" t="s">
        <v>21</v>
      </c>
      <c r="M19" s="141" t="s">
        <v>66</v>
      </c>
      <c r="N19" s="140" t="str">
        <f t="shared" si="4"/>
        <v>EURAB6E12Y</v>
      </c>
      <c r="O19" s="140" t="str">
        <v>EURAB6E12Y=ICAP</v>
      </c>
      <c r="P19" s="78">
        <v>1.123</v>
      </c>
      <c r="Q19" s="78">
        <v>1.163</v>
      </c>
      <c r="R19" s="78">
        <f t="shared" si="5"/>
        <v>1.143</v>
      </c>
      <c r="S19" s="78">
        <f t="shared" si="6"/>
        <v>4.0000000000000036E-2</v>
      </c>
      <c r="T19" s="115"/>
      <c r="U19" s="139">
        <v>1.143</v>
      </c>
      <c r="V19" s="115"/>
      <c r="W19" s="78">
        <v>1.143</v>
      </c>
      <c r="X19" s="138" t="e">
        <f ca="1">_xll.qlSimpleQuoteSetValue(F19,W19/100,Trigger)</f>
        <v>#NAME?</v>
      </c>
      <c r="Y19" s="130"/>
    </row>
    <row r="20" spans="1:25" x14ac:dyDescent="0.2">
      <c r="A20" s="135"/>
      <c r="B20" s="143" t="str">
        <f t="shared" si="0"/>
        <v>13Y</v>
      </c>
      <c r="C20" s="142" t="str">
        <f t="shared" si="1"/>
        <v>AB</v>
      </c>
      <c r="D20" s="45" t="str">
        <f t="shared" si="2"/>
        <v>6E</v>
      </c>
      <c r="E20" s="43" t="str">
        <f t="shared" si="3"/>
        <v>EURAB6E13Y_Quote</v>
      </c>
      <c r="F20" s="43" t="e">
        <f ca="1">_xll.qlSimpleQuote(Currency&amp;$C20&amp;$D20&amp;$B20&amp;QuoteSuffix,,RateTickValue,Permanent,Trigger,ObjectOverwrite)</f>
        <v>#NAME?</v>
      </c>
      <c r="G20" s="42" t="e">
        <f ca="1">_xll.ohRangeRetrieveError(F20)</f>
        <v>#NAME?</v>
      </c>
      <c r="H20" s="36"/>
      <c r="J20" s="135"/>
      <c r="K20" s="141" t="s">
        <v>43</v>
      </c>
      <c r="L20" s="141" t="s">
        <v>21</v>
      </c>
      <c r="M20" s="141" t="s">
        <v>66</v>
      </c>
      <c r="N20" s="140" t="str">
        <f t="shared" si="4"/>
        <v>EURAB6E13Y</v>
      </c>
      <c r="O20" s="140" t="str">
        <v>EURAB6E13Y=ICAP</v>
      </c>
      <c r="P20" s="78">
        <v>1.196</v>
      </c>
      <c r="Q20" s="78">
        <v>1.236</v>
      </c>
      <c r="R20" s="78">
        <f t="shared" si="5"/>
        <v>1.216</v>
      </c>
      <c r="S20" s="78">
        <f t="shared" si="6"/>
        <v>4.0000000000000036E-2</v>
      </c>
      <c r="T20" s="115"/>
      <c r="U20" s="139">
        <v>1.216</v>
      </c>
      <c r="V20" s="115"/>
      <c r="W20" s="78">
        <v>1.216</v>
      </c>
      <c r="X20" s="138" t="e">
        <f ca="1">_xll.qlSimpleQuoteSetValue(F20,W20/100,Trigger)</f>
        <v>#NAME?</v>
      </c>
      <c r="Y20" s="130"/>
    </row>
    <row r="21" spans="1:25" x14ac:dyDescent="0.2">
      <c r="A21" s="135"/>
      <c r="B21" s="143" t="str">
        <f t="shared" si="0"/>
        <v>14Y</v>
      </c>
      <c r="C21" s="142" t="str">
        <f t="shared" si="1"/>
        <v>AB</v>
      </c>
      <c r="D21" s="45" t="str">
        <f t="shared" si="2"/>
        <v>6E</v>
      </c>
      <c r="E21" s="43" t="str">
        <f t="shared" si="3"/>
        <v>EURAB6E14Y_Quote</v>
      </c>
      <c r="F21" s="43" t="e">
        <f ca="1">_xll.qlSimpleQuote(Currency&amp;$C21&amp;$D21&amp;$B21&amp;QuoteSuffix,,RateTickValue,Permanent,Trigger,ObjectOverwrite)</f>
        <v>#NAME?</v>
      </c>
      <c r="G21" s="42" t="e">
        <f ca="1">_xll.ohRangeRetrieveError(F21)</f>
        <v>#NAME?</v>
      </c>
      <c r="H21" s="36"/>
      <c r="J21" s="135"/>
      <c r="K21" s="141" t="s">
        <v>42</v>
      </c>
      <c r="L21" s="141" t="s">
        <v>21</v>
      </c>
      <c r="M21" s="141" t="s">
        <v>66</v>
      </c>
      <c r="N21" s="140" t="str">
        <f t="shared" si="4"/>
        <v>EURAB6E14Y</v>
      </c>
      <c r="O21" s="140" t="str">
        <v>EURAB6E14Y=ICAP</v>
      </c>
      <c r="P21" s="78">
        <v>1.2589999999999999</v>
      </c>
      <c r="Q21" s="78">
        <v>1.2989999999999999</v>
      </c>
      <c r="R21" s="78">
        <f t="shared" si="5"/>
        <v>1.2789999999999999</v>
      </c>
      <c r="S21" s="78">
        <f t="shared" si="6"/>
        <v>4.0000000000000036E-2</v>
      </c>
      <c r="T21" s="115"/>
      <c r="U21" s="139">
        <v>1.2789999999999999</v>
      </c>
      <c r="V21" s="115"/>
      <c r="W21" s="78">
        <v>1.2789999999999999</v>
      </c>
      <c r="X21" s="138" t="e">
        <f ca="1">_xll.qlSimpleQuoteSetValue(F21,W21/100,Trigger)</f>
        <v>#NAME?</v>
      </c>
      <c r="Y21" s="130"/>
    </row>
    <row r="22" spans="1:25" x14ac:dyDescent="0.2">
      <c r="A22" s="135"/>
      <c r="B22" s="143" t="str">
        <f t="shared" si="0"/>
        <v>15Y</v>
      </c>
      <c r="C22" s="142" t="str">
        <f t="shared" si="1"/>
        <v>AB</v>
      </c>
      <c r="D22" s="45" t="str">
        <f t="shared" si="2"/>
        <v>6E</v>
      </c>
      <c r="E22" s="43" t="str">
        <f t="shared" si="3"/>
        <v>EURAB6E15Y_Quote</v>
      </c>
      <c r="F22" s="43" t="e">
        <f ca="1">_xll.qlSimpleQuote(Currency&amp;$C22&amp;$D22&amp;$B22&amp;QuoteSuffix,,RateTickValue,Permanent,Trigger,ObjectOverwrite)</f>
        <v>#NAME?</v>
      </c>
      <c r="G22" s="42" t="e">
        <f ca="1">_xll.ohRangeRetrieveError(F22)</f>
        <v>#NAME?</v>
      </c>
      <c r="H22" s="36"/>
      <c r="J22" s="135"/>
      <c r="K22" s="141" t="s">
        <v>41</v>
      </c>
      <c r="L22" s="141" t="s">
        <v>21</v>
      </c>
      <c r="M22" s="141" t="s">
        <v>66</v>
      </c>
      <c r="N22" s="140" t="str">
        <f t="shared" si="4"/>
        <v>EURAB6E15Y</v>
      </c>
      <c r="O22" s="140" t="str">
        <v>EURAB6E15Y=ICAP</v>
      </c>
      <c r="P22" s="78">
        <v>1.3129999999999999</v>
      </c>
      <c r="Q22" s="78">
        <v>1.353</v>
      </c>
      <c r="R22" s="78">
        <f t="shared" si="5"/>
        <v>1.333</v>
      </c>
      <c r="S22" s="78">
        <f t="shared" si="6"/>
        <v>4.0000000000000036E-2</v>
      </c>
      <c r="T22" s="115"/>
      <c r="U22" s="139">
        <v>1.333</v>
      </c>
      <c r="V22" s="115"/>
      <c r="W22" s="78">
        <v>1.333</v>
      </c>
      <c r="X22" s="138" t="e">
        <f ca="1">_xll.qlSimpleQuoteSetValue(F22,W22/100,Trigger)</f>
        <v>#NAME?</v>
      </c>
      <c r="Y22" s="130"/>
    </row>
    <row r="23" spans="1:25" x14ac:dyDescent="0.2">
      <c r="A23" s="135"/>
      <c r="B23" s="143" t="str">
        <f t="shared" si="0"/>
        <v>16Y</v>
      </c>
      <c r="C23" s="142" t="str">
        <f t="shared" si="1"/>
        <v>AB</v>
      </c>
      <c r="D23" s="45" t="str">
        <f t="shared" si="2"/>
        <v>6E</v>
      </c>
      <c r="E23" s="43" t="str">
        <f t="shared" si="3"/>
        <v>EURAB6E16Y_Quote</v>
      </c>
      <c r="F23" s="43" t="e">
        <f ca="1">_xll.qlSimpleQuote(Currency&amp;$C23&amp;$D23&amp;$B23&amp;QuoteSuffix,,RateTickValue,Permanent,Trigger,ObjectOverwrite)</f>
        <v>#NAME?</v>
      </c>
      <c r="G23" s="42" t="e">
        <f ca="1">_xll.ohRangeRetrieveError(F23)</f>
        <v>#NAME?</v>
      </c>
      <c r="H23" s="36"/>
      <c r="J23" s="135"/>
      <c r="K23" s="141" t="s">
        <v>40</v>
      </c>
      <c r="L23" s="141" t="s">
        <v>21</v>
      </c>
      <c r="M23" s="141" t="s">
        <v>66</v>
      </c>
      <c r="N23" s="140" t="str">
        <f t="shared" si="4"/>
        <v>EURAB6E16Y</v>
      </c>
      <c r="O23" s="140" t="str">
        <v>EURAB6E16Y=ICAP</v>
      </c>
      <c r="P23" s="78">
        <v>1.3580000000000001</v>
      </c>
      <c r="Q23" s="78">
        <v>1.3980000000000001</v>
      </c>
      <c r="R23" s="78">
        <f t="shared" si="5"/>
        <v>1.3780000000000001</v>
      </c>
      <c r="S23" s="78">
        <f t="shared" si="6"/>
        <v>4.0000000000000036E-2</v>
      </c>
      <c r="T23" s="115"/>
      <c r="U23" s="139">
        <v>1.3780000000000001</v>
      </c>
      <c r="V23" s="115"/>
      <c r="W23" s="78">
        <v>1.3780000000000001</v>
      </c>
      <c r="X23" s="138" t="e">
        <f ca="1">_xll.qlSimpleQuoteSetValue(F23,W23/100,Trigger)</f>
        <v>#NAME?</v>
      </c>
      <c r="Y23" s="130"/>
    </row>
    <row r="24" spans="1:25" x14ac:dyDescent="0.2">
      <c r="A24" s="135"/>
      <c r="B24" s="143" t="str">
        <f t="shared" si="0"/>
        <v>17Y</v>
      </c>
      <c r="C24" s="142" t="str">
        <f t="shared" si="1"/>
        <v>AB</v>
      </c>
      <c r="D24" s="45" t="str">
        <f t="shared" si="2"/>
        <v>6E</v>
      </c>
      <c r="E24" s="43" t="str">
        <f t="shared" si="3"/>
        <v>EURAB6E17Y_Quote</v>
      </c>
      <c r="F24" s="43" t="e">
        <f ca="1">_xll.qlSimpleQuote(Currency&amp;$C24&amp;$D24&amp;$B24&amp;QuoteSuffix,,RateTickValue,Permanent,Trigger,ObjectOverwrite)</f>
        <v>#NAME?</v>
      </c>
      <c r="G24" s="42" t="e">
        <f ca="1">_xll.ohRangeRetrieveError(F24)</f>
        <v>#NAME?</v>
      </c>
      <c r="H24" s="36"/>
      <c r="J24" s="135"/>
      <c r="K24" s="141" t="s">
        <v>39</v>
      </c>
      <c r="L24" s="141" t="s">
        <v>21</v>
      </c>
      <c r="M24" s="141" t="s">
        <v>66</v>
      </c>
      <c r="N24" s="140" t="str">
        <f t="shared" si="4"/>
        <v>EURAB6E17Y</v>
      </c>
      <c r="O24" s="140" t="str">
        <v>EURAB6E17Y=ICAP</v>
      </c>
      <c r="P24" s="78">
        <v>1.397</v>
      </c>
      <c r="Q24" s="78">
        <v>1.4370000000000001</v>
      </c>
      <c r="R24" s="78">
        <f t="shared" si="5"/>
        <v>1.417</v>
      </c>
      <c r="S24" s="78">
        <f t="shared" si="6"/>
        <v>4.0000000000000036E-2</v>
      </c>
      <c r="T24" s="115"/>
      <c r="U24" s="139">
        <v>1.417</v>
      </c>
      <c r="V24" s="115"/>
      <c r="W24" s="78">
        <v>1.417</v>
      </c>
      <c r="X24" s="138" t="e">
        <f ca="1">_xll.qlSimpleQuoteSetValue(F24,W24/100,Trigger)</f>
        <v>#NAME?</v>
      </c>
      <c r="Y24" s="130"/>
    </row>
    <row r="25" spans="1:25" x14ac:dyDescent="0.2">
      <c r="A25" s="135"/>
      <c r="B25" s="143" t="str">
        <f t="shared" si="0"/>
        <v>18Y</v>
      </c>
      <c r="C25" s="142" t="str">
        <f t="shared" si="1"/>
        <v>AB</v>
      </c>
      <c r="D25" s="45" t="str">
        <f t="shared" si="2"/>
        <v>6E</v>
      </c>
      <c r="E25" s="43" t="str">
        <f t="shared" si="3"/>
        <v>EURAB6E18Y_Quote</v>
      </c>
      <c r="F25" s="43" t="e">
        <f ca="1">_xll.qlSimpleQuote(Currency&amp;$C25&amp;$D25&amp;$B25&amp;QuoteSuffix,,RateTickValue,Permanent,Trigger,ObjectOverwrite)</f>
        <v>#NAME?</v>
      </c>
      <c r="G25" s="42" t="e">
        <f ca="1">_xll.ohRangeRetrieveError(F25)</f>
        <v>#NAME?</v>
      </c>
      <c r="H25" s="36"/>
      <c r="J25" s="135"/>
      <c r="K25" s="141" t="s">
        <v>38</v>
      </c>
      <c r="L25" s="141" t="s">
        <v>21</v>
      </c>
      <c r="M25" s="141" t="s">
        <v>66</v>
      </c>
      <c r="N25" s="140" t="str">
        <f t="shared" si="4"/>
        <v>EURAB6E18Y</v>
      </c>
      <c r="O25" s="140" t="str">
        <v>EURAB6E18Y=ICAP</v>
      </c>
      <c r="P25" s="78">
        <v>1.427</v>
      </c>
      <c r="Q25" s="78">
        <v>1.4670000000000001</v>
      </c>
      <c r="R25" s="78">
        <f t="shared" si="5"/>
        <v>1.4470000000000001</v>
      </c>
      <c r="S25" s="78">
        <f t="shared" si="6"/>
        <v>4.0000000000000036E-2</v>
      </c>
      <c r="T25" s="115"/>
      <c r="U25" s="139">
        <v>1.4470000000000001</v>
      </c>
      <c r="V25" s="115"/>
      <c r="W25" s="78">
        <v>1.4470000000000001</v>
      </c>
      <c r="X25" s="138" t="e">
        <f ca="1">_xll.qlSimpleQuoteSetValue(F25,W25/100,Trigger)</f>
        <v>#NAME?</v>
      </c>
      <c r="Y25" s="130"/>
    </row>
    <row r="26" spans="1:25" x14ac:dyDescent="0.2">
      <c r="A26" s="135"/>
      <c r="B26" s="143" t="str">
        <f t="shared" si="0"/>
        <v>19Y</v>
      </c>
      <c r="C26" s="142" t="str">
        <f t="shared" si="1"/>
        <v>AB</v>
      </c>
      <c r="D26" s="45" t="str">
        <f t="shared" si="2"/>
        <v>6E</v>
      </c>
      <c r="E26" s="43" t="str">
        <f t="shared" si="3"/>
        <v>EURAB6E19Y_Quote</v>
      </c>
      <c r="F26" s="43" t="e">
        <f ca="1">_xll.qlSimpleQuote(Currency&amp;$C26&amp;$D26&amp;$B26&amp;QuoteSuffix,,RateTickValue,Permanent,Trigger,ObjectOverwrite)</f>
        <v>#NAME?</v>
      </c>
      <c r="G26" s="42" t="e">
        <f ca="1">_xll.ohRangeRetrieveError(F26)</f>
        <v>#NAME?</v>
      </c>
      <c r="H26" s="36"/>
      <c r="J26" s="135"/>
      <c r="K26" s="141" t="s">
        <v>37</v>
      </c>
      <c r="L26" s="141" t="s">
        <v>21</v>
      </c>
      <c r="M26" s="141" t="s">
        <v>66</v>
      </c>
      <c r="N26" s="140" t="str">
        <f t="shared" si="4"/>
        <v>EURAB6E19Y</v>
      </c>
      <c r="O26" s="140" t="str">
        <v>EURAB6E19Y=ICAP</v>
      </c>
      <c r="P26" s="78">
        <v>1.4510000000000001</v>
      </c>
      <c r="Q26" s="78">
        <v>1.4910000000000001</v>
      </c>
      <c r="R26" s="78">
        <f t="shared" si="5"/>
        <v>1.4710000000000001</v>
      </c>
      <c r="S26" s="78">
        <f t="shared" si="6"/>
        <v>4.0000000000000036E-2</v>
      </c>
      <c r="T26" s="115"/>
      <c r="U26" s="139">
        <v>1.4710000000000001</v>
      </c>
      <c r="V26" s="115"/>
      <c r="W26" s="78">
        <v>1.4710000000000001</v>
      </c>
      <c r="X26" s="138" t="e">
        <f ca="1">_xll.qlSimpleQuoteSetValue(F26,W26/100,Trigger)</f>
        <v>#NAME?</v>
      </c>
      <c r="Y26" s="130"/>
    </row>
    <row r="27" spans="1:25" x14ac:dyDescent="0.2">
      <c r="A27" s="135"/>
      <c r="B27" s="143" t="str">
        <f t="shared" si="0"/>
        <v>20Y</v>
      </c>
      <c r="C27" s="142" t="str">
        <f t="shared" si="1"/>
        <v>AB</v>
      </c>
      <c r="D27" s="45" t="str">
        <f t="shared" si="2"/>
        <v>6E</v>
      </c>
      <c r="E27" s="43" t="str">
        <f t="shared" si="3"/>
        <v>EURAB6E20Y_Quote</v>
      </c>
      <c r="F27" s="43" t="e">
        <f ca="1">_xll.qlSimpleQuote(Currency&amp;$C27&amp;$D27&amp;$B27&amp;QuoteSuffix,,RateTickValue,Permanent,Trigger,ObjectOverwrite)</f>
        <v>#NAME?</v>
      </c>
      <c r="G27" s="42" t="e">
        <f ca="1">_xll.ohRangeRetrieveError(F27)</f>
        <v>#NAME?</v>
      </c>
      <c r="H27" s="36"/>
      <c r="J27" s="135"/>
      <c r="K27" s="141" t="s">
        <v>36</v>
      </c>
      <c r="L27" s="141" t="s">
        <v>21</v>
      </c>
      <c r="M27" s="141" t="s">
        <v>66</v>
      </c>
      <c r="N27" s="140" t="str">
        <f t="shared" si="4"/>
        <v>EURAB6E20Y</v>
      </c>
      <c r="O27" s="140" t="str">
        <v>EURAB6E20Y=ICAP</v>
      </c>
      <c r="P27" s="78">
        <v>1.4690000000000001</v>
      </c>
      <c r="Q27" s="78">
        <v>1.5089999999999999</v>
      </c>
      <c r="R27" s="78">
        <f t="shared" si="5"/>
        <v>1.4889999999999999</v>
      </c>
      <c r="S27" s="78">
        <f t="shared" si="6"/>
        <v>3.9999999999999591E-2</v>
      </c>
      <c r="T27" s="115"/>
      <c r="U27" s="139">
        <v>1.4889999999999999</v>
      </c>
      <c r="V27" s="115"/>
      <c r="W27" s="78">
        <v>1.4889999999999999</v>
      </c>
      <c r="X27" s="138" t="e">
        <f ca="1">_xll.qlSimpleQuoteSetValue(F27,W27/100,Trigger)</f>
        <v>#NAME?</v>
      </c>
      <c r="Y27" s="130"/>
    </row>
    <row r="28" spans="1:25" x14ac:dyDescent="0.2">
      <c r="A28" s="135"/>
      <c r="B28" s="143" t="str">
        <f t="shared" si="0"/>
        <v>21Y</v>
      </c>
      <c r="C28" s="142" t="str">
        <f t="shared" si="1"/>
        <v>AB</v>
      </c>
      <c r="D28" s="45" t="str">
        <f t="shared" si="2"/>
        <v>6E</v>
      </c>
      <c r="E28" s="43" t="str">
        <f t="shared" si="3"/>
        <v>EURAB6E21Y_Quote</v>
      </c>
      <c r="F28" s="43" t="e">
        <f ca="1">_xll.qlSimpleQuote(Currency&amp;$C28&amp;$D28&amp;$B28&amp;QuoteSuffix,,RateTickValue,Permanent,Trigger,ObjectOverwrite)</f>
        <v>#NAME?</v>
      </c>
      <c r="G28" s="42" t="e">
        <f ca="1">_xll.ohRangeRetrieveError(F28)</f>
        <v>#NAME?</v>
      </c>
      <c r="H28" s="36"/>
      <c r="J28" s="135"/>
      <c r="K28" s="141" t="s">
        <v>35</v>
      </c>
      <c r="L28" s="141" t="s">
        <v>21</v>
      </c>
      <c r="M28" s="141" t="s">
        <v>66</v>
      </c>
      <c r="N28" s="140" t="str">
        <f t="shared" si="4"/>
        <v>EURAB6E21Y</v>
      </c>
      <c r="O28" s="140" t="str">
        <v>EURAB6E21Y=ICAP</v>
      </c>
      <c r="P28" s="78">
        <v>1.482</v>
      </c>
      <c r="Q28" s="78">
        <v>1.522</v>
      </c>
      <c r="R28" s="78">
        <f t="shared" si="5"/>
        <v>1.502</v>
      </c>
      <c r="S28" s="78">
        <f t="shared" si="6"/>
        <v>4.0000000000000036E-2</v>
      </c>
      <c r="T28" s="115"/>
      <c r="U28" s="139">
        <v>1.502</v>
      </c>
      <c r="V28" s="115"/>
      <c r="W28" s="78">
        <v>1.502</v>
      </c>
      <c r="X28" s="138" t="e">
        <f ca="1">_xll.qlSimpleQuoteSetValue(F28,W28/100,Trigger)</f>
        <v>#NAME?</v>
      </c>
      <c r="Y28" s="130"/>
    </row>
    <row r="29" spans="1:25" x14ac:dyDescent="0.2">
      <c r="A29" s="135"/>
      <c r="B29" s="143" t="str">
        <f t="shared" si="0"/>
        <v>22Y</v>
      </c>
      <c r="C29" s="142" t="str">
        <f t="shared" si="1"/>
        <v>AB</v>
      </c>
      <c r="D29" s="45" t="str">
        <f t="shared" si="2"/>
        <v>6E</v>
      </c>
      <c r="E29" s="43" t="str">
        <f t="shared" si="3"/>
        <v>EURAB6E22Y_Quote</v>
      </c>
      <c r="F29" s="43" t="e">
        <f ca="1">_xll.qlSimpleQuote(Currency&amp;$C29&amp;$D29&amp;$B29&amp;QuoteSuffix,,RateTickValue,Permanent,Trigger,ObjectOverwrite)</f>
        <v>#NAME?</v>
      </c>
      <c r="G29" s="42" t="e">
        <f ca="1">_xll.ohRangeRetrieveError(F29)</f>
        <v>#NAME?</v>
      </c>
      <c r="H29" s="36"/>
      <c r="J29" s="135"/>
      <c r="K29" s="141" t="s">
        <v>34</v>
      </c>
      <c r="L29" s="141" t="s">
        <v>21</v>
      </c>
      <c r="M29" s="141" t="s">
        <v>66</v>
      </c>
      <c r="N29" s="140" t="str">
        <f t="shared" si="4"/>
        <v>EURAB6E22Y</v>
      </c>
      <c r="O29" s="140" t="str">
        <v>EURAB6E22Y=ICAP</v>
      </c>
      <c r="P29" s="78">
        <v>1.492</v>
      </c>
      <c r="Q29" s="78">
        <v>1.532</v>
      </c>
      <c r="R29" s="78">
        <f t="shared" si="5"/>
        <v>1.512</v>
      </c>
      <c r="S29" s="78">
        <f t="shared" si="6"/>
        <v>4.0000000000000036E-2</v>
      </c>
      <c r="T29" s="115"/>
      <c r="U29" s="139">
        <v>1.512</v>
      </c>
      <c r="V29" s="115"/>
      <c r="W29" s="78">
        <v>1.512</v>
      </c>
      <c r="X29" s="138" t="e">
        <f ca="1">_xll.qlSimpleQuoteSetValue(F29,W29/100,Trigger)</f>
        <v>#NAME?</v>
      </c>
      <c r="Y29" s="130"/>
    </row>
    <row r="30" spans="1:25" x14ac:dyDescent="0.2">
      <c r="A30" s="135"/>
      <c r="B30" s="143" t="str">
        <f t="shared" si="0"/>
        <v>23Y</v>
      </c>
      <c r="C30" s="142" t="str">
        <f t="shared" si="1"/>
        <v>AB</v>
      </c>
      <c r="D30" s="45" t="str">
        <f t="shared" si="2"/>
        <v>6E</v>
      </c>
      <c r="E30" s="43" t="str">
        <f t="shared" si="3"/>
        <v>EURAB6E23Y_Quote</v>
      </c>
      <c r="F30" s="43" t="e">
        <f ca="1">_xll.qlSimpleQuote(Currency&amp;$C30&amp;$D30&amp;$B30&amp;QuoteSuffix,,RateTickValue,Permanent,Trigger,ObjectOverwrite)</f>
        <v>#NAME?</v>
      </c>
      <c r="G30" s="42" t="e">
        <f ca="1">_xll.ohRangeRetrieveError(F30)</f>
        <v>#NAME?</v>
      </c>
      <c r="H30" s="36"/>
      <c r="J30" s="135"/>
      <c r="K30" s="141" t="s">
        <v>33</v>
      </c>
      <c r="L30" s="141" t="s">
        <v>21</v>
      </c>
      <c r="M30" s="141" t="s">
        <v>66</v>
      </c>
      <c r="N30" s="140" t="str">
        <f t="shared" si="4"/>
        <v>EURAB6E23Y</v>
      </c>
      <c r="O30" s="140" t="str">
        <v>EURAB6E23Y=ICAP</v>
      </c>
      <c r="P30" s="78">
        <v>1.4969999999999999</v>
      </c>
      <c r="Q30" s="78">
        <v>1.5369999999999999</v>
      </c>
      <c r="R30" s="78">
        <f t="shared" si="5"/>
        <v>1.5169999999999999</v>
      </c>
      <c r="S30" s="78">
        <f t="shared" si="6"/>
        <v>4.0000000000000036E-2</v>
      </c>
      <c r="T30" s="115"/>
      <c r="U30" s="139">
        <v>1.5169999999999999</v>
      </c>
      <c r="V30" s="115"/>
      <c r="W30" s="78">
        <v>1.5169999999999999</v>
      </c>
      <c r="X30" s="138" t="e">
        <f ca="1">_xll.qlSimpleQuoteSetValue(F30,W30/100,Trigger)</f>
        <v>#NAME?</v>
      </c>
      <c r="Y30" s="130"/>
    </row>
    <row r="31" spans="1:25" x14ac:dyDescent="0.2">
      <c r="A31" s="135"/>
      <c r="B31" s="143" t="str">
        <f t="shared" si="0"/>
        <v>24Y</v>
      </c>
      <c r="C31" s="142" t="str">
        <f t="shared" si="1"/>
        <v>AB</v>
      </c>
      <c r="D31" s="45" t="str">
        <f t="shared" si="2"/>
        <v>6E</v>
      </c>
      <c r="E31" s="43" t="str">
        <f t="shared" si="3"/>
        <v>EURAB6E24Y_Quote</v>
      </c>
      <c r="F31" s="43" t="e">
        <f ca="1">_xll.qlSimpleQuote(Currency&amp;$C31&amp;$D31&amp;$B31&amp;QuoteSuffix,,RateTickValue,Permanent,Trigger,ObjectOverwrite)</f>
        <v>#NAME?</v>
      </c>
      <c r="G31" s="42" t="e">
        <f ca="1">_xll.ohRangeRetrieveError(F31)</f>
        <v>#NAME?</v>
      </c>
      <c r="H31" s="36"/>
      <c r="J31" s="135"/>
      <c r="K31" s="141" t="s">
        <v>32</v>
      </c>
      <c r="L31" s="141" t="s">
        <v>21</v>
      </c>
      <c r="M31" s="141" t="s">
        <v>66</v>
      </c>
      <c r="N31" s="140" t="str">
        <f t="shared" si="4"/>
        <v>EURAB6E24Y</v>
      </c>
      <c r="O31" s="140" t="str">
        <v>EURAB6E24Y=ICAP</v>
      </c>
      <c r="P31" s="78">
        <v>1.5009999999999999</v>
      </c>
      <c r="Q31" s="78">
        <v>1.5409999999999999</v>
      </c>
      <c r="R31" s="78">
        <f t="shared" si="5"/>
        <v>1.5209999999999999</v>
      </c>
      <c r="S31" s="78">
        <f t="shared" si="6"/>
        <v>4.0000000000000036E-2</v>
      </c>
      <c r="T31" s="115"/>
      <c r="U31" s="139">
        <v>1.5209999999999999</v>
      </c>
      <c r="V31" s="115"/>
      <c r="W31" s="78">
        <v>1.5209999999999999</v>
      </c>
      <c r="X31" s="138" t="e">
        <f ca="1">_xll.qlSimpleQuoteSetValue(F31,W31/100,Trigger)</f>
        <v>#NAME?</v>
      </c>
      <c r="Y31" s="130"/>
    </row>
    <row r="32" spans="1:25" x14ac:dyDescent="0.2">
      <c r="A32" s="135"/>
      <c r="B32" s="143" t="str">
        <f t="shared" si="0"/>
        <v>25Y</v>
      </c>
      <c r="C32" s="142" t="str">
        <f t="shared" si="1"/>
        <v>AB</v>
      </c>
      <c r="D32" s="45" t="str">
        <f t="shared" si="2"/>
        <v>6E</v>
      </c>
      <c r="E32" s="43" t="str">
        <f t="shared" si="3"/>
        <v>EURAB6E25Y_Quote</v>
      </c>
      <c r="F32" s="43" t="e">
        <f ca="1">_xll.qlSimpleQuote(Currency&amp;$C32&amp;$D32&amp;$B32&amp;QuoteSuffix,,RateTickValue,Permanent,Trigger,ObjectOverwrite)</f>
        <v>#NAME?</v>
      </c>
      <c r="G32" s="42" t="e">
        <f ca="1">_xll.ohRangeRetrieveError(F32)</f>
        <v>#NAME?</v>
      </c>
      <c r="H32" s="36"/>
      <c r="J32" s="135"/>
      <c r="K32" s="141" t="s">
        <v>31</v>
      </c>
      <c r="L32" s="141" t="s">
        <v>21</v>
      </c>
      <c r="M32" s="141" t="s">
        <v>66</v>
      </c>
      <c r="N32" s="140" t="str">
        <f t="shared" si="4"/>
        <v>EURAB6E25Y</v>
      </c>
      <c r="O32" s="140" t="str">
        <v>EURAB6E25Y=ICAP</v>
      </c>
      <c r="P32" s="78">
        <v>1.5030000000000001</v>
      </c>
      <c r="Q32" s="78">
        <v>1.5429999999999999</v>
      </c>
      <c r="R32" s="78">
        <f t="shared" si="5"/>
        <v>1.5230000000000001</v>
      </c>
      <c r="S32" s="78">
        <f t="shared" si="6"/>
        <v>4.0000000000000036E-2</v>
      </c>
      <c r="T32" s="115"/>
      <c r="U32" s="139">
        <v>1.5230000000000001</v>
      </c>
      <c r="V32" s="115"/>
      <c r="W32" s="78">
        <v>1.5230000000000001</v>
      </c>
      <c r="X32" s="138" t="e">
        <f ca="1">_xll.qlSimpleQuoteSetValue(F32,W32/100,Trigger)</f>
        <v>#NAME?</v>
      </c>
      <c r="Y32" s="130"/>
    </row>
    <row r="33" spans="1:25" x14ac:dyDescent="0.2">
      <c r="A33" s="135"/>
      <c r="B33" s="143" t="str">
        <f t="shared" si="0"/>
        <v>26Y</v>
      </c>
      <c r="C33" s="142" t="str">
        <f t="shared" si="1"/>
        <v>AB</v>
      </c>
      <c r="D33" s="45" t="str">
        <f t="shared" si="2"/>
        <v>6E</v>
      </c>
      <c r="E33" s="43" t="str">
        <f t="shared" si="3"/>
        <v>EURAB6E26Y_Quote</v>
      </c>
      <c r="F33" s="43" t="e">
        <f ca="1">_xll.qlSimpleQuote(Currency&amp;$C33&amp;$D33&amp;$B33&amp;QuoteSuffix,,RateTickValue,Permanent,Trigger,ObjectOverwrite)</f>
        <v>#NAME?</v>
      </c>
      <c r="G33" s="42" t="e">
        <f ca="1">_xll.ohRangeRetrieveError(F33)</f>
        <v>#NAME?</v>
      </c>
      <c r="H33" s="36"/>
      <c r="J33" s="135"/>
      <c r="K33" s="141" t="s">
        <v>30</v>
      </c>
      <c r="L33" s="141" t="s">
        <v>21</v>
      </c>
      <c r="M33" s="141" t="s">
        <v>66</v>
      </c>
      <c r="N33" s="140" t="str">
        <f t="shared" si="4"/>
        <v>EURAB6E26Y</v>
      </c>
      <c r="O33" s="140" t="str">
        <v>EURAB6E26Y=ICAP</v>
      </c>
      <c r="P33" s="78">
        <v>1.504</v>
      </c>
      <c r="Q33" s="78">
        <v>1.544</v>
      </c>
      <c r="R33" s="78">
        <f t="shared" si="5"/>
        <v>1.524</v>
      </c>
      <c r="S33" s="78">
        <f t="shared" si="6"/>
        <v>4.0000000000000036E-2</v>
      </c>
      <c r="T33" s="115"/>
      <c r="U33" s="139">
        <v>1.524</v>
      </c>
      <c r="V33" s="115"/>
      <c r="W33" s="78">
        <v>1.524</v>
      </c>
      <c r="X33" s="138" t="e">
        <f ca="1">_xll.qlSimpleQuoteSetValue(F33,W33/100,Trigger)</f>
        <v>#NAME?</v>
      </c>
      <c r="Y33" s="130"/>
    </row>
    <row r="34" spans="1:25" x14ac:dyDescent="0.2">
      <c r="A34" s="135"/>
      <c r="B34" s="143" t="str">
        <f t="shared" si="0"/>
        <v>27Y</v>
      </c>
      <c r="C34" s="142" t="str">
        <f t="shared" si="1"/>
        <v>AB</v>
      </c>
      <c r="D34" s="45" t="str">
        <f t="shared" si="2"/>
        <v>6E</v>
      </c>
      <c r="E34" s="43" t="str">
        <f t="shared" si="3"/>
        <v>EURAB6E27Y_Quote</v>
      </c>
      <c r="F34" s="43" t="e">
        <f ca="1">_xll.qlSimpleQuote(Currency&amp;$C34&amp;$D34&amp;$B34&amp;QuoteSuffix,,RateTickValue,Permanent,Trigger,ObjectOverwrite)</f>
        <v>#NAME?</v>
      </c>
      <c r="G34" s="42" t="e">
        <f ca="1">_xll.ohRangeRetrieveError(F34)</f>
        <v>#NAME?</v>
      </c>
      <c r="H34" s="36"/>
      <c r="J34" s="135"/>
      <c r="K34" s="141" t="s">
        <v>29</v>
      </c>
      <c r="L34" s="141" t="s">
        <v>21</v>
      </c>
      <c r="M34" s="141" t="s">
        <v>66</v>
      </c>
      <c r="N34" s="140" t="str">
        <f t="shared" si="4"/>
        <v>EURAB6E27Y</v>
      </c>
      <c r="O34" s="140" t="str">
        <v>EURAB6E27Y=ICAP</v>
      </c>
      <c r="P34" s="78">
        <v>1.5049999999999999</v>
      </c>
      <c r="Q34" s="78">
        <v>1.5449999999999999</v>
      </c>
      <c r="R34" s="78">
        <f t="shared" si="5"/>
        <v>1.5249999999999999</v>
      </c>
      <c r="S34" s="78">
        <f t="shared" si="6"/>
        <v>4.0000000000000036E-2</v>
      </c>
      <c r="T34" s="115"/>
      <c r="U34" s="139">
        <v>1.5249999999999999</v>
      </c>
      <c r="V34" s="115"/>
      <c r="W34" s="78">
        <v>1.5249999999999999</v>
      </c>
      <c r="X34" s="138" t="e">
        <f ca="1">_xll.qlSimpleQuoteSetValue(F34,W34/100,Trigger)</f>
        <v>#NAME?</v>
      </c>
      <c r="Y34" s="130"/>
    </row>
    <row r="35" spans="1:25" x14ac:dyDescent="0.2">
      <c r="A35" s="135"/>
      <c r="B35" s="143" t="str">
        <f t="shared" si="0"/>
        <v>28Y</v>
      </c>
      <c r="C35" s="142" t="str">
        <f t="shared" si="1"/>
        <v>AB</v>
      </c>
      <c r="D35" s="45" t="str">
        <f t="shared" si="2"/>
        <v>6E</v>
      </c>
      <c r="E35" s="43" t="str">
        <f t="shared" si="3"/>
        <v>EURAB6E28Y_Quote</v>
      </c>
      <c r="F35" s="43" t="e">
        <f ca="1">_xll.qlSimpleQuote(Currency&amp;$C35&amp;$D35&amp;$B35&amp;QuoteSuffix,,RateTickValue,Permanent,Trigger,ObjectOverwrite)</f>
        <v>#NAME?</v>
      </c>
      <c r="G35" s="42" t="e">
        <f ca="1">_xll.ohRangeRetrieveError(F35)</f>
        <v>#NAME?</v>
      </c>
      <c r="H35" s="36"/>
      <c r="J35" s="135"/>
      <c r="K35" s="141" t="s">
        <v>28</v>
      </c>
      <c r="L35" s="141" t="s">
        <v>21</v>
      </c>
      <c r="M35" s="141" t="s">
        <v>66</v>
      </c>
      <c r="N35" s="140" t="str">
        <f t="shared" si="4"/>
        <v>EURAB6E28Y</v>
      </c>
      <c r="O35" s="140" t="str">
        <v>EURAB6E28Y=ICAP</v>
      </c>
      <c r="P35" s="78">
        <v>1.506</v>
      </c>
      <c r="Q35" s="78">
        <v>1.546</v>
      </c>
      <c r="R35" s="78">
        <f t="shared" si="5"/>
        <v>1.526</v>
      </c>
      <c r="S35" s="78">
        <f t="shared" si="6"/>
        <v>4.0000000000000036E-2</v>
      </c>
      <c r="T35" s="115"/>
      <c r="U35" s="139">
        <v>1.526</v>
      </c>
      <c r="V35" s="115"/>
      <c r="W35" s="78">
        <v>1.526</v>
      </c>
      <c r="X35" s="138" t="e">
        <f ca="1">_xll.qlSimpleQuoteSetValue(F35,W35/100,Trigger)</f>
        <v>#NAME?</v>
      </c>
      <c r="Y35" s="130"/>
    </row>
    <row r="36" spans="1:25" x14ac:dyDescent="0.2">
      <c r="A36" s="135"/>
      <c r="B36" s="143" t="str">
        <f t="shared" si="0"/>
        <v>29Y</v>
      </c>
      <c r="C36" s="142" t="str">
        <f t="shared" si="1"/>
        <v>AB</v>
      </c>
      <c r="D36" s="45" t="str">
        <f t="shared" si="2"/>
        <v>6E</v>
      </c>
      <c r="E36" s="43" t="str">
        <f t="shared" si="3"/>
        <v>EURAB6E29Y_Quote</v>
      </c>
      <c r="F36" s="43" t="e">
        <f ca="1">_xll.qlSimpleQuote(Currency&amp;$C36&amp;$D36&amp;$B36&amp;QuoteSuffix,,RateTickValue,Permanent,Trigger,ObjectOverwrite)</f>
        <v>#NAME?</v>
      </c>
      <c r="G36" s="42" t="e">
        <f ca="1">_xll.ohRangeRetrieveError(F36)</f>
        <v>#NAME?</v>
      </c>
      <c r="H36" s="36"/>
      <c r="J36" s="135"/>
      <c r="K36" s="141" t="s">
        <v>27</v>
      </c>
      <c r="L36" s="141" t="s">
        <v>21</v>
      </c>
      <c r="M36" s="141" t="s">
        <v>66</v>
      </c>
      <c r="N36" s="140" t="str">
        <f t="shared" si="4"/>
        <v>EURAB6E29Y</v>
      </c>
      <c r="O36" s="140" t="str">
        <v>EURAB6E29Y=ICAP</v>
      </c>
      <c r="P36" s="78">
        <v>1.506</v>
      </c>
      <c r="Q36" s="78">
        <v>1.546</v>
      </c>
      <c r="R36" s="78">
        <f t="shared" si="5"/>
        <v>1.526</v>
      </c>
      <c r="S36" s="78">
        <f t="shared" si="6"/>
        <v>4.0000000000000036E-2</v>
      </c>
      <c r="T36" s="115"/>
      <c r="U36" s="139">
        <v>1.526</v>
      </c>
      <c r="V36" s="115"/>
      <c r="W36" s="78">
        <v>1.526</v>
      </c>
      <c r="X36" s="138" t="e">
        <f ca="1">_xll.qlSimpleQuoteSetValue(F36,W36/100,Trigger)</f>
        <v>#NAME?</v>
      </c>
      <c r="Y36" s="130"/>
    </row>
    <row r="37" spans="1:25" x14ac:dyDescent="0.2">
      <c r="A37" s="135"/>
      <c r="B37" s="143" t="str">
        <f t="shared" si="0"/>
        <v>30Y</v>
      </c>
      <c r="C37" s="142" t="str">
        <f t="shared" si="1"/>
        <v>AB</v>
      </c>
      <c r="D37" s="45" t="str">
        <f t="shared" si="2"/>
        <v>6E</v>
      </c>
      <c r="E37" s="43" t="str">
        <f t="shared" si="3"/>
        <v>EURAB6E30Y_Quote</v>
      </c>
      <c r="F37" s="43" t="e">
        <f ca="1">_xll.qlSimpleQuote(Currency&amp;$C37&amp;$D37&amp;$B37&amp;QuoteSuffix,,RateTickValue,Permanent,Trigger,ObjectOverwrite)</f>
        <v>#NAME?</v>
      </c>
      <c r="G37" s="42" t="e">
        <f ca="1">_xll.ohRangeRetrieveError(F37)</f>
        <v>#NAME?</v>
      </c>
      <c r="H37" s="36"/>
      <c r="J37" s="135"/>
      <c r="K37" s="141" t="s">
        <v>26</v>
      </c>
      <c r="L37" s="141" t="s">
        <v>21</v>
      </c>
      <c r="M37" s="141" t="s">
        <v>66</v>
      </c>
      <c r="N37" s="140" t="str">
        <f t="shared" si="4"/>
        <v>EURAB6E30Y</v>
      </c>
      <c r="O37" s="140" t="str">
        <v>EURAB6E30Y=ICAP</v>
      </c>
      <c r="P37" s="78">
        <v>1.5070000000000001</v>
      </c>
      <c r="Q37" s="78">
        <v>1.5469999999999999</v>
      </c>
      <c r="R37" s="78">
        <f t="shared" si="5"/>
        <v>1.5270000000000001</v>
      </c>
      <c r="S37" s="78">
        <f t="shared" si="6"/>
        <v>4.0000000000000036E-2</v>
      </c>
      <c r="T37" s="115"/>
      <c r="U37" s="139">
        <v>1.5270000000000001</v>
      </c>
      <c r="V37" s="115"/>
      <c r="W37" s="78">
        <v>1.5270000000000001</v>
      </c>
      <c r="X37" s="138" t="e">
        <f ca="1">_xll.qlSimpleQuoteSetValue(F37,W37/100,Trigger)</f>
        <v>#NAME?</v>
      </c>
      <c r="Y37" s="130"/>
    </row>
    <row r="38" spans="1:25" x14ac:dyDescent="0.2">
      <c r="A38" s="135"/>
      <c r="B38" s="143" t="str">
        <f t="shared" si="0"/>
        <v>35Y</v>
      </c>
      <c r="C38" s="142" t="str">
        <f t="shared" si="1"/>
        <v>AB</v>
      </c>
      <c r="D38" s="45" t="str">
        <f t="shared" si="2"/>
        <v>6E</v>
      </c>
      <c r="E38" s="43" t="str">
        <f t="shared" si="3"/>
        <v>EURAB6E35Y_Quote</v>
      </c>
      <c r="F38" s="43" t="e">
        <f ca="1">_xll.qlSimpleQuote(Currency&amp;$C38&amp;$D38&amp;$B38&amp;QuoteSuffix,,RateTickValue,Permanent,Trigger,ObjectOverwrite)</f>
        <v>#NAME?</v>
      </c>
      <c r="G38" s="42" t="e">
        <f ca="1">_xll.ohRangeRetrieveError(F38)</f>
        <v>#NAME?</v>
      </c>
      <c r="H38" s="36"/>
      <c r="J38" s="135"/>
      <c r="K38" s="141" t="s">
        <v>25</v>
      </c>
      <c r="L38" s="141" t="s">
        <v>21</v>
      </c>
      <c r="M38" s="141" t="s">
        <v>66</v>
      </c>
      <c r="N38" s="140" t="str">
        <f t="shared" si="4"/>
        <v>EURAB6E35Y</v>
      </c>
      <c r="O38" s="140" t="str">
        <v>EURAB6E35Y=ICAP</v>
      </c>
      <c r="P38" s="78">
        <v>1.5129999999999999</v>
      </c>
      <c r="Q38" s="78">
        <v>1.5529999999999999</v>
      </c>
      <c r="R38" s="78">
        <f t="shared" si="5"/>
        <v>1.5329999999999999</v>
      </c>
      <c r="S38" s="78">
        <f t="shared" si="6"/>
        <v>4.0000000000000036E-2</v>
      </c>
      <c r="T38" s="115"/>
      <c r="U38" s="139">
        <v>1.5329999999999999</v>
      </c>
      <c r="V38" s="115"/>
      <c r="W38" s="78">
        <v>1.5329999999999999</v>
      </c>
      <c r="X38" s="138" t="e">
        <f ca="1">_xll.qlSimpleQuoteSetValue(F38,W38/100,Trigger)</f>
        <v>#NAME?</v>
      </c>
      <c r="Y38" s="130"/>
    </row>
    <row r="39" spans="1:25" x14ac:dyDescent="0.2">
      <c r="A39" s="135"/>
      <c r="B39" s="143" t="str">
        <f t="shared" si="0"/>
        <v>40Y</v>
      </c>
      <c r="C39" s="142" t="str">
        <f t="shared" si="1"/>
        <v>AB</v>
      </c>
      <c r="D39" s="45" t="str">
        <f t="shared" si="2"/>
        <v>6E</v>
      </c>
      <c r="E39" s="43" t="str">
        <f t="shared" si="3"/>
        <v>EURAB6E40Y_Quote</v>
      </c>
      <c r="F39" s="43" t="e">
        <f ca="1">_xll.qlSimpleQuote(Currency&amp;$C39&amp;$D39&amp;$B39&amp;QuoteSuffix,,RateTickValue,Permanent,Trigger,ObjectOverwrite)</f>
        <v>#NAME?</v>
      </c>
      <c r="G39" s="42" t="e">
        <f ca="1">_xll.ohRangeRetrieveError(F39)</f>
        <v>#NAME?</v>
      </c>
      <c r="H39" s="36"/>
      <c r="J39" s="135"/>
      <c r="K39" s="141" t="s">
        <v>24</v>
      </c>
      <c r="L39" s="141" t="s">
        <v>21</v>
      </c>
      <c r="M39" s="141" t="s">
        <v>66</v>
      </c>
      <c r="N39" s="140" t="str">
        <f t="shared" si="4"/>
        <v>EURAB6E40Y</v>
      </c>
      <c r="O39" s="140" t="str">
        <v>EURAB6E40Y=ICAP</v>
      </c>
      <c r="P39" s="78">
        <v>1.51</v>
      </c>
      <c r="Q39" s="78">
        <v>1.55</v>
      </c>
      <c r="R39" s="78">
        <f t="shared" si="5"/>
        <v>1.53</v>
      </c>
      <c r="S39" s="78">
        <f t="shared" si="6"/>
        <v>4.0000000000000036E-2</v>
      </c>
      <c r="T39" s="115"/>
      <c r="U39" s="139">
        <v>1.53</v>
      </c>
      <c r="V39" s="115"/>
      <c r="W39" s="78">
        <v>1.53</v>
      </c>
      <c r="X39" s="138" t="e">
        <f ca="1">_xll.qlSimpleQuoteSetValue(F39,W39/100,Trigger)</f>
        <v>#NAME?</v>
      </c>
      <c r="Y39" s="130"/>
    </row>
    <row r="40" spans="1:25" x14ac:dyDescent="0.2">
      <c r="A40" s="135"/>
      <c r="B40" s="143" t="str">
        <f t="shared" si="0"/>
        <v>50Y</v>
      </c>
      <c r="C40" s="142" t="str">
        <f t="shared" si="1"/>
        <v>AB</v>
      </c>
      <c r="D40" s="45" t="str">
        <f t="shared" si="2"/>
        <v>6E</v>
      </c>
      <c r="E40" s="43" t="str">
        <f t="shared" si="3"/>
        <v>EURAB6E50Y_Quote</v>
      </c>
      <c r="F40" s="43" t="e">
        <f ca="1">_xll.qlSimpleQuote(Currency&amp;$C40&amp;$D40&amp;$B40&amp;QuoteSuffix,,RateTickValue,Permanent,Trigger,ObjectOverwrite)</f>
        <v>#NAME?</v>
      </c>
      <c r="G40" s="42" t="e">
        <f ca="1">_xll.ohRangeRetrieveError(F40)</f>
        <v>#NAME?</v>
      </c>
      <c r="H40" s="36"/>
      <c r="J40" s="135"/>
      <c r="K40" s="141" t="s">
        <v>23</v>
      </c>
      <c r="L40" s="141" t="s">
        <v>21</v>
      </c>
      <c r="M40" s="141" t="s">
        <v>66</v>
      </c>
      <c r="N40" s="140" t="str">
        <f t="shared" si="4"/>
        <v>EURAB6E50Y</v>
      </c>
      <c r="O40" s="140" t="str">
        <v>EURAB6E50Y=ICAP</v>
      </c>
      <c r="P40" s="78">
        <v>1.464</v>
      </c>
      <c r="Q40" s="78">
        <v>1.504</v>
      </c>
      <c r="R40" s="78">
        <f t="shared" si="5"/>
        <v>1.484</v>
      </c>
      <c r="S40" s="78">
        <f t="shared" si="6"/>
        <v>4.0000000000000036E-2</v>
      </c>
      <c r="T40" s="115"/>
      <c r="U40" s="139">
        <v>1.484</v>
      </c>
      <c r="V40" s="115"/>
      <c r="W40" s="78">
        <v>1.484</v>
      </c>
      <c r="X40" s="138" t="e">
        <f ca="1">_xll.qlSimpleQuoteSetValue(F40,W40/100,Trigger)</f>
        <v>#NAME?</v>
      </c>
      <c r="Y40" s="130"/>
    </row>
    <row r="41" spans="1:25" x14ac:dyDescent="0.2">
      <c r="A41" s="135"/>
      <c r="B41" s="137" t="str">
        <f t="shared" si="0"/>
        <v>60Y</v>
      </c>
      <c r="C41" s="136" t="str">
        <f t="shared" si="1"/>
        <v>AB</v>
      </c>
      <c r="D41" s="40" t="str">
        <f t="shared" si="2"/>
        <v>6E</v>
      </c>
      <c r="E41" s="38" t="str">
        <f t="shared" si="3"/>
        <v>EURAB6E60Y_Quote</v>
      </c>
      <c r="F41" s="38" t="e">
        <f ca="1">_xll.qlSimpleQuote(Currency&amp;$C41&amp;$D41&amp;$B41&amp;QuoteSuffix,,RateTickValue,Permanent,Trigger,ObjectOverwrite)</f>
        <v>#NAME?</v>
      </c>
      <c r="G41" s="37" t="e">
        <f ca="1">_xll.ohRangeRetrieveError(F41)</f>
        <v>#NAME?</v>
      </c>
      <c r="H41" s="36"/>
      <c r="J41" s="135"/>
      <c r="K41" s="141" t="s">
        <v>22</v>
      </c>
      <c r="L41" s="141" t="s">
        <v>21</v>
      </c>
      <c r="M41" s="141" t="s">
        <v>66</v>
      </c>
      <c r="N41" s="140" t="str">
        <f t="shared" si="4"/>
        <v>EURAB6E60Y</v>
      </c>
      <c r="O41" s="140" t="str">
        <v>EURAB6E60Y=ICAP</v>
      </c>
      <c r="P41" s="78">
        <v>1.4490000000000001</v>
      </c>
      <c r="Q41" s="78">
        <v>1.4889999999999999</v>
      </c>
      <c r="R41" s="78">
        <f t="shared" si="5"/>
        <v>1.4689999999999999</v>
      </c>
      <c r="S41" s="65">
        <f t="shared" si="6"/>
        <v>3.9999999999999591E-2</v>
      </c>
      <c r="T41" s="115"/>
      <c r="U41" s="132">
        <v>1.4689999999999999</v>
      </c>
      <c r="V41" s="115"/>
      <c r="W41" s="65">
        <v>1.4689999999999999</v>
      </c>
      <c r="X41" s="131" t="e">
        <f ca="1">_xll.qlSimpleQuoteSetValue(F41,W41/100,Trigger)</f>
        <v>#NAME?</v>
      </c>
      <c r="Y41" s="130"/>
    </row>
    <row r="42" spans="1:25" x14ac:dyDescent="0.2">
      <c r="A42" s="174"/>
      <c r="B42" s="173"/>
      <c r="C42" s="173"/>
      <c r="D42" s="173"/>
      <c r="E42" s="173"/>
      <c r="F42" s="173"/>
      <c r="G42" s="173"/>
      <c r="H42" s="32"/>
      <c r="J42" s="35"/>
      <c r="K42" s="172"/>
      <c r="L42" s="172"/>
      <c r="M42" s="172"/>
      <c r="N42" s="172"/>
      <c r="O42" s="172"/>
      <c r="P42" s="172"/>
      <c r="Q42" s="172"/>
      <c r="R42" s="172"/>
      <c r="S42" s="34"/>
      <c r="T42" s="34"/>
      <c r="U42" s="34"/>
      <c r="V42" s="34"/>
      <c r="W42" s="34"/>
      <c r="X42" s="34"/>
      <c r="Y42" s="129"/>
    </row>
  </sheetData>
  <conditionalFormatting sqref="X5:X7">
    <cfRule type="cellIs" dxfId="11" priority="5" stopIfTrue="1" operator="greaterThan">
      <formula>0</formula>
    </cfRule>
    <cfRule type="cellIs" dxfId="10" priority="6" stopIfTrue="1" operator="lessThan">
      <formula>0</formula>
    </cfRule>
  </conditionalFormatting>
  <conditionalFormatting sqref="X8:X18">
    <cfRule type="cellIs" dxfId="9" priority="3" stopIfTrue="1" operator="greaterThan">
      <formula>0</formula>
    </cfRule>
    <cfRule type="cellIs" dxfId="8" priority="4" stopIfTrue="1" operator="lessThan">
      <formula>0</formula>
    </cfRule>
  </conditionalFormatting>
  <conditionalFormatting sqref="X19:X41">
    <cfRule type="cellIs" dxfId="7" priority="1" stopIfTrue="1" operator="greaterThan">
      <formula>0</formula>
    </cfRule>
    <cfRule type="cellIs" dxfId="6"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W329"/>
  <sheetViews>
    <sheetView showGridLines="0" topLeftCell="H1" workbookViewId="0">
      <selection activeCell="W2" sqref="W2:W3"/>
    </sheetView>
  </sheetViews>
  <sheetFormatPr defaultRowHeight="11.25" outlineLevelCol="1" x14ac:dyDescent="0.2"/>
  <cols>
    <col min="1" max="1" width="2.7109375" style="154" hidden="1" customWidth="1" outlineLevel="1"/>
    <col min="2" max="2" width="7" style="154" hidden="1" customWidth="1" outlineLevel="1"/>
    <col min="3" max="3" width="9" style="154" hidden="1" customWidth="1" outlineLevel="1"/>
    <col min="4" max="4" width="16.140625" style="154" hidden="1" customWidth="1" outlineLevel="1"/>
    <col min="5" max="5" width="25.7109375" style="155" hidden="1" customWidth="1" outlineLevel="1"/>
    <col min="6" max="6" width="25.7109375" style="154" hidden="1" customWidth="1" outlineLevel="1"/>
    <col min="7" max="7" width="2.7109375" style="154" hidden="1" customWidth="1" outlineLevel="1"/>
    <col min="8" max="8" width="3" style="154" customWidth="1" collapsed="1"/>
    <col min="9" max="9" width="2.7109375" style="154" customWidth="1"/>
    <col min="10" max="10" width="3.85546875" style="154" bestFit="1" customWidth="1"/>
    <col min="11" max="11" width="3.5703125" style="154" bestFit="1" customWidth="1"/>
    <col min="12" max="12" width="14.7109375" style="154" customWidth="1"/>
    <col min="13" max="13" width="18.7109375" style="154" customWidth="1"/>
    <col min="14" max="14" width="10.7109375" style="154" customWidth="1"/>
    <col min="15" max="15" width="2.7109375" style="154" customWidth="1"/>
    <col min="16" max="16" width="10.7109375" style="154" customWidth="1"/>
    <col min="17" max="17" width="2.7109375" style="154" customWidth="1"/>
    <col min="18" max="19" width="10.7109375" style="154" customWidth="1"/>
    <col min="20" max="20" width="2.7109375" style="154" customWidth="1"/>
    <col min="21" max="16384" width="9.140625" style="154"/>
  </cols>
  <sheetData>
    <row r="1" spans="1:23" ht="12" thickBot="1" x14ac:dyDescent="0.25">
      <c r="A1" s="128"/>
      <c r="B1" s="54"/>
      <c r="C1" s="54"/>
      <c r="D1" s="54"/>
      <c r="E1" s="55"/>
      <c r="F1" s="54"/>
      <c r="G1" s="53"/>
      <c r="I1" s="128" t="s">
        <v>105</v>
      </c>
      <c r="J1" s="123"/>
      <c r="K1" s="123"/>
      <c r="L1" s="123"/>
      <c r="M1" s="123"/>
      <c r="N1" s="123"/>
      <c r="O1" s="123"/>
      <c r="P1" s="123"/>
      <c r="Q1" s="123"/>
      <c r="R1" s="123"/>
      <c r="S1" s="123"/>
      <c r="T1" s="171"/>
    </row>
    <row r="2" spans="1:23" ht="15" x14ac:dyDescent="0.25">
      <c r="A2" s="117"/>
      <c r="B2" s="109"/>
      <c r="C2" s="109"/>
      <c r="D2" s="109"/>
      <c r="E2" s="151"/>
      <c r="F2" s="109"/>
      <c r="G2" s="120"/>
      <c r="I2" s="117"/>
      <c r="J2" s="110"/>
      <c r="K2" s="170"/>
      <c r="L2" s="170"/>
      <c r="M2" s="119" t="str">
        <f>VLOOKUP(I1,AreaTable,2,FALSE)</f>
        <v>ICAP</v>
      </c>
      <c r="N2" s="111"/>
      <c r="O2" s="111"/>
      <c r="P2" s="111"/>
      <c r="Q2" s="111"/>
      <c r="R2" s="111"/>
      <c r="S2" s="118" t="e">
        <f ca="1">_xll.ohTrigger(S5:S328)</f>
        <v>#NAME?</v>
      </c>
      <c r="T2" s="36"/>
      <c r="V2" s="1361" t="s">
        <v>529</v>
      </c>
      <c r="W2" s="1364" t="e">
        <f ca="1">_xll.ohTrigger('General Settings'!Trigger)</f>
        <v>#NAME?</v>
      </c>
    </row>
    <row r="3" spans="1:23" ht="15.75" thickBot="1" x14ac:dyDescent="0.3">
      <c r="A3" s="169"/>
      <c r="B3" s="109"/>
      <c r="C3" s="109"/>
      <c r="D3" s="109"/>
      <c r="E3" s="151"/>
      <c r="F3" s="109"/>
      <c r="G3" s="120"/>
      <c r="I3" s="113"/>
      <c r="J3" s="110"/>
      <c r="K3" s="168"/>
      <c r="L3" s="168"/>
      <c r="M3" s="168"/>
      <c r="N3" s="168"/>
      <c r="O3" s="168"/>
      <c r="P3" s="168"/>
      <c r="Q3" s="168"/>
      <c r="R3" s="168"/>
      <c r="S3" s="168"/>
      <c r="T3" s="167"/>
      <c r="V3" s="1362" t="s">
        <v>530</v>
      </c>
      <c r="W3" s="1365" t="e">
        <f ca="1">_xll.ohTrigger(S5:S328)</f>
        <v>#NAME?</v>
      </c>
    </row>
    <row r="4" spans="1:23" x14ac:dyDescent="0.2">
      <c r="A4" s="135"/>
      <c r="B4" s="150" t="s">
        <v>65</v>
      </c>
      <c r="C4" s="150" t="s">
        <v>104</v>
      </c>
      <c r="D4" s="51" t="s">
        <v>103</v>
      </c>
      <c r="E4" s="51" t="s">
        <v>102</v>
      </c>
      <c r="F4" s="50" t="s">
        <v>59</v>
      </c>
      <c r="G4" s="36"/>
      <c r="H4" s="166"/>
      <c r="I4" s="113"/>
      <c r="J4" s="146"/>
      <c r="K4" s="146"/>
      <c r="L4" s="146" t="s">
        <v>101</v>
      </c>
      <c r="M4" s="148" t="e">
        <f ca="1">_xll.RData(M5:M328,N4,,ReutersRtMode,,N5)</f>
        <v>#NAME?</v>
      </c>
      <c r="N4" s="147" t="s">
        <v>100</v>
      </c>
      <c r="O4" s="111"/>
      <c r="P4" s="147" t="s">
        <v>78</v>
      </c>
      <c r="Q4" s="111"/>
      <c r="R4" s="147" t="s">
        <v>77</v>
      </c>
      <c r="S4" s="147" t="s">
        <v>76</v>
      </c>
      <c r="T4" s="130"/>
    </row>
    <row r="5" spans="1:23" x14ac:dyDescent="0.2">
      <c r="A5" s="135"/>
      <c r="B5" s="165" t="str">
        <f t="shared" ref="B5:B68" si="0">J5</f>
        <v>1Y</v>
      </c>
      <c r="C5" s="165" t="str">
        <f t="shared" ref="C5:C68" si="1">K5</f>
        <v>1F</v>
      </c>
      <c r="D5" s="47" t="str">
        <f t="shared" ref="D5:D68" si="2">Currency&amp;$C5&amp;B5&amp;QuoteSuffix</f>
        <v>EUR1F1Y_Quote</v>
      </c>
      <c r="E5" s="47" t="e">
        <f ca="1">_xll.qlSimpleQuote(D5,,RateTickValue,Permanent,Trigger,ObjectOverwrite)</f>
        <v>#NAME?</v>
      </c>
      <c r="F5" s="46" t="e">
        <f ca="1">_xll.ohRangeRetrieveError(E5)</f>
        <v>#NAME?</v>
      </c>
      <c r="G5" s="36"/>
      <c r="H5" s="162"/>
      <c r="I5" s="135">
        <v>1</v>
      </c>
      <c r="J5" s="138" t="s">
        <v>58</v>
      </c>
      <c r="K5" s="138" t="str">
        <f t="shared" ref="K5:K22" si="3">$I$5&amp;"F"</f>
        <v>1F</v>
      </c>
      <c r="L5" s="140" t="str">
        <f t="shared" ref="L5:L68" si="4">Currency&amp;$K5&amp;$J5</f>
        <v>EUR1F1Y</v>
      </c>
      <c r="M5" s="140" t="str">
        <f t="array" ref="M5:M328">Instruments&amp;"="&amp;VLOOKUP(Contributor,ContributorTable,2,FALSE)</f>
        <v>EUR1F1Y=ICAP</v>
      </c>
      <c r="N5" s="78">
        <v>0.10100000000000001</v>
      </c>
      <c r="O5" s="111"/>
      <c r="P5" s="78">
        <v>0.10100000000000001</v>
      </c>
      <c r="Q5" s="111"/>
      <c r="R5" s="78">
        <f t="array" ref="R5:R328">QuoteStatic</f>
        <v>0.10100000000000001</v>
      </c>
      <c r="S5" s="78" t="e">
        <f ca="1">_xll.qlSimpleQuoteSetValue(E5,R5/100,Trigger)</f>
        <v>#NAME?</v>
      </c>
      <c r="T5" s="130"/>
      <c r="V5" s="161"/>
    </row>
    <row r="6" spans="1:23" x14ac:dyDescent="0.2">
      <c r="A6" s="135"/>
      <c r="B6" s="45" t="str">
        <f t="shared" si="0"/>
        <v>2Y</v>
      </c>
      <c r="C6" s="45" t="str">
        <f t="shared" si="1"/>
        <v>1F</v>
      </c>
      <c r="D6" s="43" t="str">
        <f t="shared" si="2"/>
        <v>EUR1F2Y_Quote</v>
      </c>
      <c r="E6" s="43" t="e">
        <f ca="1">_xll.qlSimpleQuote(D6,,RateTickValue,Permanent,Trigger,ObjectOverwrite)</f>
        <v>#NAME?</v>
      </c>
      <c r="F6" s="42" t="e">
        <f ca="1">_xll.ohRangeRetrieveError(E6)</f>
        <v>#NAME?</v>
      </c>
      <c r="G6" s="36"/>
      <c r="H6" s="162"/>
      <c r="I6" s="113"/>
      <c r="J6" s="138" t="s">
        <v>54</v>
      </c>
      <c r="K6" s="138" t="str">
        <f t="shared" si="3"/>
        <v>1F</v>
      </c>
      <c r="L6" s="140" t="str">
        <f t="shared" si="4"/>
        <v>EUR1F2Y</v>
      </c>
      <c r="M6" s="140" t="str">
        <v>EUR1F2Y=ICAP</v>
      </c>
      <c r="N6" s="78">
        <v>0.16999999999999998</v>
      </c>
      <c r="O6" s="111"/>
      <c r="P6" s="78">
        <v>0.16999999999999998</v>
      </c>
      <c r="Q6" s="111"/>
      <c r="R6" s="78">
        <v>0.16999999999999998</v>
      </c>
      <c r="S6" s="78" t="e">
        <f ca="1">_xll.qlSimpleQuoteSetValue(E6,R6/100,Trigger)</f>
        <v>#NAME?</v>
      </c>
      <c r="T6" s="130"/>
      <c r="V6" s="161"/>
    </row>
    <row r="7" spans="1:23" x14ac:dyDescent="0.2">
      <c r="A7" s="135"/>
      <c r="B7" s="45" t="str">
        <f t="shared" si="0"/>
        <v>3Y</v>
      </c>
      <c r="C7" s="45" t="str">
        <f t="shared" si="1"/>
        <v>1F</v>
      </c>
      <c r="D7" s="43" t="str">
        <f t="shared" si="2"/>
        <v>EUR1F3Y_Quote</v>
      </c>
      <c r="E7" s="43" t="e">
        <f ca="1">_xll.qlSimpleQuote(D7,,RateTickValue,Permanent,Trigger,ObjectOverwrite)</f>
        <v>#NAME?</v>
      </c>
      <c r="F7" s="42" t="e">
        <f ca="1">_xll.ohRangeRetrieveError(E7)</f>
        <v>#NAME?</v>
      </c>
      <c r="G7" s="36"/>
      <c r="H7" s="162"/>
      <c r="I7" s="113"/>
      <c r="J7" s="138" t="s">
        <v>53</v>
      </c>
      <c r="K7" s="138" t="str">
        <f t="shared" si="3"/>
        <v>1F</v>
      </c>
      <c r="L7" s="140" t="str">
        <f t="shared" si="4"/>
        <v>EUR1F3Y</v>
      </c>
      <c r="M7" s="140" t="str">
        <v>EUR1F3Y=ICAP</v>
      </c>
      <c r="N7" s="78">
        <v>0.29599999999999999</v>
      </c>
      <c r="O7" s="111"/>
      <c r="P7" s="78">
        <v>0.29599999999999999</v>
      </c>
      <c r="Q7" s="111"/>
      <c r="R7" s="78">
        <v>0.29599999999999999</v>
      </c>
      <c r="S7" s="78" t="e">
        <f ca="1">_xll.qlSimpleQuoteSetValue(E7,R7/100,Trigger)</f>
        <v>#NAME?</v>
      </c>
      <c r="T7" s="130"/>
      <c r="V7" s="161"/>
    </row>
    <row r="8" spans="1:23" x14ac:dyDescent="0.2">
      <c r="A8" s="135"/>
      <c r="B8" s="45" t="str">
        <f t="shared" si="0"/>
        <v>4Y</v>
      </c>
      <c r="C8" s="45" t="str">
        <f t="shared" si="1"/>
        <v>1F</v>
      </c>
      <c r="D8" s="43" t="str">
        <f t="shared" si="2"/>
        <v>EUR1F4Y_Quote</v>
      </c>
      <c r="E8" s="43" t="e">
        <f ca="1">_xll.qlSimpleQuote(D8,,RateTickValue,Permanent,Trigger,ObjectOverwrite)</f>
        <v>#NAME?</v>
      </c>
      <c r="F8" s="42" t="e">
        <f ca="1">_xll.ohRangeRetrieveError(E8)</f>
        <v>#NAME?</v>
      </c>
      <c r="G8" s="36"/>
      <c r="H8" s="162"/>
      <c r="I8" s="113"/>
      <c r="J8" s="138" t="s">
        <v>52</v>
      </c>
      <c r="K8" s="138" t="str">
        <f t="shared" si="3"/>
        <v>1F</v>
      </c>
      <c r="L8" s="140" t="str">
        <f t="shared" si="4"/>
        <v>EUR1F4Y</v>
      </c>
      <c r="M8" s="140" t="str">
        <v>EUR1F4Y=ICAP</v>
      </c>
      <c r="N8" s="78">
        <v>0.433</v>
      </c>
      <c r="O8" s="111"/>
      <c r="P8" s="78">
        <v>0.433</v>
      </c>
      <c r="Q8" s="111"/>
      <c r="R8" s="78">
        <v>0.433</v>
      </c>
      <c r="S8" s="78" t="e">
        <f ca="1">_xll.qlSimpleQuoteSetValue(E8,R8/100,Trigger)</f>
        <v>#NAME?</v>
      </c>
      <c r="T8" s="130"/>
      <c r="V8" s="161"/>
    </row>
    <row r="9" spans="1:23" x14ac:dyDescent="0.2">
      <c r="A9" s="135"/>
      <c r="B9" s="45" t="str">
        <f t="shared" si="0"/>
        <v>5Y</v>
      </c>
      <c r="C9" s="45" t="str">
        <f t="shared" si="1"/>
        <v>1F</v>
      </c>
      <c r="D9" s="43" t="str">
        <f t="shared" si="2"/>
        <v>EUR1F5Y_Quote</v>
      </c>
      <c r="E9" s="43" t="e">
        <f ca="1">_xll.qlSimpleQuote(D9,,RateTickValue,Permanent,Trigger,ObjectOverwrite)</f>
        <v>#NAME?</v>
      </c>
      <c r="F9" s="42" t="e">
        <f ca="1">_xll.ohRangeRetrieveError(E9)</f>
        <v>#NAME?</v>
      </c>
      <c r="G9" s="36"/>
      <c r="H9" s="162"/>
      <c r="I9" s="113"/>
      <c r="J9" s="138" t="s">
        <v>51</v>
      </c>
      <c r="K9" s="138" t="str">
        <f t="shared" si="3"/>
        <v>1F</v>
      </c>
      <c r="L9" s="140" t="str">
        <f t="shared" si="4"/>
        <v>EUR1F5Y</v>
      </c>
      <c r="M9" s="140" t="str">
        <v>EUR1F5Y=ICAP</v>
      </c>
      <c r="N9" s="78">
        <v>0.57400000000000007</v>
      </c>
      <c r="O9" s="111"/>
      <c r="P9" s="78">
        <v>0.57400000000000007</v>
      </c>
      <c r="Q9" s="111"/>
      <c r="R9" s="78">
        <v>0.57400000000000007</v>
      </c>
      <c r="S9" s="78" t="e">
        <f ca="1">_xll.qlSimpleQuoteSetValue(E9,R9/100,Trigger)</f>
        <v>#NAME?</v>
      </c>
      <c r="T9" s="130"/>
      <c r="V9" s="161"/>
    </row>
    <row r="10" spans="1:23" x14ac:dyDescent="0.2">
      <c r="A10" s="135"/>
      <c r="B10" s="45" t="str">
        <f t="shared" si="0"/>
        <v>6Y</v>
      </c>
      <c r="C10" s="45" t="str">
        <f t="shared" si="1"/>
        <v>1F</v>
      </c>
      <c r="D10" s="43" t="str">
        <f t="shared" si="2"/>
        <v>EUR1F6Y_Quote</v>
      </c>
      <c r="E10" s="43" t="e">
        <f ca="1">_xll.qlSimpleQuote(D10,,RateTickValue,Permanent,Trigger,ObjectOverwrite)</f>
        <v>#NAME?</v>
      </c>
      <c r="F10" s="42" t="e">
        <f ca="1">_xll.ohRangeRetrieveError(E10)</f>
        <v>#NAME?</v>
      </c>
      <c r="G10" s="36"/>
      <c r="H10" s="162"/>
      <c r="I10" s="113"/>
      <c r="J10" s="138" t="s">
        <v>50</v>
      </c>
      <c r="K10" s="138" t="str">
        <f t="shared" si="3"/>
        <v>1F</v>
      </c>
      <c r="L10" s="140" t="str">
        <f t="shared" si="4"/>
        <v>EUR1F6Y</v>
      </c>
      <c r="M10" s="140" t="str">
        <v>EUR1F6Y=ICAP</v>
      </c>
      <c r="N10" s="78">
        <v>0.71399999999999997</v>
      </c>
      <c r="O10" s="111"/>
      <c r="P10" s="78">
        <v>0.71399999999999997</v>
      </c>
      <c r="Q10" s="111"/>
      <c r="R10" s="78">
        <v>0.71399999999999997</v>
      </c>
      <c r="S10" s="78" t="e">
        <f ca="1">_xll.qlSimpleQuoteSetValue(E10,R10/100,Trigger)</f>
        <v>#NAME?</v>
      </c>
      <c r="T10" s="130"/>
      <c r="V10" s="161"/>
    </row>
    <row r="11" spans="1:23" x14ac:dyDescent="0.2">
      <c r="A11" s="135"/>
      <c r="B11" s="45" t="str">
        <f t="shared" si="0"/>
        <v>7Y</v>
      </c>
      <c r="C11" s="45" t="str">
        <f t="shared" si="1"/>
        <v>1F</v>
      </c>
      <c r="D11" s="43" t="str">
        <f t="shared" si="2"/>
        <v>EUR1F7Y_Quote</v>
      </c>
      <c r="E11" s="43" t="e">
        <f ca="1">_xll.qlSimpleQuote(D11,,RateTickValue,Permanent,Trigger,ObjectOverwrite)</f>
        <v>#NAME?</v>
      </c>
      <c r="F11" s="42" t="e">
        <f ca="1">_xll.ohRangeRetrieveError(E11)</f>
        <v>#NAME?</v>
      </c>
      <c r="G11" s="36"/>
      <c r="H11" s="162"/>
      <c r="I11" s="113"/>
      <c r="J11" s="138" t="s">
        <v>49</v>
      </c>
      <c r="K11" s="138" t="str">
        <f t="shared" si="3"/>
        <v>1F</v>
      </c>
      <c r="L11" s="140" t="str">
        <f t="shared" si="4"/>
        <v>EUR1F7Y</v>
      </c>
      <c r="M11" s="140" t="str">
        <v>EUR1F7Y=ICAP</v>
      </c>
      <c r="N11" s="78">
        <v>0.84600000000000009</v>
      </c>
      <c r="O11" s="111"/>
      <c r="P11" s="78">
        <v>0.84600000000000009</v>
      </c>
      <c r="Q11" s="111"/>
      <c r="R11" s="78">
        <v>0.84600000000000009</v>
      </c>
      <c r="S11" s="78" t="e">
        <f ca="1">_xll.qlSimpleQuoteSetValue(E11,R11/100,Trigger)</f>
        <v>#NAME?</v>
      </c>
      <c r="T11" s="130"/>
      <c r="V11" s="161"/>
    </row>
    <row r="12" spans="1:23" x14ac:dyDescent="0.2">
      <c r="A12" s="135"/>
      <c r="B12" s="45" t="str">
        <f t="shared" si="0"/>
        <v>8Y</v>
      </c>
      <c r="C12" s="45" t="str">
        <f t="shared" si="1"/>
        <v>1F</v>
      </c>
      <c r="D12" s="43" t="str">
        <f t="shared" si="2"/>
        <v>EUR1F8Y_Quote</v>
      </c>
      <c r="E12" s="43" t="e">
        <f ca="1">_xll.qlSimpleQuote(D12,,RateTickValue,Permanent,Trigger,ObjectOverwrite)</f>
        <v>#NAME?</v>
      </c>
      <c r="F12" s="42" t="e">
        <f ca="1">_xll.ohRangeRetrieveError(E12)</f>
        <v>#NAME?</v>
      </c>
      <c r="G12" s="36"/>
      <c r="H12" s="162"/>
      <c r="I12" s="113"/>
      <c r="J12" s="138" t="s">
        <v>48</v>
      </c>
      <c r="K12" s="138" t="str">
        <f t="shared" si="3"/>
        <v>1F</v>
      </c>
      <c r="L12" s="140" t="str">
        <f t="shared" si="4"/>
        <v>EUR1F8Y</v>
      </c>
      <c r="M12" s="140" t="str">
        <v>EUR1F8Y=ICAP</v>
      </c>
      <c r="N12" s="78">
        <v>0.96699999999999997</v>
      </c>
      <c r="O12" s="111"/>
      <c r="P12" s="78">
        <v>0.96699999999999997</v>
      </c>
      <c r="Q12" s="111"/>
      <c r="R12" s="78">
        <v>0.96699999999999997</v>
      </c>
      <c r="S12" s="78" t="e">
        <f ca="1">_xll.qlSimpleQuoteSetValue(E12,R12/100,Trigger)</f>
        <v>#NAME?</v>
      </c>
      <c r="T12" s="130"/>
      <c r="V12" s="161"/>
    </row>
    <row r="13" spans="1:23" x14ac:dyDescent="0.2">
      <c r="A13" s="135"/>
      <c r="B13" s="45" t="str">
        <f t="shared" si="0"/>
        <v>9Y</v>
      </c>
      <c r="C13" s="45" t="str">
        <f t="shared" si="1"/>
        <v>1F</v>
      </c>
      <c r="D13" s="43" t="str">
        <f t="shared" si="2"/>
        <v>EUR1F9Y_Quote</v>
      </c>
      <c r="E13" s="43" t="e">
        <f ca="1">_xll.qlSimpleQuote(D13,,RateTickValue,Permanent,Trigger,ObjectOverwrite)</f>
        <v>#NAME?</v>
      </c>
      <c r="F13" s="42" t="e">
        <f ca="1">_xll.ohRangeRetrieveError(E13)</f>
        <v>#NAME?</v>
      </c>
      <c r="G13" s="36"/>
      <c r="H13" s="162"/>
      <c r="I13" s="113"/>
      <c r="J13" s="138" t="s">
        <v>47</v>
      </c>
      <c r="K13" s="138" t="str">
        <f t="shared" si="3"/>
        <v>1F</v>
      </c>
      <c r="L13" s="140" t="str">
        <f t="shared" si="4"/>
        <v>EUR1F9Y</v>
      </c>
      <c r="M13" s="140" t="str">
        <v>EUR1F9Y=ICAP</v>
      </c>
      <c r="N13" s="78">
        <v>1.071</v>
      </c>
      <c r="O13" s="111"/>
      <c r="P13" s="78">
        <v>1.071</v>
      </c>
      <c r="Q13" s="111"/>
      <c r="R13" s="78">
        <v>1.071</v>
      </c>
      <c r="S13" s="78" t="e">
        <f ca="1">_xll.qlSimpleQuoteSetValue(E13,R13/100,Trigger)</f>
        <v>#NAME?</v>
      </c>
      <c r="T13" s="130"/>
      <c r="V13" s="161"/>
    </row>
    <row r="14" spans="1:23" x14ac:dyDescent="0.2">
      <c r="A14" s="135"/>
      <c r="B14" s="45" t="str">
        <f t="shared" si="0"/>
        <v>10Y</v>
      </c>
      <c r="C14" s="45" t="str">
        <f t="shared" si="1"/>
        <v>1F</v>
      </c>
      <c r="D14" s="43" t="str">
        <f t="shared" si="2"/>
        <v>EUR1F10Y_Quote</v>
      </c>
      <c r="E14" s="43" t="e">
        <f ca="1">_xll.qlSimpleQuote(D14,,RateTickValue,Permanent,Trigger,ObjectOverwrite)</f>
        <v>#NAME?</v>
      </c>
      <c r="F14" s="42" t="e">
        <f ca="1">_xll.ohRangeRetrieveError(E14)</f>
        <v>#NAME?</v>
      </c>
      <c r="G14" s="36"/>
      <c r="H14" s="162"/>
      <c r="I14" s="113"/>
      <c r="J14" s="138" t="s">
        <v>46</v>
      </c>
      <c r="K14" s="138" t="str">
        <f t="shared" si="3"/>
        <v>1F</v>
      </c>
      <c r="L14" s="140" t="str">
        <f t="shared" si="4"/>
        <v>EUR1F10Y</v>
      </c>
      <c r="M14" s="140" t="str">
        <v>EUR1F10Y=ICAP</v>
      </c>
      <c r="N14" s="78">
        <v>1.165</v>
      </c>
      <c r="O14" s="111"/>
      <c r="P14" s="78">
        <v>1.165</v>
      </c>
      <c r="Q14" s="111"/>
      <c r="R14" s="78">
        <v>1.165</v>
      </c>
      <c r="S14" s="78" t="e">
        <f ca="1">_xll.qlSimpleQuoteSetValue(E14,R14/100,Trigger)</f>
        <v>#NAME?</v>
      </c>
      <c r="T14" s="130"/>
      <c r="V14" s="161"/>
    </row>
    <row r="15" spans="1:23" x14ac:dyDescent="0.2">
      <c r="A15" s="135"/>
      <c r="B15" s="45" t="str">
        <f t="shared" si="0"/>
        <v>11Y</v>
      </c>
      <c r="C15" s="45" t="str">
        <f t="shared" si="1"/>
        <v>1F</v>
      </c>
      <c r="D15" s="43" t="str">
        <f t="shared" si="2"/>
        <v>EUR1F11Y_Quote</v>
      </c>
      <c r="E15" s="43" t="e">
        <f ca="1">_xll.qlSimpleQuote(D15,,RateTickValue,Permanent,Trigger,ObjectOverwrite)</f>
        <v>#NAME?</v>
      </c>
      <c r="F15" s="42" t="e">
        <f ca="1">_xll.ohRangeRetrieveError(E15)</f>
        <v>#NAME?</v>
      </c>
      <c r="G15" s="36"/>
      <c r="H15" s="162"/>
      <c r="I15" s="113"/>
      <c r="J15" s="138" t="s">
        <v>45</v>
      </c>
      <c r="K15" s="138" t="str">
        <f t="shared" si="3"/>
        <v>1F</v>
      </c>
      <c r="L15" s="140" t="str">
        <f t="shared" si="4"/>
        <v>EUR1F11Y</v>
      </c>
      <c r="M15" s="140" t="str">
        <v>EUR1F11Y=ICAP</v>
      </c>
      <c r="N15" s="78">
        <v>1.248</v>
      </c>
      <c r="O15" s="111"/>
      <c r="P15" s="78">
        <v>1.248</v>
      </c>
      <c r="Q15" s="111"/>
      <c r="R15" s="78">
        <v>1.248</v>
      </c>
      <c r="S15" s="78" t="e">
        <f ca="1">_xll.qlSimpleQuoteSetValue(E15,R15/100,Trigger)</f>
        <v>#NAME?</v>
      </c>
      <c r="T15" s="130"/>
      <c r="V15" s="161"/>
    </row>
    <row r="16" spans="1:23" x14ac:dyDescent="0.2">
      <c r="A16" s="135"/>
      <c r="B16" s="45" t="str">
        <f t="shared" si="0"/>
        <v>12Y</v>
      </c>
      <c r="C16" s="45" t="str">
        <f t="shared" si="1"/>
        <v>1F</v>
      </c>
      <c r="D16" s="43" t="str">
        <f t="shared" si="2"/>
        <v>EUR1F12Y_Quote</v>
      </c>
      <c r="E16" s="43" t="e">
        <f ca="1">_xll.qlSimpleQuote(D16,,RateTickValue,Permanent,Trigger,ObjectOverwrite)</f>
        <v>#NAME?</v>
      </c>
      <c r="F16" s="42" t="e">
        <f ca="1">_xll.ohRangeRetrieveError(E16)</f>
        <v>#NAME?</v>
      </c>
      <c r="G16" s="36"/>
      <c r="H16" s="162"/>
      <c r="I16" s="113"/>
      <c r="J16" s="138" t="s">
        <v>44</v>
      </c>
      <c r="K16" s="138" t="str">
        <f t="shared" si="3"/>
        <v>1F</v>
      </c>
      <c r="L16" s="140" t="str">
        <f t="shared" si="4"/>
        <v>EUR1F12Y</v>
      </c>
      <c r="M16" s="140" t="str">
        <v>EUR1F12Y=ICAP</v>
      </c>
      <c r="N16" s="78">
        <v>1.319</v>
      </c>
      <c r="O16" s="111"/>
      <c r="P16" s="78">
        <v>1.319</v>
      </c>
      <c r="Q16" s="111"/>
      <c r="R16" s="78">
        <v>1.319</v>
      </c>
      <c r="S16" s="78" t="e">
        <f ca="1">_xll.qlSimpleQuoteSetValue(E16,R16/100,Trigger)</f>
        <v>#NAME?</v>
      </c>
      <c r="T16" s="130"/>
      <c r="V16" s="161"/>
    </row>
    <row r="17" spans="1:22" x14ac:dyDescent="0.2">
      <c r="A17" s="135"/>
      <c r="B17" s="45" t="str">
        <f t="shared" si="0"/>
        <v>13Y</v>
      </c>
      <c r="C17" s="45" t="str">
        <f t="shared" si="1"/>
        <v>1F</v>
      </c>
      <c r="D17" s="43" t="str">
        <f t="shared" si="2"/>
        <v>EUR1F13Y_Quote</v>
      </c>
      <c r="E17" s="43" t="e">
        <f ca="1">_xll.qlSimpleQuote(D17,,RateTickValue,Permanent,Trigger,ObjectOverwrite)</f>
        <v>#NAME?</v>
      </c>
      <c r="F17" s="42" t="e">
        <f ca="1">_xll.ohRangeRetrieveError(E17)</f>
        <v>#NAME?</v>
      </c>
      <c r="G17" s="36"/>
      <c r="H17" s="162"/>
      <c r="I17" s="113"/>
      <c r="J17" s="138" t="s">
        <v>43</v>
      </c>
      <c r="K17" s="138" t="str">
        <f t="shared" si="3"/>
        <v>1F</v>
      </c>
      <c r="L17" s="140" t="str">
        <f t="shared" si="4"/>
        <v>EUR1F13Y</v>
      </c>
      <c r="M17" s="140" t="str">
        <v>EUR1F13Y=ICAP</v>
      </c>
      <c r="N17" s="78">
        <v>1.38</v>
      </c>
      <c r="O17" s="111"/>
      <c r="P17" s="78">
        <v>1.38</v>
      </c>
      <c r="Q17" s="111"/>
      <c r="R17" s="78">
        <v>1.38</v>
      </c>
      <c r="S17" s="78" t="e">
        <f ca="1">_xll.qlSimpleQuoteSetValue(E17,R17/100,Trigger)</f>
        <v>#NAME?</v>
      </c>
      <c r="T17" s="130"/>
      <c r="V17" s="161"/>
    </row>
    <row r="18" spans="1:22" x14ac:dyDescent="0.2">
      <c r="A18" s="135"/>
      <c r="B18" s="45" t="str">
        <f t="shared" si="0"/>
        <v>14Y</v>
      </c>
      <c r="C18" s="45" t="str">
        <f t="shared" si="1"/>
        <v>1F</v>
      </c>
      <c r="D18" s="43" t="str">
        <f t="shared" si="2"/>
        <v>EUR1F14Y_Quote</v>
      </c>
      <c r="E18" s="43" t="e">
        <f ca="1">_xll.qlSimpleQuote(D18,,RateTickValue,Permanent,Trigger,ObjectOverwrite)</f>
        <v>#NAME?</v>
      </c>
      <c r="F18" s="42" t="e">
        <f ca="1">_xll.ohRangeRetrieveError(E18)</f>
        <v>#NAME?</v>
      </c>
      <c r="G18" s="36"/>
      <c r="H18" s="162"/>
      <c r="I18" s="113"/>
      <c r="J18" s="138" t="s">
        <v>42</v>
      </c>
      <c r="K18" s="138" t="str">
        <f t="shared" si="3"/>
        <v>1F</v>
      </c>
      <c r="L18" s="140" t="str">
        <f t="shared" si="4"/>
        <v>EUR1F14Y</v>
      </c>
      <c r="M18" s="140" t="str">
        <v>EUR1F14Y=ICAP</v>
      </c>
      <c r="N18" s="78">
        <v>1.4319999999999999</v>
      </c>
      <c r="O18" s="111"/>
      <c r="P18" s="78">
        <v>1.4319999999999999</v>
      </c>
      <c r="Q18" s="111"/>
      <c r="R18" s="78">
        <v>1.4319999999999999</v>
      </c>
      <c r="S18" s="78" t="e">
        <f ca="1">_xll.qlSimpleQuoteSetValue(E18,R18/100,Trigger)</f>
        <v>#NAME?</v>
      </c>
      <c r="T18" s="130"/>
      <c r="V18" s="161"/>
    </row>
    <row r="19" spans="1:22" x14ac:dyDescent="0.2">
      <c r="A19" s="135"/>
      <c r="B19" s="45" t="str">
        <f t="shared" si="0"/>
        <v>15Y</v>
      </c>
      <c r="C19" s="45" t="str">
        <f t="shared" si="1"/>
        <v>1F</v>
      </c>
      <c r="D19" s="43" t="str">
        <f t="shared" si="2"/>
        <v>EUR1F15Y_Quote</v>
      </c>
      <c r="E19" s="43" t="e">
        <f ca="1">_xll.qlSimpleQuote(D19,,RateTickValue,Permanent,Trigger,ObjectOverwrite)</f>
        <v>#NAME?</v>
      </c>
      <c r="F19" s="42" t="e">
        <f ca="1">_xll.ohRangeRetrieveError(E19)</f>
        <v>#NAME?</v>
      </c>
      <c r="G19" s="36"/>
      <c r="H19" s="162"/>
      <c r="I19" s="113"/>
      <c r="J19" s="138" t="s">
        <v>41</v>
      </c>
      <c r="K19" s="138" t="str">
        <f t="shared" si="3"/>
        <v>1F</v>
      </c>
      <c r="L19" s="140" t="str">
        <f t="shared" si="4"/>
        <v>EUR1F15Y</v>
      </c>
      <c r="M19" s="140" t="str">
        <v>EUR1F15Y=ICAP</v>
      </c>
      <c r="N19" s="78">
        <v>1.474</v>
      </c>
      <c r="O19" s="111"/>
      <c r="P19" s="78">
        <v>1.474</v>
      </c>
      <c r="Q19" s="111"/>
      <c r="R19" s="78">
        <v>1.474</v>
      </c>
      <c r="S19" s="78" t="e">
        <f ca="1">_xll.qlSimpleQuoteSetValue(E19,R19/100,Trigger)</f>
        <v>#NAME?</v>
      </c>
      <c r="T19" s="130"/>
      <c r="V19" s="161"/>
    </row>
    <row r="20" spans="1:22" x14ac:dyDescent="0.2">
      <c r="A20" s="135"/>
      <c r="B20" s="45" t="str">
        <f t="shared" si="0"/>
        <v>20Y</v>
      </c>
      <c r="C20" s="45" t="str">
        <f t="shared" si="1"/>
        <v>1F</v>
      </c>
      <c r="D20" s="43" t="str">
        <f t="shared" si="2"/>
        <v>EUR1F20Y_Quote</v>
      </c>
      <c r="E20" s="43" t="e">
        <f ca="1">_xll.qlSimpleQuote(D20,,RateTickValue,Permanent,Trigger,ObjectOverwrite)</f>
        <v>#NAME?</v>
      </c>
      <c r="F20" s="42" t="e">
        <f ca="1">_xll.ohRangeRetrieveError(E20)</f>
        <v>#NAME?</v>
      </c>
      <c r="G20" s="36"/>
      <c r="H20" s="162"/>
      <c r="I20" s="113"/>
      <c r="J20" s="138" t="s">
        <v>36</v>
      </c>
      <c r="K20" s="138" t="str">
        <f t="shared" si="3"/>
        <v>1F</v>
      </c>
      <c r="L20" s="140" t="str">
        <f t="shared" si="4"/>
        <v>EUR1F20Y</v>
      </c>
      <c r="M20" s="140" t="str">
        <v>EUR1F20Y=ICAP</v>
      </c>
      <c r="N20" s="78">
        <v>1.5840000000000001</v>
      </c>
      <c r="O20" s="111"/>
      <c r="P20" s="78">
        <v>1.5840000000000001</v>
      </c>
      <c r="Q20" s="111"/>
      <c r="R20" s="78">
        <v>1.5840000000000001</v>
      </c>
      <c r="S20" s="78" t="e">
        <f ca="1">_xll.qlSimpleQuoteSetValue(E20,R20/100,Trigger)</f>
        <v>#NAME?</v>
      </c>
      <c r="T20" s="130"/>
      <c r="V20" s="161"/>
    </row>
    <row r="21" spans="1:22" x14ac:dyDescent="0.2">
      <c r="A21" s="135"/>
      <c r="B21" s="45" t="str">
        <f t="shared" si="0"/>
        <v>25Y</v>
      </c>
      <c r="C21" s="45" t="str">
        <f t="shared" si="1"/>
        <v>1F</v>
      </c>
      <c r="D21" s="43" t="str">
        <f t="shared" si="2"/>
        <v>EUR1F25Y_Quote</v>
      </c>
      <c r="E21" s="43" t="e">
        <f ca="1">_xll.qlSimpleQuote(D21,,RateTickValue,Permanent,Trigger,ObjectOverwrite)</f>
        <v>#NAME?</v>
      </c>
      <c r="F21" s="42" t="e">
        <f ca="1">_xll.ohRangeRetrieveError(E21)</f>
        <v>#NAME?</v>
      </c>
      <c r="G21" s="36"/>
      <c r="H21" s="162"/>
      <c r="I21" s="113"/>
      <c r="J21" s="138" t="s">
        <v>31</v>
      </c>
      <c r="K21" s="138" t="str">
        <f t="shared" si="3"/>
        <v>1F</v>
      </c>
      <c r="L21" s="140" t="str">
        <f t="shared" si="4"/>
        <v>EUR1F25Y</v>
      </c>
      <c r="M21" s="140" t="str">
        <v>EUR1F25Y=ICAP</v>
      </c>
      <c r="N21" s="78">
        <v>1.593</v>
      </c>
      <c r="O21" s="111"/>
      <c r="P21" s="78">
        <v>1.593</v>
      </c>
      <c r="Q21" s="111"/>
      <c r="R21" s="78">
        <v>1.593</v>
      </c>
      <c r="S21" s="78" t="e">
        <f ca="1">_xll.qlSimpleQuoteSetValue(E21,R21/100,Trigger)</f>
        <v>#NAME?</v>
      </c>
      <c r="T21" s="130"/>
      <c r="V21" s="161"/>
    </row>
    <row r="22" spans="1:22" x14ac:dyDescent="0.2">
      <c r="A22" s="135"/>
      <c r="B22" s="45" t="str">
        <f t="shared" si="0"/>
        <v>30Y</v>
      </c>
      <c r="C22" s="45" t="str">
        <f t="shared" si="1"/>
        <v>1F</v>
      </c>
      <c r="D22" s="43" t="str">
        <f t="shared" si="2"/>
        <v>EUR1F30Y_Quote</v>
      </c>
      <c r="E22" s="43" t="e">
        <f ca="1">_xll.qlSimpleQuote(D22,,RateTickValue,Permanent,Trigger,ObjectOverwrite)</f>
        <v>#NAME?</v>
      </c>
      <c r="F22" s="42" t="e">
        <f ca="1">_xll.ohRangeRetrieveError(E22)</f>
        <v>#NAME?</v>
      </c>
      <c r="G22" s="36"/>
      <c r="H22" s="162"/>
      <c r="I22" s="113"/>
      <c r="J22" s="131" t="s">
        <v>26</v>
      </c>
      <c r="K22" s="131" t="str">
        <f t="shared" si="3"/>
        <v>1F</v>
      </c>
      <c r="L22" s="133" t="str">
        <f t="shared" si="4"/>
        <v>EUR1F30Y</v>
      </c>
      <c r="M22" s="133" t="str">
        <v>EUR1F30Y=ICAP</v>
      </c>
      <c r="N22" s="65">
        <v>1.5880000000000001</v>
      </c>
      <c r="O22" s="111"/>
      <c r="P22" s="65">
        <v>1.5880000000000001</v>
      </c>
      <c r="Q22" s="111"/>
      <c r="R22" s="65">
        <v>1.5880000000000001</v>
      </c>
      <c r="S22" s="65" t="e">
        <f ca="1">_xll.qlSimpleQuoteSetValue(E22,R22/100,Trigger)</f>
        <v>#NAME?</v>
      </c>
      <c r="T22" s="130"/>
      <c r="V22" s="161"/>
    </row>
    <row r="23" spans="1:22" x14ac:dyDescent="0.2">
      <c r="A23" s="135"/>
      <c r="B23" s="45" t="str">
        <f t="shared" si="0"/>
        <v>1Y</v>
      </c>
      <c r="C23" s="45" t="str">
        <f t="shared" si="1"/>
        <v>2F</v>
      </c>
      <c r="D23" s="43" t="str">
        <f t="shared" si="2"/>
        <v>EUR2F1Y_Quote</v>
      </c>
      <c r="E23" s="43" t="e">
        <f ca="1">_xll.qlSimpleQuote(D23,,RateTickValue,Permanent,Trigger,ObjectOverwrite)</f>
        <v>#NAME?</v>
      </c>
      <c r="F23" s="42" t="e">
        <f ca="1">_xll.ohRangeRetrieveError(E23)</f>
        <v>#NAME?</v>
      </c>
      <c r="G23" s="36"/>
      <c r="H23" s="162"/>
      <c r="I23" s="135">
        <v>2</v>
      </c>
      <c r="J23" s="164" t="s">
        <v>58</v>
      </c>
      <c r="K23" s="164" t="str">
        <f t="shared" ref="K23:K40" si="5">$I$23&amp;"F"</f>
        <v>2F</v>
      </c>
      <c r="L23" s="163" t="str">
        <f t="shared" si="4"/>
        <v>EUR2F1Y</v>
      </c>
      <c r="M23" s="163" t="str">
        <v>EUR2F1Y=ICAP</v>
      </c>
      <c r="N23" s="89">
        <v>0.26600000000000001</v>
      </c>
      <c r="O23" s="111"/>
      <c r="P23" s="89">
        <v>0.26600000000000001</v>
      </c>
      <c r="Q23" s="111"/>
      <c r="R23" s="89">
        <v>0.26600000000000001</v>
      </c>
      <c r="S23" s="89" t="e">
        <f ca="1">_xll.qlSimpleQuoteSetValue(E23,R23/100,Trigger)</f>
        <v>#NAME?</v>
      </c>
      <c r="T23" s="130"/>
      <c r="V23" s="161"/>
    </row>
    <row r="24" spans="1:22" x14ac:dyDescent="0.2">
      <c r="A24" s="135"/>
      <c r="B24" s="45" t="str">
        <f t="shared" si="0"/>
        <v>2Y</v>
      </c>
      <c r="C24" s="45" t="str">
        <f t="shared" si="1"/>
        <v>2F</v>
      </c>
      <c r="D24" s="43" t="str">
        <f t="shared" si="2"/>
        <v>EUR2F2Y_Quote</v>
      </c>
      <c r="E24" s="43" t="e">
        <f ca="1">_xll.qlSimpleQuote(D24,,RateTickValue,Permanent,Trigger,ObjectOverwrite)</f>
        <v>#NAME?</v>
      </c>
      <c r="F24" s="42" t="e">
        <f ca="1">_xll.ohRangeRetrieveError(E24)</f>
        <v>#NAME?</v>
      </c>
      <c r="G24" s="36"/>
      <c r="H24" s="162"/>
      <c r="I24" s="113"/>
      <c r="J24" s="138" t="s">
        <v>54</v>
      </c>
      <c r="K24" s="138" t="str">
        <f t="shared" si="5"/>
        <v>2F</v>
      </c>
      <c r="L24" s="140" t="str">
        <f t="shared" si="4"/>
        <v>EUR2F2Y</v>
      </c>
      <c r="M24" s="140" t="str">
        <v>EUR2F2Y=ICAP</v>
      </c>
      <c r="N24" s="78">
        <v>0.40599999999999997</v>
      </c>
      <c r="O24" s="111"/>
      <c r="P24" s="78">
        <v>0.40599999999999997</v>
      </c>
      <c r="Q24" s="111"/>
      <c r="R24" s="78">
        <v>0.40599999999999997</v>
      </c>
      <c r="S24" s="78" t="e">
        <f ca="1">_xll.qlSimpleQuoteSetValue(E24,R24/100,Trigger)</f>
        <v>#NAME?</v>
      </c>
      <c r="T24" s="130"/>
      <c r="V24" s="161"/>
    </row>
    <row r="25" spans="1:22" x14ac:dyDescent="0.2">
      <c r="A25" s="135"/>
      <c r="B25" s="45" t="str">
        <f t="shared" si="0"/>
        <v>3Y</v>
      </c>
      <c r="C25" s="45" t="str">
        <f t="shared" si="1"/>
        <v>2F</v>
      </c>
      <c r="D25" s="43" t="str">
        <f t="shared" si="2"/>
        <v>EUR2F3Y_Quote</v>
      </c>
      <c r="E25" s="43" t="e">
        <f ca="1">_xll.qlSimpleQuote(D25,,RateTickValue,Permanent,Trigger,ObjectOverwrite)</f>
        <v>#NAME?</v>
      </c>
      <c r="F25" s="42" t="e">
        <f ca="1">_xll.ohRangeRetrieveError(E25)</f>
        <v>#NAME?</v>
      </c>
      <c r="G25" s="36"/>
      <c r="H25" s="162"/>
      <c r="I25" s="113"/>
      <c r="J25" s="138" t="s">
        <v>53</v>
      </c>
      <c r="K25" s="138" t="str">
        <f t="shared" si="5"/>
        <v>2F</v>
      </c>
      <c r="L25" s="140" t="str">
        <f t="shared" si="4"/>
        <v>EUR2F3Y</v>
      </c>
      <c r="M25" s="140" t="str">
        <v>EUR2F3Y=ICAP</v>
      </c>
      <c r="N25" s="78">
        <v>0.55199999999999994</v>
      </c>
      <c r="O25" s="111"/>
      <c r="P25" s="78">
        <v>0.55199999999999994</v>
      </c>
      <c r="Q25" s="111"/>
      <c r="R25" s="78">
        <v>0.55199999999999994</v>
      </c>
      <c r="S25" s="78" t="e">
        <f ca="1">_xll.qlSimpleQuoteSetValue(E25,R25/100,Trigger)</f>
        <v>#NAME?</v>
      </c>
      <c r="T25" s="130"/>
      <c r="V25" s="161"/>
    </row>
    <row r="26" spans="1:22" x14ac:dyDescent="0.2">
      <c r="A26" s="135"/>
      <c r="B26" s="45" t="str">
        <f t="shared" si="0"/>
        <v>4Y</v>
      </c>
      <c r="C26" s="45" t="str">
        <f t="shared" si="1"/>
        <v>2F</v>
      </c>
      <c r="D26" s="43" t="str">
        <f t="shared" si="2"/>
        <v>EUR2F4Y_Quote</v>
      </c>
      <c r="E26" s="43" t="e">
        <f ca="1">_xll.qlSimpleQuote(D26,,RateTickValue,Permanent,Trigger,ObjectOverwrite)</f>
        <v>#NAME?</v>
      </c>
      <c r="F26" s="42" t="e">
        <f ca="1">_xll.ohRangeRetrieveError(E26)</f>
        <v>#NAME?</v>
      </c>
      <c r="G26" s="36"/>
      <c r="H26" s="162"/>
      <c r="I26" s="113"/>
      <c r="J26" s="138" t="s">
        <v>52</v>
      </c>
      <c r="K26" s="138" t="str">
        <f t="shared" si="5"/>
        <v>2F</v>
      </c>
      <c r="L26" s="140" t="str">
        <f t="shared" si="4"/>
        <v>EUR2F4Y</v>
      </c>
      <c r="M26" s="140" t="str">
        <v>EUR2F4Y=ICAP</v>
      </c>
      <c r="N26" s="78">
        <v>0.69900000000000007</v>
      </c>
      <c r="O26" s="111"/>
      <c r="P26" s="78">
        <v>0.69900000000000007</v>
      </c>
      <c r="Q26" s="111"/>
      <c r="R26" s="78">
        <v>0.69900000000000007</v>
      </c>
      <c r="S26" s="78" t="e">
        <f ca="1">_xll.qlSimpleQuoteSetValue(E26,R26/100,Trigger)</f>
        <v>#NAME?</v>
      </c>
      <c r="T26" s="130"/>
      <c r="V26" s="161"/>
    </row>
    <row r="27" spans="1:22" x14ac:dyDescent="0.2">
      <c r="A27" s="135"/>
      <c r="B27" s="45" t="str">
        <f t="shared" si="0"/>
        <v>5Y</v>
      </c>
      <c r="C27" s="45" t="str">
        <f t="shared" si="1"/>
        <v>2F</v>
      </c>
      <c r="D27" s="43" t="str">
        <f t="shared" si="2"/>
        <v>EUR2F5Y_Quote</v>
      </c>
      <c r="E27" s="43" t="e">
        <f ca="1">_xll.qlSimpleQuote(D27,,RateTickValue,Permanent,Trigger,ObjectOverwrite)</f>
        <v>#NAME?</v>
      </c>
      <c r="F27" s="42" t="e">
        <f ca="1">_xll.ohRangeRetrieveError(E27)</f>
        <v>#NAME?</v>
      </c>
      <c r="G27" s="36"/>
      <c r="H27" s="162"/>
      <c r="I27" s="113"/>
      <c r="J27" s="138" t="s">
        <v>51</v>
      </c>
      <c r="K27" s="138" t="str">
        <f t="shared" si="5"/>
        <v>2F</v>
      </c>
      <c r="L27" s="140" t="str">
        <f t="shared" si="4"/>
        <v>EUR2F5Y</v>
      </c>
      <c r="M27" s="140" t="str">
        <v>EUR2F5Y=ICAP</v>
      </c>
      <c r="N27" s="78">
        <v>0.84299999999999997</v>
      </c>
      <c r="O27" s="111"/>
      <c r="P27" s="78">
        <v>0.84299999999999997</v>
      </c>
      <c r="Q27" s="111"/>
      <c r="R27" s="78">
        <v>0.84299999999999997</v>
      </c>
      <c r="S27" s="78" t="e">
        <f ca="1">_xll.qlSimpleQuoteSetValue(E27,R27/100,Trigger)</f>
        <v>#NAME?</v>
      </c>
      <c r="T27" s="130"/>
      <c r="V27" s="161"/>
    </row>
    <row r="28" spans="1:22" x14ac:dyDescent="0.2">
      <c r="A28" s="135"/>
      <c r="B28" s="45" t="str">
        <f t="shared" si="0"/>
        <v>6Y</v>
      </c>
      <c r="C28" s="45" t="str">
        <f t="shared" si="1"/>
        <v>2F</v>
      </c>
      <c r="D28" s="43" t="str">
        <f t="shared" si="2"/>
        <v>EUR2F6Y_Quote</v>
      </c>
      <c r="E28" s="43" t="e">
        <f ca="1">_xll.qlSimpleQuote(D28,,RateTickValue,Permanent,Trigger,ObjectOverwrite)</f>
        <v>#NAME?</v>
      </c>
      <c r="F28" s="42" t="e">
        <f ca="1">_xll.ohRangeRetrieveError(E28)</f>
        <v>#NAME?</v>
      </c>
      <c r="G28" s="36"/>
      <c r="H28" s="162"/>
      <c r="I28" s="113"/>
      <c r="J28" s="138" t="s">
        <v>50</v>
      </c>
      <c r="K28" s="138" t="str">
        <f t="shared" si="5"/>
        <v>2F</v>
      </c>
      <c r="L28" s="140" t="str">
        <f t="shared" si="4"/>
        <v>EUR2F6Y</v>
      </c>
      <c r="M28" s="140" t="str">
        <v>EUR2F6Y=ICAP</v>
      </c>
      <c r="N28" s="78">
        <v>0.97599999999999998</v>
      </c>
      <c r="O28" s="111"/>
      <c r="P28" s="78">
        <v>0.97599999999999998</v>
      </c>
      <c r="Q28" s="111"/>
      <c r="R28" s="78">
        <v>0.97599999999999998</v>
      </c>
      <c r="S28" s="78" t="e">
        <f ca="1">_xll.qlSimpleQuoteSetValue(E28,R28/100,Trigger)</f>
        <v>#NAME?</v>
      </c>
      <c r="T28" s="130"/>
      <c r="V28" s="161"/>
    </row>
    <row r="29" spans="1:22" x14ac:dyDescent="0.2">
      <c r="A29" s="135"/>
      <c r="B29" s="45" t="str">
        <f t="shared" si="0"/>
        <v>7Y</v>
      </c>
      <c r="C29" s="45" t="str">
        <f t="shared" si="1"/>
        <v>2F</v>
      </c>
      <c r="D29" s="43" t="str">
        <f t="shared" si="2"/>
        <v>EUR2F7Y_Quote</v>
      </c>
      <c r="E29" s="43" t="e">
        <f ca="1">_xll.qlSimpleQuote(D29,,RateTickValue,Permanent,Trigger,ObjectOverwrite)</f>
        <v>#NAME?</v>
      </c>
      <c r="F29" s="42" t="e">
        <f ca="1">_xll.ohRangeRetrieveError(E29)</f>
        <v>#NAME?</v>
      </c>
      <c r="G29" s="36"/>
      <c r="H29" s="162"/>
      <c r="I29" s="113"/>
      <c r="J29" s="138" t="s">
        <v>49</v>
      </c>
      <c r="K29" s="138" t="str">
        <f t="shared" si="5"/>
        <v>2F</v>
      </c>
      <c r="L29" s="140" t="str">
        <f t="shared" si="4"/>
        <v>EUR2F7Y</v>
      </c>
      <c r="M29" s="140" t="str">
        <v>EUR2F7Y=ICAP</v>
      </c>
      <c r="N29" s="78">
        <v>1.0960000000000001</v>
      </c>
      <c r="O29" s="111"/>
      <c r="P29" s="78">
        <v>1.0960000000000001</v>
      </c>
      <c r="Q29" s="111"/>
      <c r="R29" s="78">
        <v>1.0960000000000001</v>
      </c>
      <c r="S29" s="78" t="e">
        <f ca="1">_xll.qlSimpleQuoteSetValue(E29,R29/100,Trigger)</f>
        <v>#NAME?</v>
      </c>
      <c r="T29" s="130"/>
      <c r="V29" s="161"/>
    </row>
    <row r="30" spans="1:22" x14ac:dyDescent="0.2">
      <c r="A30" s="135"/>
      <c r="B30" s="45" t="str">
        <f t="shared" si="0"/>
        <v>8Y</v>
      </c>
      <c r="C30" s="45" t="str">
        <f t="shared" si="1"/>
        <v>2F</v>
      </c>
      <c r="D30" s="43" t="str">
        <f t="shared" si="2"/>
        <v>EUR2F8Y_Quote</v>
      </c>
      <c r="E30" s="43" t="e">
        <f ca="1">_xll.qlSimpleQuote(D30,,RateTickValue,Permanent,Trigger,ObjectOverwrite)</f>
        <v>#NAME?</v>
      </c>
      <c r="F30" s="42" t="e">
        <f ca="1">_xll.ohRangeRetrieveError(E30)</f>
        <v>#NAME?</v>
      </c>
      <c r="G30" s="36"/>
      <c r="H30" s="162"/>
      <c r="I30" s="113"/>
      <c r="J30" s="138" t="s">
        <v>48</v>
      </c>
      <c r="K30" s="138" t="str">
        <f t="shared" si="5"/>
        <v>2F</v>
      </c>
      <c r="L30" s="140" t="str">
        <f t="shared" si="4"/>
        <v>EUR2F8Y</v>
      </c>
      <c r="M30" s="140" t="str">
        <v>EUR2F8Y=ICAP</v>
      </c>
      <c r="N30" s="78">
        <v>1.1990000000000001</v>
      </c>
      <c r="O30" s="111"/>
      <c r="P30" s="78">
        <v>1.1990000000000001</v>
      </c>
      <c r="Q30" s="111"/>
      <c r="R30" s="78">
        <v>1.1990000000000001</v>
      </c>
      <c r="S30" s="78" t="e">
        <f ca="1">_xll.qlSimpleQuoteSetValue(E30,R30/100,Trigger)</f>
        <v>#NAME?</v>
      </c>
      <c r="T30" s="130"/>
      <c r="V30" s="161"/>
    </row>
    <row r="31" spans="1:22" x14ac:dyDescent="0.2">
      <c r="A31" s="135"/>
      <c r="B31" s="45" t="str">
        <f t="shared" si="0"/>
        <v>9Y</v>
      </c>
      <c r="C31" s="45" t="str">
        <f t="shared" si="1"/>
        <v>2F</v>
      </c>
      <c r="D31" s="43" t="str">
        <f t="shared" si="2"/>
        <v>EUR2F9Y_Quote</v>
      </c>
      <c r="E31" s="43" t="e">
        <f ca="1">_xll.qlSimpleQuote(D31,,RateTickValue,Permanent,Trigger,ObjectOverwrite)</f>
        <v>#NAME?</v>
      </c>
      <c r="F31" s="42" t="e">
        <f ca="1">_xll.ohRangeRetrieveError(E31)</f>
        <v>#NAME?</v>
      </c>
      <c r="G31" s="36"/>
      <c r="H31" s="162"/>
      <c r="I31" s="113"/>
      <c r="J31" s="138" t="s">
        <v>47</v>
      </c>
      <c r="K31" s="138" t="str">
        <f t="shared" si="5"/>
        <v>2F</v>
      </c>
      <c r="L31" s="140" t="str">
        <f t="shared" si="4"/>
        <v>EUR2F9Y</v>
      </c>
      <c r="M31" s="140" t="str">
        <v>EUR2F9Y=ICAP</v>
      </c>
      <c r="N31" s="78">
        <v>1.29</v>
      </c>
      <c r="O31" s="111"/>
      <c r="P31" s="78">
        <v>1.29</v>
      </c>
      <c r="Q31" s="111"/>
      <c r="R31" s="78">
        <v>1.29</v>
      </c>
      <c r="S31" s="78" t="e">
        <f ca="1">_xll.qlSimpleQuoteSetValue(E31,R31/100,Trigger)</f>
        <v>#NAME?</v>
      </c>
      <c r="T31" s="130"/>
      <c r="V31" s="161"/>
    </row>
    <row r="32" spans="1:22" x14ac:dyDescent="0.2">
      <c r="A32" s="135"/>
      <c r="B32" s="45" t="str">
        <f t="shared" si="0"/>
        <v>10Y</v>
      </c>
      <c r="C32" s="45" t="str">
        <f t="shared" si="1"/>
        <v>2F</v>
      </c>
      <c r="D32" s="43" t="str">
        <f t="shared" si="2"/>
        <v>EUR2F10Y_Quote</v>
      </c>
      <c r="E32" s="43" t="e">
        <f ca="1">_xll.qlSimpleQuote(D32,,RateTickValue,Permanent,Trigger,ObjectOverwrite)</f>
        <v>#NAME?</v>
      </c>
      <c r="F32" s="42" t="e">
        <f ca="1">_xll.ohRangeRetrieveError(E32)</f>
        <v>#NAME?</v>
      </c>
      <c r="G32" s="36"/>
      <c r="H32" s="162"/>
      <c r="I32" s="113"/>
      <c r="J32" s="138" t="s">
        <v>46</v>
      </c>
      <c r="K32" s="138" t="str">
        <f t="shared" si="5"/>
        <v>2F</v>
      </c>
      <c r="L32" s="140" t="str">
        <f t="shared" si="4"/>
        <v>EUR2F10Y</v>
      </c>
      <c r="M32" s="140" t="str">
        <v>EUR2F10Y=ICAP</v>
      </c>
      <c r="N32" s="78">
        <v>1.37</v>
      </c>
      <c r="O32" s="111"/>
      <c r="P32" s="78">
        <v>1.37</v>
      </c>
      <c r="Q32" s="111"/>
      <c r="R32" s="78">
        <v>1.37</v>
      </c>
      <c r="S32" s="78" t="e">
        <f ca="1">_xll.qlSimpleQuoteSetValue(E32,R32/100,Trigger)</f>
        <v>#NAME?</v>
      </c>
      <c r="T32" s="130"/>
      <c r="V32" s="161"/>
    </row>
    <row r="33" spans="1:22" x14ac:dyDescent="0.2">
      <c r="A33" s="135"/>
      <c r="B33" s="45" t="str">
        <f t="shared" si="0"/>
        <v>11Y</v>
      </c>
      <c r="C33" s="45" t="str">
        <f t="shared" si="1"/>
        <v>2F</v>
      </c>
      <c r="D33" s="43" t="str">
        <f t="shared" si="2"/>
        <v>EUR2F11Y_Quote</v>
      </c>
      <c r="E33" s="43" t="e">
        <f ca="1">_xll.qlSimpleQuote(D33,,RateTickValue,Permanent,Trigger,ObjectOverwrite)</f>
        <v>#NAME?</v>
      </c>
      <c r="F33" s="42" t="e">
        <f ca="1">_xll.ohRangeRetrieveError(E33)</f>
        <v>#NAME?</v>
      </c>
      <c r="G33" s="36"/>
      <c r="H33" s="162"/>
      <c r="I33" s="113"/>
      <c r="J33" s="138" t="s">
        <v>45</v>
      </c>
      <c r="K33" s="138" t="str">
        <f t="shared" si="5"/>
        <v>2F</v>
      </c>
      <c r="L33" s="140" t="str">
        <f t="shared" si="4"/>
        <v>EUR2F11Y</v>
      </c>
      <c r="M33" s="140" t="str">
        <v>EUR2F11Y=ICAP</v>
      </c>
      <c r="N33" s="78">
        <v>1.4379999999999999</v>
      </c>
      <c r="O33" s="111"/>
      <c r="P33" s="78">
        <v>1.4379999999999999</v>
      </c>
      <c r="Q33" s="111"/>
      <c r="R33" s="78">
        <v>1.4379999999999999</v>
      </c>
      <c r="S33" s="78" t="e">
        <f ca="1">_xll.qlSimpleQuoteSetValue(E33,R33/100,Trigger)</f>
        <v>#NAME?</v>
      </c>
      <c r="T33" s="130"/>
      <c r="V33" s="161"/>
    </row>
    <row r="34" spans="1:22" x14ac:dyDescent="0.2">
      <c r="A34" s="135"/>
      <c r="B34" s="45" t="str">
        <f t="shared" si="0"/>
        <v>12Y</v>
      </c>
      <c r="C34" s="45" t="str">
        <f t="shared" si="1"/>
        <v>2F</v>
      </c>
      <c r="D34" s="43" t="str">
        <f t="shared" si="2"/>
        <v>EUR2F12Y_Quote</v>
      </c>
      <c r="E34" s="43" t="e">
        <f ca="1">_xll.qlSimpleQuote(D34,,RateTickValue,Permanent,Trigger,ObjectOverwrite)</f>
        <v>#NAME?</v>
      </c>
      <c r="F34" s="42" t="e">
        <f ca="1">_xll.ohRangeRetrieveError(E34)</f>
        <v>#NAME?</v>
      </c>
      <c r="G34" s="36"/>
      <c r="H34" s="162"/>
      <c r="I34" s="113"/>
      <c r="J34" s="138" t="s">
        <v>44</v>
      </c>
      <c r="K34" s="138" t="str">
        <f t="shared" si="5"/>
        <v>2F</v>
      </c>
      <c r="L34" s="140" t="str">
        <f t="shared" si="4"/>
        <v>EUR2F12Y</v>
      </c>
      <c r="M34" s="140" t="str">
        <v>EUR2F12Y=ICAP</v>
      </c>
      <c r="N34" s="78">
        <v>1.4950000000000001</v>
      </c>
      <c r="O34" s="111"/>
      <c r="P34" s="78">
        <v>1.4950000000000001</v>
      </c>
      <c r="Q34" s="111"/>
      <c r="R34" s="78">
        <v>1.4950000000000001</v>
      </c>
      <c r="S34" s="78" t="e">
        <f ca="1">_xll.qlSimpleQuoteSetValue(E34,R34/100,Trigger)</f>
        <v>#NAME?</v>
      </c>
      <c r="T34" s="130"/>
      <c r="V34" s="161"/>
    </row>
    <row r="35" spans="1:22" x14ac:dyDescent="0.2">
      <c r="A35" s="135"/>
      <c r="B35" s="45" t="str">
        <f t="shared" si="0"/>
        <v>13Y</v>
      </c>
      <c r="C35" s="45" t="str">
        <f t="shared" si="1"/>
        <v>2F</v>
      </c>
      <c r="D35" s="43" t="str">
        <f t="shared" si="2"/>
        <v>EUR2F13Y_Quote</v>
      </c>
      <c r="E35" s="43" t="e">
        <f ca="1">_xll.qlSimpleQuote(D35,,RateTickValue,Permanent,Trigger,ObjectOverwrite)</f>
        <v>#NAME?</v>
      </c>
      <c r="F35" s="42" t="e">
        <f ca="1">_xll.ohRangeRetrieveError(E35)</f>
        <v>#NAME?</v>
      </c>
      <c r="G35" s="36"/>
      <c r="H35" s="162"/>
      <c r="I35" s="113"/>
      <c r="J35" s="138" t="s">
        <v>43</v>
      </c>
      <c r="K35" s="138" t="str">
        <f t="shared" si="5"/>
        <v>2F</v>
      </c>
      <c r="L35" s="140" t="str">
        <f t="shared" si="4"/>
        <v>EUR2F13Y</v>
      </c>
      <c r="M35" s="140" t="str">
        <v>EUR2F13Y=ICAP</v>
      </c>
      <c r="N35" s="78">
        <v>1.5429999999999999</v>
      </c>
      <c r="O35" s="111"/>
      <c r="P35" s="78">
        <v>1.5429999999999999</v>
      </c>
      <c r="Q35" s="111"/>
      <c r="R35" s="78">
        <v>1.5429999999999999</v>
      </c>
      <c r="S35" s="78" t="e">
        <f ca="1">_xll.qlSimpleQuoteSetValue(E35,R35/100,Trigger)</f>
        <v>#NAME?</v>
      </c>
      <c r="T35" s="130"/>
      <c r="V35" s="161"/>
    </row>
    <row r="36" spans="1:22" x14ac:dyDescent="0.2">
      <c r="A36" s="135"/>
      <c r="B36" s="45" t="str">
        <f t="shared" si="0"/>
        <v>14Y</v>
      </c>
      <c r="C36" s="45" t="str">
        <f t="shared" si="1"/>
        <v>2F</v>
      </c>
      <c r="D36" s="43" t="str">
        <f t="shared" si="2"/>
        <v>EUR2F14Y_Quote</v>
      </c>
      <c r="E36" s="43" t="e">
        <f ca="1">_xll.qlSimpleQuote(D36,,RateTickValue,Permanent,Trigger,ObjectOverwrite)</f>
        <v>#NAME?</v>
      </c>
      <c r="F36" s="42" t="e">
        <f ca="1">_xll.ohRangeRetrieveError(E36)</f>
        <v>#NAME?</v>
      </c>
      <c r="G36" s="36"/>
      <c r="H36" s="162"/>
      <c r="I36" s="113"/>
      <c r="J36" s="138" t="s">
        <v>42</v>
      </c>
      <c r="K36" s="138" t="str">
        <f t="shared" si="5"/>
        <v>2F</v>
      </c>
      <c r="L36" s="140" t="str">
        <f t="shared" si="4"/>
        <v>EUR2F14Y</v>
      </c>
      <c r="M36" s="140" t="str">
        <v>EUR2F14Y=ICAP</v>
      </c>
      <c r="N36" s="78">
        <v>1.581</v>
      </c>
      <c r="O36" s="111"/>
      <c r="P36" s="78">
        <v>1.581</v>
      </c>
      <c r="Q36" s="111"/>
      <c r="R36" s="78">
        <v>1.581</v>
      </c>
      <c r="S36" s="78" t="e">
        <f ca="1">_xll.qlSimpleQuoteSetValue(E36,R36/100,Trigger)</f>
        <v>#NAME?</v>
      </c>
      <c r="T36" s="130"/>
      <c r="V36" s="161"/>
    </row>
    <row r="37" spans="1:22" x14ac:dyDescent="0.2">
      <c r="A37" s="135"/>
      <c r="B37" s="45" t="str">
        <f t="shared" si="0"/>
        <v>15Y</v>
      </c>
      <c r="C37" s="45" t="str">
        <f t="shared" si="1"/>
        <v>2F</v>
      </c>
      <c r="D37" s="43" t="str">
        <f t="shared" si="2"/>
        <v>EUR2F15Y_Quote</v>
      </c>
      <c r="E37" s="43" t="e">
        <f ca="1">_xll.qlSimpleQuote(D37,,RateTickValue,Permanent,Trigger,ObjectOverwrite)</f>
        <v>#NAME?</v>
      </c>
      <c r="F37" s="42" t="e">
        <f ca="1">_xll.ohRangeRetrieveError(E37)</f>
        <v>#NAME?</v>
      </c>
      <c r="G37" s="36"/>
      <c r="H37" s="162"/>
      <c r="I37" s="113"/>
      <c r="J37" s="138" t="s">
        <v>41</v>
      </c>
      <c r="K37" s="138" t="str">
        <f t="shared" si="5"/>
        <v>2F</v>
      </c>
      <c r="L37" s="140" t="str">
        <f t="shared" si="4"/>
        <v>EUR2F15Y</v>
      </c>
      <c r="M37" s="140" t="str">
        <v>EUR2F15Y=ICAP</v>
      </c>
      <c r="N37" s="78">
        <v>1.6139999999999999</v>
      </c>
      <c r="O37" s="111"/>
      <c r="P37" s="78">
        <v>1.6139999999999999</v>
      </c>
      <c r="Q37" s="111"/>
      <c r="R37" s="78">
        <v>1.6139999999999999</v>
      </c>
      <c r="S37" s="78" t="e">
        <f ca="1">_xll.qlSimpleQuoteSetValue(E37,R37/100,Trigger)</f>
        <v>#NAME?</v>
      </c>
      <c r="T37" s="130"/>
      <c r="V37" s="161"/>
    </row>
    <row r="38" spans="1:22" x14ac:dyDescent="0.2">
      <c r="A38" s="135"/>
      <c r="B38" s="45" t="str">
        <f t="shared" si="0"/>
        <v>20Y</v>
      </c>
      <c r="C38" s="45" t="str">
        <f t="shared" si="1"/>
        <v>2F</v>
      </c>
      <c r="D38" s="43" t="str">
        <f t="shared" si="2"/>
        <v>EUR2F20Y_Quote</v>
      </c>
      <c r="E38" s="43" t="e">
        <f ca="1">_xll.qlSimpleQuote(D38,,RateTickValue,Permanent,Trigger,ObjectOverwrite)</f>
        <v>#NAME?</v>
      </c>
      <c r="F38" s="42" t="e">
        <f ca="1">_xll.ohRangeRetrieveError(E38)</f>
        <v>#NAME?</v>
      </c>
      <c r="G38" s="36"/>
      <c r="H38" s="162"/>
      <c r="I38" s="113"/>
      <c r="J38" s="138" t="s">
        <v>36</v>
      </c>
      <c r="K38" s="138" t="str">
        <f t="shared" si="5"/>
        <v>2F</v>
      </c>
      <c r="L38" s="140" t="str">
        <f t="shared" si="4"/>
        <v>EUR2F20Y</v>
      </c>
      <c r="M38" s="140" t="str">
        <v>EUR2F20Y=ICAP</v>
      </c>
      <c r="N38" s="78">
        <v>1.677</v>
      </c>
      <c r="O38" s="111"/>
      <c r="P38" s="78">
        <v>1.677</v>
      </c>
      <c r="Q38" s="111"/>
      <c r="R38" s="78">
        <v>1.677</v>
      </c>
      <c r="S38" s="78" t="e">
        <f ca="1">_xll.qlSimpleQuoteSetValue(E38,R38/100,Trigger)</f>
        <v>#NAME?</v>
      </c>
      <c r="T38" s="130"/>
      <c r="V38" s="161"/>
    </row>
    <row r="39" spans="1:22" x14ac:dyDescent="0.2">
      <c r="A39" s="135"/>
      <c r="B39" s="45" t="str">
        <f t="shared" si="0"/>
        <v>25Y</v>
      </c>
      <c r="C39" s="45" t="str">
        <f t="shared" si="1"/>
        <v>2F</v>
      </c>
      <c r="D39" s="43" t="str">
        <f t="shared" si="2"/>
        <v>EUR2F25Y_Quote</v>
      </c>
      <c r="E39" s="43" t="e">
        <f ca="1">_xll.qlSimpleQuote(D39,,RateTickValue,Permanent,Trigger,ObjectOverwrite)</f>
        <v>#NAME?</v>
      </c>
      <c r="F39" s="42" t="e">
        <f ca="1">_xll.ohRangeRetrieveError(E39)</f>
        <v>#NAME?</v>
      </c>
      <c r="G39" s="36"/>
      <c r="H39" s="162"/>
      <c r="I39" s="113"/>
      <c r="J39" s="138" t="s">
        <v>31</v>
      </c>
      <c r="K39" s="138" t="str">
        <f t="shared" si="5"/>
        <v>2F</v>
      </c>
      <c r="L39" s="140" t="str">
        <f t="shared" si="4"/>
        <v>EUR2F25Y</v>
      </c>
      <c r="M39" s="140" t="str">
        <v>EUR2F25Y=ICAP</v>
      </c>
      <c r="N39" s="78">
        <v>1.6639999999999999</v>
      </c>
      <c r="O39" s="111"/>
      <c r="P39" s="78">
        <v>1.6639999999999999</v>
      </c>
      <c r="Q39" s="111"/>
      <c r="R39" s="78">
        <v>1.6639999999999999</v>
      </c>
      <c r="S39" s="78" t="e">
        <f ca="1">_xll.qlSimpleQuoteSetValue(E39,R39/100,Trigger)</f>
        <v>#NAME?</v>
      </c>
      <c r="T39" s="130"/>
      <c r="V39" s="161"/>
    </row>
    <row r="40" spans="1:22" x14ac:dyDescent="0.2">
      <c r="A40" s="135"/>
      <c r="B40" s="45" t="str">
        <f t="shared" si="0"/>
        <v>30Y</v>
      </c>
      <c r="C40" s="45" t="str">
        <f t="shared" si="1"/>
        <v>2F</v>
      </c>
      <c r="D40" s="43" t="str">
        <f t="shared" si="2"/>
        <v>EUR2F30Y_Quote</v>
      </c>
      <c r="E40" s="43" t="e">
        <f ca="1">_xll.qlSimpleQuote(D40,,RateTickValue,Permanent,Trigger,ObjectOverwrite)</f>
        <v>#NAME?</v>
      </c>
      <c r="F40" s="42" t="e">
        <f ca="1">_xll.ohRangeRetrieveError(E40)</f>
        <v>#NAME?</v>
      </c>
      <c r="G40" s="36"/>
      <c r="H40" s="162"/>
      <c r="I40" s="113"/>
      <c r="J40" s="131" t="s">
        <v>26</v>
      </c>
      <c r="K40" s="131" t="str">
        <f t="shared" si="5"/>
        <v>2F</v>
      </c>
      <c r="L40" s="133" t="str">
        <f t="shared" si="4"/>
        <v>EUR2F30Y</v>
      </c>
      <c r="M40" s="133" t="str">
        <v>EUR2F30Y=ICAP</v>
      </c>
      <c r="N40" s="65">
        <v>1.65</v>
      </c>
      <c r="O40" s="111"/>
      <c r="P40" s="65">
        <v>1.65</v>
      </c>
      <c r="Q40" s="111"/>
      <c r="R40" s="65">
        <v>1.65</v>
      </c>
      <c r="S40" s="65" t="e">
        <f ca="1">_xll.qlSimpleQuoteSetValue(E40,R40/100,Trigger)</f>
        <v>#NAME?</v>
      </c>
      <c r="T40" s="130"/>
      <c r="V40" s="161"/>
    </row>
    <row r="41" spans="1:22" x14ac:dyDescent="0.2">
      <c r="A41" s="135"/>
      <c r="B41" s="45" t="str">
        <f t="shared" si="0"/>
        <v>1Y</v>
      </c>
      <c r="C41" s="45" t="str">
        <f t="shared" si="1"/>
        <v>3F</v>
      </c>
      <c r="D41" s="43" t="str">
        <f t="shared" si="2"/>
        <v>EUR3F1Y_Quote</v>
      </c>
      <c r="E41" s="43" t="e">
        <f ca="1">_xll.qlSimpleQuote(D41,,RateTickValue,Permanent,Trigger,ObjectOverwrite)</f>
        <v>#NAME?</v>
      </c>
      <c r="F41" s="42" t="e">
        <f ca="1">_xll.ohRangeRetrieveError(E41)</f>
        <v>#NAME?</v>
      </c>
      <c r="G41" s="36"/>
      <c r="H41" s="162"/>
      <c r="I41" s="135">
        <v>3</v>
      </c>
      <c r="J41" s="164" t="s">
        <v>58</v>
      </c>
      <c r="K41" s="164" t="str">
        <f t="shared" ref="K41:K58" si="6">$I$41&amp;"F"</f>
        <v>3F</v>
      </c>
      <c r="L41" s="163" t="str">
        <f t="shared" si="4"/>
        <v>EUR3F1Y</v>
      </c>
      <c r="M41" s="163" t="str">
        <v>EUR3F1Y=ICAP</v>
      </c>
      <c r="N41" s="89">
        <v>0.54699999999999993</v>
      </c>
      <c r="O41" s="111"/>
      <c r="P41" s="89">
        <v>0.54699999999999993</v>
      </c>
      <c r="Q41" s="111"/>
      <c r="R41" s="89">
        <v>0.54699999999999993</v>
      </c>
      <c r="S41" s="89" t="e">
        <f ca="1">_xll.qlSimpleQuoteSetValue(E41,R41/100,Trigger)</f>
        <v>#NAME?</v>
      </c>
      <c r="T41" s="130"/>
      <c r="V41" s="161"/>
    </row>
    <row r="42" spans="1:22" x14ac:dyDescent="0.2">
      <c r="A42" s="135"/>
      <c r="B42" s="45" t="str">
        <f t="shared" si="0"/>
        <v>2Y</v>
      </c>
      <c r="C42" s="45" t="str">
        <f t="shared" si="1"/>
        <v>3F</v>
      </c>
      <c r="D42" s="43" t="str">
        <f t="shared" si="2"/>
        <v>EUR3F2Y_Quote</v>
      </c>
      <c r="E42" s="43" t="e">
        <f ca="1">_xll.qlSimpleQuote(D42,,RateTickValue,Permanent,Trigger,ObjectOverwrite)</f>
        <v>#NAME?</v>
      </c>
      <c r="F42" s="42" t="e">
        <f ca="1">_xll.ohRangeRetrieveError(E42)</f>
        <v>#NAME?</v>
      </c>
      <c r="G42" s="36"/>
      <c r="H42" s="162"/>
      <c r="I42" s="113"/>
      <c r="J42" s="138" t="s">
        <v>54</v>
      </c>
      <c r="K42" s="138" t="str">
        <f t="shared" si="6"/>
        <v>3F</v>
      </c>
      <c r="L42" s="140" t="str">
        <f t="shared" si="4"/>
        <v>EUR3F2Y</v>
      </c>
      <c r="M42" s="140" t="str">
        <v>EUR3F2Y=ICAP</v>
      </c>
      <c r="N42" s="78">
        <v>0.69599999999999995</v>
      </c>
      <c r="O42" s="111"/>
      <c r="P42" s="78">
        <v>0.69599999999999995</v>
      </c>
      <c r="Q42" s="111"/>
      <c r="R42" s="78">
        <v>0.69599999999999995</v>
      </c>
      <c r="S42" s="78" t="e">
        <f ca="1">_xll.qlSimpleQuoteSetValue(E42,R42/100,Trigger)</f>
        <v>#NAME?</v>
      </c>
      <c r="T42" s="130"/>
      <c r="V42" s="161"/>
    </row>
    <row r="43" spans="1:22" x14ac:dyDescent="0.2">
      <c r="A43" s="135"/>
      <c r="B43" s="45" t="str">
        <f t="shared" si="0"/>
        <v>3Y</v>
      </c>
      <c r="C43" s="45" t="str">
        <f t="shared" si="1"/>
        <v>3F</v>
      </c>
      <c r="D43" s="43" t="str">
        <f t="shared" si="2"/>
        <v>EUR3F3Y_Quote</v>
      </c>
      <c r="E43" s="43" t="e">
        <f ca="1">_xll.qlSimpleQuote(D43,,RateTickValue,Permanent,Trigger,ObjectOverwrite)</f>
        <v>#NAME?</v>
      </c>
      <c r="F43" s="42" t="e">
        <f ca="1">_xll.ohRangeRetrieveError(E43)</f>
        <v>#NAME?</v>
      </c>
      <c r="G43" s="36"/>
      <c r="H43" s="162"/>
      <c r="I43" s="113"/>
      <c r="J43" s="138" t="s">
        <v>53</v>
      </c>
      <c r="K43" s="138" t="str">
        <f t="shared" si="6"/>
        <v>3F</v>
      </c>
      <c r="L43" s="140" t="str">
        <f t="shared" si="4"/>
        <v>EUR3F3Y</v>
      </c>
      <c r="M43" s="140" t="str">
        <v>EUR3F3Y=ICAP</v>
      </c>
      <c r="N43" s="78">
        <v>0.84399999999999997</v>
      </c>
      <c r="O43" s="111"/>
      <c r="P43" s="78">
        <v>0.84399999999999997</v>
      </c>
      <c r="Q43" s="111"/>
      <c r="R43" s="78">
        <v>0.84399999999999997</v>
      </c>
      <c r="S43" s="78" t="e">
        <f ca="1">_xll.qlSimpleQuoteSetValue(E43,R43/100,Trigger)</f>
        <v>#NAME?</v>
      </c>
      <c r="T43" s="130"/>
      <c r="V43" s="161"/>
    </row>
    <row r="44" spans="1:22" x14ac:dyDescent="0.2">
      <c r="A44" s="135"/>
      <c r="B44" s="45" t="str">
        <f t="shared" si="0"/>
        <v>4Y</v>
      </c>
      <c r="C44" s="45" t="str">
        <f t="shared" si="1"/>
        <v>3F</v>
      </c>
      <c r="D44" s="43" t="str">
        <f t="shared" si="2"/>
        <v>EUR3F4Y_Quote</v>
      </c>
      <c r="E44" s="43" t="e">
        <f ca="1">_xll.qlSimpleQuote(D44,,RateTickValue,Permanent,Trigger,ObjectOverwrite)</f>
        <v>#NAME?</v>
      </c>
      <c r="F44" s="42" t="e">
        <f ca="1">_xll.ohRangeRetrieveError(E44)</f>
        <v>#NAME?</v>
      </c>
      <c r="G44" s="36"/>
      <c r="H44" s="162"/>
      <c r="I44" s="113"/>
      <c r="J44" s="138" t="s">
        <v>52</v>
      </c>
      <c r="K44" s="138" t="str">
        <f t="shared" si="6"/>
        <v>3F</v>
      </c>
      <c r="L44" s="140" t="str">
        <f t="shared" si="4"/>
        <v>EUR3F4Y</v>
      </c>
      <c r="M44" s="140" t="str">
        <v>EUR3F4Y=ICAP</v>
      </c>
      <c r="N44" s="78">
        <v>0.9890000000000001</v>
      </c>
      <c r="O44" s="111"/>
      <c r="P44" s="78">
        <v>0.9890000000000001</v>
      </c>
      <c r="Q44" s="111"/>
      <c r="R44" s="78">
        <v>0.9890000000000001</v>
      </c>
      <c r="S44" s="78" t="e">
        <f ca="1">_xll.qlSimpleQuoteSetValue(E44,R44/100,Trigger)</f>
        <v>#NAME?</v>
      </c>
      <c r="T44" s="130"/>
      <c r="V44" s="161"/>
    </row>
    <row r="45" spans="1:22" x14ac:dyDescent="0.2">
      <c r="A45" s="135"/>
      <c r="B45" s="45" t="str">
        <f t="shared" si="0"/>
        <v>5Y</v>
      </c>
      <c r="C45" s="45" t="str">
        <f t="shared" si="1"/>
        <v>3F</v>
      </c>
      <c r="D45" s="43" t="str">
        <f t="shared" si="2"/>
        <v>EUR3F5Y_Quote</v>
      </c>
      <c r="E45" s="43" t="e">
        <f ca="1">_xll.qlSimpleQuote(D45,,RateTickValue,Permanent,Trigger,ObjectOverwrite)</f>
        <v>#NAME?</v>
      </c>
      <c r="F45" s="42" t="e">
        <f ca="1">_xll.ohRangeRetrieveError(E45)</f>
        <v>#NAME?</v>
      </c>
      <c r="G45" s="36"/>
      <c r="H45" s="162"/>
      <c r="I45" s="113"/>
      <c r="J45" s="138" t="s">
        <v>51</v>
      </c>
      <c r="K45" s="138" t="str">
        <f t="shared" si="6"/>
        <v>3F</v>
      </c>
      <c r="L45" s="140" t="str">
        <f t="shared" si="4"/>
        <v>EUR3F5Y</v>
      </c>
      <c r="M45" s="140" t="str">
        <v>EUR3F5Y=ICAP</v>
      </c>
      <c r="N45" s="78">
        <v>1.121</v>
      </c>
      <c r="O45" s="111"/>
      <c r="P45" s="78">
        <v>1.121</v>
      </c>
      <c r="Q45" s="111"/>
      <c r="R45" s="78">
        <v>1.121</v>
      </c>
      <c r="S45" s="78" t="e">
        <f ca="1">_xll.qlSimpleQuoteSetValue(E45,R45/100,Trigger)</f>
        <v>#NAME?</v>
      </c>
      <c r="T45" s="130"/>
      <c r="V45" s="161"/>
    </row>
    <row r="46" spans="1:22" x14ac:dyDescent="0.2">
      <c r="A46" s="135"/>
      <c r="B46" s="45" t="str">
        <f t="shared" si="0"/>
        <v>6Y</v>
      </c>
      <c r="C46" s="45" t="str">
        <f t="shared" si="1"/>
        <v>3F</v>
      </c>
      <c r="D46" s="43" t="str">
        <f t="shared" si="2"/>
        <v>EUR3F6Y_Quote</v>
      </c>
      <c r="E46" s="43" t="e">
        <f ca="1">_xll.qlSimpleQuote(D46,,RateTickValue,Permanent,Trigger,ObjectOverwrite)</f>
        <v>#NAME?</v>
      </c>
      <c r="F46" s="42" t="e">
        <f ca="1">_xll.ohRangeRetrieveError(E46)</f>
        <v>#NAME?</v>
      </c>
      <c r="G46" s="36"/>
      <c r="H46" s="162"/>
      <c r="I46" s="113"/>
      <c r="J46" s="138" t="s">
        <v>50</v>
      </c>
      <c r="K46" s="138" t="str">
        <f t="shared" si="6"/>
        <v>3F</v>
      </c>
      <c r="L46" s="140" t="str">
        <f t="shared" si="4"/>
        <v>EUR3F6Y</v>
      </c>
      <c r="M46" s="140" t="str">
        <v>EUR3F6Y=ICAP</v>
      </c>
      <c r="N46" s="78">
        <v>1.238</v>
      </c>
      <c r="O46" s="111"/>
      <c r="P46" s="78">
        <v>1.238</v>
      </c>
      <c r="Q46" s="111"/>
      <c r="R46" s="78">
        <v>1.238</v>
      </c>
      <c r="S46" s="78" t="e">
        <f ca="1">_xll.qlSimpleQuoteSetValue(E46,R46/100,Trigger)</f>
        <v>#NAME?</v>
      </c>
      <c r="T46" s="130"/>
      <c r="V46" s="161"/>
    </row>
    <row r="47" spans="1:22" x14ac:dyDescent="0.2">
      <c r="A47" s="135"/>
      <c r="B47" s="45" t="str">
        <f t="shared" si="0"/>
        <v>7Y</v>
      </c>
      <c r="C47" s="45" t="str">
        <f t="shared" si="1"/>
        <v>3F</v>
      </c>
      <c r="D47" s="43" t="str">
        <f t="shared" si="2"/>
        <v>EUR3F7Y_Quote</v>
      </c>
      <c r="E47" s="43" t="e">
        <f ca="1">_xll.qlSimpleQuote(D47,,RateTickValue,Permanent,Trigger,ObjectOverwrite)</f>
        <v>#NAME?</v>
      </c>
      <c r="F47" s="42" t="e">
        <f ca="1">_xll.ohRangeRetrieveError(E47)</f>
        <v>#NAME?</v>
      </c>
      <c r="G47" s="36"/>
      <c r="H47" s="162"/>
      <c r="I47" s="113"/>
      <c r="J47" s="138" t="s">
        <v>49</v>
      </c>
      <c r="K47" s="138" t="str">
        <f t="shared" si="6"/>
        <v>3F</v>
      </c>
      <c r="L47" s="140" t="str">
        <f t="shared" si="4"/>
        <v>EUR3F7Y</v>
      </c>
      <c r="M47" s="140" t="str">
        <v>EUR3F7Y=ICAP</v>
      </c>
      <c r="N47" s="78">
        <v>1.337</v>
      </c>
      <c r="O47" s="111"/>
      <c r="P47" s="78">
        <v>1.337</v>
      </c>
      <c r="Q47" s="111"/>
      <c r="R47" s="78">
        <v>1.337</v>
      </c>
      <c r="S47" s="78" t="e">
        <f ca="1">_xll.qlSimpleQuoteSetValue(E47,R47/100,Trigger)</f>
        <v>#NAME?</v>
      </c>
      <c r="T47" s="130"/>
      <c r="V47" s="161"/>
    </row>
    <row r="48" spans="1:22" x14ac:dyDescent="0.2">
      <c r="A48" s="135"/>
      <c r="B48" s="45" t="str">
        <f t="shared" si="0"/>
        <v>8Y</v>
      </c>
      <c r="C48" s="45" t="str">
        <f t="shared" si="1"/>
        <v>3F</v>
      </c>
      <c r="D48" s="43" t="str">
        <f t="shared" si="2"/>
        <v>EUR3F8Y_Quote</v>
      </c>
      <c r="E48" s="43" t="e">
        <f ca="1">_xll.qlSimpleQuote(D48,,RateTickValue,Permanent,Trigger,ObjectOverwrite)</f>
        <v>#NAME?</v>
      </c>
      <c r="F48" s="42" t="e">
        <f ca="1">_xll.ohRangeRetrieveError(E48)</f>
        <v>#NAME?</v>
      </c>
      <c r="G48" s="36"/>
      <c r="H48" s="162"/>
      <c r="I48" s="113"/>
      <c r="J48" s="138" t="s">
        <v>48</v>
      </c>
      <c r="K48" s="138" t="str">
        <f t="shared" si="6"/>
        <v>3F</v>
      </c>
      <c r="L48" s="140" t="str">
        <f t="shared" si="4"/>
        <v>EUR3F8Y</v>
      </c>
      <c r="M48" s="140" t="str">
        <v>EUR3F8Y=ICAP</v>
      </c>
      <c r="N48" s="78">
        <v>1.423</v>
      </c>
      <c r="O48" s="111"/>
      <c r="P48" s="78">
        <v>1.423</v>
      </c>
      <c r="Q48" s="111"/>
      <c r="R48" s="78">
        <v>1.423</v>
      </c>
      <c r="S48" s="78" t="e">
        <f ca="1">_xll.qlSimpleQuoteSetValue(E48,R48/100,Trigger)</f>
        <v>#NAME?</v>
      </c>
      <c r="T48" s="130"/>
      <c r="V48" s="161"/>
    </row>
    <row r="49" spans="1:22" x14ac:dyDescent="0.2">
      <c r="A49" s="135"/>
      <c r="B49" s="45" t="str">
        <f t="shared" si="0"/>
        <v>9Y</v>
      </c>
      <c r="C49" s="45" t="str">
        <f t="shared" si="1"/>
        <v>3F</v>
      </c>
      <c r="D49" s="43" t="str">
        <f t="shared" si="2"/>
        <v>EUR3F9Y_Quote</v>
      </c>
      <c r="E49" s="43" t="e">
        <f ca="1">_xll.qlSimpleQuote(D49,,RateTickValue,Permanent,Trigger,ObjectOverwrite)</f>
        <v>#NAME?</v>
      </c>
      <c r="F49" s="42" t="e">
        <f ca="1">_xll.ohRangeRetrieveError(E49)</f>
        <v>#NAME?</v>
      </c>
      <c r="G49" s="36"/>
      <c r="H49" s="162"/>
      <c r="I49" s="113"/>
      <c r="J49" s="138" t="s">
        <v>47</v>
      </c>
      <c r="K49" s="138" t="str">
        <f t="shared" si="6"/>
        <v>3F</v>
      </c>
      <c r="L49" s="140" t="str">
        <f t="shared" si="4"/>
        <v>EUR3F9Y</v>
      </c>
      <c r="M49" s="140" t="str">
        <v>EUR3F9Y=ICAP</v>
      </c>
      <c r="N49" s="78">
        <v>1.498</v>
      </c>
      <c r="O49" s="111"/>
      <c r="P49" s="78">
        <v>1.498</v>
      </c>
      <c r="Q49" s="111"/>
      <c r="R49" s="78">
        <v>1.498</v>
      </c>
      <c r="S49" s="78" t="e">
        <f ca="1">_xll.qlSimpleQuoteSetValue(E49,R49/100,Trigger)</f>
        <v>#NAME?</v>
      </c>
      <c r="T49" s="130"/>
      <c r="V49" s="161"/>
    </row>
    <row r="50" spans="1:22" x14ac:dyDescent="0.2">
      <c r="A50" s="135"/>
      <c r="B50" s="45" t="str">
        <f t="shared" si="0"/>
        <v>10Y</v>
      </c>
      <c r="C50" s="45" t="str">
        <f t="shared" si="1"/>
        <v>3F</v>
      </c>
      <c r="D50" s="43" t="str">
        <f t="shared" si="2"/>
        <v>EUR3F10Y_Quote</v>
      </c>
      <c r="E50" s="43" t="e">
        <f ca="1">_xll.qlSimpleQuote(D50,,RateTickValue,Permanent,Trigger,ObjectOverwrite)</f>
        <v>#NAME?</v>
      </c>
      <c r="F50" s="42" t="e">
        <f ca="1">_xll.ohRangeRetrieveError(E50)</f>
        <v>#NAME?</v>
      </c>
      <c r="G50" s="36"/>
      <c r="H50" s="162"/>
      <c r="I50" s="113"/>
      <c r="J50" s="138" t="s">
        <v>46</v>
      </c>
      <c r="K50" s="138" t="str">
        <f t="shared" si="6"/>
        <v>3F</v>
      </c>
      <c r="L50" s="140" t="str">
        <f t="shared" si="4"/>
        <v>EUR3F10Y</v>
      </c>
      <c r="M50" s="140" t="str">
        <v>EUR3F10Y=ICAP</v>
      </c>
      <c r="N50" s="78">
        <v>1.5620000000000001</v>
      </c>
      <c r="O50" s="111"/>
      <c r="P50" s="78">
        <v>1.5620000000000001</v>
      </c>
      <c r="Q50" s="111"/>
      <c r="R50" s="78">
        <v>1.5620000000000001</v>
      </c>
      <c r="S50" s="78" t="e">
        <f ca="1">_xll.qlSimpleQuoteSetValue(E50,R50/100,Trigger)</f>
        <v>#NAME?</v>
      </c>
      <c r="T50" s="130"/>
      <c r="V50" s="161"/>
    </row>
    <row r="51" spans="1:22" x14ac:dyDescent="0.2">
      <c r="A51" s="135"/>
      <c r="B51" s="45" t="str">
        <f t="shared" si="0"/>
        <v>11Y</v>
      </c>
      <c r="C51" s="45" t="str">
        <f t="shared" si="1"/>
        <v>3F</v>
      </c>
      <c r="D51" s="43" t="str">
        <f t="shared" si="2"/>
        <v>EUR3F11Y_Quote</v>
      </c>
      <c r="E51" s="43" t="e">
        <f ca="1">_xll.qlSimpleQuote(D51,,RateTickValue,Permanent,Trigger,ObjectOverwrite)</f>
        <v>#NAME?</v>
      </c>
      <c r="F51" s="42" t="e">
        <f ca="1">_xll.ohRangeRetrieveError(E51)</f>
        <v>#NAME?</v>
      </c>
      <c r="G51" s="36"/>
      <c r="H51" s="162"/>
      <c r="I51" s="113"/>
      <c r="J51" s="138" t="s">
        <v>45</v>
      </c>
      <c r="K51" s="138" t="str">
        <f t="shared" si="6"/>
        <v>3F</v>
      </c>
      <c r="L51" s="140" t="str">
        <f t="shared" si="4"/>
        <v>EUR3F11Y</v>
      </c>
      <c r="M51" s="140" t="str">
        <v>EUR3F11Y=ICAP</v>
      </c>
      <c r="N51" s="78">
        <v>1.6139999999999999</v>
      </c>
      <c r="O51" s="111"/>
      <c r="P51" s="78">
        <v>1.6139999999999999</v>
      </c>
      <c r="Q51" s="111"/>
      <c r="R51" s="78">
        <v>1.6139999999999999</v>
      </c>
      <c r="S51" s="78" t="e">
        <f ca="1">_xll.qlSimpleQuoteSetValue(E51,R51/100,Trigger)</f>
        <v>#NAME?</v>
      </c>
      <c r="T51" s="130"/>
      <c r="V51" s="161"/>
    </row>
    <row r="52" spans="1:22" x14ac:dyDescent="0.2">
      <c r="A52" s="135"/>
      <c r="B52" s="45" t="str">
        <f t="shared" si="0"/>
        <v>12Y</v>
      </c>
      <c r="C52" s="45" t="str">
        <f t="shared" si="1"/>
        <v>3F</v>
      </c>
      <c r="D52" s="43" t="str">
        <f t="shared" si="2"/>
        <v>EUR3F12Y_Quote</v>
      </c>
      <c r="E52" s="43" t="e">
        <f ca="1">_xll.qlSimpleQuote(D52,,RateTickValue,Permanent,Trigger,ObjectOverwrite)</f>
        <v>#NAME?</v>
      </c>
      <c r="F52" s="42" t="e">
        <f ca="1">_xll.ohRangeRetrieveError(E52)</f>
        <v>#NAME?</v>
      </c>
      <c r="G52" s="36"/>
      <c r="H52" s="162"/>
      <c r="I52" s="113"/>
      <c r="J52" s="138" t="s">
        <v>44</v>
      </c>
      <c r="K52" s="138" t="str">
        <f t="shared" si="6"/>
        <v>3F</v>
      </c>
      <c r="L52" s="140" t="str">
        <f t="shared" si="4"/>
        <v>EUR3F12Y</v>
      </c>
      <c r="M52" s="140" t="str">
        <v>EUR3F12Y=ICAP</v>
      </c>
      <c r="N52" s="78">
        <v>1.6579999999999999</v>
      </c>
      <c r="O52" s="111"/>
      <c r="P52" s="78">
        <v>1.6579999999999999</v>
      </c>
      <c r="Q52" s="111"/>
      <c r="R52" s="78">
        <v>1.6579999999999999</v>
      </c>
      <c r="S52" s="78" t="e">
        <f ca="1">_xll.qlSimpleQuoteSetValue(E52,R52/100,Trigger)</f>
        <v>#NAME?</v>
      </c>
      <c r="T52" s="130"/>
      <c r="V52" s="161"/>
    </row>
    <row r="53" spans="1:22" x14ac:dyDescent="0.2">
      <c r="A53" s="135"/>
      <c r="B53" s="45" t="str">
        <f t="shared" si="0"/>
        <v>13Y</v>
      </c>
      <c r="C53" s="45" t="str">
        <f t="shared" si="1"/>
        <v>3F</v>
      </c>
      <c r="D53" s="43" t="str">
        <f t="shared" si="2"/>
        <v>EUR3F13Y_Quote</v>
      </c>
      <c r="E53" s="43" t="e">
        <f ca="1">_xll.qlSimpleQuote(D53,,RateTickValue,Permanent,Trigger,ObjectOverwrite)</f>
        <v>#NAME?</v>
      </c>
      <c r="F53" s="42" t="e">
        <f ca="1">_xll.ohRangeRetrieveError(E53)</f>
        <v>#NAME?</v>
      </c>
      <c r="G53" s="36"/>
      <c r="H53" s="162"/>
      <c r="I53" s="113"/>
      <c r="J53" s="138" t="s">
        <v>43</v>
      </c>
      <c r="K53" s="138" t="str">
        <f t="shared" si="6"/>
        <v>3F</v>
      </c>
      <c r="L53" s="140" t="str">
        <f t="shared" si="4"/>
        <v>EUR3F13Y</v>
      </c>
      <c r="M53" s="140" t="str">
        <v>EUR3F13Y=ICAP</v>
      </c>
      <c r="N53" s="78">
        <v>1.6910000000000001</v>
      </c>
      <c r="O53" s="111"/>
      <c r="P53" s="78">
        <v>1.6910000000000001</v>
      </c>
      <c r="Q53" s="111"/>
      <c r="R53" s="78">
        <v>1.6910000000000001</v>
      </c>
      <c r="S53" s="78" t="e">
        <f ca="1">_xll.qlSimpleQuoteSetValue(E53,R53/100,Trigger)</f>
        <v>#NAME?</v>
      </c>
      <c r="T53" s="130"/>
      <c r="V53" s="161"/>
    </row>
    <row r="54" spans="1:22" x14ac:dyDescent="0.2">
      <c r="A54" s="135"/>
      <c r="B54" s="45" t="str">
        <f t="shared" si="0"/>
        <v>14Y</v>
      </c>
      <c r="C54" s="45" t="str">
        <f t="shared" si="1"/>
        <v>3F</v>
      </c>
      <c r="D54" s="43" t="str">
        <f t="shared" si="2"/>
        <v>EUR3F14Y_Quote</v>
      </c>
      <c r="E54" s="43" t="e">
        <f ca="1">_xll.qlSimpleQuote(D54,,RateTickValue,Permanent,Trigger,ObjectOverwrite)</f>
        <v>#NAME?</v>
      </c>
      <c r="F54" s="42" t="e">
        <f ca="1">_xll.ohRangeRetrieveError(E54)</f>
        <v>#NAME?</v>
      </c>
      <c r="G54" s="36"/>
      <c r="H54" s="162"/>
      <c r="I54" s="113"/>
      <c r="J54" s="138" t="s">
        <v>42</v>
      </c>
      <c r="K54" s="138" t="str">
        <f t="shared" si="6"/>
        <v>3F</v>
      </c>
      <c r="L54" s="140" t="str">
        <f t="shared" si="4"/>
        <v>EUR3F14Y</v>
      </c>
      <c r="M54" s="140" t="str">
        <v>EUR3F14Y=ICAP</v>
      </c>
      <c r="N54" s="78">
        <v>1.72</v>
      </c>
      <c r="O54" s="111"/>
      <c r="P54" s="78">
        <v>1.72</v>
      </c>
      <c r="Q54" s="111"/>
      <c r="R54" s="78">
        <v>1.72</v>
      </c>
      <c r="S54" s="78" t="e">
        <f ca="1">_xll.qlSimpleQuoteSetValue(E54,R54/100,Trigger)</f>
        <v>#NAME?</v>
      </c>
      <c r="T54" s="130"/>
      <c r="V54" s="161"/>
    </row>
    <row r="55" spans="1:22" x14ac:dyDescent="0.2">
      <c r="A55" s="135"/>
      <c r="B55" s="45" t="str">
        <f t="shared" si="0"/>
        <v>15Y</v>
      </c>
      <c r="C55" s="45" t="str">
        <f t="shared" si="1"/>
        <v>3F</v>
      </c>
      <c r="D55" s="43" t="str">
        <f t="shared" si="2"/>
        <v>EUR3F15Y_Quote</v>
      </c>
      <c r="E55" s="43" t="e">
        <f ca="1">_xll.qlSimpleQuote(D55,,RateTickValue,Permanent,Trigger,ObjectOverwrite)</f>
        <v>#NAME?</v>
      </c>
      <c r="F55" s="42" t="e">
        <f ca="1">_xll.ohRangeRetrieveError(E55)</f>
        <v>#NAME?</v>
      </c>
      <c r="G55" s="36"/>
      <c r="H55" s="162"/>
      <c r="I55" s="113"/>
      <c r="J55" s="138" t="s">
        <v>41</v>
      </c>
      <c r="K55" s="138" t="str">
        <f t="shared" si="6"/>
        <v>3F</v>
      </c>
      <c r="L55" s="140" t="str">
        <f t="shared" si="4"/>
        <v>EUR3F15Y</v>
      </c>
      <c r="M55" s="140" t="str">
        <v>EUR3F15Y=ICAP</v>
      </c>
      <c r="N55" s="78">
        <v>1.7389999999999999</v>
      </c>
      <c r="O55" s="111"/>
      <c r="P55" s="78">
        <v>1.7389999999999999</v>
      </c>
      <c r="Q55" s="111"/>
      <c r="R55" s="78">
        <v>1.7389999999999999</v>
      </c>
      <c r="S55" s="78" t="e">
        <f ca="1">_xll.qlSimpleQuoteSetValue(E55,R55/100,Trigger)</f>
        <v>#NAME?</v>
      </c>
      <c r="T55" s="130"/>
      <c r="V55" s="161"/>
    </row>
    <row r="56" spans="1:22" x14ac:dyDescent="0.2">
      <c r="A56" s="135"/>
      <c r="B56" s="45" t="str">
        <f t="shared" si="0"/>
        <v>20Y</v>
      </c>
      <c r="C56" s="45" t="str">
        <f t="shared" si="1"/>
        <v>3F</v>
      </c>
      <c r="D56" s="43" t="str">
        <f t="shared" si="2"/>
        <v>EUR3F20Y_Quote</v>
      </c>
      <c r="E56" s="43" t="e">
        <f ca="1">_xll.qlSimpleQuote(D56,,RateTickValue,Permanent,Trigger,ObjectOverwrite)</f>
        <v>#NAME?</v>
      </c>
      <c r="F56" s="42" t="e">
        <f ca="1">_xll.ohRangeRetrieveError(E56)</f>
        <v>#NAME?</v>
      </c>
      <c r="G56" s="36"/>
      <c r="H56" s="162"/>
      <c r="I56" s="113"/>
      <c r="J56" s="138" t="s">
        <v>36</v>
      </c>
      <c r="K56" s="138" t="str">
        <f t="shared" si="6"/>
        <v>3F</v>
      </c>
      <c r="L56" s="140" t="str">
        <f t="shared" si="4"/>
        <v>EUR3F20Y</v>
      </c>
      <c r="M56" s="140" t="str">
        <v>EUR3F20Y=ICAP</v>
      </c>
      <c r="N56" s="78">
        <v>1.7570000000000001</v>
      </c>
      <c r="O56" s="111"/>
      <c r="P56" s="78">
        <v>1.7570000000000001</v>
      </c>
      <c r="Q56" s="111"/>
      <c r="R56" s="78">
        <v>1.7570000000000001</v>
      </c>
      <c r="S56" s="78" t="e">
        <f ca="1">_xll.qlSimpleQuoteSetValue(E56,R56/100,Trigger)</f>
        <v>#NAME?</v>
      </c>
      <c r="T56" s="130"/>
      <c r="V56" s="161"/>
    </row>
    <row r="57" spans="1:22" x14ac:dyDescent="0.2">
      <c r="A57" s="135"/>
      <c r="B57" s="45" t="str">
        <f t="shared" si="0"/>
        <v>25Y</v>
      </c>
      <c r="C57" s="45" t="str">
        <f t="shared" si="1"/>
        <v>3F</v>
      </c>
      <c r="D57" s="43" t="str">
        <f t="shared" si="2"/>
        <v>EUR3F25Y_Quote</v>
      </c>
      <c r="E57" s="43" t="e">
        <f ca="1">_xll.qlSimpleQuote(D57,,RateTickValue,Permanent,Trigger,ObjectOverwrite)</f>
        <v>#NAME?</v>
      </c>
      <c r="F57" s="42" t="e">
        <f ca="1">_xll.ohRangeRetrieveError(E57)</f>
        <v>#NAME?</v>
      </c>
      <c r="G57" s="36"/>
      <c r="H57" s="162"/>
      <c r="I57" s="113"/>
      <c r="J57" s="138" t="s">
        <v>31</v>
      </c>
      <c r="K57" s="138" t="str">
        <f t="shared" si="6"/>
        <v>3F</v>
      </c>
      <c r="L57" s="140" t="str">
        <f t="shared" si="4"/>
        <v>EUR3F25Y</v>
      </c>
      <c r="M57" s="140" t="str">
        <v>EUR3F25Y=ICAP</v>
      </c>
      <c r="N57" s="78">
        <v>1.728</v>
      </c>
      <c r="O57" s="111"/>
      <c r="P57" s="78">
        <v>1.728</v>
      </c>
      <c r="Q57" s="111"/>
      <c r="R57" s="78">
        <v>1.728</v>
      </c>
      <c r="S57" s="78" t="e">
        <f ca="1">_xll.qlSimpleQuoteSetValue(E57,R57/100,Trigger)</f>
        <v>#NAME?</v>
      </c>
      <c r="T57" s="130"/>
      <c r="V57" s="161"/>
    </row>
    <row r="58" spans="1:22" x14ac:dyDescent="0.2">
      <c r="A58" s="135"/>
      <c r="B58" s="45" t="str">
        <f t="shared" si="0"/>
        <v>30Y</v>
      </c>
      <c r="C58" s="45" t="str">
        <f t="shared" si="1"/>
        <v>3F</v>
      </c>
      <c r="D58" s="43" t="str">
        <f t="shared" si="2"/>
        <v>EUR3F30Y_Quote</v>
      </c>
      <c r="E58" s="43" t="e">
        <f ca="1">_xll.qlSimpleQuote(D58,,RateTickValue,Permanent,Trigger,ObjectOverwrite)</f>
        <v>#NAME?</v>
      </c>
      <c r="F58" s="42" t="e">
        <f ca="1">_xll.ohRangeRetrieveError(E58)</f>
        <v>#NAME?</v>
      </c>
      <c r="G58" s="36"/>
      <c r="H58" s="162"/>
      <c r="I58" s="113"/>
      <c r="J58" s="131" t="s">
        <v>26</v>
      </c>
      <c r="K58" s="131" t="str">
        <f t="shared" si="6"/>
        <v>3F</v>
      </c>
      <c r="L58" s="133" t="str">
        <f t="shared" si="4"/>
        <v>EUR3F30Y</v>
      </c>
      <c r="M58" s="133" t="str">
        <v>EUR3F30Y=ICAP</v>
      </c>
      <c r="N58" s="65">
        <v>1.706</v>
      </c>
      <c r="O58" s="111"/>
      <c r="P58" s="65">
        <v>1.706</v>
      </c>
      <c r="Q58" s="111"/>
      <c r="R58" s="65">
        <v>1.706</v>
      </c>
      <c r="S58" s="65" t="e">
        <f ca="1">_xll.qlSimpleQuoteSetValue(E58,R58/100,Trigger)</f>
        <v>#NAME?</v>
      </c>
      <c r="T58" s="130"/>
      <c r="V58" s="161"/>
    </row>
    <row r="59" spans="1:22" x14ac:dyDescent="0.2">
      <c r="A59" s="135"/>
      <c r="B59" s="45" t="str">
        <f t="shared" si="0"/>
        <v>1Y</v>
      </c>
      <c r="C59" s="45" t="str">
        <f t="shared" si="1"/>
        <v>4F</v>
      </c>
      <c r="D59" s="43" t="str">
        <f t="shared" si="2"/>
        <v>EUR4F1Y_Quote</v>
      </c>
      <c r="E59" s="43" t="e">
        <f ca="1">_xll.qlSimpleQuote(D59,,RateTickValue,Permanent,Trigger,ObjectOverwrite)</f>
        <v>#NAME?</v>
      </c>
      <c r="F59" s="42" t="e">
        <f ca="1">_xll.ohRangeRetrieveError(E59)</f>
        <v>#NAME?</v>
      </c>
      <c r="G59" s="36"/>
      <c r="H59" s="162"/>
      <c r="I59" s="135">
        <v>4</v>
      </c>
      <c r="J59" s="164" t="s">
        <v>58</v>
      </c>
      <c r="K59" s="164" t="str">
        <f t="shared" ref="K59:K76" si="7">$I$59&amp;"F"</f>
        <v>4F</v>
      </c>
      <c r="L59" s="163" t="str">
        <f t="shared" si="4"/>
        <v>EUR4F1Y</v>
      </c>
      <c r="M59" s="163" t="str">
        <v>EUR4F1Y=ICAP</v>
      </c>
      <c r="N59" s="89">
        <v>0.84600000000000009</v>
      </c>
      <c r="O59" s="111"/>
      <c r="P59" s="89">
        <v>0.84600000000000009</v>
      </c>
      <c r="Q59" s="111"/>
      <c r="R59" s="89">
        <v>0.84600000000000009</v>
      </c>
      <c r="S59" s="89" t="e">
        <f ca="1">_xll.qlSimpleQuoteSetValue(E59,R59/100,Trigger)</f>
        <v>#NAME?</v>
      </c>
      <c r="T59" s="130"/>
      <c r="V59" s="161"/>
    </row>
    <row r="60" spans="1:22" x14ac:dyDescent="0.2">
      <c r="A60" s="135"/>
      <c r="B60" s="45" t="str">
        <f t="shared" si="0"/>
        <v>2Y</v>
      </c>
      <c r="C60" s="45" t="str">
        <f t="shared" si="1"/>
        <v>4F</v>
      </c>
      <c r="D60" s="43" t="str">
        <f t="shared" si="2"/>
        <v>EUR4F2Y_Quote</v>
      </c>
      <c r="E60" s="43" t="e">
        <f ca="1">_xll.qlSimpleQuote(D60,,RateTickValue,Permanent,Trigger,ObjectOverwrite)</f>
        <v>#NAME?</v>
      </c>
      <c r="F60" s="42" t="e">
        <f ca="1">_xll.ohRangeRetrieveError(E60)</f>
        <v>#NAME?</v>
      </c>
      <c r="G60" s="36"/>
      <c r="H60" s="162"/>
      <c r="I60" s="113"/>
      <c r="J60" s="138" t="s">
        <v>54</v>
      </c>
      <c r="K60" s="138" t="str">
        <f t="shared" si="7"/>
        <v>4F</v>
      </c>
      <c r="L60" s="140" t="str">
        <f t="shared" si="4"/>
        <v>EUR4F2Y</v>
      </c>
      <c r="M60" s="140" t="str">
        <v>EUR4F2Y=ICAP</v>
      </c>
      <c r="N60" s="78">
        <v>0.99399999999999999</v>
      </c>
      <c r="O60" s="111"/>
      <c r="P60" s="78">
        <v>0.99399999999999999</v>
      </c>
      <c r="Q60" s="111"/>
      <c r="R60" s="78">
        <v>0.99399999999999999</v>
      </c>
      <c r="S60" s="78" t="e">
        <f ca="1">_xll.qlSimpleQuoteSetValue(E60,R60/100,Trigger)</f>
        <v>#NAME?</v>
      </c>
      <c r="T60" s="130"/>
      <c r="V60" s="161"/>
    </row>
    <row r="61" spans="1:22" x14ac:dyDescent="0.2">
      <c r="A61" s="135"/>
      <c r="B61" s="45" t="str">
        <f t="shared" si="0"/>
        <v>3Y</v>
      </c>
      <c r="C61" s="45" t="str">
        <f t="shared" si="1"/>
        <v>4F</v>
      </c>
      <c r="D61" s="43" t="str">
        <f t="shared" si="2"/>
        <v>EUR4F3Y_Quote</v>
      </c>
      <c r="E61" s="43" t="e">
        <f ca="1">_xll.qlSimpleQuote(D61,,RateTickValue,Permanent,Trigger,ObjectOverwrite)</f>
        <v>#NAME?</v>
      </c>
      <c r="F61" s="42" t="e">
        <f ca="1">_xll.ohRangeRetrieveError(E61)</f>
        <v>#NAME?</v>
      </c>
      <c r="G61" s="36"/>
      <c r="H61" s="162"/>
      <c r="I61" s="113"/>
      <c r="J61" s="138" t="s">
        <v>53</v>
      </c>
      <c r="K61" s="138" t="str">
        <f t="shared" si="7"/>
        <v>4F</v>
      </c>
      <c r="L61" s="140" t="str">
        <f t="shared" si="4"/>
        <v>EUR4F3Y</v>
      </c>
      <c r="M61" s="140" t="str">
        <v>EUR4F3Y=ICAP</v>
      </c>
      <c r="N61" s="78">
        <v>1.139</v>
      </c>
      <c r="O61" s="111"/>
      <c r="P61" s="78">
        <v>1.139</v>
      </c>
      <c r="Q61" s="111"/>
      <c r="R61" s="78">
        <v>1.139</v>
      </c>
      <c r="S61" s="78" t="e">
        <f ca="1">_xll.qlSimpleQuoteSetValue(E61,R61/100,Trigger)</f>
        <v>#NAME?</v>
      </c>
      <c r="T61" s="130"/>
      <c r="V61" s="161"/>
    </row>
    <row r="62" spans="1:22" x14ac:dyDescent="0.2">
      <c r="A62" s="135"/>
      <c r="B62" s="45" t="str">
        <f t="shared" si="0"/>
        <v>4Y</v>
      </c>
      <c r="C62" s="45" t="str">
        <f t="shared" si="1"/>
        <v>4F</v>
      </c>
      <c r="D62" s="43" t="str">
        <f t="shared" si="2"/>
        <v>EUR4F4Y_Quote</v>
      </c>
      <c r="E62" s="43" t="e">
        <f ca="1">_xll.qlSimpleQuote(D62,,RateTickValue,Permanent,Trigger,ObjectOverwrite)</f>
        <v>#NAME?</v>
      </c>
      <c r="F62" s="42" t="e">
        <f ca="1">_xll.ohRangeRetrieveError(E62)</f>
        <v>#NAME?</v>
      </c>
      <c r="G62" s="36"/>
      <c r="H62" s="162"/>
      <c r="I62" s="113"/>
      <c r="J62" s="138" t="s">
        <v>52</v>
      </c>
      <c r="K62" s="138" t="str">
        <f t="shared" si="7"/>
        <v>4F</v>
      </c>
      <c r="L62" s="140" t="str">
        <f t="shared" si="4"/>
        <v>EUR4F4Y</v>
      </c>
      <c r="M62" s="140" t="str">
        <v>EUR4F4Y=ICAP</v>
      </c>
      <c r="N62" s="78">
        <v>1.268</v>
      </c>
      <c r="O62" s="111"/>
      <c r="P62" s="78">
        <v>1.268</v>
      </c>
      <c r="Q62" s="111"/>
      <c r="R62" s="78">
        <v>1.268</v>
      </c>
      <c r="S62" s="78" t="e">
        <f ca="1">_xll.qlSimpleQuoteSetValue(E62,R62/100,Trigger)</f>
        <v>#NAME?</v>
      </c>
      <c r="T62" s="130"/>
      <c r="V62" s="161"/>
    </row>
    <row r="63" spans="1:22" x14ac:dyDescent="0.2">
      <c r="A63" s="135"/>
      <c r="B63" s="45" t="str">
        <f t="shared" si="0"/>
        <v>5Y</v>
      </c>
      <c r="C63" s="45" t="str">
        <f t="shared" si="1"/>
        <v>4F</v>
      </c>
      <c r="D63" s="43" t="str">
        <f t="shared" si="2"/>
        <v>EUR4F5Y_Quote</v>
      </c>
      <c r="E63" s="43" t="e">
        <f ca="1">_xll.qlSimpleQuote(D63,,RateTickValue,Permanent,Trigger,ObjectOverwrite)</f>
        <v>#NAME?</v>
      </c>
      <c r="F63" s="42" t="e">
        <f ca="1">_xll.ohRangeRetrieveError(E63)</f>
        <v>#NAME?</v>
      </c>
      <c r="G63" s="36"/>
      <c r="H63" s="162"/>
      <c r="I63" s="113"/>
      <c r="J63" s="138" t="s">
        <v>51</v>
      </c>
      <c r="K63" s="138" t="str">
        <f t="shared" si="7"/>
        <v>4F</v>
      </c>
      <c r="L63" s="140" t="str">
        <f t="shared" si="4"/>
        <v>EUR4F5Y</v>
      </c>
      <c r="M63" s="140" t="str">
        <v>EUR4F5Y=ICAP</v>
      </c>
      <c r="N63" s="78">
        <v>1.381</v>
      </c>
      <c r="O63" s="111"/>
      <c r="P63" s="78">
        <v>1.381</v>
      </c>
      <c r="Q63" s="111"/>
      <c r="R63" s="78">
        <v>1.381</v>
      </c>
      <c r="S63" s="78" t="e">
        <f ca="1">_xll.qlSimpleQuoteSetValue(E63,R63/100,Trigger)</f>
        <v>#NAME?</v>
      </c>
      <c r="T63" s="130"/>
      <c r="V63" s="161"/>
    </row>
    <row r="64" spans="1:22" x14ac:dyDescent="0.2">
      <c r="A64" s="135"/>
      <c r="B64" s="45" t="str">
        <f t="shared" si="0"/>
        <v>6Y</v>
      </c>
      <c r="C64" s="45" t="str">
        <f t="shared" si="1"/>
        <v>4F</v>
      </c>
      <c r="D64" s="43" t="str">
        <f t="shared" si="2"/>
        <v>EUR4F6Y_Quote</v>
      </c>
      <c r="E64" s="43" t="e">
        <f ca="1">_xll.qlSimpleQuote(D64,,RateTickValue,Permanent,Trigger,ObjectOverwrite)</f>
        <v>#NAME?</v>
      </c>
      <c r="F64" s="42" t="e">
        <f ca="1">_xll.ohRangeRetrieveError(E64)</f>
        <v>#NAME?</v>
      </c>
      <c r="G64" s="36"/>
      <c r="H64" s="162"/>
      <c r="I64" s="113"/>
      <c r="J64" s="138" t="s">
        <v>50</v>
      </c>
      <c r="K64" s="138" t="str">
        <f t="shared" si="7"/>
        <v>4F</v>
      </c>
      <c r="L64" s="140" t="str">
        <f t="shared" si="4"/>
        <v>EUR4F6Y</v>
      </c>
      <c r="M64" s="140" t="str">
        <v>EUR4F6Y=ICAP</v>
      </c>
      <c r="N64" s="78">
        <v>1.4730000000000001</v>
      </c>
      <c r="O64" s="111"/>
      <c r="P64" s="78">
        <v>1.4730000000000001</v>
      </c>
      <c r="Q64" s="111"/>
      <c r="R64" s="78">
        <v>1.4730000000000001</v>
      </c>
      <c r="S64" s="78" t="e">
        <f ca="1">_xll.qlSimpleQuoteSetValue(E64,R64/100,Trigger)</f>
        <v>#NAME?</v>
      </c>
      <c r="T64" s="130"/>
      <c r="V64" s="161"/>
    </row>
    <row r="65" spans="1:22" x14ac:dyDescent="0.2">
      <c r="A65" s="135"/>
      <c r="B65" s="45" t="str">
        <f t="shared" si="0"/>
        <v>7Y</v>
      </c>
      <c r="C65" s="45" t="str">
        <f t="shared" si="1"/>
        <v>4F</v>
      </c>
      <c r="D65" s="43" t="str">
        <f t="shared" si="2"/>
        <v>EUR4F7Y_Quote</v>
      </c>
      <c r="E65" s="43" t="e">
        <f ca="1">_xll.qlSimpleQuote(D65,,RateTickValue,Permanent,Trigger,ObjectOverwrite)</f>
        <v>#NAME?</v>
      </c>
      <c r="F65" s="42" t="e">
        <f ca="1">_xll.ohRangeRetrieveError(E65)</f>
        <v>#NAME?</v>
      </c>
      <c r="G65" s="36"/>
      <c r="H65" s="162"/>
      <c r="I65" s="113"/>
      <c r="J65" s="138" t="s">
        <v>49</v>
      </c>
      <c r="K65" s="138" t="str">
        <f t="shared" si="7"/>
        <v>4F</v>
      </c>
      <c r="L65" s="140" t="str">
        <f t="shared" si="4"/>
        <v>EUR4F7Y</v>
      </c>
      <c r="M65" s="140" t="str">
        <v>EUR4F7Y=ICAP</v>
      </c>
      <c r="N65" s="78">
        <v>1.554</v>
      </c>
      <c r="O65" s="111"/>
      <c r="P65" s="78">
        <v>1.554</v>
      </c>
      <c r="Q65" s="111"/>
      <c r="R65" s="78">
        <v>1.554</v>
      </c>
      <c r="S65" s="78" t="e">
        <f ca="1">_xll.qlSimpleQuoteSetValue(E65,R65/100,Trigger)</f>
        <v>#NAME?</v>
      </c>
      <c r="T65" s="130"/>
      <c r="V65" s="161"/>
    </row>
    <row r="66" spans="1:22" x14ac:dyDescent="0.2">
      <c r="A66" s="135"/>
      <c r="B66" s="45" t="str">
        <f t="shared" si="0"/>
        <v>8Y</v>
      </c>
      <c r="C66" s="45" t="str">
        <f t="shared" si="1"/>
        <v>4F</v>
      </c>
      <c r="D66" s="43" t="str">
        <f t="shared" si="2"/>
        <v>EUR4F8Y_Quote</v>
      </c>
      <c r="E66" s="43" t="e">
        <f ca="1">_xll.qlSimpleQuote(D66,,RateTickValue,Permanent,Trigger,ObjectOverwrite)</f>
        <v>#NAME?</v>
      </c>
      <c r="F66" s="42" t="e">
        <f ca="1">_xll.ohRangeRetrieveError(E66)</f>
        <v>#NAME?</v>
      </c>
      <c r="G66" s="36"/>
      <c r="H66" s="162"/>
      <c r="I66" s="113"/>
      <c r="J66" s="138" t="s">
        <v>48</v>
      </c>
      <c r="K66" s="138" t="str">
        <f t="shared" si="7"/>
        <v>4F</v>
      </c>
      <c r="L66" s="140" t="str">
        <f t="shared" si="4"/>
        <v>EUR4F8Y</v>
      </c>
      <c r="M66" s="140" t="str">
        <v>EUR4F8Y=ICAP</v>
      </c>
      <c r="N66" s="78">
        <v>1.6240000000000001</v>
      </c>
      <c r="O66" s="111"/>
      <c r="P66" s="78">
        <v>1.6240000000000001</v>
      </c>
      <c r="Q66" s="111"/>
      <c r="R66" s="78">
        <v>1.6240000000000001</v>
      </c>
      <c r="S66" s="78" t="e">
        <f ca="1">_xll.qlSimpleQuoteSetValue(E66,R66/100,Trigger)</f>
        <v>#NAME?</v>
      </c>
      <c r="T66" s="130"/>
      <c r="V66" s="161"/>
    </row>
    <row r="67" spans="1:22" x14ac:dyDescent="0.2">
      <c r="A67" s="135"/>
      <c r="B67" s="45" t="str">
        <f t="shared" si="0"/>
        <v>9Y</v>
      </c>
      <c r="C67" s="45" t="str">
        <f t="shared" si="1"/>
        <v>4F</v>
      </c>
      <c r="D67" s="43" t="str">
        <f t="shared" si="2"/>
        <v>EUR4F9Y_Quote</v>
      </c>
      <c r="E67" s="43" t="e">
        <f ca="1">_xll.qlSimpleQuote(D67,,RateTickValue,Permanent,Trigger,ObjectOverwrite)</f>
        <v>#NAME?</v>
      </c>
      <c r="F67" s="42" t="e">
        <f ca="1">_xll.ohRangeRetrieveError(E67)</f>
        <v>#NAME?</v>
      </c>
      <c r="G67" s="36"/>
      <c r="H67" s="162"/>
      <c r="I67" s="113"/>
      <c r="J67" s="138" t="s">
        <v>47</v>
      </c>
      <c r="K67" s="138" t="str">
        <f t="shared" si="7"/>
        <v>4F</v>
      </c>
      <c r="L67" s="140" t="str">
        <f t="shared" si="4"/>
        <v>EUR4F9Y</v>
      </c>
      <c r="M67" s="140" t="str">
        <v>EUR4F9Y=ICAP</v>
      </c>
      <c r="N67" s="78">
        <v>1.6819999999999999</v>
      </c>
      <c r="O67" s="111"/>
      <c r="P67" s="78">
        <v>1.6819999999999999</v>
      </c>
      <c r="Q67" s="111"/>
      <c r="R67" s="78">
        <v>1.6819999999999999</v>
      </c>
      <c r="S67" s="78" t="e">
        <f ca="1">_xll.qlSimpleQuoteSetValue(E67,R67/100,Trigger)</f>
        <v>#NAME?</v>
      </c>
      <c r="T67" s="130"/>
      <c r="V67" s="161"/>
    </row>
    <row r="68" spans="1:22" x14ac:dyDescent="0.2">
      <c r="A68" s="135"/>
      <c r="B68" s="45" t="str">
        <f t="shared" si="0"/>
        <v>10Y</v>
      </c>
      <c r="C68" s="45" t="str">
        <f t="shared" si="1"/>
        <v>4F</v>
      </c>
      <c r="D68" s="43" t="str">
        <f t="shared" si="2"/>
        <v>EUR4F10Y_Quote</v>
      </c>
      <c r="E68" s="43" t="e">
        <f ca="1">_xll.qlSimpleQuote(D68,,RateTickValue,Permanent,Trigger,ObjectOverwrite)</f>
        <v>#NAME?</v>
      </c>
      <c r="F68" s="42" t="e">
        <f ca="1">_xll.ohRangeRetrieveError(E68)</f>
        <v>#NAME?</v>
      </c>
      <c r="G68" s="36"/>
      <c r="H68" s="162"/>
      <c r="I68" s="113"/>
      <c r="J68" s="138" t="s">
        <v>46</v>
      </c>
      <c r="K68" s="138" t="str">
        <f t="shared" si="7"/>
        <v>4F</v>
      </c>
      <c r="L68" s="140" t="str">
        <f t="shared" si="4"/>
        <v>EUR4F10Y</v>
      </c>
      <c r="M68" s="140" t="str">
        <v>EUR4F10Y=ICAP</v>
      </c>
      <c r="N68" s="78">
        <v>1.7290000000000001</v>
      </c>
      <c r="O68" s="111"/>
      <c r="P68" s="78">
        <v>1.7290000000000001</v>
      </c>
      <c r="Q68" s="111"/>
      <c r="R68" s="78">
        <v>1.7290000000000001</v>
      </c>
      <c r="S68" s="78" t="e">
        <f ca="1">_xll.qlSimpleQuoteSetValue(E68,R68/100,Trigger)</f>
        <v>#NAME?</v>
      </c>
      <c r="T68" s="130"/>
      <c r="V68" s="161"/>
    </row>
    <row r="69" spans="1:22" x14ac:dyDescent="0.2">
      <c r="A69" s="135"/>
      <c r="B69" s="45" t="str">
        <f t="shared" ref="B69:B132" si="8">J69</f>
        <v>11Y</v>
      </c>
      <c r="C69" s="45" t="str">
        <f t="shared" ref="C69:C132" si="9">K69</f>
        <v>4F</v>
      </c>
      <c r="D69" s="43" t="str">
        <f t="shared" ref="D69:D132" si="10">Currency&amp;$C69&amp;B69&amp;QuoteSuffix</f>
        <v>EUR4F11Y_Quote</v>
      </c>
      <c r="E69" s="43" t="e">
        <f ca="1">_xll.qlSimpleQuote(D69,,RateTickValue,Permanent,Trigger,ObjectOverwrite)</f>
        <v>#NAME?</v>
      </c>
      <c r="F69" s="42" t="e">
        <f ca="1">_xll.ohRangeRetrieveError(E69)</f>
        <v>#NAME?</v>
      </c>
      <c r="G69" s="36"/>
      <c r="H69" s="162"/>
      <c r="I69" s="113"/>
      <c r="J69" s="138" t="s">
        <v>45</v>
      </c>
      <c r="K69" s="138" t="str">
        <f t="shared" si="7"/>
        <v>4F</v>
      </c>
      <c r="L69" s="140" t="str">
        <f t="shared" ref="L69:L132" si="11">Currency&amp;$K69&amp;$J69</f>
        <v>EUR4F11Y</v>
      </c>
      <c r="M69" s="140" t="str">
        <v>EUR4F11Y=ICAP</v>
      </c>
      <c r="N69" s="78">
        <v>1.7669999999999999</v>
      </c>
      <c r="O69" s="111"/>
      <c r="P69" s="78">
        <v>1.7669999999999999</v>
      </c>
      <c r="Q69" s="111"/>
      <c r="R69" s="78">
        <v>1.7669999999999999</v>
      </c>
      <c r="S69" s="78" t="e">
        <f ca="1">_xll.qlSimpleQuoteSetValue(E69,R69/100,Trigger)</f>
        <v>#NAME?</v>
      </c>
      <c r="T69" s="130"/>
      <c r="V69" s="161"/>
    </row>
    <row r="70" spans="1:22" x14ac:dyDescent="0.2">
      <c r="A70" s="135"/>
      <c r="B70" s="45" t="str">
        <f t="shared" si="8"/>
        <v>12Y</v>
      </c>
      <c r="C70" s="45" t="str">
        <f t="shared" si="9"/>
        <v>4F</v>
      </c>
      <c r="D70" s="43" t="str">
        <f t="shared" si="10"/>
        <v>EUR4F12Y_Quote</v>
      </c>
      <c r="E70" s="43" t="e">
        <f ca="1">_xll.qlSimpleQuote(D70,,RateTickValue,Permanent,Trigger,ObjectOverwrite)</f>
        <v>#NAME?</v>
      </c>
      <c r="F70" s="42" t="e">
        <f ca="1">_xll.ohRangeRetrieveError(E70)</f>
        <v>#NAME?</v>
      </c>
      <c r="G70" s="36"/>
      <c r="H70" s="162"/>
      <c r="I70" s="113"/>
      <c r="J70" s="138" t="s">
        <v>44</v>
      </c>
      <c r="K70" s="138" t="str">
        <f t="shared" si="7"/>
        <v>4F</v>
      </c>
      <c r="L70" s="140" t="str">
        <f t="shared" si="11"/>
        <v>EUR4F12Y</v>
      </c>
      <c r="M70" s="140" t="str">
        <v>EUR4F12Y=ICAP</v>
      </c>
      <c r="N70" s="78">
        <v>1.796</v>
      </c>
      <c r="O70" s="111"/>
      <c r="P70" s="78">
        <v>1.796</v>
      </c>
      <c r="Q70" s="111"/>
      <c r="R70" s="78">
        <v>1.796</v>
      </c>
      <c r="S70" s="78" t="e">
        <f ca="1">_xll.qlSimpleQuoteSetValue(E70,R70/100,Trigger)</f>
        <v>#NAME?</v>
      </c>
      <c r="T70" s="130"/>
      <c r="V70" s="161"/>
    </row>
    <row r="71" spans="1:22" x14ac:dyDescent="0.2">
      <c r="A71" s="135"/>
      <c r="B71" s="45" t="str">
        <f t="shared" si="8"/>
        <v>13Y</v>
      </c>
      <c r="C71" s="45" t="str">
        <f t="shared" si="9"/>
        <v>4F</v>
      </c>
      <c r="D71" s="43" t="str">
        <f t="shared" si="10"/>
        <v>EUR4F13Y_Quote</v>
      </c>
      <c r="E71" s="43" t="e">
        <f ca="1">_xll.qlSimpleQuote(D71,,RateTickValue,Permanent,Trigger,ObjectOverwrite)</f>
        <v>#NAME?</v>
      </c>
      <c r="F71" s="42" t="e">
        <f ca="1">_xll.ohRangeRetrieveError(E71)</f>
        <v>#NAME?</v>
      </c>
      <c r="G71" s="36"/>
      <c r="H71" s="162"/>
      <c r="I71" s="113"/>
      <c r="J71" s="138" t="s">
        <v>43</v>
      </c>
      <c r="K71" s="138" t="str">
        <f t="shared" si="7"/>
        <v>4F</v>
      </c>
      <c r="L71" s="140" t="str">
        <f t="shared" si="11"/>
        <v>EUR4F13Y</v>
      </c>
      <c r="M71" s="140" t="str">
        <v>EUR4F13Y=ICAP</v>
      </c>
      <c r="N71" s="78">
        <v>1.819</v>
      </c>
      <c r="O71" s="111"/>
      <c r="P71" s="78">
        <v>1.819</v>
      </c>
      <c r="Q71" s="111"/>
      <c r="R71" s="78">
        <v>1.819</v>
      </c>
      <c r="S71" s="78" t="e">
        <f ca="1">_xll.qlSimpleQuoteSetValue(E71,R71/100,Trigger)</f>
        <v>#NAME?</v>
      </c>
      <c r="T71" s="130"/>
      <c r="V71" s="161"/>
    </row>
    <row r="72" spans="1:22" x14ac:dyDescent="0.2">
      <c r="A72" s="135"/>
      <c r="B72" s="45" t="str">
        <f t="shared" si="8"/>
        <v>14Y</v>
      </c>
      <c r="C72" s="45" t="str">
        <f t="shared" si="9"/>
        <v>4F</v>
      </c>
      <c r="D72" s="43" t="str">
        <f t="shared" si="10"/>
        <v>EUR4F14Y_Quote</v>
      </c>
      <c r="E72" s="43" t="e">
        <f ca="1">_xll.qlSimpleQuote(D72,,RateTickValue,Permanent,Trigger,ObjectOverwrite)</f>
        <v>#NAME?</v>
      </c>
      <c r="F72" s="42" t="e">
        <f ca="1">_xll.ohRangeRetrieveError(E72)</f>
        <v>#NAME?</v>
      </c>
      <c r="G72" s="36"/>
      <c r="H72" s="162"/>
      <c r="I72" s="113"/>
      <c r="J72" s="138" t="s">
        <v>42</v>
      </c>
      <c r="K72" s="138" t="str">
        <f t="shared" si="7"/>
        <v>4F</v>
      </c>
      <c r="L72" s="140" t="str">
        <f t="shared" si="11"/>
        <v>EUR4F14Y</v>
      </c>
      <c r="M72" s="140" t="str">
        <v>EUR4F14Y=ICAP</v>
      </c>
      <c r="N72" s="78">
        <v>1.833</v>
      </c>
      <c r="O72" s="111"/>
      <c r="P72" s="78">
        <v>1.833</v>
      </c>
      <c r="Q72" s="111"/>
      <c r="R72" s="78">
        <v>1.833</v>
      </c>
      <c r="S72" s="78" t="e">
        <f ca="1">_xll.qlSimpleQuoteSetValue(E72,R72/100,Trigger)</f>
        <v>#NAME?</v>
      </c>
      <c r="T72" s="130"/>
      <c r="V72" s="161"/>
    </row>
    <row r="73" spans="1:22" x14ac:dyDescent="0.2">
      <c r="A73" s="135"/>
      <c r="B73" s="45" t="str">
        <f t="shared" si="8"/>
        <v>15Y</v>
      </c>
      <c r="C73" s="45" t="str">
        <f t="shared" si="9"/>
        <v>4F</v>
      </c>
      <c r="D73" s="43" t="str">
        <f t="shared" si="10"/>
        <v>EUR4F15Y_Quote</v>
      </c>
      <c r="E73" s="43" t="e">
        <f ca="1">_xll.qlSimpleQuote(D73,,RateTickValue,Permanent,Trigger,ObjectOverwrite)</f>
        <v>#NAME?</v>
      </c>
      <c r="F73" s="42" t="e">
        <f ca="1">_xll.ohRangeRetrieveError(E73)</f>
        <v>#NAME?</v>
      </c>
      <c r="G73" s="36"/>
      <c r="H73" s="162"/>
      <c r="I73" s="113"/>
      <c r="J73" s="138" t="s">
        <v>41</v>
      </c>
      <c r="K73" s="138" t="str">
        <f t="shared" si="7"/>
        <v>4F</v>
      </c>
      <c r="L73" s="140" t="str">
        <f t="shared" si="11"/>
        <v>EUR4F15Y</v>
      </c>
      <c r="M73" s="140" t="str">
        <v>EUR4F15Y=ICAP</v>
      </c>
      <c r="N73" s="78">
        <v>1.8420000000000001</v>
      </c>
      <c r="O73" s="111"/>
      <c r="P73" s="78">
        <v>1.8420000000000001</v>
      </c>
      <c r="Q73" s="111"/>
      <c r="R73" s="78">
        <v>1.8420000000000001</v>
      </c>
      <c r="S73" s="78" t="e">
        <f ca="1">_xll.qlSimpleQuoteSetValue(E73,R73/100,Trigger)</f>
        <v>#NAME?</v>
      </c>
      <c r="T73" s="130"/>
      <c r="V73" s="161"/>
    </row>
    <row r="74" spans="1:22" x14ac:dyDescent="0.2">
      <c r="A74" s="135"/>
      <c r="B74" s="45" t="str">
        <f t="shared" si="8"/>
        <v>20Y</v>
      </c>
      <c r="C74" s="45" t="str">
        <f t="shared" si="9"/>
        <v>4F</v>
      </c>
      <c r="D74" s="43" t="str">
        <f t="shared" si="10"/>
        <v>EUR4F20Y_Quote</v>
      </c>
      <c r="E74" s="43" t="e">
        <f ca="1">_xll.qlSimpleQuote(D74,,RateTickValue,Permanent,Trigger,ObjectOverwrite)</f>
        <v>#NAME?</v>
      </c>
      <c r="F74" s="42" t="e">
        <f ca="1">_xll.ohRangeRetrieveError(E74)</f>
        <v>#NAME?</v>
      </c>
      <c r="G74" s="36"/>
      <c r="H74" s="162"/>
      <c r="I74" s="113"/>
      <c r="J74" s="138" t="s">
        <v>36</v>
      </c>
      <c r="K74" s="138" t="str">
        <f t="shared" si="7"/>
        <v>4F</v>
      </c>
      <c r="L74" s="140" t="str">
        <f t="shared" si="11"/>
        <v>EUR4F20Y</v>
      </c>
      <c r="M74" s="140" t="str">
        <v>EUR4F20Y=ICAP</v>
      </c>
      <c r="N74" s="78">
        <v>1.823</v>
      </c>
      <c r="O74" s="111"/>
      <c r="P74" s="78">
        <v>1.823</v>
      </c>
      <c r="Q74" s="111"/>
      <c r="R74" s="78">
        <v>1.823</v>
      </c>
      <c r="S74" s="78" t="e">
        <f ca="1">_xll.qlSimpleQuoteSetValue(E74,R74/100,Trigger)</f>
        <v>#NAME?</v>
      </c>
      <c r="T74" s="130"/>
      <c r="V74" s="161"/>
    </row>
    <row r="75" spans="1:22" x14ac:dyDescent="0.2">
      <c r="A75" s="135"/>
      <c r="B75" s="45" t="str">
        <f t="shared" si="8"/>
        <v>25Y</v>
      </c>
      <c r="C75" s="45" t="str">
        <f t="shared" si="9"/>
        <v>4F</v>
      </c>
      <c r="D75" s="43" t="str">
        <f t="shared" si="10"/>
        <v>EUR4F25Y_Quote</v>
      </c>
      <c r="E75" s="43" t="e">
        <f ca="1">_xll.qlSimpleQuote(D75,,RateTickValue,Permanent,Trigger,ObjectOverwrite)</f>
        <v>#NAME?</v>
      </c>
      <c r="F75" s="42" t="e">
        <f ca="1">_xll.ohRangeRetrieveError(E75)</f>
        <v>#NAME?</v>
      </c>
      <c r="G75" s="36"/>
      <c r="H75" s="162"/>
      <c r="I75" s="113"/>
      <c r="J75" s="138" t="s">
        <v>31</v>
      </c>
      <c r="K75" s="138" t="str">
        <f t="shared" si="7"/>
        <v>4F</v>
      </c>
      <c r="L75" s="140" t="str">
        <f t="shared" si="11"/>
        <v>EUR4F25Y</v>
      </c>
      <c r="M75" s="140" t="str">
        <v>EUR4F25Y=ICAP</v>
      </c>
      <c r="N75" s="78">
        <v>1.7789999999999999</v>
      </c>
      <c r="O75" s="111"/>
      <c r="P75" s="78">
        <v>1.7789999999999999</v>
      </c>
      <c r="Q75" s="111"/>
      <c r="R75" s="78">
        <v>1.7789999999999999</v>
      </c>
      <c r="S75" s="78" t="e">
        <f ca="1">_xll.qlSimpleQuoteSetValue(E75,R75/100,Trigger)</f>
        <v>#NAME?</v>
      </c>
      <c r="T75" s="130"/>
      <c r="V75" s="161"/>
    </row>
    <row r="76" spans="1:22" x14ac:dyDescent="0.2">
      <c r="A76" s="135"/>
      <c r="B76" s="45" t="str">
        <f t="shared" si="8"/>
        <v>30Y</v>
      </c>
      <c r="C76" s="45" t="str">
        <f t="shared" si="9"/>
        <v>4F</v>
      </c>
      <c r="D76" s="43" t="str">
        <f t="shared" si="10"/>
        <v>EUR4F30Y_Quote</v>
      </c>
      <c r="E76" s="43" t="e">
        <f ca="1">_xll.qlSimpleQuote(D76,,RateTickValue,Permanent,Trigger,ObjectOverwrite)</f>
        <v>#NAME?</v>
      </c>
      <c r="F76" s="42" t="e">
        <f ca="1">_xll.ohRangeRetrieveError(E76)</f>
        <v>#NAME?</v>
      </c>
      <c r="G76" s="36"/>
      <c r="H76" s="162"/>
      <c r="I76" s="113"/>
      <c r="J76" s="131" t="s">
        <v>26</v>
      </c>
      <c r="K76" s="131" t="str">
        <f t="shared" si="7"/>
        <v>4F</v>
      </c>
      <c r="L76" s="133" t="str">
        <f t="shared" si="11"/>
        <v>EUR4F30Y</v>
      </c>
      <c r="M76" s="133" t="str">
        <v>EUR4F30Y=ICAP</v>
      </c>
      <c r="N76" s="65">
        <v>1.752</v>
      </c>
      <c r="O76" s="111"/>
      <c r="P76" s="65">
        <v>1.752</v>
      </c>
      <c r="Q76" s="111"/>
      <c r="R76" s="65">
        <v>1.752</v>
      </c>
      <c r="S76" s="65" t="e">
        <f ca="1">_xll.qlSimpleQuoteSetValue(E76,R76/100,Trigger)</f>
        <v>#NAME?</v>
      </c>
      <c r="T76" s="130"/>
      <c r="V76" s="161"/>
    </row>
    <row r="77" spans="1:22" x14ac:dyDescent="0.2">
      <c r="A77" s="135"/>
      <c r="B77" s="45" t="str">
        <f t="shared" si="8"/>
        <v>1Y</v>
      </c>
      <c r="C77" s="45" t="str">
        <f t="shared" si="9"/>
        <v>5F</v>
      </c>
      <c r="D77" s="43" t="str">
        <f t="shared" si="10"/>
        <v>EUR5F1Y_Quote</v>
      </c>
      <c r="E77" s="43" t="e">
        <f ca="1">_xll.qlSimpleQuote(D77,,RateTickValue,Permanent,Trigger,ObjectOverwrite)</f>
        <v>#NAME?</v>
      </c>
      <c r="F77" s="42" t="e">
        <f ca="1">_xll.ohRangeRetrieveError(E77)</f>
        <v>#NAME?</v>
      </c>
      <c r="G77" s="36"/>
      <c r="H77" s="162"/>
      <c r="I77" s="135">
        <v>5</v>
      </c>
      <c r="J77" s="164" t="s">
        <v>58</v>
      </c>
      <c r="K77" s="164" t="str">
        <f t="shared" ref="K77:K94" si="12">$I$77&amp;"F"</f>
        <v>5F</v>
      </c>
      <c r="L77" s="163" t="str">
        <f t="shared" si="11"/>
        <v>EUR5F1Y</v>
      </c>
      <c r="M77" s="163" t="str">
        <v>EUR5F1Y=ICAP</v>
      </c>
      <c r="N77" s="89">
        <v>1.143</v>
      </c>
      <c r="O77" s="111"/>
      <c r="P77" s="89">
        <v>1.143</v>
      </c>
      <c r="Q77" s="111"/>
      <c r="R77" s="89">
        <v>1.143</v>
      </c>
      <c r="S77" s="89" t="e">
        <f ca="1">_xll.qlSimpleQuoteSetValue(E77,R77/100,Trigger)</f>
        <v>#NAME?</v>
      </c>
      <c r="T77" s="130"/>
      <c r="V77" s="161"/>
    </row>
    <row r="78" spans="1:22" x14ac:dyDescent="0.2">
      <c r="A78" s="135"/>
      <c r="B78" s="45" t="str">
        <f t="shared" si="8"/>
        <v>2Y</v>
      </c>
      <c r="C78" s="45" t="str">
        <f t="shared" si="9"/>
        <v>5F</v>
      </c>
      <c r="D78" s="43" t="str">
        <f t="shared" si="10"/>
        <v>EUR5F2Y_Quote</v>
      </c>
      <c r="E78" s="43" t="e">
        <f ca="1">_xll.qlSimpleQuote(D78,,RateTickValue,Permanent,Trigger,ObjectOverwrite)</f>
        <v>#NAME?</v>
      </c>
      <c r="F78" s="42" t="e">
        <f ca="1">_xll.ohRangeRetrieveError(E78)</f>
        <v>#NAME?</v>
      </c>
      <c r="G78" s="36"/>
      <c r="H78" s="162"/>
      <c r="I78" s="113"/>
      <c r="J78" s="138" t="s">
        <v>54</v>
      </c>
      <c r="K78" s="138" t="str">
        <f t="shared" si="12"/>
        <v>5F</v>
      </c>
      <c r="L78" s="140" t="str">
        <f t="shared" si="11"/>
        <v>EUR5F2Y</v>
      </c>
      <c r="M78" s="140" t="str">
        <v>EUR5F2Y=ICAP</v>
      </c>
      <c r="N78" s="78">
        <v>1.2869999999999999</v>
      </c>
      <c r="O78" s="111"/>
      <c r="P78" s="78">
        <v>1.2869999999999999</v>
      </c>
      <c r="Q78" s="111"/>
      <c r="R78" s="78">
        <v>1.2869999999999999</v>
      </c>
      <c r="S78" s="78" t="e">
        <f ca="1">_xll.qlSimpleQuoteSetValue(E78,R78/100,Trigger)</f>
        <v>#NAME?</v>
      </c>
      <c r="T78" s="130"/>
      <c r="V78" s="161"/>
    </row>
    <row r="79" spans="1:22" x14ac:dyDescent="0.2">
      <c r="A79" s="135"/>
      <c r="B79" s="45" t="str">
        <f t="shared" si="8"/>
        <v>3Y</v>
      </c>
      <c r="C79" s="45" t="str">
        <f t="shared" si="9"/>
        <v>5F</v>
      </c>
      <c r="D79" s="43" t="str">
        <f t="shared" si="10"/>
        <v>EUR5F3Y_Quote</v>
      </c>
      <c r="E79" s="43" t="e">
        <f ca="1">_xll.qlSimpleQuote(D79,,RateTickValue,Permanent,Trigger,ObjectOverwrite)</f>
        <v>#NAME?</v>
      </c>
      <c r="F79" s="42" t="e">
        <f ca="1">_xll.ohRangeRetrieveError(E79)</f>
        <v>#NAME?</v>
      </c>
      <c r="G79" s="36"/>
      <c r="H79" s="162"/>
      <c r="I79" s="113"/>
      <c r="J79" s="138" t="s">
        <v>53</v>
      </c>
      <c r="K79" s="138" t="str">
        <f t="shared" si="12"/>
        <v>5F</v>
      </c>
      <c r="L79" s="140" t="str">
        <f t="shared" si="11"/>
        <v>EUR5F3Y</v>
      </c>
      <c r="M79" s="140" t="str">
        <v>EUR5F3Y=ICAP</v>
      </c>
      <c r="N79" s="78">
        <v>1.411</v>
      </c>
      <c r="O79" s="111"/>
      <c r="P79" s="78">
        <v>1.411</v>
      </c>
      <c r="Q79" s="111"/>
      <c r="R79" s="78">
        <v>1.411</v>
      </c>
      <c r="S79" s="78" t="e">
        <f ca="1">_xll.qlSimpleQuoteSetValue(E79,R79/100,Trigger)</f>
        <v>#NAME?</v>
      </c>
      <c r="T79" s="130"/>
      <c r="V79" s="161"/>
    </row>
    <row r="80" spans="1:22" x14ac:dyDescent="0.2">
      <c r="A80" s="135"/>
      <c r="B80" s="45" t="str">
        <f t="shared" si="8"/>
        <v>4Y</v>
      </c>
      <c r="C80" s="45" t="str">
        <f t="shared" si="9"/>
        <v>5F</v>
      </c>
      <c r="D80" s="43" t="str">
        <f t="shared" si="10"/>
        <v>EUR5F4Y_Quote</v>
      </c>
      <c r="E80" s="43" t="e">
        <f ca="1">_xll.qlSimpleQuote(D80,,RateTickValue,Permanent,Trigger,ObjectOverwrite)</f>
        <v>#NAME?</v>
      </c>
      <c r="F80" s="42" t="e">
        <f ca="1">_xll.ohRangeRetrieveError(E80)</f>
        <v>#NAME?</v>
      </c>
      <c r="G80" s="36"/>
      <c r="H80" s="162"/>
      <c r="I80" s="113"/>
      <c r="J80" s="138" t="s">
        <v>52</v>
      </c>
      <c r="K80" s="138" t="str">
        <f t="shared" si="12"/>
        <v>5F</v>
      </c>
      <c r="L80" s="140" t="str">
        <f t="shared" si="11"/>
        <v>EUR5F4Y</v>
      </c>
      <c r="M80" s="140" t="str">
        <v>EUR5F4Y=ICAP</v>
      </c>
      <c r="N80" s="78">
        <v>1.518</v>
      </c>
      <c r="O80" s="111"/>
      <c r="P80" s="78">
        <v>1.518</v>
      </c>
      <c r="Q80" s="111"/>
      <c r="R80" s="78">
        <v>1.518</v>
      </c>
      <c r="S80" s="78" t="e">
        <f ca="1">_xll.qlSimpleQuoteSetValue(E80,R80/100,Trigger)</f>
        <v>#NAME?</v>
      </c>
      <c r="T80" s="130"/>
      <c r="V80" s="161"/>
    </row>
    <row r="81" spans="1:22" x14ac:dyDescent="0.2">
      <c r="A81" s="135"/>
      <c r="B81" s="45" t="str">
        <f t="shared" si="8"/>
        <v>5Y</v>
      </c>
      <c r="C81" s="45" t="str">
        <f t="shared" si="9"/>
        <v>5F</v>
      </c>
      <c r="D81" s="43" t="str">
        <f t="shared" si="10"/>
        <v>EUR5F5Y_Quote</v>
      </c>
      <c r="E81" s="43" t="e">
        <f ca="1">_xll.qlSimpleQuote(D81,,RateTickValue,Permanent,Trigger,ObjectOverwrite)</f>
        <v>#NAME?</v>
      </c>
      <c r="F81" s="42" t="e">
        <f ca="1">_xll.ohRangeRetrieveError(E81)</f>
        <v>#NAME?</v>
      </c>
      <c r="G81" s="36"/>
      <c r="H81" s="162"/>
      <c r="I81" s="113"/>
      <c r="J81" s="138" t="s">
        <v>51</v>
      </c>
      <c r="K81" s="138" t="str">
        <f t="shared" si="12"/>
        <v>5F</v>
      </c>
      <c r="L81" s="140" t="str">
        <f t="shared" si="11"/>
        <v>EUR5F5Y</v>
      </c>
      <c r="M81" s="140" t="str">
        <v>EUR5F5Y=ICAP</v>
      </c>
      <c r="N81" s="78">
        <v>1.603</v>
      </c>
      <c r="O81" s="111"/>
      <c r="P81" s="78">
        <v>1.603</v>
      </c>
      <c r="Q81" s="111"/>
      <c r="R81" s="78">
        <v>1.603</v>
      </c>
      <c r="S81" s="78" t="e">
        <f ca="1">_xll.qlSimpleQuoteSetValue(E81,R81/100,Trigger)</f>
        <v>#NAME?</v>
      </c>
      <c r="T81" s="130"/>
      <c r="V81" s="161"/>
    </row>
    <row r="82" spans="1:22" x14ac:dyDescent="0.2">
      <c r="A82" s="135"/>
      <c r="B82" s="45" t="str">
        <f t="shared" si="8"/>
        <v>6Y</v>
      </c>
      <c r="C82" s="45" t="str">
        <f t="shared" si="9"/>
        <v>5F</v>
      </c>
      <c r="D82" s="43" t="str">
        <f t="shared" si="10"/>
        <v>EUR5F6Y_Quote</v>
      </c>
      <c r="E82" s="43" t="e">
        <f ca="1">_xll.qlSimpleQuote(D82,,RateTickValue,Permanent,Trigger,ObjectOverwrite)</f>
        <v>#NAME?</v>
      </c>
      <c r="F82" s="42" t="e">
        <f ca="1">_xll.ohRangeRetrieveError(E82)</f>
        <v>#NAME?</v>
      </c>
      <c r="G82" s="36"/>
      <c r="H82" s="162"/>
      <c r="I82" s="113"/>
      <c r="J82" s="138" t="s">
        <v>50</v>
      </c>
      <c r="K82" s="138" t="str">
        <f t="shared" si="12"/>
        <v>5F</v>
      </c>
      <c r="L82" s="140" t="str">
        <f t="shared" si="11"/>
        <v>EUR5F6Y</v>
      </c>
      <c r="M82" s="140" t="str">
        <v>EUR5F6Y=ICAP</v>
      </c>
      <c r="N82" s="78">
        <v>1.677</v>
      </c>
      <c r="O82" s="111"/>
      <c r="P82" s="78">
        <v>1.677</v>
      </c>
      <c r="Q82" s="111"/>
      <c r="R82" s="78">
        <v>1.677</v>
      </c>
      <c r="S82" s="78" t="e">
        <f ca="1">_xll.qlSimpleQuoteSetValue(E82,R82/100,Trigger)</f>
        <v>#NAME?</v>
      </c>
      <c r="T82" s="130"/>
      <c r="V82" s="161"/>
    </row>
    <row r="83" spans="1:22" x14ac:dyDescent="0.2">
      <c r="A83" s="135"/>
      <c r="B83" s="45" t="str">
        <f t="shared" si="8"/>
        <v>7Y</v>
      </c>
      <c r="C83" s="45" t="str">
        <f t="shared" si="9"/>
        <v>5F</v>
      </c>
      <c r="D83" s="43" t="str">
        <f t="shared" si="10"/>
        <v>EUR5F7Y_Quote</v>
      </c>
      <c r="E83" s="43" t="e">
        <f ca="1">_xll.qlSimpleQuote(D83,,RateTickValue,Permanent,Trigger,ObjectOverwrite)</f>
        <v>#NAME?</v>
      </c>
      <c r="F83" s="42" t="e">
        <f ca="1">_xll.ohRangeRetrieveError(E83)</f>
        <v>#NAME?</v>
      </c>
      <c r="G83" s="36"/>
      <c r="H83" s="162"/>
      <c r="I83" s="113"/>
      <c r="J83" s="138" t="s">
        <v>49</v>
      </c>
      <c r="K83" s="138" t="str">
        <f t="shared" si="12"/>
        <v>5F</v>
      </c>
      <c r="L83" s="140" t="str">
        <f t="shared" si="11"/>
        <v>EUR5F7Y</v>
      </c>
      <c r="M83" s="140" t="str">
        <v>EUR5F7Y=ICAP</v>
      </c>
      <c r="N83" s="78">
        <v>1.7410000000000001</v>
      </c>
      <c r="O83" s="111"/>
      <c r="P83" s="78">
        <v>1.7410000000000001</v>
      </c>
      <c r="Q83" s="111"/>
      <c r="R83" s="78">
        <v>1.7410000000000001</v>
      </c>
      <c r="S83" s="78" t="e">
        <f ca="1">_xll.qlSimpleQuoteSetValue(E83,R83/100,Trigger)</f>
        <v>#NAME?</v>
      </c>
      <c r="T83" s="130"/>
      <c r="V83" s="161"/>
    </row>
    <row r="84" spans="1:22" x14ac:dyDescent="0.2">
      <c r="A84" s="135"/>
      <c r="B84" s="45" t="str">
        <f t="shared" si="8"/>
        <v>8Y</v>
      </c>
      <c r="C84" s="45" t="str">
        <f t="shared" si="9"/>
        <v>5F</v>
      </c>
      <c r="D84" s="43" t="str">
        <f t="shared" si="10"/>
        <v>EUR5F8Y_Quote</v>
      </c>
      <c r="E84" s="43" t="e">
        <f ca="1">_xll.qlSimpleQuote(D84,,RateTickValue,Permanent,Trigger,ObjectOverwrite)</f>
        <v>#NAME?</v>
      </c>
      <c r="F84" s="42" t="e">
        <f ca="1">_xll.ohRangeRetrieveError(E84)</f>
        <v>#NAME?</v>
      </c>
      <c r="G84" s="36"/>
      <c r="H84" s="162"/>
      <c r="I84" s="113"/>
      <c r="J84" s="138" t="s">
        <v>48</v>
      </c>
      <c r="K84" s="138" t="str">
        <f t="shared" si="12"/>
        <v>5F</v>
      </c>
      <c r="L84" s="140" t="str">
        <f t="shared" si="11"/>
        <v>EUR5F8Y</v>
      </c>
      <c r="M84" s="140" t="str">
        <v>EUR5F8Y=ICAP</v>
      </c>
      <c r="N84" s="78">
        <v>1.7929999999999999</v>
      </c>
      <c r="O84" s="111"/>
      <c r="P84" s="78">
        <v>1.7929999999999999</v>
      </c>
      <c r="Q84" s="111"/>
      <c r="R84" s="78">
        <v>1.7929999999999999</v>
      </c>
      <c r="S84" s="78" t="e">
        <f ca="1">_xll.qlSimpleQuoteSetValue(E84,R84/100,Trigger)</f>
        <v>#NAME?</v>
      </c>
      <c r="T84" s="130"/>
      <c r="V84" s="161"/>
    </row>
    <row r="85" spans="1:22" x14ac:dyDescent="0.2">
      <c r="A85" s="135"/>
      <c r="B85" s="45" t="str">
        <f t="shared" si="8"/>
        <v>9Y</v>
      </c>
      <c r="C85" s="45" t="str">
        <f t="shared" si="9"/>
        <v>5F</v>
      </c>
      <c r="D85" s="43" t="str">
        <f t="shared" si="10"/>
        <v>EUR5F9Y_Quote</v>
      </c>
      <c r="E85" s="43" t="e">
        <f ca="1">_xll.qlSimpleQuote(D85,,RateTickValue,Permanent,Trigger,ObjectOverwrite)</f>
        <v>#NAME?</v>
      </c>
      <c r="F85" s="42" t="e">
        <f ca="1">_xll.ohRangeRetrieveError(E85)</f>
        <v>#NAME?</v>
      </c>
      <c r="G85" s="36"/>
      <c r="H85" s="162"/>
      <c r="I85" s="113"/>
      <c r="J85" s="138" t="s">
        <v>47</v>
      </c>
      <c r="K85" s="138" t="str">
        <f t="shared" si="12"/>
        <v>5F</v>
      </c>
      <c r="L85" s="140" t="str">
        <f t="shared" si="11"/>
        <v>EUR5F9Y</v>
      </c>
      <c r="M85" s="140" t="str">
        <v>EUR5F9Y=ICAP</v>
      </c>
      <c r="N85" s="78">
        <v>1.8340000000000001</v>
      </c>
      <c r="O85" s="111"/>
      <c r="P85" s="78">
        <v>1.8340000000000001</v>
      </c>
      <c r="Q85" s="111"/>
      <c r="R85" s="78">
        <v>1.8340000000000001</v>
      </c>
      <c r="S85" s="78" t="e">
        <f ca="1">_xll.qlSimpleQuoteSetValue(E85,R85/100,Trigger)</f>
        <v>#NAME?</v>
      </c>
      <c r="T85" s="130"/>
      <c r="V85" s="161"/>
    </row>
    <row r="86" spans="1:22" x14ac:dyDescent="0.2">
      <c r="A86" s="135"/>
      <c r="B86" s="45" t="str">
        <f t="shared" si="8"/>
        <v>10Y</v>
      </c>
      <c r="C86" s="45" t="str">
        <f t="shared" si="9"/>
        <v>5F</v>
      </c>
      <c r="D86" s="43" t="str">
        <f t="shared" si="10"/>
        <v>EUR5F10Y_Quote</v>
      </c>
      <c r="E86" s="43" t="e">
        <f ca="1">_xll.qlSimpleQuote(D86,,RateTickValue,Permanent,Trigger,ObjectOverwrite)</f>
        <v>#NAME?</v>
      </c>
      <c r="F86" s="42" t="e">
        <f ca="1">_xll.ohRangeRetrieveError(E86)</f>
        <v>#NAME?</v>
      </c>
      <c r="G86" s="36"/>
      <c r="H86" s="162"/>
      <c r="I86" s="113"/>
      <c r="J86" s="138" t="s">
        <v>46</v>
      </c>
      <c r="K86" s="138" t="str">
        <f t="shared" si="12"/>
        <v>5F</v>
      </c>
      <c r="L86" s="140" t="str">
        <f t="shared" si="11"/>
        <v>EUR5F10Y</v>
      </c>
      <c r="M86" s="140" t="str">
        <v>EUR5F10Y=ICAP</v>
      </c>
      <c r="N86" s="78">
        <v>1.867</v>
      </c>
      <c r="O86" s="111"/>
      <c r="P86" s="78">
        <v>1.867</v>
      </c>
      <c r="Q86" s="111"/>
      <c r="R86" s="78">
        <v>1.867</v>
      </c>
      <c r="S86" s="78" t="e">
        <f ca="1">_xll.qlSimpleQuoteSetValue(E86,R86/100,Trigger)</f>
        <v>#NAME?</v>
      </c>
      <c r="T86" s="130"/>
      <c r="V86" s="161"/>
    </row>
    <row r="87" spans="1:22" x14ac:dyDescent="0.2">
      <c r="A87" s="135"/>
      <c r="B87" s="45" t="str">
        <f t="shared" si="8"/>
        <v>11Y</v>
      </c>
      <c r="C87" s="45" t="str">
        <f t="shared" si="9"/>
        <v>5F</v>
      </c>
      <c r="D87" s="43" t="str">
        <f t="shared" si="10"/>
        <v>EUR5F11Y_Quote</v>
      </c>
      <c r="E87" s="43" t="e">
        <f ca="1">_xll.qlSimpleQuote(D87,,RateTickValue,Permanent,Trigger,ObjectOverwrite)</f>
        <v>#NAME?</v>
      </c>
      <c r="F87" s="42" t="e">
        <f ca="1">_xll.ohRangeRetrieveError(E87)</f>
        <v>#NAME?</v>
      </c>
      <c r="G87" s="36"/>
      <c r="H87" s="162"/>
      <c r="I87" s="113"/>
      <c r="J87" s="138" t="s">
        <v>45</v>
      </c>
      <c r="K87" s="138" t="str">
        <f t="shared" si="12"/>
        <v>5F</v>
      </c>
      <c r="L87" s="140" t="str">
        <f t="shared" si="11"/>
        <v>EUR5F11Y</v>
      </c>
      <c r="M87" s="140" t="str">
        <v>EUR5F11Y=ICAP</v>
      </c>
      <c r="N87" s="78">
        <v>1.8900000000000001</v>
      </c>
      <c r="O87" s="111"/>
      <c r="P87" s="78">
        <v>1.8900000000000001</v>
      </c>
      <c r="Q87" s="111"/>
      <c r="R87" s="78">
        <v>1.8900000000000001</v>
      </c>
      <c r="S87" s="78" t="e">
        <f ca="1">_xll.qlSimpleQuoteSetValue(E87,R87/100,Trigger)</f>
        <v>#NAME?</v>
      </c>
      <c r="T87" s="130"/>
      <c r="V87" s="161"/>
    </row>
    <row r="88" spans="1:22" x14ac:dyDescent="0.2">
      <c r="A88" s="135"/>
      <c r="B88" s="45" t="str">
        <f t="shared" si="8"/>
        <v>12Y</v>
      </c>
      <c r="C88" s="45" t="str">
        <f t="shared" si="9"/>
        <v>5F</v>
      </c>
      <c r="D88" s="43" t="str">
        <f t="shared" si="10"/>
        <v>EUR5F12Y_Quote</v>
      </c>
      <c r="E88" s="43" t="e">
        <f ca="1">_xll.qlSimpleQuote(D88,,RateTickValue,Permanent,Trigger,ObjectOverwrite)</f>
        <v>#NAME?</v>
      </c>
      <c r="F88" s="42" t="e">
        <f ca="1">_xll.ohRangeRetrieveError(E88)</f>
        <v>#NAME?</v>
      </c>
      <c r="G88" s="36"/>
      <c r="H88" s="162"/>
      <c r="I88" s="113"/>
      <c r="J88" s="138" t="s">
        <v>44</v>
      </c>
      <c r="K88" s="138" t="str">
        <f t="shared" si="12"/>
        <v>5F</v>
      </c>
      <c r="L88" s="140" t="str">
        <f t="shared" si="11"/>
        <v>EUR5F12Y</v>
      </c>
      <c r="M88" s="140" t="str">
        <v>EUR5F12Y=ICAP</v>
      </c>
      <c r="N88" s="78">
        <v>1.9079999999999999</v>
      </c>
      <c r="O88" s="111"/>
      <c r="P88" s="78">
        <v>1.9079999999999999</v>
      </c>
      <c r="Q88" s="111"/>
      <c r="R88" s="78">
        <v>1.9079999999999999</v>
      </c>
      <c r="S88" s="78" t="e">
        <f ca="1">_xll.qlSimpleQuoteSetValue(E88,R88/100,Trigger)</f>
        <v>#NAME?</v>
      </c>
      <c r="T88" s="130"/>
      <c r="V88" s="161"/>
    </row>
    <row r="89" spans="1:22" x14ac:dyDescent="0.2">
      <c r="A89" s="135"/>
      <c r="B89" s="45" t="str">
        <f t="shared" si="8"/>
        <v>13Y</v>
      </c>
      <c r="C89" s="45" t="str">
        <f t="shared" si="9"/>
        <v>5F</v>
      </c>
      <c r="D89" s="43" t="str">
        <f t="shared" si="10"/>
        <v>EUR5F13Y_Quote</v>
      </c>
      <c r="E89" s="43" t="e">
        <f ca="1">_xll.qlSimpleQuote(D89,,RateTickValue,Permanent,Trigger,ObjectOverwrite)</f>
        <v>#NAME?</v>
      </c>
      <c r="F89" s="42" t="e">
        <f ca="1">_xll.ohRangeRetrieveError(E89)</f>
        <v>#NAME?</v>
      </c>
      <c r="G89" s="36"/>
      <c r="H89" s="162"/>
      <c r="I89" s="113"/>
      <c r="J89" s="138" t="s">
        <v>43</v>
      </c>
      <c r="K89" s="138" t="str">
        <f t="shared" si="12"/>
        <v>5F</v>
      </c>
      <c r="L89" s="140" t="str">
        <f t="shared" si="11"/>
        <v>EUR5F13Y</v>
      </c>
      <c r="M89" s="140" t="str">
        <v>EUR5F13Y=ICAP</v>
      </c>
      <c r="N89" s="78">
        <v>1.9179999999999999</v>
      </c>
      <c r="O89" s="111"/>
      <c r="P89" s="78">
        <v>1.9179999999999999</v>
      </c>
      <c r="Q89" s="111"/>
      <c r="R89" s="78">
        <v>1.9179999999999999</v>
      </c>
      <c r="S89" s="78" t="e">
        <f ca="1">_xll.qlSimpleQuoteSetValue(E89,R89/100,Trigger)</f>
        <v>#NAME?</v>
      </c>
      <c r="T89" s="130"/>
      <c r="V89" s="161"/>
    </row>
    <row r="90" spans="1:22" x14ac:dyDescent="0.2">
      <c r="A90" s="135"/>
      <c r="B90" s="45" t="str">
        <f t="shared" si="8"/>
        <v>14Y</v>
      </c>
      <c r="C90" s="45" t="str">
        <f t="shared" si="9"/>
        <v>5F</v>
      </c>
      <c r="D90" s="43" t="str">
        <f t="shared" si="10"/>
        <v>EUR5F14Y_Quote</v>
      </c>
      <c r="E90" s="43" t="e">
        <f ca="1">_xll.qlSimpleQuote(D90,,RateTickValue,Permanent,Trigger,ObjectOverwrite)</f>
        <v>#NAME?</v>
      </c>
      <c r="F90" s="42" t="e">
        <f ca="1">_xll.ohRangeRetrieveError(E90)</f>
        <v>#NAME?</v>
      </c>
      <c r="G90" s="36"/>
      <c r="H90" s="162"/>
      <c r="I90" s="113"/>
      <c r="J90" s="138" t="s">
        <v>42</v>
      </c>
      <c r="K90" s="138" t="str">
        <f t="shared" si="12"/>
        <v>5F</v>
      </c>
      <c r="L90" s="140" t="str">
        <f t="shared" si="11"/>
        <v>EUR5F14Y</v>
      </c>
      <c r="M90" s="140" t="str">
        <v>EUR5F14Y=ICAP</v>
      </c>
      <c r="N90" s="78">
        <v>1.9220000000000002</v>
      </c>
      <c r="O90" s="111"/>
      <c r="P90" s="78">
        <v>1.9220000000000002</v>
      </c>
      <c r="Q90" s="111"/>
      <c r="R90" s="78">
        <v>1.9220000000000002</v>
      </c>
      <c r="S90" s="78" t="e">
        <f ca="1">_xll.qlSimpleQuoteSetValue(E90,R90/100,Trigger)</f>
        <v>#NAME?</v>
      </c>
      <c r="T90" s="130"/>
      <c r="V90" s="161"/>
    </row>
    <row r="91" spans="1:22" x14ac:dyDescent="0.2">
      <c r="A91" s="135"/>
      <c r="B91" s="45" t="str">
        <f t="shared" si="8"/>
        <v>15Y</v>
      </c>
      <c r="C91" s="45" t="str">
        <f t="shared" si="9"/>
        <v>5F</v>
      </c>
      <c r="D91" s="43" t="str">
        <f t="shared" si="10"/>
        <v>EUR5F15Y_Quote</v>
      </c>
      <c r="E91" s="43" t="e">
        <f ca="1">_xll.qlSimpleQuote(D91,,RateTickValue,Permanent,Trigger,ObjectOverwrite)</f>
        <v>#NAME?</v>
      </c>
      <c r="F91" s="42" t="e">
        <f ca="1">_xll.ohRangeRetrieveError(E91)</f>
        <v>#NAME?</v>
      </c>
      <c r="G91" s="36"/>
      <c r="H91" s="162"/>
      <c r="I91" s="113"/>
      <c r="J91" s="138" t="s">
        <v>41</v>
      </c>
      <c r="K91" s="138" t="str">
        <f t="shared" si="12"/>
        <v>5F</v>
      </c>
      <c r="L91" s="140" t="str">
        <f t="shared" si="11"/>
        <v>EUR5F15Y</v>
      </c>
      <c r="M91" s="140" t="str">
        <v>EUR5F15Y=ICAP</v>
      </c>
      <c r="N91" s="78">
        <v>1.921</v>
      </c>
      <c r="O91" s="111"/>
      <c r="P91" s="78">
        <v>1.921</v>
      </c>
      <c r="Q91" s="111"/>
      <c r="R91" s="78">
        <v>1.921</v>
      </c>
      <c r="S91" s="78" t="e">
        <f ca="1">_xll.qlSimpleQuoteSetValue(E91,R91/100,Trigger)</f>
        <v>#NAME?</v>
      </c>
      <c r="T91" s="130"/>
      <c r="V91" s="161"/>
    </row>
    <row r="92" spans="1:22" x14ac:dyDescent="0.2">
      <c r="A92" s="135"/>
      <c r="B92" s="45" t="str">
        <f t="shared" si="8"/>
        <v>20Y</v>
      </c>
      <c r="C92" s="45" t="str">
        <f t="shared" si="9"/>
        <v>5F</v>
      </c>
      <c r="D92" s="43" t="str">
        <f t="shared" si="10"/>
        <v>EUR5F20Y_Quote</v>
      </c>
      <c r="E92" s="43" t="e">
        <f ca="1">_xll.qlSimpleQuote(D92,,RateTickValue,Permanent,Trigger,ObjectOverwrite)</f>
        <v>#NAME?</v>
      </c>
      <c r="F92" s="42" t="e">
        <f ca="1">_xll.ohRangeRetrieveError(E92)</f>
        <v>#NAME?</v>
      </c>
      <c r="G92" s="36"/>
      <c r="H92" s="162"/>
      <c r="I92" s="113"/>
      <c r="J92" s="138" t="s">
        <v>36</v>
      </c>
      <c r="K92" s="138" t="str">
        <f t="shared" si="12"/>
        <v>5F</v>
      </c>
      <c r="L92" s="140" t="str">
        <f t="shared" si="11"/>
        <v>EUR5F20Y</v>
      </c>
      <c r="M92" s="140" t="str">
        <v>EUR5F20Y=ICAP</v>
      </c>
      <c r="N92" s="78">
        <v>1.871</v>
      </c>
      <c r="O92" s="111"/>
      <c r="P92" s="78">
        <v>1.871</v>
      </c>
      <c r="Q92" s="111"/>
      <c r="R92" s="78">
        <v>1.871</v>
      </c>
      <c r="S92" s="78" t="e">
        <f ca="1">_xll.qlSimpleQuoteSetValue(E92,R92/100,Trigger)</f>
        <v>#NAME?</v>
      </c>
      <c r="T92" s="130"/>
      <c r="V92" s="161"/>
    </row>
    <row r="93" spans="1:22" x14ac:dyDescent="0.2">
      <c r="A93" s="135"/>
      <c r="B93" s="45" t="str">
        <f t="shared" si="8"/>
        <v>25Y</v>
      </c>
      <c r="C93" s="45" t="str">
        <f t="shared" si="9"/>
        <v>5F</v>
      </c>
      <c r="D93" s="43" t="str">
        <f t="shared" si="10"/>
        <v>EUR5F25Y_Quote</v>
      </c>
      <c r="E93" s="43" t="e">
        <f ca="1">_xll.qlSimpleQuote(D93,,RateTickValue,Permanent,Trigger,ObjectOverwrite)</f>
        <v>#NAME?</v>
      </c>
      <c r="F93" s="42" t="e">
        <f ca="1">_xll.ohRangeRetrieveError(E93)</f>
        <v>#NAME?</v>
      </c>
      <c r="G93" s="36"/>
      <c r="H93" s="162"/>
      <c r="I93" s="113"/>
      <c r="J93" s="138" t="s">
        <v>31</v>
      </c>
      <c r="K93" s="138" t="str">
        <f t="shared" si="12"/>
        <v>5F</v>
      </c>
      <c r="L93" s="140" t="str">
        <f t="shared" si="11"/>
        <v>EUR5F25Y</v>
      </c>
      <c r="M93" s="140" t="str">
        <v>EUR5F25Y=ICAP</v>
      </c>
      <c r="N93" s="78">
        <v>1.8180000000000001</v>
      </c>
      <c r="O93" s="111"/>
      <c r="P93" s="78">
        <v>1.8180000000000001</v>
      </c>
      <c r="Q93" s="111"/>
      <c r="R93" s="78">
        <v>1.8180000000000001</v>
      </c>
      <c r="S93" s="78" t="e">
        <f ca="1">_xll.qlSimpleQuoteSetValue(E93,R93/100,Trigger)</f>
        <v>#NAME?</v>
      </c>
      <c r="T93" s="130"/>
      <c r="V93" s="161"/>
    </row>
    <row r="94" spans="1:22" x14ac:dyDescent="0.2">
      <c r="A94" s="135"/>
      <c r="B94" s="45" t="str">
        <f t="shared" si="8"/>
        <v>30Y</v>
      </c>
      <c r="C94" s="45" t="str">
        <f t="shared" si="9"/>
        <v>5F</v>
      </c>
      <c r="D94" s="43" t="str">
        <f t="shared" si="10"/>
        <v>EUR5F30Y_Quote</v>
      </c>
      <c r="E94" s="43" t="e">
        <f ca="1">_xll.qlSimpleQuote(D94,,RateTickValue,Permanent,Trigger,ObjectOverwrite)</f>
        <v>#NAME?</v>
      </c>
      <c r="F94" s="42" t="e">
        <f ca="1">_xll.ohRangeRetrieveError(E94)</f>
        <v>#NAME?</v>
      </c>
      <c r="G94" s="36"/>
      <c r="H94" s="162"/>
      <c r="I94" s="113"/>
      <c r="J94" s="131" t="s">
        <v>26</v>
      </c>
      <c r="K94" s="131" t="str">
        <f t="shared" si="12"/>
        <v>5F</v>
      </c>
      <c r="L94" s="133" t="str">
        <f t="shared" si="11"/>
        <v>EUR5F30Y</v>
      </c>
      <c r="M94" s="133" t="str">
        <v>EUR5F30Y=ICAP</v>
      </c>
      <c r="N94" s="65">
        <v>1.786</v>
      </c>
      <c r="O94" s="111"/>
      <c r="P94" s="65">
        <v>1.786</v>
      </c>
      <c r="Q94" s="111"/>
      <c r="R94" s="65">
        <v>1.786</v>
      </c>
      <c r="S94" s="65" t="e">
        <f ca="1">_xll.qlSimpleQuoteSetValue(E94,R94/100,Trigger)</f>
        <v>#NAME?</v>
      </c>
      <c r="T94" s="130"/>
      <c r="V94" s="161"/>
    </row>
    <row r="95" spans="1:22" x14ac:dyDescent="0.2">
      <c r="A95" s="135"/>
      <c r="B95" s="45" t="str">
        <f t="shared" si="8"/>
        <v>1Y</v>
      </c>
      <c r="C95" s="45" t="str">
        <f t="shared" si="9"/>
        <v>6F</v>
      </c>
      <c r="D95" s="43" t="str">
        <f t="shared" si="10"/>
        <v>EUR6F1Y_Quote</v>
      </c>
      <c r="E95" s="43" t="e">
        <f ca="1">_xll.qlSimpleQuote(D95,,RateTickValue,Permanent,Trigger,ObjectOverwrite)</f>
        <v>#NAME?</v>
      </c>
      <c r="F95" s="42" t="e">
        <f ca="1">_xll.ohRangeRetrieveError(E95)</f>
        <v>#NAME?</v>
      </c>
      <c r="G95" s="36"/>
      <c r="H95" s="162"/>
      <c r="I95" s="135">
        <v>6</v>
      </c>
      <c r="J95" s="164" t="s">
        <v>58</v>
      </c>
      <c r="K95" s="164" t="str">
        <f t="shared" ref="K95:K112" si="13">$I$95&amp;"F"</f>
        <v>6F</v>
      </c>
      <c r="L95" s="163" t="str">
        <f t="shared" si="11"/>
        <v>EUR6F1Y</v>
      </c>
      <c r="M95" s="163" t="str">
        <v>EUR6F1Y=ICAP</v>
      </c>
      <c r="N95" s="89">
        <v>1.4350000000000001</v>
      </c>
      <c r="O95" s="111"/>
      <c r="P95" s="89">
        <v>1.4350000000000001</v>
      </c>
      <c r="Q95" s="111"/>
      <c r="R95" s="89">
        <v>1.4350000000000001</v>
      </c>
      <c r="S95" s="89" t="e">
        <f ca="1">_xll.qlSimpleQuoteSetValue(E95,R95/100,Trigger)</f>
        <v>#NAME?</v>
      </c>
      <c r="T95" s="130"/>
      <c r="V95" s="161"/>
    </row>
    <row r="96" spans="1:22" x14ac:dyDescent="0.2">
      <c r="A96" s="135"/>
      <c r="B96" s="45" t="str">
        <f t="shared" si="8"/>
        <v>2Y</v>
      </c>
      <c r="C96" s="45" t="str">
        <f t="shared" si="9"/>
        <v>6F</v>
      </c>
      <c r="D96" s="43" t="str">
        <f t="shared" si="10"/>
        <v>EUR6F2Y_Quote</v>
      </c>
      <c r="E96" s="43" t="e">
        <f ca="1">_xll.qlSimpleQuote(D96,,RateTickValue,Permanent,Trigger,ObjectOverwrite)</f>
        <v>#NAME?</v>
      </c>
      <c r="F96" s="42" t="e">
        <f ca="1">_xll.ohRangeRetrieveError(E96)</f>
        <v>#NAME?</v>
      </c>
      <c r="G96" s="36"/>
      <c r="H96" s="162"/>
      <c r="I96" s="113"/>
      <c r="J96" s="138" t="s">
        <v>54</v>
      </c>
      <c r="K96" s="138" t="str">
        <f t="shared" si="13"/>
        <v>6F</v>
      </c>
      <c r="L96" s="140" t="str">
        <f t="shared" si="11"/>
        <v>EUR6F2Y</v>
      </c>
      <c r="M96" s="140" t="str">
        <v>EUR6F2Y=ICAP</v>
      </c>
      <c r="N96" s="78">
        <v>1.5489999999999999</v>
      </c>
      <c r="O96" s="111"/>
      <c r="P96" s="78">
        <v>1.5489999999999999</v>
      </c>
      <c r="Q96" s="111"/>
      <c r="R96" s="78">
        <v>1.5489999999999999</v>
      </c>
      <c r="S96" s="78" t="e">
        <f ca="1">_xll.qlSimpleQuoteSetValue(E96,R96/100,Trigger)</f>
        <v>#NAME?</v>
      </c>
      <c r="T96" s="130"/>
      <c r="V96" s="161"/>
    </row>
    <row r="97" spans="1:22" x14ac:dyDescent="0.2">
      <c r="A97" s="135"/>
      <c r="B97" s="45" t="str">
        <f t="shared" si="8"/>
        <v>3Y</v>
      </c>
      <c r="C97" s="45" t="str">
        <f t="shared" si="9"/>
        <v>6F</v>
      </c>
      <c r="D97" s="43" t="str">
        <f t="shared" si="10"/>
        <v>EUR6F3Y_Quote</v>
      </c>
      <c r="E97" s="43" t="e">
        <f ca="1">_xll.qlSimpleQuote(D97,,RateTickValue,Permanent,Trigger,ObjectOverwrite)</f>
        <v>#NAME?</v>
      </c>
      <c r="F97" s="42" t="e">
        <f ca="1">_xll.ohRangeRetrieveError(E97)</f>
        <v>#NAME?</v>
      </c>
      <c r="G97" s="36"/>
      <c r="H97" s="162"/>
      <c r="I97" s="113"/>
      <c r="J97" s="138" t="s">
        <v>53</v>
      </c>
      <c r="K97" s="138" t="str">
        <f t="shared" si="13"/>
        <v>6F</v>
      </c>
      <c r="L97" s="140" t="str">
        <f t="shared" si="11"/>
        <v>EUR6F3Y</v>
      </c>
      <c r="M97" s="140" t="str">
        <v>EUR6F3Y=ICAP</v>
      </c>
      <c r="N97" s="78">
        <v>1.6480000000000001</v>
      </c>
      <c r="O97" s="111"/>
      <c r="P97" s="78">
        <v>1.6480000000000001</v>
      </c>
      <c r="Q97" s="111"/>
      <c r="R97" s="78">
        <v>1.6480000000000001</v>
      </c>
      <c r="S97" s="78" t="e">
        <f ca="1">_xll.qlSimpleQuoteSetValue(E97,R97/100,Trigger)</f>
        <v>#NAME?</v>
      </c>
      <c r="T97" s="130"/>
      <c r="V97" s="161"/>
    </row>
    <row r="98" spans="1:22" x14ac:dyDescent="0.2">
      <c r="A98" s="135"/>
      <c r="B98" s="45" t="str">
        <f t="shared" si="8"/>
        <v>4Y</v>
      </c>
      <c r="C98" s="45" t="str">
        <f t="shared" si="9"/>
        <v>6F</v>
      </c>
      <c r="D98" s="43" t="str">
        <f t="shared" si="10"/>
        <v>EUR6F4Y_Quote</v>
      </c>
      <c r="E98" s="43" t="e">
        <f ca="1">_xll.qlSimpleQuote(D98,,RateTickValue,Permanent,Trigger,ObjectOverwrite)</f>
        <v>#NAME?</v>
      </c>
      <c r="F98" s="42" t="e">
        <f ca="1">_xll.ohRangeRetrieveError(E98)</f>
        <v>#NAME?</v>
      </c>
      <c r="G98" s="36"/>
      <c r="H98" s="162"/>
      <c r="I98" s="113"/>
      <c r="J98" s="138" t="s">
        <v>52</v>
      </c>
      <c r="K98" s="138" t="str">
        <f t="shared" si="13"/>
        <v>6F</v>
      </c>
      <c r="L98" s="140" t="str">
        <f t="shared" si="11"/>
        <v>EUR6F4Y</v>
      </c>
      <c r="M98" s="140" t="str">
        <v>EUR6F4Y=ICAP</v>
      </c>
      <c r="N98" s="78">
        <v>1.7230000000000001</v>
      </c>
      <c r="O98" s="111"/>
      <c r="P98" s="78">
        <v>1.7230000000000001</v>
      </c>
      <c r="Q98" s="111"/>
      <c r="R98" s="78">
        <v>1.7230000000000001</v>
      </c>
      <c r="S98" s="78" t="e">
        <f ca="1">_xll.qlSimpleQuoteSetValue(E98,R98/100,Trigger)</f>
        <v>#NAME?</v>
      </c>
      <c r="T98" s="130"/>
      <c r="V98" s="161"/>
    </row>
    <row r="99" spans="1:22" x14ac:dyDescent="0.2">
      <c r="A99" s="135"/>
      <c r="B99" s="45" t="str">
        <f t="shared" si="8"/>
        <v>5Y</v>
      </c>
      <c r="C99" s="45" t="str">
        <f t="shared" si="9"/>
        <v>6F</v>
      </c>
      <c r="D99" s="43" t="str">
        <f t="shared" si="10"/>
        <v>EUR6F5Y_Quote</v>
      </c>
      <c r="E99" s="43" t="e">
        <f ca="1">_xll.qlSimpleQuote(D99,,RateTickValue,Permanent,Trigger,ObjectOverwrite)</f>
        <v>#NAME?</v>
      </c>
      <c r="F99" s="42" t="e">
        <f ca="1">_xll.ohRangeRetrieveError(E99)</f>
        <v>#NAME?</v>
      </c>
      <c r="G99" s="36"/>
      <c r="H99" s="162"/>
      <c r="I99" s="113"/>
      <c r="J99" s="138" t="s">
        <v>51</v>
      </c>
      <c r="K99" s="138" t="str">
        <f t="shared" si="13"/>
        <v>6F</v>
      </c>
      <c r="L99" s="140" t="str">
        <f t="shared" si="11"/>
        <v>EUR6F5Y</v>
      </c>
      <c r="M99" s="140" t="str">
        <v>EUR6F5Y=ICAP</v>
      </c>
      <c r="N99" s="78">
        <v>1.79</v>
      </c>
      <c r="O99" s="111"/>
      <c r="P99" s="78">
        <v>1.79</v>
      </c>
      <c r="Q99" s="111"/>
      <c r="R99" s="78">
        <v>1.79</v>
      </c>
      <c r="S99" s="78" t="e">
        <f ca="1">_xll.qlSimpleQuoteSetValue(E99,R99/100,Trigger)</f>
        <v>#NAME?</v>
      </c>
      <c r="T99" s="130"/>
      <c r="V99" s="161"/>
    </row>
    <row r="100" spans="1:22" x14ac:dyDescent="0.2">
      <c r="A100" s="135"/>
      <c r="B100" s="45" t="str">
        <f t="shared" si="8"/>
        <v>6Y</v>
      </c>
      <c r="C100" s="45" t="str">
        <f t="shared" si="9"/>
        <v>6F</v>
      </c>
      <c r="D100" s="43" t="str">
        <f t="shared" si="10"/>
        <v>EUR6F6Y_Quote</v>
      </c>
      <c r="E100" s="43" t="e">
        <f ca="1">_xll.qlSimpleQuote(D100,,RateTickValue,Permanent,Trigger,ObjectOverwrite)</f>
        <v>#NAME?</v>
      </c>
      <c r="F100" s="42" t="e">
        <f ca="1">_xll.ohRangeRetrieveError(E100)</f>
        <v>#NAME?</v>
      </c>
      <c r="G100" s="36"/>
      <c r="H100" s="162"/>
      <c r="I100" s="113"/>
      <c r="J100" s="138" t="s">
        <v>50</v>
      </c>
      <c r="K100" s="138" t="str">
        <f t="shared" si="13"/>
        <v>6F</v>
      </c>
      <c r="L100" s="140" t="str">
        <f t="shared" si="11"/>
        <v>EUR6F6Y</v>
      </c>
      <c r="M100" s="140" t="str">
        <v>EUR6F6Y=ICAP</v>
      </c>
      <c r="N100" s="78">
        <v>1.8460000000000001</v>
      </c>
      <c r="O100" s="111"/>
      <c r="P100" s="78">
        <v>1.8460000000000001</v>
      </c>
      <c r="Q100" s="111"/>
      <c r="R100" s="78">
        <v>1.8460000000000001</v>
      </c>
      <c r="S100" s="78" t="e">
        <f ca="1">_xll.qlSimpleQuoteSetValue(E100,R100/100,Trigger)</f>
        <v>#NAME?</v>
      </c>
      <c r="T100" s="130"/>
      <c r="V100" s="161"/>
    </row>
    <row r="101" spans="1:22" x14ac:dyDescent="0.2">
      <c r="A101" s="135"/>
      <c r="B101" s="45" t="str">
        <f t="shared" si="8"/>
        <v>7Y</v>
      </c>
      <c r="C101" s="45" t="str">
        <f t="shared" si="9"/>
        <v>6F</v>
      </c>
      <c r="D101" s="43" t="str">
        <f t="shared" si="10"/>
        <v>EUR6F7Y_Quote</v>
      </c>
      <c r="E101" s="43" t="e">
        <f ca="1">_xll.qlSimpleQuote(D101,,RateTickValue,Permanent,Trigger,ObjectOverwrite)</f>
        <v>#NAME?</v>
      </c>
      <c r="F101" s="42" t="e">
        <f ca="1">_xll.ohRangeRetrieveError(E101)</f>
        <v>#NAME?</v>
      </c>
      <c r="G101" s="36"/>
      <c r="H101" s="162"/>
      <c r="I101" s="113"/>
      <c r="J101" s="138" t="s">
        <v>49</v>
      </c>
      <c r="K101" s="138" t="str">
        <f t="shared" si="13"/>
        <v>6F</v>
      </c>
      <c r="L101" s="140" t="str">
        <f t="shared" si="11"/>
        <v>EUR6F7Y</v>
      </c>
      <c r="M101" s="140" t="str">
        <v>EUR6F7Y=ICAP</v>
      </c>
      <c r="N101" s="78">
        <v>1.8919999999999999</v>
      </c>
      <c r="O101" s="111"/>
      <c r="P101" s="78">
        <v>1.8919999999999999</v>
      </c>
      <c r="Q101" s="111"/>
      <c r="R101" s="78">
        <v>1.8919999999999999</v>
      </c>
      <c r="S101" s="78" t="e">
        <f ca="1">_xll.qlSimpleQuoteSetValue(E101,R101/100,Trigger)</f>
        <v>#NAME?</v>
      </c>
      <c r="T101" s="130"/>
      <c r="V101" s="161"/>
    </row>
    <row r="102" spans="1:22" x14ac:dyDescent="0.2">
      <c r="A102" s="135"/>
      <c r="B102" s="45" t="str">
        <f t="shared" si="8"/>
        <v>8Y</v>
      </c>
      <c r="C102" s="45" t="str">
        <f t="shared" si="9"/>
        <v>6F</v>
      </c>
      <c r="D102" s="43" t="str">
        <f t="shared" si="10"/>
        <v>EUR6F8Y_Quote</v>
      </c>
      <c r="E102" s="43" t="e">
        <f ca="1">_xll.qlSimpleQuote(D102,,RateTickValue,Permanent,Trigger,ObjectOverwrite)</f>
        <v>#NAME?</v>
      </c>
      <c r="F102" s="42" t="e">
        <f ca="1">_xll.ohRangeRetrieveError(E102)</f>
        <v>#NAME?</v>
      </c>
      <c r="G102" s="36"/>
      <c r="H102" s="162"/>
      <c r="I102" s="113"/>
      <c r="J102" s="138" t="s">
        <v>48</v>
      </c>
      <c r="K102" s="138" t="str">
        <f t="shared" si="13"/>
        <v>6F</v>
      </c>
      <c r="L102" s="140" t="str">
        <f t="shared" si="11"/>
        <v>EUR6F8Y</v>
      </c>
      <c r="M102" s="140" t="str">
        <v>EUR6F8Y=ICAP</v>
      </c>
      <c r="N102" s="78">
        <v>1.927</v>
      </c>
      <c r="O102" s="111"/>
      <c r="P102" s="78">
        <v>1.927</v>
      </c>
      <c r="Q102" s="111"/>
      <c r="R102" s="78">
        <v>1.927</v>
      </c>
      <c r="S102" s="78" t="e">
        <f ca="1">_xll.qlSimpleQuoteSetValue(E102,R102/100,Trigger)</f>
        <v>#NAME?</v>
      </c>
      <c r="T102" s="130"/>
      <c r="V102" s="161"/>
    </row>
    <row r="103" spans="1:22" x14ac:dyDescent="0.2">
      <c r="A103" s="135"/>
      <c r="B103" s="45" t="str">
        <f t="shared" si="8"/>
        <v>9Y</v>
      </c>
      <c r="C103" s="45" t="str">
        <f t="shared" si="9"/>
        <v>6F</v>
      </c>
      <c r="D103" s="43" t="str">
        <f t="shared" si="10"/>
        <v>EUR6F9Y_Quote</v>
      </c>
      <c r="E103" s="43" t="e">
        <f ca="1">_xll.qlSimpleQuote(D103,,RateTickValue,Permanent,Trigger,ObjectOverwrite)</f>
        <v>#NAME?</v>
      </c>
      <c r="F103" s="42" t="e">
        <f ca="1">_xll.ohRangeRetrieveError(E103)</f>
        <v>#NAME?</v>
      </c>
      <c r="G103" s="36"/>
      <c r="H103" s="162"/>
      <c r="I103" s="113"/>
      <c r="J103" s="138" t="s">
        <v>47</v>
      </c>
      <c r="K103" s="138" t="str">
        <f t="shared" si="13"/>
        <v>6F</v>
      </c>
      <c r="L103" s="140" t="str">
        <f t="shared" si="11"/>
        <v>EUR6F9Y</v>
      </c>
      <c r="M103" s="140" t="str">
        <v>EUR6F9Y=ICAP</v>
      </c>
      <c r="N103" s="78">
        <v>1.954</v>
      </c>
      <c r="O103" s="111"/>
      <c r="P103" s="78">
        <v>1.954</v>
      </c>
      <c r="Q103" s="111"/>
      <c r="R103" s="78">
        <v>1.954</v>
      </c>
      <c r="S103" s="78" t="e">
        <f ca="1">_xll.qlSimpleQuoteSetValue(E103,R103/100,Trigger)</f>
        <v>#NAME?</v>
      </c>
      <c r="T103" s="130"/>
      <c r="V103" s="161"/>
    </row>
    <row r="104" spans="1:22" x14ac:dyDescent="0.2">
      <c r="A104" s="135"/>
      <c r="B104" s="45" t="str">
        <f t="shared" si="8"/>
        <v>10Y</v>
      </c>
      <c r="C104" s="45" t="str">
        <f t="shared" si="9"/>
        <v>6F</v>
      </c>
      <c r="D104" s="43" t="str">
        <f t="shared" si="10"/>
        <v>EUR6F10Y_Quote</v>
      </c>
      <c r="E104" s="43" t="e">
        <f ca="1">_xll.qlSimpleQuote(D104,,RateTickValue,Permanent,Trigger,ObjectOverwrite)</f>
        <v>#NAME?</v>
      </c>
      <c r="F104" s="42" t="e">
        <f ca="1">_xll.ohRangeRetrieveError(E104)</f>
        <v>#NAME?</v>
      </c>
      <c r="G104" s="36"/>
      <c r="H104" s="162"/>
      <c r="I104" s="113"/>
      <c r="J104" s="138" t="s">
        <v>46</v>
      </c>
      <c r="K104" s="138" t="str">
        <f t="shared" si="13"/>
        <v>6F</v>
      </c>
      <c r="L104" s="140" t="str">
        <f t="shared" si="11"/>
        <v>EUR6F10Y</v>
      </c>
      <c r="M104" s="140" t="str">
        <v>EUR6F10Y=ICAP</v>
      </c>
      <c r="N104" s="78">
        <v>1.972</v>
      </c>
      <c r="O104" s="111"/>
      <c r="P104" s="78">
        <v>1.972</v>
      </c>
      <c r="Q104" s="111"/>
      <c r="R104" s="78">
        <v>1.972</v>
      </c>
      <c r="S104" s="78" t="e">
        <f ca="1">_xll.qlSimpleQuoteSetValue(E104,R104/100,Trigger)</f>
        <v>#NAME?</v>
      </c>
      <c r="T104" s="130"/>
      <c r="V104" s="161"/>
    </row>
    <row r="105" spans="1:22" x14ac:dyDescent="0.2">
      <c r="A105" s="135"/>
      <c r="B105" s="45" t="str">
        <f t="shared" si="8"/>
        <v>11Y</v>
      </c>
      <c r="C105" s="45" t="str">
        <f t="shared" si="9"/>
        <v>6F</v>
      </c>
      <c r="D105" s="43" t="str">
        <f t="shared" si="10"/>
        <v>EUR6F11Y_Quote</v>
      </c>
      <c r="E105" s="43" t="e">
        <f ca="1">_xll.qlSimpleQuote(D105,,RateTickValue,Permanent,Trigger,ObjectOverwrite)</f>
        <v>#NAME?</v>
      </c>
      <c r="F105" s="42" t="e">
        <f ca="1">_xll.ohRangeRetrieveError(E105)</f>
        <v>#NAME?</v>
      </c>
      <c r="G105" s="36"/>
      <c r="H105" s="162"/>
      <c r="I105" s="113"/>
      <c r="J105" s="138" t="s">
        <v>45</v>
      </c>
      <c r="K105" s="138" t="str">
        <f t="shared" si="13"/>
        <v>6F</v>
      </c>
      <c r="L105" s="140" t="str">
        <f t="shared" si="11"/>
        <v>EUR6F11Y</v>
      </c>
      <c r="M105" s="140" t="str">
        <v>EUR6F11Y=ICAP</v>
      </c>
      <c r="N105" s="78">
        <v>1.986</v>
      </c>
      <c r="O105" s="111"/>
      <c r="P105" s="78">
        <v>1.986</v>
      </c>
      <c r="Q105" s="111"/>
      <c r="R105" s="78">
        <v>1.986</v>
      </c>
      <c r="S105" s="78" t="e">
        <f ca="1">_xll.qlSimpleQuoteSetValue(E105,R105/100,Trigger)</f>
        <v>#NAME?</v>
      </c>
      <c r="T105" s="130"/>
      <c r="V105" s="161"/>
    </row>
    <row r="106" spans="1:22" x14ac:dyDescent="0.2">
      <c r="A106" s="135"/>
      <c r="B106" s="45" t="str">
        <f t="shared" si="8"/>
        <v>12Y</v>
      </c>
      <c r="C106" s="45" t="str">
        <f t="shared" si="9"/>
        <v>6F</v>
      </c>
      <c r="D106" s="43" t="str">
        <f t="shared" si="10"/>
        <v>EUR6F12Y_Quote</v>
      </c>
      <c r="E106" s="43" t="e">
        <f ca="1">_xll.qlSimpleQuote(D106,,RateTickValue,Permanent,Trigger,ObjectOverwrite)</f>
        <v>#NAME?</v>
      </c>
      <c r="F106" s="42" t="e">
        <f ca="1">_xll.ohRangeRetrieveError(E106)</f>
        <v>#NAME?</v>
      </c>
      <c r="G106" s="36"/>
      <c r="H106" s="162"/>
      <c r="I106" s="113"/>
      <c r="J106" s="138" t="s">
        <v>44</v>
      </c>
      <c r="K106" s="138" t="str">
        <f t="shared" si="13"/>
        <v>6F</v>
      </c>
      <c r="L106" s="140" t="str">
        <f t="shared" si="11"/>
        <v>EUR6F12Y</v>
      </c>
      <c r="M106" s="140" t="str">
        <v>EUR6F12Y=ICAP</v>
      </c>
      <c r="N106" s="78">
        <v>1.99</v>
      </c>
      <c r="O106" s="111"/>
      <c r="P106" s="78">
        <v>1.99</v>
      </c>
      <c r="Q106" s="111"/>
      <c r="R106" s="78">
        <v>1.99</v>
      </c>
      <c r="S106" s="78" t="e">
        <f ca="1">_xll.qlSimpleQuoteSetValue(E106,R106/100,Trigger)</f>
        <v>#NAME?</v>
      </c>
      <c r="T106" s="130"/>
      <c r="V106" s="161"/>
    </row>
    <row r="107" spans="1:22" x14ac:dyDescent="0.2">
      <c r="A107" s="135"/>
      <c r="B107" s="45" t="str">
        <f t="shared" si="8"/>
        <v>13Y</v>
      </c>
      <c r="C107" s="45" t="str">
        <f t="shared" si="9"/>
        <v>6F</v>
      </c>
      <c r="D107" s="43" t="str">
        <f t="shared" si="10"/>
        <v>EUR6F13Y_Quote</v>
      </c>
      <c r="E107" s="43" t="e">
        <f ca="1">_xll.qlSimpleQuote(D107,,RateTickValue,Permanent,Trigger,ObjectOverwrite)</f>
        <v>#NAME?</v>
      </c>
      <c r="F107" s="42" t="e">
        <f ca="1">_xll.ohRangeRetrieveError(E107)</f>
        <v>#NAME?</v>
      </c>
      <c r="G107" s="36"/>
      <c r="H107" s="162"/>
      <c r="I107" s="113"/>
      <c r="J107" s="138" t="s">
        <v>43</v>
      </c>
      <c r="K107" s="138" t="str">
        <f t="shared" si="13"/>
        <v>6F</v>
      </c>
      <c r="L107" s="140" t="str">
        <f t="shared" si="11"/>
        <v>EUR6F13Y</v>
      </c>
      <c r="M107" s="140" t="str">
        <v>EUR6F13Y=ICAP</v>
      </c>
      <c r="N107" s="78">
        <v>1.99</v>
      </c>
      <c r="O107" s="111"/>
      <c r="P107" s="78">
        <v>1.99</v>
      </c>
      <c r="Q107" s="111"/>
      <c r="R107" s="78">
        <v>1.99</v>
      </c>
      <c r="S107" s="78" t="e">
        <f ca="1">_xll.qlSimpleQuoteSetValue(E107,R107/100,Trigger)</f>
        <v>#NAME?</v>
      </c>
      <c r="T107" s="130"/>
      <c r="V107" s="161"/>
    </row>
    <row r="108" spans="1:22" x14ac:dyDescent="0.2">
      <c r="A108" s="135"/>
      <c r="B108" s="45" t="str">
        <f t="shared" si="8"/>
        <v>14Y</v>
      </c>
      <c r="C108" s="45" t="str">
        <f t="shared" si="9"/>
        <v>6F</v>
      </c>
      <c r="D108" s="43" t="str">
        <f t="shared" si="10"/>
        <v>EUR6F14Y_Quote</v>
      </c>
      <c r="E108" s="43" t="e">
        <f ca="1">_xll.qlSimpleQuote(D108,,RateTickValue,Permanent,Trigger,ObjectOverwrite)</f>
        <v>#NAME?</v>
      </c>
      <c r="F108" s="42" t="e">
        <f ca="1">_xll.ohRangeRetrieveError(E108)</f>
        <v>#NAME?</v>
      </c>
      <c r="G108" s="36"/>
      <c r="H108" s="162"/>
      <c r="I108" s="113"/>
      <c r="J108" s="138" t="s">
        <v>42</v>
      </c>
      <c r="K108" s="138" t="str">
        <f t="shared" si="13"/>
        <v>6F</v>
      </c>
      <c r="L108" s="140" t="str">
        <f t="shared" si="11"/>
        <v>EUR6F14Y</v>
      </c>
      <c r="M108" s="140" t="str">
        <v>EUR6F14Y=ICAP</v>
      </c>
      <c r="N108" s="78">
        <v>1.984</v>
      </c>
      <c r="O108" s="111"/>
      <c r="P108" s="78">
        <v>1.984</v>
      </c>
      <c r="Q108" s="111"/>
      <c r="R108" s="78">
        <v>1.984</v>
      </c>
      <c r="S108" s="78" t="e">
        <f ca="1">_xll.qlSimpleQuoteSetValue(E108,R108/100,Trigger)</f>
        <v>#NAME?</v>
      </c>
      <c r="T108" s="130"/>
      <c r="V108" s="161"/>
    </row>
    <row r="109" spans="1:22" x14ac:dyDescent="0.2">
      <c r="A109" s="135"/>
      <c r="B109" s="45" t="str">
        <f t="shared" si="8"/>
        <v>15Y</v>
      </c>
      <c r="C109" s="45" t="str">
        <f t="shared" si="9"/>
        <v>6F</v>
      </c>
      <c r="D109" s="43" t="str">
        <f t="shared" si="10"/>
        <v>EUR6F15Y_Quote</v>
      </c>
      <c r="E109" s="43" t="e">
        <f ca="1">_xll.qlSimpleQuote(D109,,RateTickValue,Permanent,Trigger,ObjectOverwrite)</f>
        <v>#NAME?</v>
      </c>
      <c r="F109" s="42" t="e">
        <f ca="1">_xll.ohRangeRetrieveError(E109)</f>
        <v>#NAME?</v>
      </c>
      <c r="G109" s="36"/>
      <c r="H109" s="162"/>
      <c r="I109" s="113"/>
      <c r="J109" s="138" t="s">
        <v>41</v>
      </c>
      <c r="K109" s="138" t="str">
        <f t="shared" si="13"/>
        <v>6F</v>
      </c>
      <c r="L109" s="140" t="str">
        <f t="shared" si="11"/>
        <v>EUR6F15Y</v>
      </c>
      <c r="M109" s="140" t="str">
        <v>EUR6F15Y=ICAP</v>
      </c>
      <c r="N109" s="78">
        <v>1.974</v>
      </c>
      <c r="O109" s="111"/>
      <c r="P109" s="78">
        <v>1.974</v>
      </c>
      <c r="Q109" s="111"/>
      <c r="R109" s="78">
        <v>1.974</v>
      </c>
      <c r="S109" s="78" t="e">
        <f ca="1">_xll.qlSimpleQuoteSetValue(E109,R109/100,Trigger)</f>
        <v>#NAME?</v>
      </c>
      <c r="T109" s="130"/>
      <c r="V109" s="161"/>
    </row>
    <row r="110" spans="1:22" x14ac:dyDescent="0.2">
      <c r="A110" s="135"/>
      <c r="B110" s="45" t="str">
        <f t="shared" si="8"/>
        <v>20Y</v>
      </c>
      <c r="C110" s="45" t="str">
        <f t="shared" si="9"/>
        <v>6F</v>
      </c>
      <c r="D110" s="43" t="str">
        <f t="shared" si="10"/>
        <v>EUR6F20Y_Quote</v>
      </c>
      <c r="E110" s="43" t="e">
        <f ca="1">_xll.qlSimpleQuote(D110,,RateTickValue,Permanent,Trigger,ObjectOverwrite)</f>
        <v>#NAME?</v>
      </c>
      <c r="F110" s="42" t="e">
        <f ca="1">_xll.ohRangeRetrieveError(E110)</f>
        <v>#NAME?</v>
      </c>
      <c r="G110" s="36"/>
      <c r="H110" s="162"/>
      <c r="I110" s="113"/>
      <c r="J110" s="138" t="s">
        <v>36</v>
      </c>
      <c r="K110" s="138" t="str">
        <f t="shared" si="13"/>
        <v>6F</v>
      </c>
      <c r="L110" s="140" t="str">
        <f t="shared" si="11"/>
        <v>EUR6F20Y</v>
      </c>
      <c r="M110" s="140" t="str">
        <v>EUR6F20Y=ICAP</v>
      </c>
      <c r="N110" s="78">
        <v>1.9019999999999999</v>
      </c>
      <c r="O110" s="111"/>
      <c r="P110" s="78">
        <v>1.9019999999999999</v>
      </c>
      <c r="Q110" s="111"/>
      <c r="R110" s="78">
        <v>1.9019999999999999</v>
      </c>
      <c r="S110" s="78" t="e">
        <f ca="1">_xll.qlSimpleQuoteSetValue(E110,R110/100,Trigger)</f>
        <v>#NAME?</v>
      </c>
      <c r="T110" s="130"/>
      <c r="V110" s="161"/>
    </row>
    <row r="111" spans="1:22" x14ac:dyDescent="0.2">
      <c r="A111" s="135"/>
      <c r="B111" s="45" t="str">
        <f t="shared" si="8"/>
        <v>25Y</v>
      </c>
      <c r="C111" s="45" t="str">
        <f t="shared" si="9"/>
        <v>6F</v>
      </c>
      <c r="D111" s="43" t="str">
        <f t="shared" si="10"/>
        <v>EUR6F25Y_Quote</v>
      </c>
      <c r="E111" s="43" t="e">
        <f ca="1">_xll.qlSimpleQuote(D111,,RateTickValue,Permanent,Trigger,ObjectOverwrite)</f>
        <v>#NAME?</v>
      </c>
      <c r="F111" s="42" t="e">
        <f ca="1">_xll.ohRangeRetrieveError(E111)</f>
        <v>#NAME?</v>
      </c>
      <c r="G111" s="36"/>
      <c r="H111" s="162"/>
      <c r="I111" s="113"/>
      <c r="J111" s="138" t="s">
        <v>31</v>
      </c>
      <c r="K111" s="138" t="str">
        <f t="shared" si="13"/>
        <v>6F</v>
      </c>
      <c r="L111" s="140" t="str">
        <f t="shared" si="11"/>
        <v>EUR6F25Y</v>
      </c>
      <c r="M111" s="140" t="str">
        <v>EUR6F25Y=ICAP</v>
      </c>
      <c r="N111" s="78">
        <v>1.8439999999999999</v>
      </c>
      <c r="O111" s="111"/>
      <c r="P111" s="78">
        <v>1.8439999999999999</v>
      </c>
      <c r="Q111" s="111"/>
      <c r="R111" s="78">
        <v>1.8439999999999999</v>
      </c>
      <c r="S111" s="78" t="e">
        <f ca="1">_xll.qlSimpleQuoteSetValue(E111,R111/100,Trigger)</f>
        <v>#NAME?</v>
      </c>
      <c r="T111" s="130"/>
      <c r="V111" s="161"/>
    </row>
    <row r="112" spans="1:22" x14ac:dyDescent="0.2">
      <c r="A112" s="135"/>
      <c r="B112" s="45" t="str">
        <f t="shared" si="8"/>
        <v>30Y</v>
      </c>
      <c r="C112" s="45" t="str">
        <f t="shared" si="9"/>
        <v>6F</v>
      </c>
      <c r="D112" s="43" t="str">
        <f t="shared" si="10"/>
        <v>EUR6F30Y_Quote</v>
      </c>
      <c r="E112" s="43" t="e">
        <f ca="1">_xll.qlSimpleQuote(D112,,RateTickValue,Permanent,Trigger,ObjectOverwrite)</f>
        <v>#NAME?</v>
      </c>
      <c r="F112" s="42" t="e">
        <f ca="1">_xll.ohRangeRetrieveError(E112)</f>
        <v>#NAME?</v>
      </c>
      <c r="G112" s="36"/>
      <c r="H112" s="162"/>
      <c r="I112" s="113"/>
      <c r="J112" s="131" t="s">
        <v>26</v>
      </c>
      <c r="K112" s="131" t="str">
        <f t="shared" si="13"/>
        <v>6F</v>
      </c>
      <c r="L112" s="133" t="str">
        <f t="shared" si="11"/>
        <v>EUR6F30Y</v>
      </c>
      <c r="M112" s="133" t="str">
        <v>EUR6F30Y=ICAP</v>
      </c>
      <c r="N112" s="65">
        <v>1.8080000000000001</v>
      </c>
      <c r="O112" s="111"/>
      <c r="P112" s="65">
        <v>1.8080000000000001</v>
      </c>
      <c r="Q112" s="111"/>
      <c r="R112" s="65">
        <v>1.8080000000000001</v>
      </c>
      <c r="S112" s="65" t="e">
        <f ca="1">_xll.qlSimpleQuoteSetValue(E112,R112/100,Trigger)</f>
        <v>#NAME?</v>
      </c>
      <c r="T112" s="130"/>
      <c r="V112" s="161"/>
    </row>
    <row r="113" spans="1:22" x14ac:dyDescent="0.2">
      <c r="A113" s="135"/>
      <c r="B113" s="45" t="str">
        <f t="shared" si="8"/>
        <v>1Y</v>
      </c>
      <c r="C113" s="45" t="str">
        <f t="shared" si="9"/>
        <v>7F</v>
      </c>
      <c r="D113" s="43" t="str">
        <f t="shared" si="10"/>
        <v>EUR7F1Y_Quote</v>
      </c>
      <c r="E113" s="43" t="e">
        <f ca="1">_xll.qlSimpleQuote(D113,,RateTickValue,Permanent,Trigger,ObjectOverwrite)</f>
        <v>#NAME?</v>
      </c>
      <c r="F113" s="42" t="e">
        <f ca="1">_xll.ohRangeRetrieveError(E113)</f>
        <v>#NAME?</v>
      </c>
      <c r="G113" s="36"/>
      <c r="H113" s="162"/>
      <c r="I113" s="135">
        <v>7</v>
      </c>
      <c r="J113" s="164" t="s">
        <v>58</v>
      </c>
      <c r="K113" s="164" t="str">
        <f t="shared" ref="K113:K130" si="14">$I$113&amp;"F"</f>
        <v>7F</v>
      </c>
      <c r="L113" s="163" t="str">
        <f t="shared" si="11"/>
        <v>EUR7F1Y</v>
      </c>
      <c r="M113" s="163" t="str">
        <v>EUR7F1Y=ICAP</v>
      </c>
      <c r="N113" s="89">
        <v>1.665</v>
      </c>
      <c r="O113" s="111"/>
      <c r="P113" s="89">
        <v>1.665</v>
      </c>
      <c r="Q113" s="111"/>
      <c r="R113" s="89">
        <v>1.665</v>
      </c>
      <c r="S113" s="89" t="e">
        <f ca="1">_xll.qlSimpleQuoteSetValue(E113,R113/100,Trigger)</f>
        <v>#NAME?</v>
      </c>
      <c r="T113" s="130"/>
      <c r="V113" s="161"/>
    </row>
    <row r="114" spans="1:22" x14ac:dyDescent="0.2">
      <c r="A114" s="135"/>
      <c r="B114" s="45" t="str">
        <f t="shared" si="8"/>
        <v>2Y</v>
      </c>
      <c r="C114" s="45" t="str">
        <f t="shared" si="9"/>
        <v>7F</v>
      </c>
      <c r="D114" s="43" t="str">
        <f t="shared" si="10"/>
        <v>EUR7F2Y_Quote</v>
      </c>
      <c r="E114" s="43" t="e">
        <f ca="1">_xll.qlSimpleQuote(D114,,RateTickValue,Permanent,Trigger,ObjectOverwrite)</f>
        <v>#NAME?</v>
      </c>
      <c r="F114" s="42" t="e">
        <f ca="1">_xll.ohRangeRetrieveError(E114)</f>
        <v>#NAME?</v>
      </c>
      <c r="G114" s="36"/>
      <c r="H114" s="162"/>
      <c r="I114" s="113"/>
      <c r="J114" s="138" t="s">
        <v>54</v>
      </c>
      <c r="K114" s="138" t="str">
        <f t="shared" si="14"/>
        <v>7F</v>
      </c>
      <c r="L114" s="140" t="str">
        <f t="shared" si="11"/>
        <v>EUR7F2Y</v>
      </c>
      <c r="M114" s="140" t="str">
        <v>EUR7F2Y=ICAP</v>
      </c>
      <c r="N114" s="78">
        <v>1.756</v>
      </c>
      <c r="O114" s="111"/>
      <c r="P114" s="78">
        <v>1.756</v>
      </c>
      <c r="Q114" s="111"/>
      <c r="R114" s="78">
        <v>1.756</v>
      </c>
      <c r="S114" s="78" t="e">
        <f ca="1">_xll.qlSimpleQuoteSetValue(E114,R114/100,Trigger)</f>
        <v>#NAME?</v>
      </c>
      <c r="T114" s="130"/>
      <c r="V114" s="161"/>
    </row>
    <row r="115" spans="1:22" x14ac:dyDescent="0.2">
      <c r="A115" s="135"/>
      <c r="B115" s="45" t="str">
        <f t="shared" si="8"/>
        <v>3Y</v>
      </c>
      <c r="C115" s="45" t="str">
        <f t="shared" si="9"/>
        <v>7F</v>
      </c>
      <c r="D115" s="43" t="str">
        <f t="shared" si="10"/>
        <v>EUR7F3Y_Quote</v>
      </c>
      <c r="E115" s="43" t="e">
        <f ca="1">_xll.qlSimpleQuote(D115,,RateTickValue,Permanent,Trigger,ObjectOverwrite)</f>
        <v>#NAME?</v>
      </c>
      <c r="F115" s="42" t="e">
        <f ca="1">_xll.ohRangeRetrieveError(E115)</f>
        <v>#NAME?</v>
      </c>
      <c r="G115" s="36"/>
      <c r="H115" s="162"/>
      <c r="I115" s="113"/>
      <c r="J115" s="138" t="s">
        <v>53</v>
      </c>
      <c r="K115" s="138" t="str">
        <f t="shared" si="14"/>
        <v>7F</v>
      </c>
      <c r="L115" s="140" t="str">
        <f t="shared" si="11"/>
        <v>EUR7F3Y</v>
      </c>
      <c r="M115" s="140" t="str">
        <v>EUR7F3Y=ICAP</v>
      </c>
      <c r="N115" s="78">
        <v>1.8220000000000001</v>
      </c>
      <c r="O115" s="111"/>
      <c r="P115" s="78">
        <v>1.8220000000000001</v>
      </c>
      <c r="Q115" s="111"/>
      <c r="R115" s="78">
        <v>1.8220000000000001</v>
      </c>
      <c r="S115" s="78" t="e">
        <f ca="1">_xll.qlSimpleQuoteSetValue(E115,R115/100,Trigger)</f>
        <v>#NAME?</v>
      </c>
      <c r="T115" s="130"/>
      <c r="V115" s="161"/>
    </row>
    <row r="116" spans="1:22" x14ac:dyDescent="0.2">
      <c r="A116" s="135"/>
      <c r="B116" s="45" t="str">
        <f t="shared" si="8"/>
        <v>4Y</v>
      </c>
      <c r="C116" s="45" t="str">
        <f t="shared" si="9"/>
        <v>7F</v>
      </c>
      <c r="D116" s="43" t="str">
        <f t="shared" si="10"/>
        <v>EUR7F4Y_Quote</v>
      </c>
      <c r="E116" s="43" t="e">
        <f ca="1">_xll.qlSimpleQuote(D116,,RateTickValue,Permanent,Trigger,ObjectOverwrite)</f>
        <v>#NAME?</v>
      </c>
      <c r="F116" s="42" t="e">
        <f ca="1">_xll.ohRangeRetrieveError(E116)</f>
        <v>#NAME?</v>
      </c>
      <c r="G116" s="36"/>
      <c r="H116" s="162"/>
      <c r="I116" s="113"/>
      <c r="J116" s="138" t="s">
        <v>52</v>
      </c>
      <c r="K116" s="138" t="str">
        <f t="shared" si="14"/>
        <v>7F</v>
      </c>
      <c r="L116" s="140" t="str">
        <f t="shared" si="11"/>
        <v>EUR7F4Y</v>
      </c>
      <c r="M116" s="140" t="str">
        <v>EUR7F4Y=ICAP</v>
      </c>
      <c r="N116" s="78">
        <v>1.8820000000000001</v>
      </c>
      <c r="O116" s="111"/>
      <c r="P116" s="78">
        <v>1.8820000000000001</v>
      </c>
      <c r="Q116" s="111"/>
      <c r="R116" s="78">
        <v>1.8820000000000001</v>
      </c>
      <c r="S116" s="78" t="e">
        <f ca="1">_xll.qlSimpleQuoteSetValue(E116,R116/100,Trigger)</f>
        <v>#NAME?</v>
      </c>
      <c r="T116" s="130"/>
      <c r="V116" s="161"/>
    </row>
    <row r="117" spans="1:22" x14ac:dyDescent="0.2">
      <c r="A117" s="135"/>
      <c r="B117" s="45" t="str">
        <f t="shared" si="8"/>
        <v>5Y</v>
      </c>
      <c r="C117" s="45" t="str">
        <f t="shared" si="9"/>
        <v>7F</v>
      </c>
      <c r="D117" s="43" t="str">
        <f t="shared" si="10"/>
        <v>EUR7F5Y_Quote</v>
      </c>
      <c r="E117" s="43" t="e">
        <f ca="1">_xll.qlSimpleQuote(D117,,RateTickValue,Permanent,Trigger,ObjectOverwrite)</f>
        <v>#NAME?</v>
      </c>
      <c r="F117" s="42" t="e">
        <f ca="1">_xll.ohRangeRetrieveError(E117)</f>
        <v>#NAME?</v>
      </c>
      <c r="G117" s="36"/>
      <c r="H117" s="162"/>
      <c r="I117" s="113"/>
      <c r="J117" s="138" t="s">
        <v>51</v>
      </c>
      <c r="K117" s="138" t="str">
        <f t="shared" si="14"/>
        <v>7F</v>
      </c>
      <c r="L117" s="140" t="str">
        <f t="shared" si="11"/>
        <v>EUR7F5Y</v>
      </c>
      <c r="M117" s="140" t="str">
        <v>EUR7F5Y=ICAP</v>
      </c>
      <c r="N117" s="78">
        <v>1.9319999999999999</v>
      </c>
      <c r="O117" s="111"/>
      <c r="P117" s="78">
        <v>1.9319999999999999</v>
      </c>
      <c r="Q117" s="111"/>
      <c r="R117" s="78">
        <v>1.9319999999999999</v>
      </c>
      <c r="S117" s="78" t="e">
        <f ca="1">_xll.qlSimpleQuoteSetValue(E117,R117/100,Trigger)</f>
        <v>#NAME?</v>
      </c>
      <c r="T117" s="130"/>
      <c r="V117" s="161"/>
    </row>
    <row r="118" spans="1:22" x14ac:dyDescent="0.2">
      <c r="A118" s="135"/>
      <c r="B118" s="45" t="str">
        <f t="shared" si="8"/>
        <v>6Y</v>
      </c>
      <c r="C118" s="45" t="str">
        <f t="shared" si="9"/>
        <v>7F</v>
      </c>
      <c r="D118" s="43" t="str">
        <f t="shared" si="10"/>
        <v>EUR7F6Y_Quote</v>
      </c>
      <c r="E118" s="43" t="e">
        <f ca="1">_xll.qlSimpleQuote(D118,,RateTickValue,Permanent,Trigger,ObjectOverwrite)</f>
        <v>#NAME?</v>
      </c>
      <c r="F118" s="42" t="e">
        <f ca="1">_xll.ohRangeRetrieveError(E118)</f>
        <v>#NAME?</v>
      </c>
      <c r="G118" s="36"/>
      <c r="H118" s="162"/>
      <c r="I118" s="113"/>
      <c r="J118" s="138" t="s">
        <v>50</v>
      </c>
      <c r="K118" s="138" t="str">
        <f t="shared" si="14"/>
        <v>7F</v>
      </c>
      <c r="L118" s="140" t="str">
        <f t="shared" si="11"/>
        <v>EUR7F6Y</v>
      </c>
      <c r="M118" s="140" t="str">
        <v>EUR7F6Y=ICAP</v>
      </c>
      <c r="N118" s="78">
        <v>1.9730000000000001</v>
      </c>
      <c r="O118" s="111"/>
      <c r="P118" s="78">
        <v>1.9730000000000001</v>
      </c>
      <c r="Q118" s="111"/>
      <c r="R118" s="78">
        <v>1.9730000000000001</v>
      </c>
      <c r="S118" s="78" t="e">
        <f ca="1">_xll.qlSimpleQuoteSetValue(E118,R118/100,Trigger)</f>
        <v>#NAME?</v>
      </c>
      <c r="T118" s="130"/>
      <c r="V118" s="161"/>
    </row>
    <row r="119" spans="1:22" x14ac:dyDescent="0.2">
      <c r="A119" s="135"/>
      <c r="B119" s="45" t="str">
        <f t="shared" si="8"/>
        <v>7Y</v>
      </c>
      <c r="C119" s="45" t="str">
        <f t="shared" si="9"/>
        <v>7F</v>
      </c>
      <c r="D119" s="43" t="str">
        <f t="shared" si="10"/>
        <v>EUR7F7Y_Quote</v>
      </c>
      <c r="E119" s="43" t="e">
        <f ca="1">_xll.qlSimpleQuote(D119,,RateTickValue,Permanent,Trigger,ObjectOverwrite)</f>
        <v>#NAME?</v>
      </c>
      <c r="F119" s="42" t="e">
        <f ca="1">_xll.ohRangeRetrieveError(E119)</f>
        <v>#NAME?</v>
      </c>
      <c r="G119" s="36"/>
      <c r="H119" s="162"/>
      <c r="I119" s="113"/>
      <c r="J119" s="138" t="s">
        <v>49</v>
      </c>
      <c r="K119" s="138" t="str">
        <f t="shared" si="14"/>
        <v>7F</v>
      </c>
      <c r="L119" s="140" t="str">
        <f t="shared" si="11"/>
        <v>EUR7F7Y</v>
      </c>
      <c r="M119" s="140" t="str">
        <v>EUR7F7Y=ICAP</v>
      </c>
      <c r="N119" s="78">
        <v>2.0019999999999998</v>
      </c>
      <c r="O119" s="111"/>
      <c r="P119" s="78">
        <v>2.0019999999999998</v>
      </c>
      <c r="Q119" s="111"/>
      <c r="R119" s="78">
        <v>2.0019999999999998</v>
      </c>
      <c r="S119" s="78" t="e">
        <f ca="1">_xll.qlSimpleQuoteSetValue(E119,R119/100,Trigger)</f>
        <v>#NAME?</v>
      </c>
      <c r="T119" s="130"/>
      <c r="V119" s="161"/>
    </row>
    <row r="120" spans="1:22" x14ac:dyDescent="0.2">
      <c r="A120" s="135"/>
      <c r="B120" s="45" t="str">
        <f t="shared" si="8"/>
        <v>8Y</v>
      </c>
      <c r="C120" s="45" t="str">
        <f t="shared" si="9"/>
        <v>7F</v>
      </c>
      <c r="D120" s="43" t="str">
        <f t="shared" si="10"/>
        <v>EUR7F8Y_Quote</v>
      </c>
      <c r="E120" s="43" t="e">
        <f ca="1">_xll.qlSimpleQuote(D120,,RateTickValue,Permanent,Trigger,ObjectOverwrite)</f>
        <v>#NAME?</v>
      </c>
      <c r="F120" s="42" t="e">
        <f ca="1">_xll.ohRangeRetrieveError(E120)</f>
        <v>#NAME?</v>
      </c>
      <c r="G120" s="36"/>
      <c r="H120" s="162"/>
      <c r="I120" s="113"/>
      <c r="J120" s="138" t="s">
        <v>48</v>
      </c>
      <c r="K120" s="138" t="str">
        <f t="shared" si="14"/>
        <v>7F</v>
      </c>
      <c r="L120" s="140" t="str">
        <f t="shared" si="11"/>
        <v>EUR7F8Y</v>
      </c>
      <c r="M120" s="140" t="str">
        <v>EUR7F8Y=ICAP</v>
      </c>
      <c r="N120" s="78">
        <v>2.024</v>
      </c>
      <c r="O120" s="111"/>
      <c r="P120" s="78">
        <v>2.024</v>
      </c>
      <c r="Q120" s="111"/>
      <c r="R120" s="78">
        <v>2.024</v>
      </c>
      <c r="S120" s="78" t="e">
        <f ca="1">_xll.qlSimpleQuoteSetValue(E120,R120/100,Trigger)</f>
        <v>#NAME?</v>
      </c>
      <c r="T120" s="130"/>
      <c r="V120" s="161"/>
    </row>
    <row r="121" spans="1:22" x14ac:dyDescent="0.2">
      <c r="A121" s="135"/>
      <c r="B121" s="45" t="str">
        <f t="shared" si="8"/>
        <v>9Y</v>
      </c>
      <c r="C121" s="45" t="str">
        <f t="shared" si="9"/>
        <v>7F</v>
      </c>
      <c r="D121" s="43" t="str">
        <f t="shared" si="10"/>
        <v>EUR7F9Y_Quote</v>
      </c>
      <c r="E121" s="43" t="e">
        <f ca="1">_xll.qlSimpleQuote(D121,,RateTickValue,Permanent,Trigger,ObjectOverwrite)</f>
        <v>#NAME?</v>
      </c>
      <c r="F121" s="42" t="e">
        <f ca="1">_xll.ohRangeRetrieveError(E121)</f>
        <v>#NAME?</v>
      </c>
      <c r="G121" s="36"/>
      <c r="H121" s="162"/>
      <c r="I121" s="113"/>
      <c r="J121" s="138" t="s">
        <v>47</v>
      </c>
      <c r="K121" s="138" t="str">
        <f t="shared" si="14"/>
        <v>7F</v>
      </c>
      <c r="L121" s="140" t="str">
        <f t="shared" si="11"/>
        <v>EUR7F9Y</v>
      </c>
      <c r="M121" s="140" t="str">
        <v>EUR7F9Y=ICAP</v>
      </c>
      <c r="N121" s="78">
        <v>2.0369999999999999</v>
      </c>
      <c r="O121" s="111"/>
      <c r="P121" s="78">
        <v>2.0369999999999999</v>
      </c>
      <c r="Q121" s="111"/>
      <c r="R121" s="78">
        <v>2.0369999999999999</v>
      </c>
      <c r="S121" s="78" t="e">
        <f ca="1">_xll.qlSimpleQuoteSetValue(E121,R121/100,Trigger)</f>
        <v>#NAME?</v>
      </c>
      <c r="T121" s="130"/>
      <c r="V121" s="161"/>
    </row>
    <row r="122" spans="1:22" x14ac:dyDescent="0.2">
      <c r="A122" s="135"/>
      <c r="B122" s="45" t="str">
        <f t="shared" si="8"/>
        <v>10Y</v>
      </c>
      <c r="C122" s="45" t="str">
        <f t="shared" si="9"/>
        <v>7F</v>
      </c>
      <c r="D122" s="43" t="str">
        <f t="shared" si="10"/>
        <v>EUR7F10Y_Quote</v>
      </c>
      <c r="E122" s="43" t="e">
        <f ca="1">_xll.qlSimpleQuote(D122,,RateTickValue,Permanent,Trigger,ObjectOverwrite)</f>
        <v>#NAME?</v>
      </c>
      <c r="F122" s="42" t="e">
        <f ca="1">_xll.ohRangeRetrieveError(E122)</f>
        <v>#NAME?</v>
      </c>
      <c r="G122" s="36"/>
      <c r="H122" s="162"/>
      <c r="I122" s="113"/>
      <c r="J122" s="138" t="s">
        <v>46</v>
      </c>
      <c r="K122" s="138" t="str">
        <f t="shared" si="14"/>
        <v>7F</v>
      </c>
      <c r="L122" s="140" t="str">
        <f t="shared" si="11"/>
        <v>EUR7F10Y</v>
      </c>
      <c r="M122" s="140" t="str">
        <v>EUR7F10Y=ICAP</v>
      </c>
      <c r="N122" s="78">
        <v>2.0459999999999998</v>
      </c>
      <c r="O122" s="111"/>
      <c r="P122" s="78">
        <v>2.0459999999999998</v>
      </c>
      <c r="Q122" s="111"/>
      <c r="R122" s="78">
        <v>2.0459999999999998</v>
      </c>
      <c r="S122" s="78" t="e">
        <f ca="1">_xll.qlSimpleQuoteSetValue(E122,R122/100,Trigger)</f>
        <v>#NAME?</v>
      </c>
      <c r="T122" s="130"/>
      <c r="V122" s="161"/>
    </row>
    <row r="123" spans="1:22" x14ac:dyDescent="0.2">
      <c r="A123" s="135"/>
      <c r="B123" s="45" t="str">
        <f t="shared" si="8"/>
        <v>11Y</v>
      </c>
      <c r="C123" s="45" t="str">
        <f t="shared" si="9"/>
        <v>7F</v>
      </c>
      <c r="D123" s="43" t="str">
        <f t="shared" si="10"/>
        <v>EUR7F11Y_Quote</v>
      </c>
      <c r="E123" s="43" t="e">
        <f ca="1">_xll.qlSimpleQuote(D123,,RateTickValue,Permanent,Trigger,ObjectOverwrite)</f>
        <v>#NAME?</v>
      </c>
      <c r="F123" s="42" t="e">
        <f ca="1">_xll.ohRangeRetrieveError(E123)</f>
        <v>#NAME?</v>
      </c>
      <c r="G123" s="36"/>
      <c r="H123" s="162"/>
      <c r="I123" s="113"/>
      <c r="J123" s="138" t="s">
        <v>45</v>
      </c>
      <c r="K123" s="138" t="str">
        <f t="shared" si="14"/>
        <v>7F</v>
      </c>
      <c r="L123" s="140" t="str">
        <f t="shared" si="11"/>
        <v>EUR7F11Y</v>
      </c>
      <c r="M123" s="140" t="str">
        <v>EUR7F11Y=ICAP</v>
      </c>
      <c r="N123" s="78">
        <v>2.0459999999999998</v>
      </c>
      <c r="O123" s="111"/>
      <c r="P123" s="78">
        <v>2.0459999999999998</v>
      </c>
      <c r="Q123" s="111"/>
      <c r="R123" s="78">
        <v>2.0459999999999998</v>
      </c>
      <c r="S123" s="78" t="e">
        <f ca="1">_xll.qlSimpleQuoteSetValue(E123,R123/100,Trigger)</f>
        <v>#NAME?</v>
      </c>
      <c r="T123" s="130"/>
      <c r="V123" s="161"/>
    </row>
    <row r="124" spans="1:22" x14ac:dyDescent="0.2">
      <c r="A124" s="135"/>
      <c r="B124" s="45" t="str">
        <f t="shared" si="8"/>
        <v>12Y</v>
      </c>
      <c r="C124" s="45" t="str">
        <f t="shared" si="9"/>
        <v>7F</v>
      </c>
      <c r="D124" s="43" t="str">
        <f t="shared" si="10"/>
        <v>EUR7F12Y_Quote</v>
      </c>
      <c r="E124" s="43" t="e">
        <f ca="1">_xll.qlSimpleQuote(D124,,RateTickValue,Permanent,Trigger,ObjectOverwrite)</f>
        <v>#NAME?</v>
      </c>
      <c r="F124" s="42" t="e">
        <f ca="1">_xll.ohRangeRetrieveError(E124)</f>
        <v>#NAME?</v>
      </c>
      <c r="G124" s="36"/>
      <c r="H124" s="162"/>
      <c r="I124" s="113"/>
      <c r="J124" s="138" t="s">
        <v>44</v>
      </c>
      <c r="K124" s="138" t="str">
        <f t="shared" si="14"/>
        <v>7F</v>
      </c>
      <c r="L124" s="140" t="str">
        <f t="shared" si="11"/>
        <v>EUR7F12Y</v>
      </c>
      <c r="M124" s="140" t="str">
        <v>EUR7F12Y=ICAP</v>
      </c>
      <c r="N124" s="78">
        <v>2.0419999999999998</v>
      </c>
      <c r="O124" s="111"/>
      <c r="P124" s="78">
        <v>2.0419999999999998</v>
      </c>
      <c r="Q124" s="111"/>
      <c r="R124" s="78">
        <v>2.0419999999999998</v>
      </c>
      <c r="S124" s="78" t="e">
        <f ca="1">_xll.qlSimpleQuoteSetValue(E124,R124/100,Trigger)</f>
        <v>#NAME?</v>
      </c>
      <c r="T124" s="130"/>
      <c r="V124" s="161"/>
    </row>
    <row r="125" spans="1:22" x14ac:dyDescent="0.2">
      <c r="A125" s="135"/>
      <c r="B125" s="45" t="str">
        <f t="shared" si="8"/>
        <v>13Y</v>
      </c>
      <c r="C125" s="45" t="str">
        <f t="shared" si="9"/>
        <v>7F</v>
      </c>
      <c r="D125" s="43" t="str">
        <f t="shared" si="10"/>
        <v>EUR7F13Y_Quote</v>
      </c>
      <c r="E125" s="43" t="e">
        <f ca="1">_xll.qlSimpleQuote(D125,,RateTickValue,Permanent,Trigger,ObjectOverwrite)</f>
        <v>#NAME?</v>
      </c>
      <c r="F125" s="42" t="e">
        <f ca="1">_xll.ohRangeRetrieveError(E125)</f>
        <v>#NAME?</v>
      </c>
      <c r="G125" s="36"/>
      <c r="H125" s="162"/>
      <c r="I125" s="113"/>
      <c r="J125" s="138" t="s">
        <v>43</v>
      </c>
      <c r="K125" s="138" t="str">
        <f t="shared" si="14"/>
        <v>7F</v>
      </c>
      <c r="L125" s="140" t="str">
        <f t="shared" si="11"/>
        <v>EUR7F13Y</v>
      </c>
      <c r="M125" s="140" t="str">
        <v>EUR7F13Y=ICAP</v>
      </c>
      <c r="N125" s="78">
        <v>2.032</v>
      </c>
      <c r="O125" s="111"/>
      <c r="P125" s="78">
        <v>2.032</v>
      </c>
      <c r="Q125" s="111"/>
      <c r="R125" s="78">
        <v>2.032</v>
      </c>
      <c r="S125" s="78" t="e">
        <f ca="1">_xll.qlSimpleQuoteSetValue(E125,R125/100,Trigger)</f>
        <v>#NAME?</v>
      </c>
      <c r="T125" s="130"/>
      <c r="V125" s="161"/>
    </row>
    <row r="126" spans="1:22" x14ac:dyDescent="0.2">
      <c r="A126" s="135"/>
      <c r="B126" s="45" t="str">
        <f t="shared" si="8"/>
        <v>14Y</v>
      </c>
      <c r="C126" s="45" t="str">
        <f t="shared" si="9"/>
        <v>7F</v>
      </c>
      <c r="D126" s="43" t="str">
        <f t="shared" si="10"/>
        <v>EUR7F14Y_Quote</v>
      </c>
      <c r="E126" s="43" t="e">
        <f ca="1">_xll.qlSimpleQuote(D126,,RateTickValue,Permanent,Trigger,ObjectOverwrite)</f>
        <v>#NAME?</v>
      </c>
      <c r="F126" s="42" t="e">
        <f ca="1">_xll.ohRangeRetrieveError(E126)</f>
        <v>#NAME?</v>
      </c>
      <c r="G126" s="36"/>
      <c r="H126" s="162"/>
      <c r="I126" s="113"/>
      <c r="J126" s="138" t="s">
        <v>42</v>
      </c>
      <c r="K126" s="138" t="str">
        <f t="shared" si="14"/>
        <v>7F</v>
      </c>
      <c r="L126" s="140" t="str">
        <f t="shared" si="11"/>
        <v>EUR7F14Y</v>
      </c>
      <c r="M126" s="140" t="str">
        <v>EUR7F14Y=ICAP</v>
      </c>
      <c r="N126" s="78">
        <v>2.0179999999999998</v>
      </c>
      <c r="O126" s="111"/>
      <c r="P126" s="78">
        <v>2.0179999999999998</v>
      </c>
      <c r="Q126" s="111"/>
      <c r="R126" s="78">
        <v>2.0179999999999998</v>
      </c>
      <c r="S126" s="78" t="e">
        <f ca="1">_xll.qlSimpleQuoteSetValue(E126,R126/100,Trigger)</f>
        <v>#NAME?</v>
      </c>
      <c r="T126" s="130"/>
      <c r="V126" s="161"/>
    </row>
    <row r="127" spans="1:22" x14ac:dyDescent="0.2">
      <c r="A127" s="135"/>
      <c r="B127" s="45" t="str">
        <f t="shared" si="8"/>
        <v>15Y</v>
      </c>
      <c r="C127" s="45" t="str">
        <f t="shared" si="9"/>
        <v>7F</v>
      </c>
      <c r="D127" s="43" t="str">
        <f t="shared" si="10"/>
        <v>EUR7F15Y_Quote</v>
      </c>
      <c r="E127" s="43" t="e">
        <f ca="1">_xll.qlSimpleQuote(D127,,RateTickValue,Permanent,Trigger,ObjectOverwrite)</f>
        <v>#NAME?</v>
      </c>
      <c r="F127" s="42" t="e">
        <f ca="1">_xll.ohRangeRetrieveError(E127)</f>
        <v>#NAME?</v>
      </c>
      <c r="G127" s="36"/>
      <c r="H127" s="162"/>
      <c r="I127" s="113"/>
      <c r="J127" s="138" t="s">
        <v>41</v>
      </c>
      <c r="K127" s="138" t="str">
        <f t="shared" si="14"/>
        <v>7F</v>
      </c>
      <c r="L127" s="140" t="str">
        <f t="shared" si="11"/>
        <v>EUR7F15Y</v>
      </c>
      <c r="M127" s="140" t="str">
        <v>EUR7F15Y=ICAP</v>
      </c>
      <c r="N127" s="78">
        <v>2.004</v>
      </c>
      <c r="O127" s="111"/>
      <c r="P127" s="78">
        <v>2.004</v>
      </c>
      <c r="Q127" s="111"/>
      <c r="R127" s="78">
        <v>2.004</v>
      </c>
      <c r="S127" s="78" t="e">
        <f ca="1">_xll.qlSimpleQuoteSetValue(E127,R127/100,Trigger)</f>
        <v>#NAME?</v>
      </c>
      <c r="T127" s="130"/>
      <c r="V127" s="161"/>
    </row>
    <row r="128" spans="1:22" x14ac:dyDescent="0.2">
      <c r="A128" s="135"/>
      <c r="B128" s="45" t="str">
        <f t="shared" si="8"/>
        <v>20Y</v>
      </c>
      <c r="C128" s="45" t="str">
        <f t="shared" si="9"/>
        <v>7F</v>
      </c>
      <c r="D128" s="43" t="str">
        <f t="shared" si="10"/>
        <v>EUR7F20Y_Quote</v>
      </c>
      <c r="E128" s="43" t="e">
        <f ca="1">_xll.qlSimpleQuote(D128,,RateTickValue,Permanent,Trigger,ObjectOverwrite)</f>
        <v>#NAME?</v>
      </c>
      <c r="F128" s="42" t="e">
        <f ca="1">_xll.ohRangeRetrieveError(E128)</f>
        <v>#NAME?</v>
      </c>
      <c r="G128" s="36"/>
      <c r="H128" s="162"/>
      <c r="I128" s="113"/>
      <c r="J128" s="138" t="s">
        <v>36</v>
      </c>
      <c r="K128" s="138" t="str">
        <f t="shared" si="14"/>
        <v>7F</v>
      </c>
      <c r="L128" s="140" t="str">
        <f t="shared" si="11"/>
        <v>EUR7F20Y</v>
      </c>
      <c r="M128" s="140" t="str">
        <v>EUR7F20Y=ICAP</v>
      </c>
      <c r="N128" s="78">
        <v>1.915</v>
      </c>
      <c r="O128" s="111"/>
      <c r="P128" s="78">
        <v>1.915</v>
      </c>
      <c r="Q128" s="111"/>
      <c r="R128" s="78">
        <v>1.915</v>
      </c>
      <c r="S128" s="78" t="e">
        <f ca="1">_xll.qlSimpleQuoteSetValue(E128,R128/100,Trigger)</f>
        <v>#NAME?</v>
      </c>
      <c r="T128" s="130"/>
      <c r="V128" s="161"/>
    </row>
    <row r="129" spans="1:22" x14ac:dyDescent="0.2">
      <c r="A129" s="135"/>
      <c r="B129" s="45" t="str">
        <f t="shared" si="8"/>
        <v>25Y</v>
      </c>
      <c r="C129" s="45" t="str">
        <f t="shared" si="9"/>
        <v>7F</v>
      </c>
      <c r="D129" s="43" t="str">
        <f t="shared" si="10"/>
        <v>EUR7F25Y_Quote</v>
      </c>
      <c r="E129" s="43" t="e">
        <f ca="1">_xll.qlSimpleQuote(D129,,RateTickValue,Permanent,Trigger,ObjectOverwrite)</f>
        <v>#NAME?</v>
      </c>
      <c r="F129" s="42" t="e">
        <f ca="1">_xll.ohRangeRetrieveError(E129)</f>
        <v>#NAME?</v>
      </c>
      <c r="G129" s="36"/>
      <c r="H129" s="162"/>
      <c r="I129" s="113"/>
      <c r="J129" s="138" t="s">
        <v>31</v>
      </c>
      <c r="K129" s="138" t="str">
        <f t="shared" si="14"/>
        <v>7F</v>
      </c>
      <c r="L129" s="140" t="str">
        <f t="shared" si="11"/>
        <v>EUR7F25Y</v>
      </c>
      <c r="M129" s="140" t="str">
        <v>EUR7F25Y=ICAP</v>
      </c>
      <c r="N129" s="78">
        <v>1.855</v>
      </c>
      <c r="O129" s="111"/>
      <c r="P129" s="78">
        <v>1.855</v>
      </c>
      <c r="Q129" s="111"/>
      <c r="R129" s="78">
        <v>1.855</v>
      </c>
      <c r="S129" s="78" t="e">
        <f ca="1">_xll.qlSimpleQuoteSetValue(E129,R129/100,Trigger)</f>
        <v>#NAME?</v>
      </c>
      <c r="T129" s="130"/>
      <c r="V129" s="161"/>
    </row>
    <row r="130" spans="1:22" x14ac:dyDescent="0.2">
      <c r="A130" s="135"/>
      <c r="B130" s="45" t="str">
        <f t="shared" si="8"/>
        <v>30Y</v>
      </c>
      <c r="C130" s="45" t="str">
        <f t="shared" si="9"/>
        <v>7F</v>
      </c>
      <c r="D130" s="43" t="str">
        <f t="shared" si="10"/>
        <v>EUR7F30Y_Quote</v>
      </c>
      <c r="E130" s="43" t="e">
        <f ca="1">_xll.qlSimpleQuote(D130,,RateTickValue,Permanent,Trigger,ObjectOverwrite)</f>
        <v>#NAME?</v>
      </c>
      <c r="F130" s="42" t="e">
        <f ca="1">_xll.ohRangeRetrieveError(E130)</f>
        <v>#NAME?</v>
      </c>
      <c r="G130" s="36"/>
      <c r="H130" s="162"/>
      <c r="I130" s="113"/>
      <c r="J130" s="131" t="s">
        <v>26</v>
      </c>
      <c r="K130" s="131" t="str">
        <f t="shared" si="14"/>
        <v>7F</v>
      </c>
      <c r="L130" s="133" t="str">
        <f t="shared" si="11"/>
        <v>EUR7F30Y</v>
      </c>
      <c r="M130" s="133" t="str">
        <v>EUR7F30Y=ICAP</v>
      </c>
      <c r="N130" s="65">
        <v>1.8160000000000001</v>
      </c>
      <c r="O130" s="111"/>
      <c r="P130" s="65">
        <v>1.8160000000000001</v>
      </c>
      <c r="Q130" s="111"/>
      <c r="R130" s="65">
        <v>1.8160000000000001</v>
      </c>
      <c r="S130" s="65" t="e">
        <f ca="1">_xll.qlSimpleQuoteSetValue(E130,R130/100,Trigger)</f>
        <v>#NAME?</v>
      </c>
      <c r="T130" s="130"/>
      <c r="V130" s="161"/>
    </row>
    <row r="131" spans="1:22" x14ac:dyDescent="0.2">
      <c r="A131" s="135"/>
      <c r="B131" s="45" t="str">
        <f t="shared" si="8"/>
        <v>1Y</v>
      </c>
      <c r="C131" s="45" t="str">
        <f t="shared" si="9"/>
        <v>8F</v>
      </c>
      <c r="D131" s="43" t="str">
        <f t="shared" si="10"/>
        <v>EUR8F1Y_Quote</v>
      </c>
      <c r="E131" s="43" t="e">
        <f ca="1">_xll.qlSimpleQuote(D131,,RateTickValue,Permanent,Trigger,ObjectOverwrite)</f>
        <v>#NAME?</v>
      </c>
      <c r="F131" s="42" t="e">
        <f ca="1">_xll.ohRangeRetrieveError(E131)</f>
        <v>#NAME?</v>
      </c>
      <c r="G131" s="36"/>
      <c r="H131" s="162"/>
      <c r="I131" s="135">
        <v>8</v>
      </c>
      <c r="J131" s="164" t="s">
        <v>58</v>
      </c>
      <c r="K131" s="164" t="str">
        <f t="shared" ref="K131:K148" si="15">$I$131&amp;"F"</f>
        <v>8F</v>
      </c>
      <c r="L131" s="163" t="str">
        <f t="shared" si="11"/>
        <v>EUR8F1Y</v>
      </c>
      <c r="M131" s="163" t="str">
        <v>EUR8F1Y=ICAP</v>
      </c>
      <c r="N131" s="89">
        <v>1.849</v>
      </c>
      <c r="O131" s="111"/>
      <c r="P131" s="89">
        <v>1.849</v>
      </c>
      <c r="Q131" s="111"/>
      <c r="R131" s="89">
        <v>1.849</v>
      </c>
      <c r="S131" s="89" t="e">
        <f ca="1">_xll.qlSimpleQuoteSetValue(E131,R131/100,Trigger)</f>
        <v>#NAME?</v>
      </c>
      <c r="T131" s="130"/>
      <c r="V131" s="161"/>
    </row>
    <row r="132" spans="1:22" x14ac:dyDescent="0.2">
      <c r="A132" s="135"/>
      <c r="B132" s="45" t="str">
        <f t="shared" si="8"/>
        <v>2Y</v>
      </c>
      <c r="C132" s="45" t="str">
        <f t="shared" si="9"/>
        <v>8F</v>
      </c>
      <c r="D132" s="43" t="str">
        <f t="shared" si="10"/>
        <v>EUR8F2Y_Quote</v>
      </c>
      <c r="E132" s="43" t="e">
        <f ca="1">_xll.qlSimpleQuote(D132,,RateTickValue,Permanent,Trigger,ObjectOverwrite)</f>
        <v>#NAME?</v>
      </c>
      <c r="F132" s="42" t="e">
        <f ca="1">_xll.ohRangeRetrieveError(E132)</f>
        <v>#NAME?</v>
      </c>
      <c r="G132" s="36"/>
      <c r="H132" s="162"/>
      <c r="I132" s="113"/>
      <c r="J132" s="138" t="s">
        <v>54</v>
      </c>
      <c r="K132" s="138" t="str">
        <f t="shared" si="15"/>
        <v>8F</v>
      </c>
      <c r="L132" s="140" t="str">
        <f t="shared" si="11"/>
        <v>EUR8F2Y</v>
      </c>
      <c r="M132" s="140" t="str">
        <v>EUR8F2Y=ICAP</v>
      </c>
      <c r="N132" s="78">
        <v>1.9019999999999999</v>
      </c>
      <c r="O132" s="111"/>
      <c r="P132" s="78">
        <v>1.9019999999999999</v>
      </c>
      <c r="Q132" s="111"/>
      <c r="R132" s="78">
        <v>1.9019999999999999</v>
      </c>
      <c r="S132" s="78" t="e">
        <f ca="1">_xll.qlSimpleQuoteSetValue(E132,R132/100,Trigger)</f>
        <v>#NAME?</v>
      </c>
      <c r="T132" s="130"/>
      <c r="V132" s="161"/>
    </row>
    <row r="133" spans="1:22" x14ac:dyDescent="0.2">
      <c r="A133" s="135"/>
      <c r="B133" s="45" t="str">
        <f t="shared" ref="B133:B196" si="16">J133</f>
        <v>3Y</v>
      </c>
      <c r="C133" s="45" t="str">
        <f t="shared" ref="C133:C196" si="17">K133</f>
        <v>8F</v>
      </c>
      <c r="D133" s="43" t="str">
        <f t="shared" ref="D133:D196" si="18">Currency&amp;$C133&amp;B133&amp;QuoteSuffix</f>
        <v>EUR8F3Y_Quote</v>
      </c>
      <c r="E133" s="43" t="e">
        <f ca="1">_xll.qlSimpleQuote(D133,,RateTickValue,Permanent,Trigger,ObjectOverwrite)</f>
        <v>#NAME?</v>
      </c>
      <c r="F133" s="42" t="e">
        <f ca="1">_xll.ohRangeRetrieveError(E133)</f>
        <v>#NAME?</v>
      </c>
      <c r="G133" s="36"/>
      <c r="H133" s="162"/>
      <c r="I133" s="113"/>
      <c r="J133" s="138" t="s">
        <v>53</v>
      </c>
      <c r="K133" s="138" t="str">
        <f t="shared" si="15"/>
        <v>8F</v>
      </c>
      <c r="L133" s="140" t="str">
        <f t="shared" ref="L133:L196" si="19">Currency&amp;$K133&amp;$J133</f>
        <v>EUR8F3Y</v>
      </c>
      <c r="M133" s="140" t="str">
        <v>EUR8F3Y=ICAP</v>
      </c>
      <c r="N133" s="78">
        <v>1.9570000000000001</v>
      </c>
      <c r="O133" s="111"/>
      <c r="P133" s="78">
        <v>1.9570000000000001</v>
      </c>
      <c r="Q133" s="111"/>
      <c r="R133" s="78">
        <v>1.9570000000000001</v>
      </c>
      <c r="S133" s="78" t="e">
        <f ca="1">_xll.qlSimpleQuoteSetValue(E133,R133/100,Trigger)</f>
        <v>#NAME?</v>
      </c>
      <c r="T133" s="130"/>
      <c r="V133" s="161"/>
    </row>
    <row r="134" spans="1:22" x14ac:dyDescent="0.2">
      <c r="A134" s="135"/>
      <c r="B134" s="45" t="str">
        <f t="shared" si="16"/>
        <v>4Y</v>
      </c>
      <c r="C134" s="45" t="str">
        <f t="shared" si="17"/>
        <v>8F</v>
      </c>
      <c r="D134" s="43" t="str">
        <f t="shared" si="18"/>
        <v>EUR8F4Y_Quote</v>
      </c>
      <c r="E134" s="43" t="e">
        <f ca="1">_xll.qlSimpleQuote(D134,,RateTickValue,Permanent,Trigger,ObjectOverwrite)</f>
        <v>#NAME?</v>
      </c>
      <c r="F134" s="42" t="e">
        <f ca="1">_xll.ohRangeRetrieveError(E134)</f>
        <v>#NAME?</v>
      </c>
      <c r="G134" s="36"/>
      <c r="H134" s="162"/>
      <c r="I134" s="113"/>
      <c r="J134" s="138" t="s">
        <v>52</v>
      </c>
      <c r="K134" s="138" t="str">
        <f t="shared" si="15"/>
        <v>8F</v>
      </c>
      <c r="L134" s="140" t="str">
        <f t="shared" si="19"/>
        <v>EUR8F4Y</v>
      </c>
      <c r="M134" s="140" t="str">
        <v>EUR8F4Y=ICAP</v>
      </c>
      <c r="N134" s="78">
        <v>2.0019999999999998</v>
      </c>
      <c r="O134" s="111"/>
      <c r="P134" s="78">
        <v>2.0019999999999998</v>
      </c>
      <c r="Q134" s="111"/>
      <c r="R134" s="78">
        <v>2.0019999999999998</v>
      </c>
      <c r="S134" s="78" t="e">
        <f ca="1">_xll.qlSimpleQuoteSetValue(E134,R134/100,Trigger)</f>
        <v>#NAME?</v>
      </c>
      <c r="T134" s="130"/>
      <c r="V134" s="161"/>
    </row>
    <row r="135" spans="1:22" x14ac:dyDescent="0.2">
      <c r="A135" s="135"/>
      <c r="B135" s="45" t="str">
        <f t="shared" si="16"/>
        <v>5Y</v>
      </c>
      <c r="C135" s="45" t="str">
        <f t="shared" si="17"/>
        <v>8F</v>
      </c>
      <c r="D135" s="43" t="str">
        <f t="shared" si="18"/>
        <v>EUR8F5Y_Quote</v>
      </c>
      <c r="E135" s="43" t="e">
        <f ca="1">_xll.qlSimpleQuote(D135,,RateTickValue,Permanent,Trigger,ObjectOverwrite)</f>
        <v>#NAME?</v>
      </c>
      <c r="F135" s="42" t="e">
        <f ca="1">_xll.ohRangeRetrieveError(E135)</f>
        <v>#NAME?</v>
      </c>
      <c r="G135" s="36"/>
      <c r="H135" s="162"/>
      <c r="I135" s="113"/>
      <c r="J135" s="138" t="s">
        <v>51</v>
      </c>
      <c r="K135" s="138" t="str">
        <f t="shared" si="15"/>
        <v>8F</v>
      </c>
      <c r="L135" s="140" t="str">
        <f t="shared" si="19"/>
        <v>EUR8F5Y</v>
      </c>
      <c r="M135" s="140" t="str">
        <v>EUR8F5Y=ICAP</v>
      </c>
      <c r="N135" s="78">
        <v>2.0369999999999999</v>
      </c>
      <c r="O135" s="111"/>
      <c r="P135" s="78">
        <v>2.0369999999999999</v>
      </c>
      <c r="Q135" s="111"/>
      <c r="R135" s="78">
        <v>2.0369999999999999</v>
      </c>
      <c r="S135" s="78" t="e">
        <f ca="1">_xll.qlSimpleQuoteSetValue(E135,R135/100,Trigger)</f>
        <v>#NAME?</v>
      </c>
      <c r="T135" s="130"/>
      <c r="V135" s="161"/>
    </row>
    <row r="136" spans="1:22" x14ac:dyDescent="0.2">
      <c r="A136" s="135"/>
      <c r="B136" s="45" t="str">
        <f t="shared" si="16"/>
        <v>6Y</v>
      </c>
      <c r="C136" s="45" t="str">
        <f t="shared" si="17"/>
        <v>8F</v>
      </c>
      <c r="D136" s="43" t="str">
        <f t="shared" si="18"/>
        <v>EUR8F6Y_Quote</v>
      </c>
      <c r="E136" s="43" t="e">
        <f ca="1">_xll.qlSimpleQuote(D136,,RateTickValue,Permanent,Trigger,ObjectOverwrite)</f>
        <v>#NAME?</v>
      </c>
      <c r="F136" s="42" t="e">
        <f ca="1">_xll.ohRangeRetrieveError(E136)</f>
        <v>#NAME?</v>
      </c>
      <c r="G136" s="36"/>
      <c r="H136" s="162"/>
      <c r="I136" s="113"/>
      <c r="J136" s="138" t="s">
        <v>50</v>
      </c>
      <c r="K136" s="138" t="str">
        <f t="shared" si="15"/>
        <v>8F</v>
      </c>
      <c r="L136" s="140" t="str">
        <f t="shared" si="19"/>
        <v>EUR8F6Y</v>
      </c>
      <c r="M136" s="140" t="str">
        <v>EUR8F6Y=ICAP</v>
      </c>
      <c r="N136" s="78">
        <v>2.0619999999999998</v>
      </c>
      <c r="O136" s="111"/>
      <c r="P136" s="78">
        <v>2.0619999999999998</v>
      </c>
      <c r="Q136" s="111"/>
      <c r="R136" s="78">
        <v>2.0619999999999998</v>
      </c>
      <c r="S136" s="78" t="e">
        <f ca="1">_xll.qlSimpleQuoteSetValue(E136,R136/100,Trigger)</f>
        <v>#NAME?</v>
      </c>
      <c r="T136" s="130"/>
      <c r="V136" s="161"/>
    </row>
    <row r="137" spans="1:22" x14ac:dyDescent="0.2">
      <c r="A137" s="135"/>
      <c r="B137" s="45" t="str">
        <f t="shared" si="16"/>
        <v>7Y</v>
      </c>
      <c r="C137" s="45" t="str">
        <f t="shared" si="17"/>
        <v>8F</v>
      </c>
      <c r="D137" s="43" t="str">
        <f t="shared" si="18"/>
        <v>EUR8F7Y_Quote</v>
      </c>
      <c r="E137" s="43" t="e">
        <f ca="1">_xll.qlSimpleQuote(D137,,RateTickValue,Permanent,Trigger,ObjectOverwrite)</f>
        <v>#NAME?</v>
      </c>
      <c r="F137" s="42" t="e">
        <f ca="1">_xll.ohRangeRetrieveError(E137)</f>
        <v>#NAME?</v>
      </c>
      <c r="G137" s="36"/>
      <c r="H137" s="162"/>
      <c r="I137" s="113"/>
      <c r="J137" s="138" t="s">
        <v>49</v>
      </c>
      <c r="K137" s="138" t="str">
        <f t="shared" si="15"/>
        <v>8F</v>
      </c>
      <c r="L137" s="140" t="str">
        <f t="shared" si="19"/>
        <v>EUR8F7Y</v>
      </c>
      <c r="M137" s="140" t="str">
        <v>EUR8F7Y=ICAP</v>
      </c>
      <c r="N137" s="78">
        <v>2.0790000000000002</v>
      </c>
      <c r="O137" s="111"/>
      <c r="P137" s="78">
        <v>2.0790000000000002</v>
      </c>
      <c r="Q137" s="111"/>
      <c r="R137" s="78">
        <v>2.0790000000000002</v>
      </c>
      <c r="S137" s="78" t="e">
        <f ca="1">_xll.qlSimpleQuoteSetValue(E137,R137/100,Trigger)</f>
        <v>#NAME?</v>
      </c>
      <c r="T137" s="130"/>
      <c r="V137" s="161"/>
    </row>
    <row r="138" spans="1:22" x14ac:dyDescent="0.2">
      <c r="A138" s="135"/>
      <c r="B138" s="45" t="str">
        <f t="shared" si="16"/>
        <v>8Y</v>
      </c>
      <c r="C138" s="45" t="str">
        <f t="shared" si="17"/>
        <v>8F</v>
      </c>
      <c r="D138" s="43" t="str">
        <f t="shared" si="18"/>
        <v>EUR8F8Y_Quote</v>
      </c>
      <c r="E138" s="43" t="e">
        <f ca="1">_xll.qlSimpleQuote(D138,,RateTickValue,Permanent,Trigger,ObjectOverwrite)</f>
        <v>#NAME?</v>
      </c>
      <c r="F138" s="42" t="e">
        <f ca="1">_xll.ohRangeRetrieveError(E138)</f>
        <v>#NAME?</v>
      </c>
      <c r="G138" s="36"/>
      <c r="H138" s="162"/>
      <c r="I138" s="113"/>
      <c r="J138" s="138" t="s">
        <v>48</v>
      </c>
      <c r="K138" s="138" t="str">
        <f t="shared" si="15"/>
        <v>8F</v>
      </c>
      <c r="L138" s="140" t="str">
        <f t="shared" si="19"/>
        <v>EUR8F8Y</v>
      </c>
      <c r="M138" s="140" t="str">
        <v>EUR8F8Y=ICAP</v>
      </c>
      <c r="N138" s="78">
        <v>2.0880000000000001</v>
      </c>
      <c r="O138" s="111"/>
      <c r="P138" s="78">
        <v>2.0880000000000001</v>
      </c>
      <c r="Q138" s="111"/>
      <c r="R138" s="78">
        <v>2.0880000000000001</v>
      </c>
      <c r="S138" s="78" t="e">
        <f ca="1">_xll.qlSimpleQuoteSetValue(E138,R138/100,Trigger)</f>
        <v>#NAME?</v>
      </c>
      <c r="T138" s="130"/>
      <c r="V138" s="161"/>
    </row>
    <row r="139" spans="1:22" x14ac:dyDescent="0.2">
      <c r="A139" s="135"/>
      <c r="B139" s="45" t="str">
        <f t="shared" si="16"/>
        <v>9Y</v>
      </c>
      <c r="C139" s="45" t="str">
        <f t="shared" si="17"/>
        <v>8F</v>
      </c>
      <c r="D139" s="43" t="str">
        <f t="shared" si="18"/>
        <v>EUR8F9Y_Quote</v>
      </c>
      <c r="E139" s="43" t="e">
        <f ca="1">_xll.qlSimpleQuote(D139,,RateTickValue,Permanent,Trigger,ObjectOverwrite)</f>
        <v>#NAME?</v>
      </c>
      <c r="F139" s="42" t="e">
        <f ca="1">_xll.ohRangeRetrieveError(E139)</f>
        <v>#NAME?</v>
      </c>
      <c r="G139" s="36"/>
      <c r="H139" s="162"/>
      <c r="I139" s="113"/>
      <c r="J139" s="138" t="s">
        <v>47</v>
      </c>
      <c r="K139" s="138" t="str">
        <f t="shared" si="15"/>
        <v>8F</v>
      </c>
      <c r="L139" s="140" t="str">
        <f t="shared" si="19"/>
        <v>EUR8F9Y</v>
      </c>
      <c r="M139" s="140" t="str">
        <v>EUR8F9Y=ICAP</v>
      </c>
      <c r="N139" s="78">
        <v>2.093</v>
      </c>
      <c r="O139" s="111"/>
      <c r="P139" s="78">
        <v>2.093</v>
      </c>
      <c r="Q139" s="111"/>
      <c r="R139" s="78">
        <v>2.093</v>
      </c>
      <c r="S139" s="78" t="e">
        <f ca="1">_xll.qlSimpleQuoteSetValue(E139,R139/100,Trigger)</f>
        <v>#NAME?</v>
      </c>
      <c r="T139" s="130"/>
      <c r="V139" s="161"/>
    </row>
    <row r="140" spans="1:22" x14ac:dyDescent="0.2">
      <c r="A140" s="135"/>
      <c r="B140" s="45" t="str">
        <f t="shared" si="16"/>
        <v>10Y</v>
      </c>
      <c r="C140" s="45" t="str">
        <f t="shared" si="17"/>
        <v>8F</v>
      </c>
      <c r="D140" s="43" t="str">
        <f t="shared" si="18"/>
        <v>EUR8F10Y_Quote</v>
      </c>
      <c r="E140" s="43" t="e">
        <f ca="1">_xll.qlSimpleQuote(D140,,RateTickValue,Permanent,Trigger,ObjectOverwrite)</f>
        <v>#NAME?</v>
      </c>
      <c r="F140" s="42" t="e">
        <f ca="1">_xll.ohRangeRetrieveError(E140)</f>
        <v>#NAME?</v>
      </c>
      <c r="G140" s="36"/>
      <c r="H140" s="162"/>
      <c r="I140" s="113"/>
      <c r="J140" s="138" t="s">
        <v>46</v>
      </c>
      <c r="K140" s="138" t="str">
        <f t="shared" si="15"/>
        <v>8F</v>
      </c>
      <c r="L140" s="140" t="str">
        <f t="shared" si="19"/>
        <v>EUR8F10Y</v>
      </c>
      <c r="M140" s="140" t="str">
        <v>EUR8F10Y=ICAP</v>
      </c>
      <c r="N140" s="78">
        <v>2.0880000000000001</v>
      </c>
      <c r="O140" s="111"/>
      <c r="P140" s="78">
        <v>2.0880000000000001</v>
      </c>
      <c r="Q140" s="111"/>
      <c r="R140" s="78">
        <v>2.0880000000000001</v>
      </c>
      <c r="S140" s="78" t="e">
        <f ca="1">_xll.qlSimpleQuoteSetValue(E140,R140/100,Trigger)</f>
        <v>#NAME?</v>
      </c>
      <c r="T140" s="130"/>
      <c r="V140" s="161"/>
    </row>
    <row r="141" spans="1:22" x14ac:dyDescent="0.2">
      <c r="A141" s="135"/>
      <c r="B141" s="45" t="str">
        <f t="shared" si="16"/>
        <v>11Y</v>
      </c>
      <c r="C141" s="45" t="str">
        <f t="shared" si="17"/>
        <v>8F</v>
      </c>
      <c r="D141" s="43" t="str">
        <f t="shared" si="18"/>
        <v>EUR8F11Y_Quote</v>
      </c>
      <c r="E141" s="43" t="e">
        <f ca="1">_xll.qlSimpleQuote(D141,,RateTickValue,Permanent,Trigger,ObjectOverwrite)</f>
        <v>#NAME?</v>
      </c>
      <c r="F141" s="42" t="e">
        <f ca="1">_xll.ohRangeRetrieveError(E141)</f>
        <v>#NAME?</v>
      </c>
      <c r="G141" s="36"/>
      <c r="H141" s="162"/>
      <c r="I141" s="113"/>
      <c r="J141" s="138" t="s">
        <v>45</v>
      </c>
      <c r="K141" s="138" t="str">
        <f t="shared" si="15"/>
        <v>8F</v>
      </c>
      <c r="L141" s="140" t="str">
        <f t="shared" si="19"/>
        <v>EUR8F11Y</v>
      </c>
      <c r="M141" s="140" t="str">
        <v>EUR8F11Y=ICAP</v>
      </c>
      <c r="N141" s="78">
        <v>2.08</v>
      </c>
      <c r="O141" s="111"/>
      <c r="P141" s="78">
        <v>2.08</v>
      </c>
      <c r="Q141" s="111"/>
      <c r="R141" s="78">
        <v>2.08</v>
      </c>
      <c r="S141" s="78" t="e">
        <f ca="1">_xll.qlSimpleQuoteSetValue(E141,R141/100,Trigger)</f>
        <v>#NAME?</v>
      </c>
      <c r="T141" s="130"/>
      <c r="V141" s="161"/>
    </row>
    <row r="142" spans="1:22" x14ac:dyDescent="0.2">
      <c r="A142" s="135"/>
      <c r="B142" s="45" t="str">
        <f t="shared" si="16"/>
        <v>12Y</v>
      </c>
      <c r="C142" s="45" t="str">
        <f t="shared" si="17"/>
        <v>8F</v>
      </c>
      <c r="D142" s="43" t="str">
        <f t="shared" si="18"/>
        <v>EUR8F12Y_Quote</v>
      </c>
      <c r="E142" s="43" t="e">
        <f ca="1">_xll.qlSimpleQuote(D142,,RateTickValue,Permanent,Trigger,ObjectOverwrite)</f>
        <v>#NAME?</v>
      </c>
      <c r="F142" s="42" t="e">
        <f ca="1">_xll.ohRangeRetrieveError(E142)</f>
        <v>#NAME?</v>
      </c>
      <c r="G142" s="36"/>
      <c r="H142" s="162"/>
      <c r="I142" s="113"/>
      <c r="J142" s="138" t="s">
        <v>44</v>
      </c>
      <c r="K142" s="138" t="str">
        <f t="shared" si="15"/>
        <v>8F</v>
      </c>
      <c r="L142" s="140" t="str">
        <f t="shared" si="19"/>
        <v>EUR8F12Y</v>
      </c>
      <c r="M142" s="140" t="str">
        <v>EUR8F12Y=ICAP</v>
      </c>
      <c r="N142" s="78">
        <v>2.0659999999999998</v>
      </c>
      <c r="O142" s="111"/>
      <c r="P142" s="78">
        <v>2.0659999999999998</v>
      </c>
      <c r="Q142" s="111"/>
      <c r="R142" s="78">
        <v>2.0659999999999998</v>
      </c>
      <c r="S142" s="78" t="e">
        <f ca="1">_xll.qlSimpleQuoteSetValue(E142,R142/100,Trigger)</f>
        <v>#NAME?</v>
      </c>
      <c r="T142" s="130"/>
      <c r="V142" s="161"/>
    </row>
    <row r="143" spans="1:22" x14ac:dyDescent="0.2">
      <c r="A143" s="135"/>
      <c r="B143" s="45" t="str">
        <f t="shared" si="16"/>
        <v>13Y</v>
      </c>
      <c r="C143" s="45" t="str">
        <f t="shared" si="17"/>
        <v>8F</v>
      </c>
      <c r="D143" s="43" t="str">
        <f t="shared" si="18"/>
        <v>EUR8F13Y_Quote</v>
      </c>
      <c r="E143" s="43" t="e">
        <f ca="1">_xll.qlSimpleQuote(D143,,RateTickValue,Permanent,Trigger,ObjectOverwrite)</f>
        <v>#NAME?</v>
      </c>
      <c r="F143" s="42" t="e">
        <f ca="1">_xll.ohRangeRetrieveError(E143)</f>
        <v>#NAME?</v>
      </c>
      <c r="G143" s="36"/>
      <c r="H143" s="162"/>
      <c r="I143" s="113"/>
      <c r="J143" s="138" t="s">
        <v>43</v>
      </c>
      <c r="K143" s="138" t="str">
        <f t="shared" si="15"/>
        <v>8F</v>
      </c>
      <c r="L143" s="140" t="str">
        <f t="shared" si="19"/>
        <v>EUR8F13Y</v>
      </c>
      <c r="M143" s="140" t="str">
        <v>EUR8F13Y=ICAP</v>
      </c>
      <c r="N143" s="78">
        <v>2.0489999999999999</v>
      </c>
      <c r="O143" s="111"/>
      <c r="P143" s="78">
        <v>2.0489999999999999</v>
      </c>
      <c r="Q143" s="111"/>
      <c r="R143" s="78">
        <v>2.0489999999999999</v>
      </c>
      <c r="S143" s="78" t="e">
        <f ca="1">_xll.qlSimpleQuoteSetValue(E143,R143/100,Trigger)</f>
        <v>#NAME?</v>
      </c>
      <c r="T143" s="130"/>
      <c r="V143" s="161"/>
    </row>
    <row r="144" spans="1:22" x14ac:dyDescent="0.2">
      <c r="A144" s="135"/>
      <c r="B144" s="45" t="str">
        <f t="shared" si="16"/>
        <v>14Y</v>
      </c>
      <c r="C144" s="45" t="str">
        <f t="shared" si="17"/>
        <v>8F</v>
      </c>
      <c r="D144" s="43" t="str">
        <f t="shared" si="18"/>
        <v>EUR8F14Y_Quote</v>
      </c>
      <c r="E144" s="43" t="e">
        <f ca="1">_xll.qlSimpleQuote(D144,,RateTickValue,Permanent,Trigger,ObjectOverwrite)</f>
        <v>#NAME?</v>
      </c>
      <c r="F144" s="42" t="e">
        <f ca="1">_xll.ohRangeRetrieveError(E144)</f>
        <v>#NAME?</v>
      </c>
      <c r="G144" s="36"/>
      <c r="H144" s="162"/>
      <c r="I144" s="113"/>
      <c r="J144" s="138" t="s">
        <v>42</v>
      </c>
      <c r="K144" s="138" t="str">
        <f t="shared" si="15"/>
        <v>8F</v>
      </c>
      <c r="L144" s="140" t="str">
        <f t="shared" si="19"/>
        <v>EUR8F14Y</v>
      </c>
      <c r="M144" s="140" t="str">
        <v>EUR8F14Y=ICAP</v>
      </c>
      <c r="N144" s="78">
        <v>2.0310000000000001</v>
      </c>
      <c r="O144" s="111"/>
      <c r="P144" s="78">
        <v>2.0310000000000001</v>
      </c>
      <c r="Q144" s="111"/>
      <c r="R144" s="78">
        <v>2.0310000000000001</v>
      </c>
      <c r="S144" s="78" t="e">
        <f ca="1">_xll.qlSimpleQuoteSetValue(E144,R144/100,Trigger)</f>
        <v>#NAME?</v>
      </c>
      <c r="T144" s="130"/>
      <c r="V144" s="161"/>
    </row>
    <row r="145" spans="1:22" x14ac:dyDescent="0.2">
      <c r="A145" s="135"/>
      <c r="B145" s="45" t="str">
        <f t="shared" si="16"/>
        <v>15Y</v>
      </c>
      <c r="C145" s="45" t="str">
        <f t="shared" si="17"/>
        <v>8F</v>
      </c>
      <c r="D145" s="43" t="str">
        <f t="shared" si="18"/>
        <v>EUR8F15Y_Quote</v>
      </c>
      <c r="E145" s="43" t="e">
        <f ca="1">_xll.qlSimpleQuote(D145,,RateTickValue,Permanent,Trigger,ObjectOverwrite)</f>
        <v>#NAME?</v>
      </c>
      <c r="F145" s="42" t="e">
        <f ca="1">_xll.ohRangeRetrieveError(E145)</f>
        <v>#NAME?</v>
      </c>
      <c r="G145" s="36"/>
      <c r="H145" s="162"/>
      <c r="I145" s="113"/>
      <c r="J145" s="138" t="s">
        <v>41</v>
      </c>
      <c r="K145" s="138" t="str">
        <f t="shared" si="15"/>
        <v>8F</v>
      </c>
      <c r="L145" s="140" t="str">
        <f t="shared" si="19"/>
        <v>EUR8F15Y</v>
      </c>
      <c r="M145" s="140" t="str">
        <v>EUR8F15Y=ICAP</v>
      </c>
      <c r="N145" s="78">
        <v>2.0089999999999999</v>
      </c>
      <c r="O145" s="111"/>
      <c r="P145" s="78">
        <v>2.0089999999999999</v>
      </c>
      <c r="Q145" s="111"/>
      <c r="R145" s="78">
        <v>2.0089999999999999</v>
      </c>
      <c r="S145" s="78" t="e">
        <f ca="1">_xll.qlSimpleQuoteSetValue(E145,R145/100,Trigger)</f>
        <v>#NAME?</v>
      </c>
      <c r="T145" s="130"/>
      <c r="V145" s="161"/>
    </row>
    <row r="146" spans="1:22" x14ac:dyDescent="0.2">
      <c r="A146" s="135"/>
      <c r="B146" s="45" t="str">
        <f t="shared" si="16"/>
        <v>20Y</v>
      </c>
      <c r="C146" s="45" t="str">
        <f t="shared" si="17"/>
        <v>8F</v>
      </c>
      <c r="D146" s="43" t="str">
        <f t="shared" si="18"/>
        <v>EUR8F20Y_Quote</v>
      </c>
      <c r="E146" s="43" t="e">
        <f ca="1">_xll.qlSimpleQuote(D146,,RateTickValue,Permanent,Trigger,ObjectOverwrite)</f>
        <v>#NAME?</v>
      </c>
      <c r="F146" s="42" t="e">
        <f ca="1">_xll.ohRangeRetrieveError(E146)</f>
        <v>#NAME?</v>
      </c>
      <c r="G146" s="36"/>
      <c r="H146" s="162"/>
      <c r="I146" s="113"/>
      <c r="J146" s="138" t="s">
        <v>36</v>
      </c>
      <c r="K146" s="138" t="str">
        <f t="shared" si="15"/>
        <v>8F</v>
      </c>
      <c r="L146" s="140" t="str">
        <f t="shared" si="19"/>
        <v>EUR8F20Y</v>
      </c>
      <c r="M146" s="140" t="str">
        <v>EUR8F20Y=ICAP</v>
      </c>
      <c r="N146" s="78">
        <v>1.915</v>
      </c>
      <c r="O146" s="111"/>
      <c r="P146" s="78">
        <v>1.915</v>
      </c>
      <c r="Q146" s="111"/>
      <c r="R146" s="78">
        <v>1.915</v>
      </c>
      <c r="S146" s="78" t="e">
        <f ca="1">_xll.qlSimpleQuoteSetValue(E146,R146/100,Trigger)</f>
        <v>#NAME?</v>
      </c>
      <c r="T146" s="130"/>
      <c r="V146" s="161"/>
    </row>
    <row r="147" spans="1:22" x14ac:dyDescent="0.2">
      <c r="A147" s="135"/>
      <c r="B147" s="45" t="str">
        <f t="shared" si="16"/>
        <v>25Y</v>
      </c>
      <c r="C147" s="45" t="str">
        <f t="shared" si="17"/>
        <v>8F</v>
      </c>
      <c r="D147" s="43" t="str">
        <f t="shared" si="18"/>
        <v>EUR8F25Y_Quote</v>
      </c>
      <c r="E147" s="43" t="e">
        <f ca="1">_xll.qlSimpleQuote(D147,,RateTickValue,Permanent,Trigger,ObjectOverwrite)</f>
        <v>#NAME?</v>
      </c>
      <c r="F147" s="42" t="e">
        <f ca="1">_xll.ohRangeRetrieveError(E147)</f>
        <v>#NAME?</v>
      </c>
      <c r="G147" s="36"/>
      <c r="H147" s="162"/>
      <c r="I147" s="113"/>
      <c r="J147" s="138" t="s">
        <v>31</v>
      </c>
      <c r="K147" s="138" t="str">
        <f t="shared" si="15"/>
        <v>8F</v>
      </c>
      <c r="L147" s="140" t="str">
        <f t="shared" si="19"/>
        <v>EUR8F25Y</v>
      </c>
      <c r="M147" s="140" t="str">
        <v>EUR8F25Y=ICAP</v>
      </c>
      <c r="N147" s="78">
        <v>1.8560000000000001</v>
      </c>
      <c r="O147" s="111"/>
      <c r="P147" s="78">
        <v>1.8560000000000001</v>
      </c>
      <c r="Q147" s="111"/>
      <c r="R147" s="78">
        <v>1.8560000000000001</v>
      </c>
      <c r="S147" s="78" t="e">
        <f ca="1">_xll.qlSimpleQuoteSetValue(E147,R147/100,Trigger)</f>
        <v>#NAME?</v>
      </c>
      <c r="T147" s="130"/>
      <c r="V147" s="161"/>
    </row>
    <row r="148" spans="1:22" x14ac:dyDescent="0.2">
      <c r="A148" s="135"/>
      <c r="B148" s="45" t="str">
        <f t="shared" si="16"/>
        <v>30Y</v>
      </c>
      <c r="C148" s="45" t="str">
        <f t="shared" si="17"/>
        <v>8F</v>
      </c>
      <c r="D148" s="43" t="str">
        <f t="shared" si="18"/>
        <v>EUR8F30Y_Quote</v>
      </c>
      <c r="E148" s="43" t="e">
        <f ca="1">_xll.qlSimpleQuote(D148,,RateTickValue,Permanent,Trigger,ObjectOverwrite)</f>
        <v>#NAME?</v>
      </c>
      <c r="F148" s="42" t="e">
        <f ca="1">_xll.ohRangeRetrieveError(E148)</f>
        <v>#NAME?</v>
      </c>
      <c r="G148" s="36"/>
      <c r="H148" s="162"/>
      <c r="I148" s="113"/>
      <c r="J148" s="131" t="s">
        <v>26</v>
      </c>
      <c r="K148" s="131" t="str">
        <f t="shared" si="15"/>
        <v>8F</v>
      </c>
      <c r="L148" s="133" t="str">
        <f t="shared" si="19"/>
        <v>EUR8F30Y</v>
      </c>
      <c r="M148" s="133" t="str">
        <v>EUR8F30Y=ICAP</v>
      </c>
      <c r="N148" s="65">
        <v>1.8149999999999999</v>
      </c>
      <c r="O148" s="111"/>
      <c r="P148" s="65">
        <v>1.8149999999999999</v>
      </c>
      <c r="Q148" s="111"/>
      <c r="R148" s="65">
        <v>1.8149999999999999</v>
      </c>
      <c r="S148" s="65" t="e">
        <f ca="1">_xll.qlSimpleQuoteSetValue(E148,R148/100,Trigger)</f>
        <v>#NAME?</v>
      </c>
      <c r="T148" s="130"/>
      <c r="V148" s="161"/>
    </row>
    <row r="149" spans="1:22" x14ac:dyDescent="0.2">
      <c r="A149" s="135"/>
      <c r="B149" s="45" t="str">
        <f t="shared" si="16"/>
        <v>1Y</v>
      </c>
      <c r="C149" s="45" t="str">
        <f t="shared" si="17"/>
        <v>9F</v>
      </c>
      <c r="D149" s="43" t="str">
        <f t="shared" si="18"/>
        <v>EUR9F1Y_Quote</v>
      </c>
      <c r="E149" s="43" t="e">
        <f ca="1">_xll.qlSimpleQuote(D149,,RateTickValue,Permanent,Trigger,ObjectOverwrite)</f>
        <v>#NAME?</v>
      </c>
      <c r="F149" s="42" t="e">
        <f ca="1">_xll.ohRangeRetrieveError(E149)</f>
        <v>#NAME?</v>
      </c>
      <c r="G149" s="36"/>
      <c r="H149" s="162"/>
      <c r="I149" s="135">
        <v>9</v>
      </c>
      <c r="J149" s="164" t="s">
        <v>58</v>
      </c>
      <c r="K149" s="164" t="str">
        <f t="shared" ref="K149:K166" si="20">$I$149&amp;"F"</f>
        <v>9F</v>
      </c>
      <c r="L149" s="163" t="str">
        <f t="shared" si="19"/>
        <v>EUR9F1Y</v>
      </c>
      <c r="M149" s="163" t="str">
        <v>EUR9F1Y=ICAP</v>
      </c>
      <c r="N149" s="89">
        <v>1.9570000000000001</v>
      </c>
      <c r="O149" s="111"/>
      <c r="P149" s="89">
        <v>1.9570000000000001</v>
      </c>
      <c r="Q149" s="111"/>
      <c r="R149" s="89">
        <v>1.9570000000000001</v>
      </c>
      <c r="S149" s="89" t="e">
        <f ca="1">_xll.qlSimpleQuoteSetValue(E149,R149/100,Trigger)</f>
        <v>#NAME?</v>
      </c>
      <c r="T149" s="130"/>
      <c r="V149" s="161"/>
    </row>
    <row r="150" spans="1:22" x14ac:dyDescent="0.2">
      <c r="A150" s="135"/>
      <c r="B150" s="45" t="str">
        <f t="shared" si="16"/>
        <v>2Y</v>
      </c>
      <c r="C150" s="45" t="str">
        <f t="shared" si="17"/>
        <v>9F</v>
      </c>
      <c r="D150" s="43" t="str">
        <f t="shared" si="18"/>
        <v>EUR9F2Y_Quote</v>
      </c>
      <c r="E150" s="43" t="e">
        <f ca="1">_xll.qlSimpleQuote(D150,,RateTickValue,Permanent,Trigger,ObjectOverwrite)</f>
        <v>#NAME?</v>
      </c>
      <c r="F150" s="42" t="e">
        <f ca="1">_xll.ohRangeRetrieveError(E150)</f>
        <v>#NAME?</v>
      </c>
      <c r="G150" s="36"/>
      <c r="H150" s="162"/>
      <c r="I150" s="113"/>
      <c r="J150" s="138" t="s">
        <v>54</v>
      </c>
      <c r="K150" s="138" t="str">
        <f t="shared" si="20"/>
        <v>9F</v>
      </c>
      <c r="L150" s="140" t="str">
        <f t="shared" si="19"/>
        <v>EUR9F2Y</v>
      </c>
      <c r="M150" s="140" t="str">
        <v>EUR9F2Y=ICAP</v>
      </c>
      <c r="N150" s="78">
        <v>2.012</v>
      </c>
      <c r="O150" s="111"/>
      <c r="P150" s="78">
        <v>2.012</v>
      </c>
      <c r="Q150" s="111"/>
      <c r="R150" s="78">
        <v>2.012</v>
      </c>
      <c r="S150" s="78" t="e">
        <f ca="1">_xll.qlSimpleQuoteSetValue(E150,R150/100,Trigger)</f>
        <v>#NAME?</v>
      </c>
      <c r="T150" s="130"/>
      <c r="V150" s="161"/>
    </row>
    <row r="151" spans="1:22" x14ac:dyDescent="0.2">
      <c r="A151" s="135"/>
      <c r="B151" s="45" t="str">
        <f t="shared" si="16"/>
        <v>3Y</v>
      </c>
      <c r="C151" s="45" t="str">
        <f t="shared" si="17"/>
        <v>9F</v>
      </c>
      <c r="D151" s="43" t="str">
        <f t="shared" si="18"/>
        <v>EUR9F3Y_Quote</v>
      </c>
      <c r="E151" s="43" t="e">
        <f ca="1">_xll.qlSimpleQuote(D151,,RateTickValue,Permanent,Trigger,ObjectOverwrite)</f>
        <v>#NAME?</v>
      </c>
      <c r="F151" s="42" t="e">
        <f ca="1">_xll.ohRangeRetrieveError(E151)</f>
        <v>#NAME?</v>
      </c>
      <c r="G151" s="36"/>
      <c r="H151" s="162"/>
      <c r="I151" s="113"/>
      <c r="J151" s="138" t="s">
        <v>53</v>
      </c>
      <c r="K151" s="138" t="str">
        <f t="shared" si="20"/>
        <v>9F</v>
      </c>
      <c r="L151" s="140" t="str">
        <f t="shared" si="19"/>
        <v>EUR9F3Y</v>
      </c>
      <c r="M151" s="140" t="str">
        <v>EUR9F3Y=ICAP</v>
      </c>
      <c r="N151" s="78">
        <v>2.0550000000000002</v>
      </c>
      <c r="O151" s="111"/>
      <c r="P151" s="78">
        <v>2.0550000000000002</v>
      </c>
      <c r="Q151" s="111"/>
      <c r="R151" s="78">
        <v>2.0550000000000002</v>
      </c>
      <c r="S151" s="78" t="e">
        <f ca="1">_xll.qlSimpleQuoteSetValue(E151,R151/100,Trigger)</f>
        <v>#NAME?</v>
      </c>
      <c r="T151" s="130"/>
      <c r="V151" s="161"/>
    </row>
    <row r="152" spans="1:22" x14ac:dyDescent="0.2">
      <c r="A152" s="135"/>
      <c r="B152" s="45" t="str">
        <f t="shared" si="16"/>
        <v>4Y</v>
      </c>
      <c r="C152" s="45" t="str">
        <f t="shared" si="17"/>
        <v>9F</v>
      </c>
      <c r="D152" s="43" t="str">
        <f t="shared" si="18"/>
        <v>EUR9F4Y_Quote</v>
      </c>
      <c r="E152" s="43" t="e">
        <f ca="1">_xll.qlSimpleQuote(D152,,RateTickValue,Permanent,Trigger,ObjectOverwrite)</f>
        <v>#NAME?</v>
      </c>
      <c r="F152" s="42" t="e">
        <f ca="1">_xll.ohRangeRetrieveError(E152)</f>
        <v>#NAME?</v>
      </c>
      <c r="G152" s="36"/>
      <c r="H152" s="162"/>
      <c r="I152" s="113"/>
      <c r="J152" s="138" t="s">
        <v>52</v>
      </c>
      <c r="K152" s="138" t="str">
        <f t="shared" si="20"/>
        <v>9F</v>
      </c>
      <c r="L152" s="140" t="str">
        <f t="shared" si="19"/>
        <v>EUR9F4Y</v>
      </c>
      <c r="M152" s="140" t="str">
        <v>EUR9F4Y=ICAP</v>
      </c>
      <c r="N152" s="78">
        <v>2.0870000000000002</v>
      </c>
      <c r="O152" s="111"/>
      <c r="P152" s="78">
        <v>2.0870000000000002</v>
      </c>
      <c r="Q152" s="111"/>
      <c r="R152" s="78">
        <v>2.0870000000000002</v>
      </c>
      <c r="S152" s="78" t="e">
        <f ca="1">_xll.qlSimpleQuoteSetValue(E152,R152/100,Trigger)</f>
        <v>#NAME?</v>
      </c>
      <c r="T152" s="130"/>
      <c r="V152" s="161"/>
    </row>
    <row r="153" spans="1:22" x14ac:dyDescent="0.2">
      <c r="A153" s="135"/>
      <c r="B153" s="45" t="str">
        <f t="shared" si="16"/>
        <v>5Y</v>
      </c>
      <c r="C153" s="45" t="str">
        <f t="shared" si="17"/>
        <v>9F</v>
      </c>
      <c r="D153" s="43" t="str">
        <f t="shared" si="18"/>
        <v>EUR9F5Y_Quote</v>
      </c>
      <c r="E153" s="43" t="e">
        <f ca="1">_xll.qlSimpleQuote(D153,,RateTickValue,Permanent,Trigger,ObjectOverwrite)</f>
        <v>#NAME?</v>
      </c>
      <c r="F153" s="42" t="e">
        <f ca="1">_xll.ohRangeRetrieveError(E153)</f>
        <v>#NAME?</v>
      </c>
      <c r="G153" s="36"/>
      <c r="H153" s="162"/>
      <c r="I153" s="113"/>
      <c r="J153" s="138" t="s">
        <v>51</v>
      </c>
      <c r="K153" s="138" t="str">
        <f t="shared" si="20"/>
        <v>9F</v>
      </c>
      <c r="L153" s="140" t="str">
        <f t="shared" si="19"/>
        <v>EUR9F5Y</v>
      </c>
      <c r="M153" s="140" t="str">
        <v>EUR9F5Y=ICAP</v>
      </c>
      <c r="N153" s="78">
        <v>2.1070000000000002</v>
      </c>
      <c r="O153" s="111"/>
      <c r="P153" s="78">
        <v>2.1070000000000002</v>
      </c>
      <c r="Q153" s="111"/>
      <c r="R153" s="78">
        <v>2.1070000000000002</v>
      </c>
      <c r="S153" s="78" t="e">
        <f ca="1">_xll.qlSimpleQuoteSetValue(E153,R153/100,Trigger)</f>
        <v>#NAME?</v>
      </c>
      <c r="T153" s="130"/>
      <c r="V153" s="161"/>
    </row>
    <row r="154" spans="1:22" x14ac:dyDescent="0.2">
      <c r="A154" s="135"/>
      <c r="B154" s="45" t="str">
        <f t="shared" si="16"/>
        <v>6Y</v>
      </c>
      <c r="C154" s="45" t="str">
        <f t="shared" si="17"/>
        <v>9F</v>
      </c>
      <c r="D154" s="43" t="str">
        <f t="shared" si="18"/>
        <v>EUR9F6Y_Quote</v>
      </c>
      <c r="E154" s="43" t="e">
        <f ca="1">_xll.qlSimpleQuote(D154,,RateTickValue,Permanent,Trigger,ObjectOverwrite)</f>
        <v>#NAME?</v>
      </c>
      <c r="F154" s="42" t="e">
        <f ca="1">_xll.ohRangeRetrieveError(E154)</f>
        <v>#NAME?</v>
      </c>
      <c r="G154" s="36"/>
      <c r="H154" s="162"/>
      <c r="I154" s="113"/>
      <c r="J154" s="138" t="s">
        <v>50</v>
      </c>
      <c r="K154" s="138" t="str">
        <f t="shared" si="20"/>
        <v>9F</v>
      </c>
      <c r="L154" s="140" t="str">
        <f t="shared" si="19"/>
        <v>EUR9F6Y</v>
      </c>
      <c r="M154" s="140" t="str">
        <v>EUR9F6Y=ICAP</v>
      </c>
      <c r="N154" s="78">
        <v>2.12</v>
      </c>
      <c r="O154" s="111"/>
      <c r="P154" s="78">
        <v>2.12</v>
      </c>
      <c r="Q154" s="111"/>
      <c r="R154" s="78">
        <v>2.12</v>
      </c>
      <c r="S154" s="78" t="e">
        <f ca="1">_xll.qlSimpleQuoteSetValue(E154,R154/100,Trigger)</f>
        <v>#NAME?</v>
      </c>
      <c r="T154" s="130"/>
      <c r="V154" s="161"/>
    </row>
    <row r="155" spans="1:22" x14ac:dyDescent="0.2">
      <c r="A155" s="135"/>
      <c r="B155" s="45" t="str">
        <f t="shared" si="16"/>
        <v>7Y</v>
      </c>
      <c r="C155" s="45" t="str">
        <f t="shared" si="17"/>
        <v>9F</v>
      </c>
      <c r="D155" s="43" t="str">
        <f t="shared" si="18"/>
        <v>EUR9F7Y_Quote</v>
      </c>
      <c r="E155" s="43" t="e">
        <f ca="1">_xll.qlSimpleQuote(D155,,RateTickValue,Permanent,Trigger,ObjectOverwrite)</f>
        <v>#NAME?</v>
      </c>
      <c r="F155" s="42" t="e">
        <f ca="1">_xll.ohRangeRetrieveError(E155)</f>
        <v>#NAME?</v>
      </c>
      <c r="G155" s="36"/>
      <c r="H155" s="162"/>
      <c r="I155" s="113"/>
      <c r="J155" s="138" t="s">
        <v>49</v>
      </c>
      <c r="K155" s="138" t="str">
        <f t="shared" si="20"/>
        <v>9F</v>
      </c>
      <c r="L155" s="140" t="str">
        <f t="shared" si="19"/>
        <v>EUR9F7Y</v>
      </c>
      <c r="M155" s="140" t="str">
        <v>EUR9F7Y=ICAP</v>
      </c>
      <c r="N155" s="78">
        <v>2.1240000000000001</v>
      </c>
      <c r="O155" s="111"/>
      <c r="P155" s="78">
        <v>2.1240000000000001</v>
      </c>
      <c r="Q155" s="111"/>
      <c r="R155" s="78">
        <v>2.1240000000000001</v>
      </c>
      <c r="S155" s="78" t="e">
        <f ca="1">_xll.qlSimpleQuoteSetValue(E155,R155/100,Trigger)</f>
        <v>#NAME?</v>
      </c>
      <c r="T155" s="130"/>
      <c r="V155" s="161"/>
    </row>
    <row r="156" spans="1:22" x14ac:dyDescent="0.2">
      <c r="A156" s="135"/>
      <c r="B156" s="45" t="str">
        <f t="shared" si="16"/>
        <v>8Y</v>
      </c>
      <c r="C156" s="45" t="str">
        <f t="shared" si="17"/>
        <v>9F</v>
      </c>
      <c r="D156" s="43" t="str">
        <f t="shared" si="18"/>
        <v>EUR9F8Y_Quote</v>
      </c>
      <c r="E156" s="43" t="e">
        <f ca="1">_xll.qlSimpleQuote(D156,,RateTickValue,Permanent,Trigger,ObjectOverwrite)</f>
        <v>#NAME?</v>
      </c>
      <c r="F156" s="42" t="e">
        <f ca="1">_xll.ohRangeRetrieveError(E156)</f>
        <v>#NAME?</v>
      </c>
      <c r="G156" s="36"/>
      <c r="H156" s="162"/>
      <c r="I156" s="113"/>
      <c r="J156" s="138" t="s">
        <v>48</v>
      </c>
      <c r="K156" s="138" t="str">
        <f t="shared" si="20"/>
        <v>9F</v>
      </c>
      <c r="L156" s="140" t="str">
        <f t="shared" si="19"/>
        <v>EUR9F8Y</v>
      </c>
      <c r="M156" s="140" t="str">
        <v>EUR9F8Y=ICAP</v>
      </c>
      <c r="N156" s="78">
        <v>2.1259999999999999</v>
      </c>
      <c r="O156" s="111"/>
      <c r="P156" s="78">
        <v>2.1259999999999999</v>
      </c>
      <c r="Q156" s="111"/>
      <c r="R156" s="78">
        <v>2.1259999999999999</v>
      </c>
      <c r="S156" s="78" t="e">
        <f ca="1">_xll.qlSimpleQuoteSetValue(E156,R156/100,Trigger)</f>
        <v>#NAME?</v>
      </c>
      <c r="T156" s="130"/>
      <c r="V156" s="161"/>
    </row>
    <row r="157" spans="1:22" x14ac:dyDescent="0.2">
      <c r="A157" s="135"/>
      <c r="B157" s="45" t="str">
        <f t="shared" si="16"/>
        <v>9Y</v>
      </c>
      <c r="C157" s="45" t="str">
        <f t="shared" si="17"/>
        <v>9F</v>
      </c>
      <c r="D157" s="43" t="str">
        <f t="shared" si="18"/>
        <v>EUR9F9Y_Quote</v>
      </c>
      <c r="E157" s="43" t="e">
        <f ca="1">_xll.qlSimpleQuote(D157,,RateTickValue,Permanent,Trigger,ObjectOverwrite)</f>
        <v>#NAME?</v>
      </c>
      <c r="F157" s="42" t="e">
        <f ca="1">_xll.ohRangeRetrieveError(E157)</f>
        <v>#NAME?</v>
      </c>
      <c r="G157" s="36"/>
      <c r="H157" s="162"/>
      <c r="I157" s="113"/>
      <c r="J157" s="138" t="s">
        <v>47</v>
      </c>
      <c r="K157" s="138" t="str">
        <f t="shared" si="20"/>
        <v>9F</v>
      </c>
      <c r="L157" s="140" t="str">
        <f t="shared" si="19"/>
        <v>EUR9F9Y</v>
      </c>
      <c r="M157" s="140" t="str">
        <v>EUR9F9Y=ICAP</v>
      </c>
      <c r="N157" s="78">
        <v>2.1179999999999999</v>
      </c>
      <c r="O157" s="111"/>
      <c r="P157" s="78">
        <v>2.1179999999999999</v>
      </c>
      <c r="Q157" s="111"/>
      <c r="R157" s="78">
        <v>2.1179999999999999</v>
      </c>
      <c r="S157" s="78" t="e">
        <f ca="1">_xll.qlSimpleQuoteSetValue(E157,R157/100,Trigger)</f>
        <v>#NAME?</v>
      </c>
      <c r="T157" s="130"/>
      <c r="V157" s="161"/>
    </row>
    <row r="158" spans="1:22" x14ac:dyDescent="0.2">
      <c r="A158" s="135"/>
      <c r="B158" s="45" t="str">
        <f t="shared" si="16"/>
        <v>10Y</v>
      </c>
      <c r="C158" s="45" t="str">
        <f t="shared" si="17"/>
        <v>9F</v>
      </c>
      <c r="D158" s="43" t="str">
        <f t="shared" si="18"/>
        <v>EUR9F10Y_Quote</v>
      </c>
      <c r="E158" s="43" t="e">
        <f ca="1">_xll.qlSimpleQuote(D158,,RateTickValue,Permanent,Trigger,ObjectOverwrite)</f>
        <v>#NAME?</v>
      </c>
      <c r="F158" s="42" t="e">
        <f ca="1">_xll.ohRangeRetrieveError(E158)</f>
        <v>#NAME?</v>
      </c>
      <c r="G158" s="36"/>
      <c r="H158" s="162"/>
      <c r="I158" s="113"/>
      <c r="J158" s="138" t="s">
        <v>46</v>
      </c>
      <c r="K158" s="138" t="str">
        <f t="shared" si="20"/>
        <v>9F</v>
      </c>
      <c r="L158" s="140" t="str">
        <f t="shared" si="19"/>
        <v>EUR9F10Y</v>
      </c>
      <c r="M158" s="140" t="str">
        <v>EUR9F10Y=ICAP</v>
      </c>
      <c r="N158" s="78">
        <v>2.105</v>
      </c>
      <c r="O158" s="111"/>
      <c r="P158" s="78">
        <v>2.105</v>
      </c>
      <c r="Q158" s="111"/>
      <c r="R158" s="78">
        <v>2.105</v>
      </c>
      <c r="S158" s="78" t="e">
        <f ca="1">_xll.qlSimpleQuoteSetValue(E158,R158/100,Trigger)</f>
        <v>#NAME?</v>
      </c>
      <c r="T158" s="130"/>
      <c r="V158" s="161"/>
    </row>
    <row r="159" spans="1:22" x14ac:dyDescent="0.2">
      <c r="A159" s="135"/>
      <c r="B159" s="45" t="str">
        <f t="shared" si="16"/>
        <v>11Y</v>
      </c>
      <c r="C159" s="45" t="str">
        <f t="shared" si="17"/>
        <v>9F</v>
      </c>
      <c r="D159" s="43" t="str">
        <f t="shared" si="18"/>
        <v>EUR9F11Y_Quote</v>
      </c>
      <c r="E159" s="43" t="e">
        <f ca="1">_xll.qlSimpleQuote(D159,,RateTickValue,Permanent,Trigger,ObjectOverwrite)</f>
        <v>#NAME?</v>
      </c>
      <c r="F159" s="42" t="e">
        <f ca="1">_xll.ohRangeRetrieveError(E159)</f>
        <v>#NAME?</v>
      </c>
      <c r="G159" s="36"/>
      <c r="H159" s="162"/>
      <c r="I159" s="113"/>
      <c r="J159" s="138" t="s">
        <v>45</v>
      </c>
      <c r="K159" s="138" t="str">
        <f t="shared" si="20"/>
        <v>9F</v>
      </c>
      <c r="L159" s="140" t="str">
        <f t="shared" si="19"/>
        <v>EUR9F11Y</v>
      </c>
      <c r="M159" s="140" t="str">
        <v>EUR9F11Y=ICAP</v>
      </c>
      <c r="N159" s="78">
        <v>2.0880000000000001</v>
      </c>
      <c r="O159" s="111"/>
      <c r="P159" s="78">
        <v>2.0880000000000001</v>
      </c>
      <c r="Q159" s="111"/>
      <c r="R159" s="78">
        <v>2.0880000000000001</v>
      </c>
      <c r="S159" s="78" t="e">
        <f ca="1">_xll.qlSimpleQuoteSetValue(E159,R159/100,Trigger)</f>
        <v>#NAME?</v>
      </c>
      <c r="T159" s="130"/>
      <c r="V159" s="161"/>
    </row>
    <row r="160" spans="1:22" x14ac:dyDescent="0.2">
      <c r="A160" s="135"/>
      <c r="B160" s="45" t="str">
        <f t="shared" si="16"/>
        <v>12Y</v>
      </c>
      <c r="C160" s="45" t="str">
        <f t="shared" si="17"/>
        <v>9F</v>
      </c>
      <c r="D160" s="43" t="str">
        <f t="shared" si="18"/>
        <v>EUR9F12Y_Quote</v>
      </c>
      <c r="E160" s="43" t="e">
        <f ca="1">_xll.qlSimpleQuote(D160,,RateTickValue,Permanent,Trigger,ObjectOverwrite)</f>
        <v>#NAME?</v>
      </c>
      <c r="F160" s="42" t="e">
        <f ca="1">_xll.ohRangeRetrieveError(E160)</f>
        <v>#NAME?</v>
      </c>
      <c r="G160" s="36"/>
      <c r="H160" s="162"/>
      <c r="I160" s="113"/>
      <c r="J160" s="138" t="s">
        <v>44</v>
      </c>
      <c r="K160" s="138" t="str">
        <f t="shared" si="20"/>
        <v>9F</v>
      </c>
      <c r="L160" s="140" t="str">
        <f t="shared" si="19"/>
        <v>EUR9F12Y</v>
      </c>
      <c r="M160" s="140" t="str">
        <v>EUR9F12Y=ICAP</v>
      </c>
      <c r="N160" s="78">
        <v>2.0680000000000001</v>
      </c>
      <c r="O160" s="111"/>
      <c r="P160" s="78">
        <v>2.0680000000000001</v>
      </c>
      <c r="Q160" s="111"/>
      <c r="R160" s="78">
        <v>2.0680000000000001</v>
      </c>
      <c r="S160" s="78" t="e">
        <f ca="1">_xll.qlSimpleQuoteSetValue(E160,R160/100,Trigger)</f>
        <v>#NAME?</v>
      </c>
      <c r="T160" s="130"/>
      <c r="V160" s="161"/>
    </row>
    <row r="161" spans="1:22" x14ac:dyDescent="0.2">
      <c r="A161" s="135"/>
      <c r="B161" s="45" t="str">
        <f t="shared" si="16"/>
        <v>13Y</v>
      </c>
      <c r="C161" s="45" t="str">
        <f t="shared" si="17"/>
        <v>9F</v>
      </c>
      <c r="D161" s="43" t="str">
        <f t="shared" si="18"/>
        <v>EUR9F13Y_Quote</v>
      </c>
      <c r="E161" s="43" t="e">
        <f ca="1">_xll.qlSimpleQuote(D161,,RateTickValue,Permanent,Trigger,ObjectOverwrite)</f>
        <v>#NAME?</v>
      </c>
      <c r="F161" s="42" t="e">
        <f ca="1">_xll.ohRangeRetrieveError(E161)</f>
        <v>#NAME?</v>
      </c>
      <c r="G161" s="36"/>
      <c r="H161" s="162"/>
      <c r="I161" s="113"/>
      <c r="J161" s="138" t="s">
        <v>43</v>
      </c>
      <c r="K161" s="138" t="str">
        <f t="shared" si="20"/>
        <v>9F</v>
      </c>
      <c r="L161" s="140" t="str">
        <f t="shared" si="19"/>
        <v>EUR9F13Y</v>
      </c>
      <c r="M161" s="140" t="str">
        <v>EUR9F13Y=ICAP</v>
      </c>
      <c r="N161" s="78">
        <v>2.0470000000000002</v>
      </c>
      <c r="O161" s="111"/>
      <c r="P161" s="78">
        <v>2.0470000000000002</v>
      </c>
      <c r="Q161" s="111"/>
      <c r="R161" s="78">
        <v>2.0470000000000002</v>
      </c>
      <c r="S161" s="78" t="e">
        <f ca="1">_xll.qlSimpleQuoteSetValue(E161,R161/100,Trigger)</f>
        <v>#NAME?</v>
      </c>
      <c r="T161" s="130"/>
      <c r="V161" s="161"/>
    </row>
    <row r="162" spans="1:22" x14ac:dyDescent="0.2">
      <c r="A162" s="135"/>
      <c r="B162" s="45" t="str">
        <f t="shared" si="16"/>
        <v>14Y</v>
      </c>
      <c r="C162" s="45" t="str">
        <f t="shared" si="17"/>
        <v>9F</v>
      </c>
      <c r="D162" s="43" t="str">
        <f t="shared" si="18"/>
        <v>EUR9F14Y_Quote</v>
      </c>
      <c r="E162" s="43" t="e">
        <f ca="1">_xll.qlSimpleQuote(D162,,RateTickValue,Permanent,Trigger,ObjectOverwrite)</f>
        <v>#NAME?</v>
      </c>
      <c r="F162" s="42" t="e">
        <f ca="1">_xll.ohRangeRetrieveError(E162)</f>
        <v>#NAME?</v>
      </c>
      <c r="G162" s="36"/>
      <c r="H162" s="162"/>
      <c r="I162" s="113"/>
      <c r="J162" s="138" t="s">
        <v>42</v>
      </c>
      <c r="K162" s="138" t="str">
        <f t="shared" si="20"/>
        <v>9F</v>
      </c>
      <c r="L162" s="140" t="str">
        <f t="shared" si="19"/>
        <v>EUR9F14Y</v>
      </c>
      <c r="M162" s="140" t="str">
        <v>EUR9F14Y=ICAP</v>
      </c>
      <c r="N162" s="78">
        <v>2.0219999999999998</v>
      </c>
      <c r="O162" s="111"/>
      <c r="P162" s="78">
        <v>2.0219999999999998</v>
      </c>
      <c r="Q162" s="111"/>
      <c r="R162" s="78">
        <v>2.0219999999999998</v>
      </c>
      <c r="S162" s="78" t="e">
        <f ca="1">_xll.qlSimpleQuoteSetValue(E162,R162/100,Trigger)</f>
        <v>#NAME?</v>
      </c>
      <c r="T162" s="130"/>
      <c r="V162" s="161"/>
    </row>
    <row r="163" spans="1:22" x14ac:dyDescent="0.2">
      <c r="A163" s="135"/>
      <c r="B163" s="45" t="str">
        <f t="shared" si="16"/>
        <v>15Y</v>
      </c>
      <c r="C163" s="45" t="str">
        <f t="shared" si="17"/>
        <v>9F</v>
      </c>
      <c r="D163" s="43" t="str">
        <f t="shared" si="18"/>
        <v>EUR9F15Y_Quote</v>
      </c>
      <c r="E163" s="43" t="e">
        <f ca="1">_xll.qlSimpleQuote(D163,,RateTickValue,Permanent,Trigger,ObjectOverwrite)</f>
        <v>#NAME?</v>
      </c>
      <c r="F163" s="42" t="e">
        <f ca="1">_xll.ohRangeRetrieveError(E163)</f>
        <v>#NAME?</v>
      </c>
      <c r="G163" s="36"/>
      <c r="H163" s="162"/>
      <c r="I163" s="113"/>
      <c r="J163" s="138" t="s">
        <v>41</v>
      </c>
      <c r="K163" s="138" t="str">
        <f t="shared" si="20"/>
        <v>9F</v>
      </c>
      <c r="L163" s="140" t="str">
        <f t="shared" si="19"/>
        <v>EUR9F15Y</v>
      </c>
      <c r="M163" s="140" t="str">
        <v>EUR9F15Y=ICAP</v>
      </c>
      <c r="N163" s="78">
        <v>1.9990000000000001</v>
      </c>
      <c r="O163" s="111"/>
      <c r="P163" s="78">
        <v>1.9990000000000001</v>
      </c>
      <c r="Q163" s="111"/>
      <c r="R163" s="78">
        <v>1.9990000000000001</v>
      </c>
      <c r="S163" s="78" t="e">
        <f ca="1">_xll.qlSimpleQuoteSetValue(E163,R163/100,Trigger)</f>
        <v>#NAME?</v>
      </c>
      <c r="T163" s="130"/>
      <c r="V163" s="161"/>
    </row>
    <row r="164" spans="1:22" x14ac:dyDescent="0.2">
      <c r="A164" s="135"/>
      <c r="B164" s="45" t="str">
        <f t="shared" si="16"/>
        <v>20Y</v>
      </c>
      <c r="C164" s="45" t="str">
        <f t="shared" si="17"/>
        <v>9F</v>
      </c>
      <c r="D164" s="43" t="str">
        <f t="shared" si="18"/>
        <v>EUR9F20Y_Quote</v>
      </c>
      <c r="E164" s="43" t="e">
        <f ca="1">_xll.qlSimpleQuote(D164,,RateTickValue,Permanent,Trigger,ObjectOverwrite)</f>
        <v>#NAME?</v>
      </c>
      <c r="F164" s="42" t="e">
        <f ca="1">_xll.ohRangeRetrieveError(E164)</f>
        <v>#NAME?</v>
      </c>
      <c r="G164" s="36"/>
      <c r="H164" s="162"/>
      <c r="I164" s="113"/>
      <c r="J164" s="138" t="s">
        <v>36</v>
      </c>
      <c r="K164" s="138" t="str">
        <f t="shared" si="20"/>
        <v>9F</v>
      </c>
      <c r="L164" s="140" t="str">
        <f t="shared" si="19"/>
        <v>EUR9F20Y</v>
      </c>
      <c r="M164" s="140" t="str">
        <v>EUR9F20Y=ICAP</v>
      </c>
      <c r="N164" s="78">
        <v>1.9019999999999999</v>
      </c>
      <c r="O164" s="111"/>
      <c r="P164" s="78">
        <v>1.9019999999999999</v>
      </c>
      <c r="Q164" s="111"/>
      <c r="R164" s="78">
        <v>1.9019999999999999</v>
      </c>
      <c r="S164" s="78" t="e">
        <f ca="1">_xll.qlSimpleQuoteSetValue(E164,R164/100,Trigger)</f>
        <v>#NAME?</v>
      </c>
      <c r="T164" s="130"/>
      <c r="V164" s="161"/>
    </row>
    <row r="165" spans="1:22" x14ac:dyDescent="0.2">
      <c r="A165" s="135"/>
      <c r="B165" s="45" t="str">
        <f t="shared" si="16"/>
        <v>25Y</v>
      </c>
      <c r="C165" s="45" t="str">
        <f t="shared" si="17"/>
        <v>9F</v>
      </c>
      <c r="D165" s="43" t="str">
        <f t="shared" si="18"/>
        <v>EUR9F25Y_Quote</v>
      </c>
      <c r="E165" s="43" t="e">
        <f ca="1">_xll.qlSimpleQuote(D165,,RateTickValue,Permanent,Trigger,ObjectOverwrite)</f>
        <v>#NAME?</v>
      </c>
      <c r="F165" s="42" t="e">
        <f ca="1">_xll.ohRangeRetrieveError(E165)</f>
        <v>#NAME?</v>
      </c>
      <c r="G165" s="36"/>
      <c r="H165" s="162"/>
      <c r="I165" s="113"/>
      <c r="J165" s="138" t="s">
        <v>31</v>
      </c>
      <c r="K165" s="138" t="str">
        <f t="shared" si="20"/>
        <v>9F</v>
      </c>
      <c r="L165" s="140" t="str">
        <f t="shared" si="19"/>
        <v>EUR9F25Y</v>
      </c>
      <c r="M165" s="140" t="str">
        <v>EUR9F25Y=ICAP</v>
      </c>
      <c r="N165" s="78">
        <v>1.8480000000000001</v>
      </c>
      <c r="O165" s="111"/>
      <c r="P165" s="78">
        <v>1.8480000000000001</v>
      </c>
      <c r="Q165" s="111"/>
      <c r="R165" s="78">
        <v>1.8480000000000001</v>
      </c>
      <c r="S165" s="78" t="e">
        <f ca="1">_xll.qlSimpleQuoteSetValue(E165,R165/100,Trigger)</f>
        <v>#NAME?</v>
      </c>
      <c r="T165" s="130"/>
      <c r="V165" s="161"/>
    </row>
    <row r="166" spans="1:22" x14ac:dyDescent="0.2">
      <c r="A166" s="135"/>
      <c r="B166" s="45" t="str">
        <f t="shared" si="16"/>
        <v>30Y</v>
      </c>
      <c r="C166" s="45" t="str">
        <f t="shared" si="17"/>
        <v>9F</v>
      </c>
      <c r="D166" s="43" t="str">
        <f t="shared" si="18"/>
        <v>EUR9F30Y_Quote</v>
      </c>
      <c r="E166" s="43" t="e">
        <f ca="1">_xll.qlSimpleQuote(D166,,RateTickValue,Permanent,Trigger,ObjectOverwrite)</f>
        <v>#NAME?</v>
      </c>
      <c r="F166" s="42" t="e">
        <f ca="1">_xll.ohRangeRetrieveError(E166)</f>
        <v>#NAME?</v>
      </c>
      <c r="G166" s="36"/>
      <c r="H166" s="162"/>
      <c r="I166" s="113"/>
      <c r="J166" s="131" t="s">
        <v>26</v>
      </c>
      <c r="K166" s="131" t="str">
        <f t="shared" si="20"/>
        <v>9F</v>
      </c>
      <c r="L166" s="133" t="str">
        <f t="shared" si="19"/>
        <v>EUR9F30Y</v>
      </c>
      <c r="M166" s="133" t="str">
        <v>EUR9F30Y=ICAP</v>
      </c>
      <c r="N166" s="65">
        <v>1.8039999999999998</v>
      </c>
      <c r="O166" s="111"/>
      <c r="P166" s="65">
        <v>1.8039999999999998</v>
      </c>
      <c r="Q166" s="111"/>
      <c r="R166" s="65">
        <v>1.8039999999999998</v>
      </c>
      <c r="S166" s="65" t="e">
        <f ca="1">_xll.qlSimpleQuoteSetValue(E166,R166/100,Trigger)</f>
        <v>#NAME?</v>
      </c>
      <c r="T166" s="130"/>
      <c r="V166" s="161"/>
    </row>
    <row r="167" spans="1:22" x14ac:dyDescent="0.2">
      <c r="A167" s="135"/>
      <c r="B167" s="45" t="str">
        <f t="shared" si="16"/>
        <v>1Y</v>
      </c>
      <c r="C167" s="45" t="str">
        <f t="shared" si="17"/>
        <v>10F</v>
      </c>
      <c r="D167" s="43" t="str">
        <f t="shared" si="18"/>
        <v>EUR10F1Y_Quote</v>
      </c>
      <c r="E167" s="43" t="e">
        <f ca="1">_xll.qlSimpleQuote(D167,,RateTickValue,Permanent,Trigger,ObjectOverwrite)</f>
        <v>#NAME?</v>
      </c>
      <c r="F167" s="42" t="e">
        <f ca="1">_xll.ohRangeRetrieveError(E167)</f>
        <v>#NAME?</v>
      </c>
      <c r="G167" s="36"/>
      <c r="H167" s="162"/>
      <c r="I167" s="135">
        <v>10</v>
      </c>
      <c r="J167" s="164" t="s">
        <v>58</v>
      </c>
      <c r="K167" s="164" t="str">
        <f t="shared" ref="K167:K184" si="21">$I$167&amp;"F"</f>
        <v>10F</v>
      </c>
      <c r="L167" s="163" t="str">
        <f t="shared" si="19"/>
        <v>EUR10F1Y</v>
      </c>
      <c r="M167" s="163" t="str">
        <v>EUR10F1Y=ICAP</v>
      </c>
      <c r="N167" s="89">
        <v>2.0680000000000001</v>
      </c>
      <c r="O167" s="111"/>
      <c r="P167" s="89">
        <v>2.0680000000000001</v>
      </c>
      <c r="Q167" s="111"/>
      <c r="R167" s="89">
        <v>2.0680000000000001</v>
      </c>
      <c r="S167" s="89" t="e">
        <f ca="1">_xll.qlSimpleQuoteSetValue(E167,R167/100,Trigger)</f>
        <v>#NAME?</v>
      </c>
      <c r="T167" s="130"/>
      <c r="V167" s="161"/>
    </row>
    <row r="168" spans="1:22" x14ac:dyDescent="0.2">
      <c r="A168" s="135"/>
      <c r="B168" s="45" t="str">
        <f t="shared" si="16"/>
        <v>2Y</v>
      </c>
      <c r="C168" s="45" t="str">
        <f t="shared" si="17"/>
        <v>10F</v>
      </c>
      <c r="D168" s="43" t="str">
        <f t="shared" si="18"/>
        <v>EUR10F2Y_Quote</v>
      </c>
      <c r="E168" s="43" t="e">
        <f ca="1">_xll.qlSimpleQuote(D168,,RateTickValue,Permanent,Trigger,ObjectOverwrite)</f>
        <v>#NAME?</v>
      </c>
      <c r="F168" s="42" t="e">
        <f ca="1">_xll.ohRangeRetrieveError(E168)</f>
        <v>#NAME?</v>
      </c>
      <c r="G168" s="36"/>
      <c r="H168" s="162"/>
      <c r="I168" s="113"/>
      <c r="J168" s="138" t="s">
        <v>54</v>
      </c>
      <c r="K168" s="138" t="str">
        <f t="shared" si="21"/>
        <v>10F</v>
      </c>
      <c r="L168" s="140" t="str">
        <f t="shared" si="19"/>
        <v>EUR10F2Y</v>
      </c>
      <c r="M168" s="140" t="str">
        <v>EUR10F2Y=ICAP</v>
      </c>
      <c r="N168" s="78">
        <v>2.105</v>
      </c>
      <c r="O168" s="111"/>
      <c r="P168" s="78">
        <v>2.105</v>
      </c>
      <c r="Q168" s="111"/>
      <c r="R168" s="78">
        <v>2.105</v>
      </c>
      <c r="S168" s="78" t="e">
        <f ca="1">_xll.qlSimpleQuoteSetValue(E168,R168/100,Trigger)</f>
        <v>#NAME?</v>
      </c>
      <c r="T168" s="130"/>
      <c r="V168" s="161"/>
    </row>
    <row r="169" spans="1:22" x14ac:dyDescent="0.2">
      <c r="A169" s="135"/>
      <c r="B169" s="45" t="str">
        <f t="shared" si="16"/>
        <v>3Y</v>
      </c>
      <c r="C169" s="45" t="str">
        <f t="shared" si="17"/>
        <v>10F</v>
      </c>
      <c r="D169" s="43" t="str">
        <f t="shared" si="18"/>
        <v>EUR10F3Y_Quote</v>
      </c>
      <c r="E169" s="43" t="e">
        <f ca="1">_xll.qlSimpleQuote(D169,,RateTickValue,Permanent,Trigger,ObjectOverwrite)</f>
        <v>#NAME?</v>
      </c>
      <c r="F169" s="42" t="e">
        <f ca="1">_xll.ohRangeRetrieveError(E169)</f>
        <v>#NAME?</v>
      </c>
      <c r="G169" s="36"/>
      <c r="H169" s="162"/>
      <c r="I169" s="113"/>
      <c r="J169" s="138" t="s">
        <v>53</v>
      </c>
      <c r="K169" s="138" t="str">
        <f t="shared" si="21"/>
        <v>10F</v>
      </c>
      <c r="L169" s="140" t="str">
        <f t="shared" si="19"/>
        <v>EUR10F3Y</v>
      </c>
      <c r="M169" s="140" t="str">
        <v>EUR10F3Y=ICAP</v>
      </c>
      <c r="N169" s="78">
        <v>2.1320000000000001</v>
      </c>
      <c r="O169" s="111"/>
      <c r="P169" s="78">
        <v>2.1320000000000001</v>
      </c>
      <c r="Q169" s="111"/>
      <c r="R169" s="78">
        <v>2.1320000000000001</v>
      </c>
      <c r="S169" s="78" t="e">
        <f ca="1">_xll.qlSimpleQuoteSetValue(E169,R169/100,Trigger)</f>
        <v>#NAME?</v>
      </c>
      <c r="T169" s="130"/>
      <c r="V169" s="161"/>
    </row>
    <row r="170" spans="1:22" x14ac:dyDescent="0.2">
      <c r="A170" s="135"/>
      <c r="B170" s="45" t="str">
        <f t="shared" si="16"/>
        <v>4Y</v>
      </c>
      <c r="C170" s="45" t="str">
        <f t="shared" si="17"/>
        <v>10F</v>
      </c>
      <c r="D170" s="43" t="str">
        <f t="shared" si="18"/>
        <v>EUR10F4Y_Quote</v>
      </c>
      <c r="E170" s="43" t="e">
        <f ca="1">_xll.qlSimpleQuote(D170,,RateTickValue,Permanent,Trigger,ObjectOverwrite)</f>
        <v>#NAME?</v>
      </c>
      <c r="F170" s="42" t="e">
        <f ca="1">_xll.ohRangeRetrieveError(E170)</f>
        <v>#NAME?</v>
      </c>
      <c r="G170" s="36"/>
      <c r="H170" s="162"/>
      <c r="I170" s="113"/>
      <c r="J170" s="138" t="s">
        <v>52</v>
      </c>
      <c r="K170" s="138" t="str">
        <f t="shared" si="21"/>
        <v>10F</v>
      </c>
      <c r="L170" s="140" t="str">
        <f t="shared" si="19"/>
        <v>EUR10F4Y</v>
      </c>
      <c r="M170" s="140" t="str">
        <v>EUR10F4Y=ICAP</v>
      </c>
      <c r="N170" s="78">
        <v>2.1469999999999998</v>
      </c>
      <c r="O170" s="111"/>
      <c r="P170" s="78">
        <v>2.1469999999999998</v>
      </c>
      <c r="Q170" s="111"/>
      <c r="R170" s="78">
        <v>2.1469999999999998</v>
      </c>
      <c r="S170" s="78" t="e">
        <f ca="1">_xll.qlSimpleQuoteSetValue(E170,R170/100,Trigger)</f>
        <v>#NAME?</v>
      </c>
      <c r="T170" s="130"/>
      <c r="V170" s="161"/>
    </row>
    <row r="171" spans="1:22" x14ac:dyDescent="0.2">
      <c r="A171" s="135"/>
      <c r="B171" s="45" t="str">
        <f t="shared" si="16"/>
        <v>5Y</v>
      </c>
      <c r="C171" s="45" t="str">
        <f t="shared" si="17"/>
        <v>10F</v>
      </c>
      <c r="D171" s="43" t="str">
        <f t="shared" si="18"/>
        <v>EUR10F5Y_Quote</v>
      </c>
      <c r="E171" s="43" t="e">
        <f ca="1">_xll.qlSimpleQuote(D171,,RateTickValue,Permanent,Trigger,ObjectOverwrite)</f>
        <v>#NAME?</v>
      </c>
      <c r="F171" s="42" t="e">
        <f ca="1">_xll.ohRangeRetrieveError(E171)</f>
        <v>#NAME?</v>
      </c>
      <c r="G171" s="36"/>
      <c r="H171" s="162"/>
      <c r="I171" s="113"/>
      <c r="J171" s="138" t="s">
        <v>51</v>
      </c>
      <c r="K171" s="138" t="str">
        <f t="shared" si="21"/>
        <v>10F</v>
      </c>
      <c r="L171" s="140" t="str">
        <f t="shared" si="19"/>
        <v>EUR10F5Y</v>
      </c>
      <c r="M171" s="140" t="str">
        <v>EUR10F5Y=ICAP</v>
      </c>
      <c r="N171" s="78">
        <v>2.1549999999999998</v>
      </c>
      <c r="O171" s="111"/>
      <c r="P171" s="78">
        <v>2.1549999999999998</v>
      </c>
      <c r="Q171" s="111"/>
      <c r="R171" s="78">
        <v>2.1549999999999998</v>
      </c>
      <c r="S171" s="78" t="e">
        <f ca="1">_xll.qlSimpleQuoteSetValue(E171,R171/100,Trigger)</f>
        <v>#NAME?</v>
      </c>
      <c r="T171" s="130"/>
      <c r="V171" s="161"/>
    </row>
    <row r="172" spans="1:22" x14ac:dyDescent="0.2">
      <c r="A172" s="135"/>
      <c r="B172" s="45" t="str">
        <f t="shared" si="16"/>
        <v>6Y</v>
      </c>
      <c r="C172" s="45" t="str">
        <f t="shared" si="17"/>
        <v>10F</v>
      </c>
      <c r="D172" s="43" t="str">
        <f t="shared" si="18"/>
        <v>EUR10F6Y_Quote</v>
      </c>
      <c r="E172" s="43" t="e">
        <f ca="1">_xll.qlSimpleQuote(D172,,RateTickValue,Permanent,Trigger,ObjectOverwrite)</f>
        <v>#NAME?</v>
      </c>
      <c r="F172" s="42" t="e">
        <f ca="1">_xll.ohRangeRetrieveError(E172)</f>
        <v>#NAME?</v>
      </c>
      <c r="G172" s="36"/>
      <c r="H172" s="162"/>
      <c r="I172" s="113"/>
      <c r="J172" s="138" t="s">
        <v>50</v>
      </c>
      <c r="K172" s="138" t="str">
        <f t="shared" si="21"/>
        <v>10F</v>
      </c>
      <c r="L172" s="140" t="str">
        <f t="shared" si="19"/>
        <v>EUR10F6Y</v>
      </c>
      <c r="M172" s="140" t="str">
        <v>EUR10F6Y=ICAP</v>
      </c>
      <c r="N172" s="78">
        <v>2.1539999999999999</v>
      </c>
      <c r="O172" s="111"/>
      <c r="P172" s="78">
        <v>2.1539999999999999</v>
      </c>
      <c r="Q172" s="111"/>
      <c r="R172" s="78">
        <v>2.1539999999999999</v>
      </c>
      <c r="S172" s="78" t="e">
        <f ca="1">_xll.qlSimpleQuoteSetValue(E172,R172/100,Trigger)</f>
        <v>#NAME?</v>
      </c>
      <c r="T172" s="130"/>
      <c r="V172" s="161"/>
    </row>
    <row r="173" spans="1:22" x14ac:dyDescent="0.2">
      <c r="A173" s="135"/>
      <c r="B173" s="45" t="str">
        <f t="shared" si="16"/>
        <v>7Y</v>
      </c>
      <c r="C173" s="45" t="str">
        <f t="shared" si="17"/>
        <v>10F</v>
      </c>
      <c r="D173" s="43" t="str">
        <f t="shared" si="18"/>
        <v>EUR10F7Y_Quote</v>
      </c>
      <c r="E173" s="43" t="e">
        <f ca="1">_xll.qlSimpleQuote(D173,,RateTickValue,Permanent,Trigger,ObjectOverwrite)</f>
        <v>#NAME?</v>
      </c>
      <c r="F173" s="42" t="e">
        <f ca="1">_xll.ohRangeRetrieveError(E173)</f>
        <v>#NAME?</v>
      </c>
      <c r="G173" s="36"/>
      <c r="H173" s="162"/>
      <c r="I173" s="113"/>
      <c r="J173" s="138" t="s">
        <v>49</v>
      </c>
      <c r="K173" s="138" t="str">
        <f t="shared" si="21"/>
        <v>10F</v>
      </c>
      <c r="L173" s="140" t="str">
        <f t="shared" si="19"/>
        <v>EUR10F7Y</v>
      </c>
      <c r="M173" s="140" t="str">
        <v>EUR10F7Y=ICAP</v>
      </c>
      <c r="N173" s="78">
        <v>2.1520000000000001</v>
      </c>
      <c r="O173" s="111"/>
      <c r="P173" s="78">
        <v>2.1520000000000001</v>
      </c>
      <c r="Q173" s="111"/>
      <c r="R173" s="78">
        <v>2.1520000000000001</v>
      </c>
      <c r="S173" s="78" t="e">
        <f ca="1">_xll.qlSimpleQuoteSetValue(E173,R173/100,Trigger)</f>
        <v>#NAME?</v>
      </c>
      <c r="T173" s="130"/>
      <c r="V173" s="161"/>
    </row>
    <row r="174" spans="1:22" x14ac:dyDescent="0.2">
      <c r="A174" s="135"/>
      <c r="B174" s="45" t="str">
        <f t="shared" si="16"/>
        <v>8Y</v>
      </c>
      <c r="C174" s="45" t="str">
        <f t="shared" si="17"/>
        <v>10F</v>
      </c>
      <c r="D174" s="43" t="str">
        <f t="shared" si="18"/>
        <v>EUR10F8Y_Quote</v>
      </c>
      <c r="E174" s="43" t="e">
        <f ca="1">_xll.qlSimpleQuote(D174,,RateTickValue,Permanent,Trigger,ObjectOverwrite)</f>
        <v>#NAME?</v>
      </c>
      <c r="F174" s="42" t="e">
        <f ca="1">_xll.ohRangeRetrieveError(E174)</f>
        <v>#NAME?</v>
      </c>
      <c r="G174" s="36"/>
      <c r="H174" s="162"/>
      <c r="I174" s="113"/>
      <c r="J174" s="138" t="s">
        <v>48</v>
      </c>
      <c r="K174" s="138" t="str">
        <f t="shared" si="21"/>
        <v>10F</v>
      </c>
      <c r="L174" s="140" t="str">
        <f t="shared" si="19"/>
        <v>EUR10F8Y</v>
      </c>
      <c r="M174" s="140" t="str">
        <v>EUR10F8Y=ICAP</v>
      </c>
      <c r="N174" s="78">
        <v>2.14</v>
      </c>
      <c r="O174" s="111"/>
      <c r="P174" s="78">
        <v>2.14</v>
      </c>
      <c r="Q174" s="111"/>
      <c r="R174" s="78">
        <v>2.14</v>
      </c>
      <c r="S174" s="78" t="e">
        <f ca="1">_xll.qlSimpleQuoteSetValue(E174,R174/100,Trigger)</f>
        <v>#NAME?</v>
      </c>
      <c r="T174" s="130"/>
      <c r="V174" s="161"/>
    </row>
    <row r="175" spans="1:22" x14ac:dyDescent="0.2">
      <c r="A175" s="135"/>
      <c r="B175" s="45" t="str">
        <f t="shared" si="16"/>
        <v>9Y</v>
      </c>
      <c r="C175" s="45" t="str">
        <f t="shared" si="17"/>
        <v>10F</v>
      </c>
      <c r="D175" s="43" t="str">
        <f t="shared" si="18"/>
        <v>EUR10F9Y_Quote</v>
      </c>
      <c r="E175" s="43" t="e">
        <f ca="1">_xll.qlSimpleQuote(D175,,RateTickValue,Permanent,Trigger,ObjectOverwrite)</f>
        <v>#NAME?</v>
      </c>
      <c r="F175" s="42" t="e">
        <f ca="1">_xll.ohRangeRetrieveError(E175)</f>
        <v>#NAME?</v>
      </c>
      <c r="G175" s="36"/>
      <c r="H175" s="162"/>
      <c r="I175" s="113"/>
      <c r="J175" s="138" t="s">
        <v>47</v>
      </c>
      <c r="K175" s="138" t="str">
        <f t="shared" si="21"/>
        <v>10F</v>
      </c>
      <c r="L175" s="140" t="str">
        <f t="shared" si="19"/>
        <v>EUR10F9Y</v>
      </c>
      <c r="M175" s="140" t="str">
        <v>EUR10F9Y=ICAP</v>
      </c>
      <c r="N175" s="78">
        <v>2.1240000000000001</v>
      </c>
      <c r="O175" s="111"/>
      <c r="P175" s="78">
        <v>2.1240000000000001</v>
      </c>
      <c r="Q175" s="111"/>
      <c r="R175" s="78">
        <v>2.1240000000000001</v>
      </c>
      <c r="S175" s="78" t="e">
        <f ca="1">_xll.qlSimpleQuoteSetValue(E175,R175/100,Trigger)</f>
        <v>#NAME?</v>
      </c>
      <c r="T175" s="130"/>
      <c r="V175" s="161"/>
    </row>
    <row r="176" spans="1:22" x14ac:dyDescent="0.2">
      <c r="A176" s="135"/>
      <c r="B176" s="45" t="str">
        <f t="shared" si="16"/>
        <v>10Y</v>
      </c>
      <c r="C176" s="45" t="str">
        <f t="shared" si="17"/>
        <v>10F</v>
      </c>
      <c r="D176" s="43" t="str">
        <f t="shared" si="18"/>
        <v>EUR10F10Y_Quote</v>
      </c>
      <c r="E176" s="43" t="e">
        <f ca="1">_xll.qlSimpleQuote(D176,,RateTickValue,Permanent,Trigger,ObjectOverwrite)</f>
        <v>#NAME?</v>
      </c>
      <c r="F176" s="42" t="e">
        <f ca="1">_xll.ohRangeRetrieveError(E176)</f>
        <v>#NAME?</v>
      </c>
      <c r="G176" s="36"/>
      <c r="H176" s="162"/>
      <c r="I176" s="113"/>
      <c r="J176" s="138" t="s">
        <v>46</v>
      </c>
      <c r="K176" s="138" t="str">
        <f t="shared" si="21"/>
        <v>10F</v>
      </c>
      <c r="L176" s="140" t="str">
        <f t="shared" si="19"/>
        <v>EUR10F10Y</v>
      </c>
      <c r="M176" s="140" t="str">
        <v>EUR10F10Y=ICAP</v>
      </c>
      <c r="N176" s="78">
        <v>2.1030000000000002</v>
      </c>
      <c r="O176" s="111"/>
      <c r="P176" s="78">
        <v>2.1030000000000002</v>
      </c>
      <c r="Q176" s="111"/>
      <c r="R176" s="78">
        <v>2.1030000000000002</v>
      </c>
      <c r="S176" s="78" t="e">
        <f ca="1">_xll.qlSimpleQuoteSetValue(E176,R176/100,Trigger)</f>
        <v>#NAME?</v>
      </c>
      <c r="T176" s="130"/>
      <c r="V176" s="161"/>
    </row>
    <row r="177" spans="1:22" x14ac:dyDescent="0.2">
      <c r="A177" s="135"/>
      <c r="B177" s="45" t="str">
        <f t="shared" si="16"/>
        <v>11Y</v>
      </c>
      <c r="C177" s="45" t="str">
        <f t="shared" si="17"/>
        <v>10F</v>
      </c>
      <c r="D177" s="43" t="str">
        <f t="shared" si="18"/>
        <v>EUR10F11Y_Quote</v>
      </c>
      <c r="E177" s="43" t="e">
        <f ca="1">_xll.qlSimpleQuote(D177,,RateTickValue,Permanent,Trigger,ObjectOverwrite)</f>
        <v>#NAME?</v>
      </c>
      <c r="F177" s="42" t="e">
        <f ca="1">_xll.ohRangeRetrieveError(E177)</f>
        <v>#NAME?</v>
      </c>
      <c r="G177" s="36"/>
      <c r="H177" s="162"/>
      <c r="I177" s="113"/>
      <c r="J177" s="138" t="s">
        <v>45</v>
      </c>
      <c r="K177" s="138" t="str">
        <f t="shared" si="21"/>
        <v>10F</v>
      </c>
      <c r="L177" s="140" t="str">
        <f t="shared" si="19"/>
        <v>EUR10F11Y</v>
      </c>
      <c r="M177" s="140" t="str">
        <v>EUR10F11Y=ICAP</v>
      </c>
      <c r="N177" s="78">
        <v>2.0790000000000002</v>
      </c>
      <c r="O177" s="111"/>
      <c r="P177" s="78">
        <v>2.0790000000000002</v>
      </c>
      <c r="Q177" s="111"/>
      <c r="R177" s="78">
        <v>2.0790000000000002</v>
      </c>
      <c r="S177" s="78" t="e">
        <f ca="1">_xll.qlSimpleQuoteSetValue(E177,R177/100,Trigger)</f>
        <v>#NAME?</v>
      </c>
      <c r="T177" s="130"/>
      <c r="V177" s="161"/>
    </row>
    <row r="178" spans="1:22" x14ac:dyDescent="0.2">
      <c r="A178" s="135"/>
      <c r="B178" s="45" t="str">
        <f t="shared" si="16"/>
        <v>12Y</v>
      </c>
      <c r="C178" s="45" t="str">
        <f t="shared" si="17"/>
        <v>10F</v>
      </c>
      <c r="D178" s="43" t="str">
        <f t="shared" si="18"/>
        <v>EUR10F12Y_Quote</v>
      </c>
      <c r="E178" s="43" t="e">
        <f ca="1">_xll.qlSimpleQuote(D178,,RateTickValue,Permanent,Trigger,ObjectOverwrite)</f>
        <v>#NAME?</v>
      </c>
      <c r="F178" s="42" t="e">
        <f ca="1">_xll.ohRangeRetrieveError(E178)</f>
        <v>#NAME?</v>
      </c>
      <c r="G178" s="36"/>
      <c r="H178" s="162"/>
      <c r="I178" s="113"/>
      <c r="J178" s="138" t="s">
        <v>44</v>
      </c>
      <c r="K178" s="138" t="str">
        <f t="shared" si="21"/>
        <v>10F</v>
      </c>
      <c r="L178" s="140" t="str">
        <f t="shared" si="19"/>
        <v>EUR10F12Y</v>
      </c>
      <c r="M178" s="140" t="str">
        <v>EUR10F12Y=ICAP</v>
      </c>
      <c r="N178" s="78">
        <v>2.056</v>
      </c>
      <c r="O178" s="111"/>
      <c r="P178" s="78">
        <v>2.056</v>
      </c>
      <c r="Q178" s="111"/>
      <c r="R178" s="78">
        <v>2.056</v>
      </c>
      <c r="S178" s="78" t="e">
        <f ca="1">_xll.qlSimpleQuoteSetValue(E178,R178/100,Trigger)</f>
        <v>#NAME?</v>
      </c>
      <c r="T178" s="130"/>
      <c r="V178" s="161"/>
    </row>
    <row r="179" spans="1:22" x14ac:dyDescent="0.2">
      <c r="A179" s="135"/>
      <c r="B179" s="45" t="str">
        <f t="shared" si="16"/>
        <v>13Y</v>
      </c>
      <c r="C179" s="45" t="str">
        <f t="shared" si="17"/>
        <v>10F</v>
      </c>
      <c r="D179" s="43" t="str">
        <f t="shared" si="18"/>
        <v>EUR10F13Y_Quote</v>
      </c>
      <c r="E179" s="43" t="e">
        <f ca="1">_xll.qlSimpleQuote(D179,,RateTickValue,Permanent,Trigger,ObjectOverwrite)</f>
        <v>#NAME?</v>
      </c>
      <c r="F179" s="42" t="e">
        <f ca="1">_xll.ohRangeRetrieveError(E179)</f>
        <v>#NAME?</v>
      </c>
      <c r="G179" s="36"/>
      <c r="H179" s="162"/>
      <c r="I179" s="113"/>
      <c r="J179" s="138" t="s">
        <v>43</v>
      </c>
      <c r="K179" s="138" t="str">
        <f t="shared" si="21"/>
        <v>10F</v>
      </c>
      <c r="L179" s="140" t="str">
        <f t="shared" si="19"/>
        <v>EUR10F13Y</v>
      </c>
      <c r="M179" s="140" t="str">
        <v>EUR10F13Y=ICAP</v>
      </c>
      <c r="N179" s="78">
        <v>2.028</v>
      </c>
      <c r="O179" s="111"/>
      <c r="P179" s="78">
        <v>2.028</v>
      </c>
      <c r="Q179" s="111"/>
      <c r="R179" s="78">
        <v>2.028</v>
      </c>
      <c r="S179" s="78" t="e">
        <f ca="1">_xll.qlSimpleQuoteSetValue(E179,R179/100,Trigger)</f>
        <v>#NAME?</v>
      </c>
      <c r="T179" s="130"/>
      <c r="V179" s="161"/>
    </row>
    <row r="180" spans="1:22" x14ac:dyDescent="0.2">
      <c r="A180" s="135"/>
      <c r="B180" s="45" t="str">
        <f t="shared" si="16"/>
        <v>14Y</v>
      </c>
      <c r="C180" s="45" t="str">
        <f t="shared" si="17"/>
        <v>10F</v>
      </c>
      <c r="D180" s="43" t="str">
        <f t="shared" si="18"/>
        <v>EUR10F14Y_Quote</v>
      </c>
      <c r="E180" s="43" t="e">
        <f ca="1">_xll.qlSimpleQuote(D180,,RateTickValue,Permanent,Trigger,ObjectOverwrite)</f>
        <v>#NAME?</v>
      </c>
      <c r="F180" s="42" t="e">
        <f ca="1">_xll.ohRangeRetrieveError(E180)</f>
        <v>#NAME?</v>
      </c>
      <c r="G180" s="36"/>
      <c r="H180" s="162"/>
      <c r="I180" s="113"/>
      <c r="J180" s="138" t="s">
        <v>42</v>
      </c>
      <c r="K180" s="138" t="str">
        <f t="shared" si="21"/>
        <v>10F</v>
      </c>
      <c r="L180" s="140" t="str">
        <f t="shared" si="19"/>
        <v>EUR10F14Y</v>
      </c>
      <c r="M180" s="140" t="str">
        <v>EUR10F14Y=ICAP</v>
      </c>
      <c r="N180" s="78">
        <v>2.0030000000000001</v>
      </c>
      <c r="O180" s="111"/>
      <c r="P180" s="78">
        <v>2.0030000000000001</v>
      </c>
      <c r="Q180" s="111"/>
      <c r="R180" s="78">
        <v>2.0030000000000001</v>
      </c>
      <c r="S180" s="78" t="e">
        <f ca="1">_xll.qlSimpleQuoteSetValue(E180,R180/100,Trigger)</f>
        <v>#NAME?</v>
      </c>
      <c r="T180" s="130"/>
      <c r="V180" s="161"/>
    </row>
    <row r="181" spans="1:22" x14ac:dyDescent="0.2">
      <c r="A181" s="135"/>
      <c r="B181" s="45" t="str">
        <f t="shared" si="16"/>
        <v>15Y</v>
      </c>
      <c r="C181" s="45" t="str">
        <f t="shared" si="17"/>
        <v>10F</v>
      </c>
      <c r="D181" s="43" t="str">
        <f t="shared" si="18"/>
        <v>EUR10F15Y_Quote</v>
      </c>
      <c r="E181" s="43" t="e">
        <f ca="1">_xll.qlSimpleQuote(D181,,RateTickValue,Permanent,Trigger,ObjectOverwrite)</f>
        <v>#NAME?</v>
      </c>
      <c r="F181" s="42" t="e">
        <f ca="1">_xll.ohRangeRetrieveError(E181)</f>
        <v>#NAME?</v>
      </c>
      <c r="G181" s="36"/>
      <c r="H181" s="162"/>
      <c r="I181" s="113"/>
      <c r="J181" s="138" t="s">
        <v>41</v>
      </c>
      <c r="K181" s="138" t="str">
        <f t="shared" si="21"/>
        <v>10F</v>
      </c>
      <c r="L181" s="140" t="str">
        <f t="shared" si="19"/>
        <v>EUR10F15Y</v>
      </c>
      <c r="M181" s="140" t="str">
        <v>EUR10F15Y=ICAP</v>
      </c>
      <c r="N181" s="78">
        <v>1.978</v>
      </c>
      <c r="O181" s="111"/>
      <c r="P181" s="78">
        <v>1.978</v>
      </c>
      <c r="Q181" s="111"/>
      <c r="R181" s="78">
        <v>1.978</v>
      </c>
      <c r="S181" s="78" t="e">
        <f ca="1">_xll.qlSimpleQuoteSetValue(E181,R181/100,Trigger)</f>
        <v>#NAME?</v>
      </c>
      <c r="T181" s="130"/>
      <c r="V181" s="161"/>
    </row>
    <row r="182" spans="1:22" x14ac:dyDescent="0.2">
      <c r="A182" s="135"/>
      <c r="B182" s="45" t="str">
        <f t="shared" si="16"/>
        <v>20Y</v>
      </c>
      <c r="C182" s="45" t="str">
        <f t="shared" si="17"/>
        <v>10F</v>
      </c>
      <c r="D182" s="43" t="str">
        <f t="shared" si="18"/>
        <v>EUR10F20Y_Quote</v>
      </c>
      <c r="E182" s="43" t="e">
        <f ca="1">_xll.qlSimpleQuote(D182,,RateTickValue,Permanent,Trigger,ObjectOverwrite)</f>
        <v>#NAME?</v>
      </c>
      <c r="F182" s="42" t="e">
        <f ca="1">_xll.ohRangeRetrieveError(E182)</f>
        <v>#NAME?</v>
      </c>
      <c r="G182" s="36"/>
      <c r="H182" s="162"/>
      <c r="I182" s="113"/>
      <c r="J182" s="138" t="s">
        <v>36</v>
      </c>
      <c r="K182" s="138" t="str">
        <f t="shared" si="21"/>
        <v>10F</v>
      </c>
      <c r="L182" s="140" t="str">
        <f t="shared" si="19"/>
        <v>EUR10F20Y</v>
      </c>
      <c r="M182" s="140" t="str">
        <v>EUR10F20Y=ICAP</v>
      </c>
      <c r="N182" s="78">
        <v>1.885</v>
      </c>
      <c r="O182" s="111"/>
      <c r="P182" s="78">
        <v>1.885</v>
      </c>
      <c r="Q182" s="111"/>
      <c r="R182" s="78">
        <v>1.885</v>
      </c>
      <c r="S182" s="78" t="e">
        <f ca="1">_xll.qlSimpleQuoteSetValue(E182,R182/100,Trigger)</f>
        <v>#NAME?</v>
      </c>
      <c r="T182" s="130"/>
      <c r="V182" s="161"/>
    </row>
    <row r="183" spans="1:22" x14ac:dyDescent="0.2">
      <c r="A183" s="135"/>
      <c r="B183" s="45" t="str">
        <f t="shared" si="16"/>
        <v>25Y</v>
      </c>
      <c r="C183" s="45" t="str">
        <f t="shared" si="17"/>
        <v>10F</v>
      </c>
      <c r="D183" s="43" t="str">
        <f t="shared" si="18"/>
        <v>EUR10F25Y_Quote</v>
      </c>
      <c r="E183" s="43" t="e">
        <f ca="1">_xll.qlSimpleQuote(D183,,RateTickValue,Permanent,Trigger,ObjectOverwrite)</f>
        <v>#NAME?</v>
      </c>
      <c r="F183" s="42" t="e">
        <f ca="1">_xll.ohRangeRetrieveError(E183)</f>
        <v>#NAME?</v>
      </c>
      <c r="G183" s="36"/>
      <c r="H183" s="162"/>
      <c r="I183" s="113"/>
      <c r="J183" s="138" t="s">
        <v>31</v>
      </c>
      <c r="K183" s="138" t="str">
        <f t="shared" si="21"/>
        <v>10F</v>
      </c>
      <c r="L183" s="140" t="str">
        <f t="shared" si="19"/>
        <v>EUR10F25Y</v>
      </c>
      <c r="M183" s="140" t="str">
        <v>EUR10F25Y=ICAP</v>
      </c>
      <c r="N183" s="78">
        <v>1.833</v>
      </c>
      <c r="O183" s="111"/>
      <c r="P183" s="78">
        <v>1.833</v>
      </c>
      <c r="Q183" s="111"/>
      <c r="R183" s="78">
        <v>1.833</v>
      </c>
      <c r="S183" s="78" t="e">
        <f ca="1">_xll.qlSimpleQuoteSetValue(E183,R183/100,Trigger)</f>
        <v>#NAME?</v>
      </c>
      <c r="T183" s="130"/>
      <c r="V183" s="161"/>
    </row>
    <row r="184" spans="1:22" x14ac:dyDescent="0.2">
      <c r="A184" s="135"/>
      <c r="B184" s="45" t="str">
        <f t="shared" si="16"/>
        <v>30Y</v>
      </c>
      <c r="C184" s="45" t="str">
        <f t="shared" si="17"/>
        <v>10F</v>
      </c>
      <c r="D184" s="43" t="str">
        <f t="shared" si="18"/>
        <v>EUR10F30Y_Quote</v>
      </c>
      <c r="E184" s="43" t="e">
        <f ca="1">_xll.qlSimpleQuote(D184,,RateTickValue,Permanent,Trigger,ObjectOverwrite)</f>
        <v>#NAME?</v>
      </c>
      <c r="F184" s="42" t="e">
        <f ca="1">_xll.ohRangeRetrieveError(E184)</f>
        <v>#NAME?</v>
      </c>
      <c r="G184" s="36"/>
      <c r="H184" s="162"/>
      <c r="I184" s="113"/>
      <c r="J184" s="131" t="s">
        <v>26</v>
      </c>
      <c r="K184" s="131" t="str">
        <f t="shared" si="21"/>
        <v>10F</v>
      </c>
      <c r="L184" s="133" t="str">
        <f t="shared" si="19"/>
        <v>EUR10F30Y</v>
      </c>
      <c r="M184" s="133" t="str">
        <v>EUR10F30Y=ICAP</v>
      </c>
      <c r="N184" s="65">
        <v>1.788</v>
      </c>
      <c r="O184" s="111"/>
      <c r="P184" s="65">
        <v>1.788</v>
      </c>
      <c r="Q184" s="111"/>
      <c r="R184" s="65">
        <v>1.788</v>
      </c>
      <c r="S184" s="65" t="e">
        <f ca="1">_xll.qlSimpleQuoteSetValue(E184,R184/100,Trigger)</f>
        <v>#NAME?</v>
      </c>
      <c r="T184" s="130"/>
      <c r="V184" s="161"/>
    </row>
    <row r="185" spans="1:22" x14ac:dyDescent="0.2">
      <c r="A185" s="135"/>
      <c r="B185" s="45" t="str">
        <f t="shared" si="16"/>
        <v>1Y</v>
      </c>
      <c r="C185" s="45" t="str">
        <f t="shared" si="17"/>
        <v>11F</v>
      </c>
      <c r="D185" s="43" t="str">
        <f t="shared" si="18"/>
        <v>EUR11F1Y_Quote</v>
      </c>
      <c r="E185" s="43" t="e">
        <f ca="1">_xll.qlSimpleQuote(D185,,RateTickValue,Permanent,Trigger,ObjectOverwrite)</f>
        <v>#NAME?</v>
      </c>
      <c r="F185" s="42" t="e">
        <f ca="1">_xll.ohRangeRetrieveError(E185)</f>
        <v>#NAME?</v>
      </c>
      <c r="G185" s="36"/>
      <c r="H185" s="162"/>
      <c r="I185" s="135">
        <v>11</v>
      </c>
      <c r="J185" s="164" t="s">
        <v>58</v>
      </c>
      <c r="K185" s="164" t="str">
        <f t="shared" ref="K185:K202" si="22">$I$185&amp;"F"</f>
        <v>11F</v>
      </c>
      <c r="L185" s="163" t="str">
        <f t="shared" si="19"/>
        <v>EUR11F1Y</v>
      </c>
      <c r="M185" s="163" t="str">
        <v>EUR11F1Y=ICAP</v>
      </c>
      <c r="N185" s="89">
        <v>2.1429999999999998</v>
      </c>
      <c r="O185" s="111"/>
      <c r="P185" s="89">
        <v>2.1429999999999998</v>
      </c>
      <c r="Q185" s="111"/>
      <c r="R185" s="89">
        <v>2.1429999999999998</v>
      </c>
      <c r="S185" s="89" t="e">
        <f ca="1">_xll.qlSimpleQuoteSetValue(E185,R185/100,Trigger)</f>
        <v>#NAME?</v>
      </c>
      <c r="T185" s="130"/>
      <c r="V185" s="161"/>
    </row>
    <row r="186" spans="1:22" x14ac:dyDescent="0.2">
      <c r="A186" s="135"/>
      <c r="B186" s="45" t="str">
        <f t="shared" si="16"/>
        <v>2Y</v>
      </c>
      <c r="C186" s="45" t="str">
        <f t="shared" si="17"/>
        <v>11F</v>
      </c>
      <c r="D186" s="43" t="str">
        <f t="shared" si="18"/>
        <v>EUR11F2Y_Quote</v>
      </c>
      <c r="E186" s="43" t="e">
        <f ca="1">_xll.qlSimpleQuote(D186,,RateTickValue,Permanent,Trigger,ObjectOverwrite)</f>
        <v>#NAME?</v>
      </c>
      <c r="F186" s="42" t="e">
        <f ca="1">_xll.ohRangeRetrieveError(E186)</f>
        <v>#NAME?</v>
      </c>
      <c r="G186" s="36"/>
      <c r="H186" s="162"/>
      <c r="I186" s="113"/>
      <c r="J186" s="138" t="s">
        <v>54</v>
      </c>
      <c r="K186" s="138" t="str">
        <f t="shared" si="22"/>
        <v>11F</v>
      </c>
      <c r="L186" s="140" t="str">
        <f t="shared" si="19"/>
        <v>EUR11F2Y</v>
      </c>
      <c r="M186" s="140" t="str">
        <v>EUR11F2Y=ICAP</v>
      </c>
      <c r="N186" s="78">
        <v>2.165</v>
      </c>
      <c r="O186" s="111"/>
      <c r="P186" s="78">
        <v>2.165</v>
      </c>
      <c r="Q186" s="111"/>
      <c r="R186" s="78">
        <v>2.165</v>
      </c>
      <c r="S186" s="78" t="e">
        <f ca="1">_xll.qlSimpleQuoteSetValue(E186,R186/100,Trigger)</f>
        <v>#NAME?</v>
      </c>
      <c r="T186" s="130"/>
      <c r="V186" s="161"/>
    </row>
    <row r="187" spans="1:22" x14ac:dyDescent="0.2">
      <c r="A187" s="135"/>
      <c r="B187" s="45" t="str">
        <f t="shared" si="16"/>
        <v>3Y</v>
      </c>
      <c r="C187" s="45" t="str">
        <f t="shared" si="17"/>
        <v>11F</v>
      </c>
      <c r="D187" s="43" t="str">
        <f t="shared" si="18"/>
        <v>EUR11F3Y_Quote</v>
      </c>
      <c r="E187" s="43" t="e">
        <f ca="1">_xll.qlSimpleQuote(D187,,RateTickValue,Permanent,Trigger,ObjectOverwrite)</f>
        <v>#NAME?</v>
      </c>
      <c r="F187" s="42" t="e">
        <f ca="1">_xll.ohRangeRetrieveError(E187)</f>
        <v>#NAME?</v>
      </c>
      <c r="G187" s="36"/>
      <c r="H187" s="162"/>
      <c r="I187" s="113"/>
      <c r="J187" s="138" t="s">
        <v>53</v>
      </c>
      <c r="K187" s="138" t="str">
        <f t="shared" si="22"/>
        <v>11F</v>
      </c>
      <c r="L187" s="140" t="str">
        <f t="shared" si="19"/>
        <v>EUR11F3Y</v>
      </c>
      <c r="M187" s="140" t="str">
        <v>EUR11F3Y=ICAP</v>
      </c>
      <c r="N187" s="78">
        <v>2.1739999999999999</v>
      </c>
      <c r="O187" s="111"/>
      <c r="P187" s="78">
        <v>2.1739999999999999</v>
      </c>
      <c r="Q187" s="111"/>
      <c r="R187" s="78">
        <v>2.1739999999999999</v>
      </c>
      <c r="S187" s="78" t="e">
        <f ca="1">_xll.qlSimpleQuoteSetValue(E187,R187/100,Trigger)</f>
        <v>#NAME?</v>
      </c>
      <c r="T187" s="130"/>
      <c r="V187" s="161"/>
    </row>
    <row r="188" spans="1:22" x14ac:dyDescent="0.2">
      <c r="A188" s="135"/>
      <c r="B188" s="45" t="str">
        <f t="shared" si="16"/>
        <v>4Y</v>
      </c>
      <c r="C188" s="45" t="str">
        <f t="shared" si="17"/>
        <v>11F</v>
      </c>
      <c r="D188" s="43" t="str">
        <f t="shared" si="18"/>
        <v>EUR11F4Y_Quote</v>
      </c>
      <c r="E188" s="43" t="e">
        <f ca="1">_xll.qlSimpleQuote(D188,,RateTickValue,Permanent,Trigger,ObjectOverwrite)</f>
        <v>#NAME?</v>
      </c>
      <c r="F188" s="42" t="e">
        <f ca="1">_xll.ohRangeRetrieveError(E188)</f>
        <v>#NAME?</v>
      </c>
      <c r="G188" s="36"/>
      <c r="H188" s="162"/>
      <c r="I188" s="113"/>
      <c r="J188" s="138" t="s">
        <v>52</v>
      </c>
      <c r="K188" s="138" t="str">
        <f t="shared" si="22"/>
        <v>11F</v>
      </c>
      <c r="L188" s="140" t="str">
        <f t="shared" si="19"/>
        <v>EUR11F4Y</v>
      </c>
      <c r="M188" s="140" t="str">
        <v>EUR11F4Y=ICAP</v>
      </c>
      <c r="N188" s="78">
        <v>2.1779999999999999</v>
      </c>
      <c r="O188" s="111"/>
      <c r="P188" s="78">
        <v>2.1779999999999999</v>
      </c>
      <c r="Q188" s="111"/>
      <c r="R188" s="78">
        <v>2.1779999999999999</v>
      </c>
      <c r="S188" s="78" t="e">
        <f ca="1">_xll.qlSimpleQuoteSetValue(E188,R188/100,Trigger)</f>
        <v>#NAME?</v>
      </c>
      <c r="T188" s="130"/>
      <c r="V188" s="161"/>
    </row>
    <row r="189" spans="1:22" x14ac:dyDescent="0.2">
      <c r="A189" s="135"/>
      <c r="B189" s="45" t="str">
        <f t="shared" si="16"/>
        <v>5Y</v>
      </c>
      <c r="C189" s="45" t="str">
        <f t="shared" si="17"/>
        <v>11F</v>
      </c>
      <c r="D189" s="43" t="str">
        <f t="shared" si="18"/>
        <v>EUR11F5Y_Quote</v>
      </c>
      <c r="E189" s="43" t="e">
        <f ca="1">_xll.qlSimpleQuote(D189,,RateTickValue,Permanent,Trigger,ObjectOverwrite)</f>
        <v>#NAME?</v>
      </c>
      <c r="F189" s="42" t="e">
        <f ca="1">_xll.ohRangeRetrieveError(E189)</f>
        <v>#NAME?</v>
      </c>
      <c r="G189" s="36"/>
      <c r="H189" s="162"/>
      <c r="I189" s="113"/>
      <c r="J189" s="138" t="s">
        <v>51</v>
      </c>
      <c r="K189" s="138" t="str">
        <f t="shared" si="22"/>
        <v>11F</v>
      </c>
      <c r="L189" s="140" t="str">
        <f t="shared" si="19"/>
        <v>EUR11F5Y</v>
      </c>
      <c r="M189" s="140" t="str">
        <v>EUR11F5Y=ICAP</v>
      </c>
      <c r="N189" s="78">
        <v>2.1720000000000002</v>
      </c>
      <c r="O189" s="111"/>
      <c r="P189" s="78">
        <v>2.1720000000000002</v>
      </c>
      <c r="Q189" s="111"/>
      <c r="R189" s="78">
        <v>2.1720000000000002</v>
      </c>
      <c r="S189" s="78" t="e">
        <f ca="1">_xll.qlSimpleQuoteSetValue(E189,R189/100,Trigger)</f>
        <v>#NAME?</v>
      </c>
      <c r="T189" s="130"/>
      <c r="V189" s="161"/>
    </row>
    <row r="190" spans="1:22" x14ac:dyDescent="0.2">
      <c r="A190" s="135"/>
      <c r="B190" s="45" t="str">
        <f t="shared" si="16"/>
        <v>6Y</v>
      </c>
      <c r="C190" s="45" t="str">
        <f t="shared" si="17"/>
        <v>11F</v>
      </c>
      <c r="D190" s="43" t="str">
        <f t="shared" si="18"/>
        <v>EUR11F6Y_Quote</v>
      </c>
      <c r="E190" s="43" t="e">
        <f ca="1">_xll.qlSimpleQuote(D190,,RateTickValue,Permanent,Trigger,ObjectOverwrite)</f>
        <v>#NAME?</v>
      </c>
      <c r="F190" s="42" t="e">
        <f ca="1">_xll.ohRangeRetrieveError(E190)</f>
        <v>#NAME?</v>
      </c>
      <c r="G190" s="36"/>
      <c r="H190" s="162"/>
      <c r="I190" s="113"/>
      <c r="J190" s="138" t="s">
        <v>50</v>
      </c>
      <c r="K190" s="138" t="str">
        <f t="shared" si="22"/>
        <v>11F</v>
      </c>
      <c r="L190" s="140" t="str">
        <f t="shared" si="19"/>
        <v>EUR11F6Y</v>
      </c>
      <c r="M190" s="140" t="str">
        <v>EUR11F6Y=ICAP</v>
      </c>
      <c r="N190" s="78">
        <v>2.1669999999999998</v>
      </c>
      <c r="O190" s="111"/>
      <c r="P190" s="78">
        <v>2.1669999999999998</v>
      </c>
      <c r="Q190" s="111"/>
      <c r="R190" s="78">
        <v>2.1669999999999998</v>
      </c>
      <c r="S190" s="78" t="e">
        <f ca="1">_xll.qlSimpleQuoteSetValue(E190,R190/100,Trigger)</f>
        <v>#NAME?</v>
      </c>
      <c r="T190" s="130"/>
      <c r="V190" s="161"/>
    </row>
    <row r="191" spans="1:22" x14ac:dyDescent="0.2">
      <c r="A191" s="135"/>
      <c r="B191" s="45" t="str">
        <f t="shared" si="16"/>
        <v>7Y</v>
      </c>
      <c r="C191" s="45" t="str">
        <f t="shared" si="17"/>
        <v>11F</v>
      </c>
      <c r="D191" s="43" t="str">
        <f t="shared" si="18"/>
        <v>EUR11F7Y_Quote</v>
      </c>
      <c r="E191" s="43" t="e">
        <f ca="1">_xll.qlSimpleQuote(D191,,RateTickValue,Permanent,Trigger,ObjectOverwrite)</f>
        <v>#NAME?</v>
      </c>
      <c r="F191" s="42" t="e">
        <f ca="1">_xll.ohRangeRetrieveError(E191)</f>
        <v>#NAME?</v>
      </c>
      <c r="G191" s="36"/>
      <c r="H191" s="162"/>
      <c r="I191" s="113"/>
      <c r="J191" s="138" t="s">
        <v>49</v>
      </c>
      <c r="K191" s="138" t="str">
        <f t="shared" si="22"/>
        <v>11F</v>
      </c>
      <c r="L191" s="140" t="str">
        <f t="shared" si="19"/>
        <v>EUR11F7Y</v>
      </c>
      <c r="M191" s="140" t="str">
        <v>EUR11F7Y=ICAP</v>
      </c>
      <c r="N191" s="78">
        <v>2.1509999999999998</v>
      </c>
      <c r="O191" s="111"/>
      <c r="P191" s="78">
        <v>2.1509999999999998</v>
      </c>
      <c r="Q191" s="111"/>
      <c r="R191" s="78">
        <v>2.1509999999999998</v>
      </c>
      <c r="S191" s="78" t="e">
        <f ca="1">_xll.qlSimpleQuoteSetValue(E191,R191/100,Trigger)</f>
        <v>#NAME?</v>
      </c>
      <c r="T191" s="130"/>
      <c r="V191" s="161"/>
    </row>
    <row r="192" spans="1:22" x14ac:dyDescent="0.2">
      <c r="A192" s="135"/>
      <c r="B192" s="45" t="str">
        <f t="shared" si="16"/>
        <v>8Y</v>
      </c>
      <c r="C192" s="45" t="str">
        <f t="shared" si="17"/>
        <v>11F</v>
      </c>
      <c r="D192" s="43" t="str">
        <f t="shared" si="18"/>
        <v>EUR11F8Y_Quote</v>
      </c>
      <c r="E192" s="43" t="e">
        <f ca="1">_xll.qlSimpleQuote(D192,,RateTickValue,Permanent,Trigger,ObjectOverwrite)</f>
        <v>#NAME?</v>
      </c>
      <c r="F192" s="42" t="e">
        <f ca="1">_xll.ohRangeRetrieveError(E192)</f>
        <v>#NAME?</v>
      </c>
      <c r="G192" s="36"/>
      <c r="H192" s="162"/>
      <c r="I192" s="113"/>
      <c r="J192" s="138" t="s">
        <v>48</v>
      </c>
      <c r="K192" s="138" t="str">
        <f t="shared" si="22"/>
        <v>11F</v>
      </c>
      <c r="L192" s="140" t="str">
        <f t="shared" si="19"/>
        <v>EUR11F8Y</v>
      </c>
      <c r="M192" s="140" t="str">
        <v>EUR11F8Y=ICAP</v>
      </c>
      <c r="N192" s="78">
        <v>2.1310000000000002</v>
      </c>
      <c r="O192" s="111"/>
      <c r="P192" s="78">
        <v>2.1310000000000002</v>
      </c>
      <c r="Q192" s="111"/>
      <c r="R192" s="78">
        <v>2.1310000000000002</v>
      </c>
      <c r="S192" s="78" t="e">
        <f ca="1">_xll.qlSimpleQuoteSetValue(E192,R192/100,Trigger)</f>
        <v>#NAME?</v>
      </c>
      <c r="T192" s="130"/>
      <c r="V192" s="161"/>
    </row>
    <row r="193" spans="1:22" x14ac:dyDescent="0.2">
      <c r="A193" s="135"/>
      <c r="B193" s="45" t="str">
        <f t="shared" si="16"/>
        <v>9Y</v>
      </c>
      <c r="C193" s="45" t="str">
        <f t="shared" si="17"/>
        <v>11F</v>
      </c>
      <c r="D193" s="43" t="str">
        <f t="shared" si="18"/>
        <v>EUR11F9Y_Quote</v>
      </c>
      <c r="E193" s="43" t="e">
        <f ca="1">_xll.qlSimpleQuote(D193,,RateTickValue,Permanent,Trigger,ObjectOverwrite)</f>
        <v>#NAME?</v>
      </c>
      <c r="F193" s="42" t="e">
        <f ca="1">_xll.ohRangeRetrieveError(E193)</f>
        <v>#NAME?</v>
      </c>
      <c r="G193" s="36"/>
      <c r="H193" s="162"/>
      <c r="I193" s="113"/>
      <c r="J193" s="138" t="s">
        <v>47</v>
      </c>
      <c r="K193" s="138" t="str">
        <f t="shared" si="22"/>
        <v>11F</v>
      </c>
      <c r="L193" s="140" t="str">
        <f t="shared" si="19"/>
        <v>EUR11F9Y</v>
      </c>
      <c r="M193" s="140" t="str">
        <v>EUR11F9Y=ICAP</v>
      </c>
      <c r="N193" s="78">
        <v>2.1070000000000002</v>
      </c>
      <c r="O193" s="111"/>
      <c r="P193" s="78">
        <v>2.1070000000000002</v>
      </c>
      <c r="Q193" s="111"/>
      <c r="R193" s="78">
        <v>2.1070000000000002</v>
      </c>
      <c r="S193" s="78" t="e">
        <f ca="1">_xll.qlSimpleQuoteSetValue(E193,R193/100,Trigger)</f>
        <v>#NAME?</v>
      </c>
      <c r="T193" s="130"/>
      <c r="V193" s="161"/>
    </row>
    <row r="194" spans="1:22" x14ac:dyDescent="0.2">
      <c r="A194" s="135"/>
      <c r="B194" s="45" t="str">
        <f t="shared" si="16"/>
        <v>10Y</v>
      </c>
      <c r="C194" s="45" t="str">
        <f t="shared" si="17"/>
        <v>11F</v>
      </c>
      <c r="D194" s="43" t="str">
        <f t="shared" si="18"/>
        <v>EUR11F10Y_Quote</v>
      </c>
      <c r="E194" s="43" t="e">
        <f ca="1">_xll.qlSimpleQuote(D194,,RateTickValue,Permanent,Trigger,ObjectOverwrite)</f>
        <v>#NAME?</v>
      </c>
      <c r="F194" s="42" t="e">
        <f ca="1">_xll.ohRangeRetrieveError(E194)</f>
        <v>#NAME?</v>
      </c>
      <c r="G194" s="36"/>
      <c r="H194" s="162"/>
      <c r="I194" s="113"/>
      <c r="J194" s="138" t="s">
        <v>46</v>
      </c>
      <c r="K194" s="138" t="str">
        <f t="shared" si="22"/>
        <v>11F</v>
      </c>
      <c r="L194" s="140" t="str">
        <f t="shared" si="19"/>
        <v>EUR11F10Y</v>
      </c>
      <c r="M194" s="140" t="str">
        <v>EUR11F10Y=ICAP</v>
      </c>
      <c r="N194" s="78">
        <v>2.081</v>
      </c>
      <c r="O194" s="111"/>
      <c r="P194" s="78">
        <v>2.081</v>
      </c>
      <c r="Q194" s="111"/>
      <c r="R194" s="78">
        <v>2.081</v>
      </c>
      <c r="S194" s="78" t="e">
        <f ca="1">_xll.qlSimpleQuoteSetValue(E194,R194/100,Trigger)</f>
        <v>#NAME?</v>
      </c>
      <c r="T194" s="130"/>
      <c r="V194" s="161"/>
    </row>
    <row r="195" spans="1:22" x14ac:dyDescent="0.2">
      <c r="A195" s="135"/>
      <c r="B195" s="45" t="str">
        <f t="shared" si="16"/>
        <v>11Y</v>
      </c>
      <c r="C195" s="45" t="str">
        <f t="shared" si="17"/>
        <v>11F</v>
      </c>
      <c r="D195" s="43" t="str">
        <f t="shared" si="18"/>
        <v>EUR11F11Y_Quote</v>
      </c>
      <c r="E195" s="43" t="e">
        <f ca="1">_xll.qlSimpleQuote(D195,,RateTickValue,Permanent,Trigger,ObjectOverwrite)</f>
        <v>#NAME?</v>
      </c>
      <c r="F195" s="42" t="e">
        <f ca="1">_xll.ohRangeRetrieveError(E195)</f>
        <v>#NAME?</v>
      </c>
      <c r="G195" s="36"/>
      <c r="H195" s="162"/>
      <c r="I195" s="113"/>
      <c r="J195" s="138" t="s">
        <v>45</v>
      </c>
      <c r="K195" s="138" t="str">
        <f t="shared" si="22"/>
        <v>11F</v>
      </c>
      <c r="L195" s="140" t="str">
        <f t="shared" si="19"/>
        <v>EUR11F11Y</v>
      </c>
      <c r="M195" s="140" t="str">
        <v>EUR11F11Y=ICAP</v>
      </c>
      <c r="N195" s="78">
        <v>2.0550000000000002</v>
      </c>
      <c r="O195" s="111"/>
      <c r="P195" s="78">
        <v>2.0550000000000002</v>
      </c>
      <c r="Q195" s="111"/>
      <c r="R195" s="78">
        <v>2.0550000000000002</v>
      </c>
      <c r="S195" s="78" t="e">
        <f ca="1">_xll.qlSimpleQuoteSetValue(E195,R195/100,Trigger)</f>
        <v>#NAME?</v>
      </c>
      <c r="T195" s="130"/>
      <c r="V195" s="161"/>
    </row>
    <row r="196" spans="1:22" x14ac:dyDescent="0.2">
      <c r="A196" s="135"/>
      <c r="B196" s="45" t="str">
        <f t="shared" si="16"/>
        <v>12Y</v>
      </c>
      <c r="C196" s="45" t="str">
        <f t="shared" si="17"/>
        <v>11F</v>
      </c>
      <c r="D196" s="43" t="str">
        <f t="shared" si="18"/>
        <v>EUR11F12Y_Quote</v>
      </c>
      <c r="E196" s="43" t="e">
        <f ca="1">_xll.qlSimpleQuote(D196,,RateTickValue,Permanent,Trigger,ObjectOverwrite)</f>
        <v>#NAME?</v>
      </c>
      <c r="F196" s="42" t="e">
        <f ca="1">_xll.ohRangeRetrieveError(E196)</f>
        <v>#NAME?</v>
      </c>
      <c r="G196" s="36"/>
      <c r="H196" s="162"/>
      <c r="I196" s="113"/>
      <c r="J196" s="138" t="s">
        <v>44</v>
      </c>
      <c r="K196" s="138" t="str">
        <f t="shared" si="22"/>
        <v>11F</v>
      </c>
      <c r="L196" s="140" t="str">
        <f t="shared" si="19"/>
        <v>EUR11F12Y</v>
      </c>
      <c r="M196" s="140" t="str">
        <v>EUR11F12Y=ICAP</v>
      </c>
      <c r="N196" s="78">
        <v>2.024</v>
      </c>
      <c r="O196" s="111"/>
      <c r="P196" s="78">
        <v>2.024</v>
      </c>
      <c r="Q196" s="111"/>
      <c r="R196" s="78">
        <v>2.024</v>
      </c>
      <c r="S196" s="78" t="e">
        <f ca="1">_xll.qlSimpleQuoteSetValue(E196,R196/100,Trigger)</f>
        <v>#NAME?</v>
      </c>
      <c r="T196" s="130"/>
      <c r="V196" s="161"/>
    </row>
    <row r="197" spans="1:22" x14ac:dyDescent="0.2">
      <c r="A197" s="135"/>
      <c r="B197" s="45" t="str">
        <f t="shared" ref="B197:B260" si="23">J197</f>
        <v>13Y</v>
      </c>
      <c r="C197" s="45" t="str">
        <f t="shared" ref="C197:C260" si="24">K197</f>
        <v>11F</v>
      </c>
      <c r="D197" s="43" t="str">
        <f t="shared" ref="D197:D260" si="25">Currency&amp;$C197&amp;B197&amp;QuoteSuffix</f>
        <v>EUR11F13Y_Quote</v>
      </c>
      <c r="E197" s="43" t="e">
        <f ca="1">_xll.qlSimpleQuote(D197,,RateTickValue,Permanent,Trigger,ObjectOverwrite)</f>
        <v>#NAME?</v>
      </c>
      <c r="F197" s="42" t="e">
        <f ca="1">_xll.ohRangeRetrieveError(E197)</f>
        <v>#NAME?</v>
      </c>
      <c r="G197" s="36"/>
      <c r="H197" s="162"/>
      <c r="I197" s="113"/>
      <c r="J197" s="138" t="s">
        <v>43</v>
      </c>
      <c r="K197" s="138" t="str">
        <f t="shared" si="22"/>
        <v>11F</v>
      </c>
      <c r="L197" s="140" t="str">
        <f t="shared" ref="L197:L260" si="26">Currency&amp;$K197&amp;$J197</f>
        <v>EUR11F13Y</v>
      </c>
      <c r="M197" s="140" t="str">
        <v>EUR11F13Y=ICAP</v>
      </c>
      <c r="N197" s="78">
        <v>1.9970000000000001</v>
      </c>
      <c r="O197" s="111"/>
      <c r="P197" s="78">
        <v>1.9970000000000001</v>
      </c>
      <c r="Q197" s="111"/>
      <c r="R197" s="78">
        <v>1.9970000000000001</v>
      </c>
      <c r="S197" s="78" t="e">
        <f ca="1">_xll.qlSimpleQuoteSetValue(E197,R197/100,Trigger)</f>
        <v>#NAME?</v>
      </c>
      <c r="T197" s="130"/>
      <c r="V197" s="161"/>
    </row>
    <row r="198" spans="1:22" x14ac:dyDescent="0.2">
      <c r="A198" s="135"/>
      <c r="B198" s="45" t="str">
        <f t="shared" si="23"/>
        <v>14Y</v>
      </c>
      <c r="C198" s="45" t="str">
        <f t="shared" si="24"/>
        <v>11F</v>
      </c>
      <c r="D198" s="43" t="str">
        <f t="shared" si="25"/>
        <v>EUR11F14Y_Quote</v>
      </c>
      <c r="E198" s="43" t="e">
        <f ca="1">_xll.qlSimpleQuote(D198,,RateTickValue,Permanent,Trigger,ObjectOverwrite)</f>
        <v>#NAME?</v>
      </c>
      <c r="F198" s="42" t="e">
        <f ca="1">_xll.ohRangeRetrieveError(E198)</f>
        <v>#NAME?</v>
      </c>
      <c r="G198" s="36"/>
      <c r="H198" s="162"/>
      <c r="I198" s="113"/>
      <c r="J198" s="138" t="s">
        <v>42</v>
      </c>
      <c r="K198" s="138" t="str">
        <f t="shared" si="22"/>
        <v>11F</v>
      </c>
      <c r="L198" s="140" t="str">
        <f t="shared" si="26"/>
        <v>EUR11F14Y</v>
      </c>
      <c r="M198" s="140" t="str">
        <v>EUR11F14Y=ICAP</v>
      </c>
      <c r="N198" s="78">
        <v>1.9710000000000001</v>
      </c>
      <c r="O198" s="111"/>
      <c r="P198" s="78">
        <v>1.9710000000000001</v>
      </c>
      <c r="Q198" s="111"/>
      <c r="R198" s="78">
        <v>1.9710000000000001</v>
      </c>
      <c r="S198" s="78" t="e">
        <f ca="1">_xll.qlSimpleQuoteSetValue(E198,R198/100,Trigger)</f>
        <v>#NAME?</v>
      </c>
      <c r="T198" s="130"/>
      <c r="V198" s="161"/>
    </row>
    <row r="199" spans="1:22" x14ac:dyDescent="0.2">
      <c r="A199" s="135"/>
      <c r="B199" s="45" t="str">
        <f t="shared" si="23"/>
        <v>15Y</v>
      </c>
      <c r="C199" s="45" t="str">
        <f t="shared" si="24"/>
        <v>11F</v>
      </c>
      <c r="D199" s="43" t="str">
        <f t="shared" si="25"/>
        <v>EUR11F15Y_Quote</v>
      </c>
      <c r="E199" s="43" t="e">
        <f ca="1">_xll.qlSimpleQuote(D199,,RateTickValue,Permanent,Trigger,ObjectOverwrite)</f>
        <v>#NAME?</v>
      </c>
      <c r="F199" s="42" t="e">
        <f ca="1">_xll.ohRangeRetrieveError(E199)</f>
        <v>#NAME?</v>
      </c>
      <c r="G199" s="36"/>
      <c r="H199" s="162"/>
      <c r="I199" s="113"/>
      <c r="J199" s="138" t="s">
        <v>41</v>
      </c>
      <c r="K199" s="138" t="str">
        <f t="shared" si="22"/>
        <v>11F</v>
      </c>
      <c r="L199" s="140" t="str">
        <f t="shared" si="26"/>
        <v>EUR11F15Y</v>
      </c>
      <c r="M199" s="140" t="str">
        <v>EUR11F15Y=ICAP</v>
      </c>
      <c r="N199" s="78">
        <v>1.9460000000000002</v>
      </c>
      <c r="O199" s="111"/>
      <c r="P199" s="78">
        <v>1.9460000000000002</v>
      </c>
      <c r="Q199" s="111"/>
      <c r="R199" s="78">
        <v>1.9460000000000002</v>
      </c>
      <c r="S199" s="78" t="e">
        <f ca="1">_xll.qlSimpleQuoteSetValue(E199,R199/100,Trigger)</f>
        <v>#NAME?</v>
      </c>
      <c r="T199" s="130"/>
      <c r="V199" s="161"/>
    </row>
    <row r="200" spans="1:22" x14ac:dyDescent="0.2">
      <c r="A200" s="135"/>
      <c r="B200" s="45" t="str">
        <f t="shared" si="23"/>
        <v>20Y</v>
      </c>
      <c r="C200" s="45" t="str">
        <f t="shared" si="24"/>
        <v>11F</v>
      </c>
      <c r="D200" s="43" t="str">
        <f t="shared" si="25"/>
        <v>EUR11F20Y_Quote</v>
      </c>
      <c r="E200" s="43" t="e">
        <f ca="1">_xll.qlSimpleQuote(D200,,RateTickValue,Permanent,Trigger,ObjectOverwrite)</f>
        <v>#NAME?</v>
      </c>
      <c r="F200" s="42" t="e">
        <f ca="1">_xll.ohRangeRetrieveError(E200)</f>
        <v>#NAME?</v>
      </c>
      <c r="G200" s="36"/>
      <c r="H200" s="162"/>
      <c r="I200" s="113"/>
      <c r="J200" s="138" t="s">
        <v>36</v>
      </c>
      <c r="K200" s="138" t="str">
        <f t="shared" si="22"/>
        <v>11F</v>
      </c>
      <c r="L200" s="140" t="str">
        <f t="shared" si="26"/>
        <v>EUR11F20Y</v>
      </c>
      <c r="M200" s="140" t="str">
        <v>EUR11F20Y=ICAP</v>
      </c>
      <c r="N200" s="78">
        <v>1.8599999999999999</v>
      </c>
      <c r="O200" s="111"/>
      <c r="P200" s="78">
        <v>1.8599999999999999</v>
      </c>
      <c r="Q200" s="111"/>
      <c r="R200" s="78">
        <v>1.8599999999999999</v>
      </c>
      <c r="S200" s="78" t="e">
        <f ca="1">_xll.qlSimpleQuoteSetValue(E200,R200/100,Trigger)</f>
        <v>#NAME?</v>
      </c>
      <c r="T200" s="130"/>
      <c r="V200" s="161"/>
    </row>
    <row r="201" spans="1:22" x14ac:dyDescent="0.2">
      <c r="A201" s="135"/>
      <c r="B201" s="45" t="str">
        <f t="shared" si="23"/>
        <v>25Y</v>
      </c>
      <c r="C201" s="45" t="str">
        <f t="shared" si="24"/>
        <v>11F</v>
      </c>
      <c r="D201" s="43" t="str">
        <f t="shared" si="25"/>
        <v>EUR11F25Y_Quote</v>
      </c>
      <c r="E201" s="43" t="e">
        <f ca="1">_xll.qlSimpleQuote(D201,,RateTickValue,Permanent,Trigger,ObjectOverwrite)</f>
        <v>#NAME?</v>
      </c>
      <c r="F201" s="42" t="e">
        <f ca="1">_xll.ohRangeRetrieveError(E201)</f>
        <v>#NAME?</v>
      </c>
      <c r="G201" s="36"/>
      <c r="H201" s="162"/>
      <c r="I201" s="113"/>
      <c r="J201" s="138" t="s">
        <v>31</v>
      </c>
      <c r="K201" s="138" t="str">
        <f t="shared" si="22"/>
        <v>11F</v>
      </c>
      <c r="L201" s="140" t="str">
        <f t="shared" si="26"/>
        <v>EUR11F25Y</v>
      </c>
      <c r="M201" s="140" t="str">
        <v>EUR11F25Y=ICAP</v>
      </c>
      <c r="N201" s="78">
        <v>1.8119999999999998</v>
      </c>
      <c r="O201" s="111"/>
      <c r="P201" s="78">
        <v>1.8119999999999998</v>
      </c>
      <c r="Q201" s="111"/>
      <c r="R201" s="78">
        <v>1.8119999999999998</v>
      </c>
      <c r="S201" s="78" t="e">
        <f ca="1">_xll.qlSimpleQuoteSetValue(E201,R201/100,Trigger)</f>
        <v>#NAME?</v>
      </c>
      <c r="T201" s="130"/>
      <c r="V201" s="161"/>
    </row>
    <row r="202" spans="1:22" x14ac:dyDescent="0.2">
      <c r="A202" s="135"/>
      <c r="B202" s="45" t="str">
        <f t="shared" si="23"/>
        <v>30Y</v>
      </c>
      <c r="C202" s="45" t="str">
        <f t="shared" si="24"/>
        <v>11F</v>
      </c>
      <c r="D202" s="43" t="str">
        <f t="shared" si="25"/>
        <v>EUR11F30Y_Quote</v>
      </c>
      <c r="E202" s="43" t="e">
        <f ca="1">_xll.qlSimpleQuote(D202,,RateTickValue,Permanent,Trigger,ObjectOverwrite)</f>
        <v>#NAME?</v>
      </c>
      <c r="F202" s="42" t="e">
        <f ca="1">_xll.ohRangeRetrieveError(E202)</f>
        <v>#NAME?</v>
      </c>
      <c r="G202" s="36"/>
      <c r="H202" s="162"/>
      <c r="I202" s="113"/>
      <c r="J202" s="131" t="s">
        <v>26</v>
      </c>
      <c r="K202" s="131" t="str">
        <f t="shared" si="22"/>
        <v>11F</v>
      </c>
      <c r="L202" s="133" t="str">
        <f t="shared" si="26"/>
        <v>EUR11F30Y</v>
      </c>
      <c r="M202" s="133" t="str">
        <v>EUR11F30Y=ICAP</v>
      </c>
      <c r="N202" s="65">
        <v>1.766</v>
      </c>
      <c r="O202" s="111"/>
      <c r="P202" s="65">
        <v>1.766</v>
      </c>
      <c r="Q202" s="111"/>
      <c r="R202" s="65">
        <v>1.766</v>
      </c>
      <c r="S202" s="65" t="e">
        <f ca="1">_xll.qlSimpleQuoteSetValue(E202,R202/100,Trigger)</f>
        <v>#NAME?</v>
      </c>
      <c r="T202" s="130"/>
      <c r="V202" s="161"/>
    </row>
    <row r="203" spans="1:22" x14ac:dyDescent="0.2">
      <c r="A203" s="135"/>
      <c r="B203" s="45" t="str">
        <f t="shared" si="23"/>
        <v>1Y</v>
      </c>
      <c r="C203" s="45" t="str">
        <f t="shared" si="24"/>
        <v>12F</v>
      </c>
      <c r="D203" s="43" t="str">
        <f t="shared" si="25"/>
        <v>EUR12F1Y_Quote</v>
      </c>
      <c r="E203" s="43" t="e">
        <f ca="1">_xll.qlSimpleQuote(D203,,RateTickValue,Permanent,Trigger,ObjectOverwrite)</f>
        <v>#NAME?</v>
      </c>
      <c r="F203" s="42" t="e">
        <f ca="1">_xll.ohRangeRetrieveError(E203)</f>
        <v>#NAME?</v>
      </c>
      <c r="G203" s="36"/>
      <c r="H203" s="162"/>
      <c r="I203" s="135">
        <v>12</v>
      </c>
      <c r="J203" s="164" t="s">
        <v>58</v>
      </c>
      <c r="K203" s="164" t="str">
        <f t="shared" ref="K203:K220" si="27">$I$203&amp;"F"</f>
        <v>12F</v>
      </c>
      <c r="L203" s="163" t="str">
        <f t="shared" si="26"/>
        <v>EUR12F1Y</v>
      </c>
      <c r="M203" s="163" t="str">
        <v>EUR12F1Y=ICAP</v>
      </c>
      <c r="N203" s="89">
        <v>2.1869999999999998</v>
      </c>
      <c r="O203" s="111"/>
      <c r="P203" s="89">
        <v>2.1869999999999998</v>
      </c>
      <c r="Q203" s="111"/>
      <c r="R203" s="89">
        <v>2.1869999999999998</v>
      </c>
      <c r="S203" s="89" t="e">
        <f ca="1">_xll.qlSimpleQuoteSetValue(E203,R203/100,Trigger)</f>
        <v>#NAME?</v>
      </c>
      <c r="T203" s="130"/>
      <c r="V203" s="161"/>
    </row>
    <row r="204" spans="1:22" x14ac:dyDescent="0.2">
      <c r="A204" s="135"/>
      <c r="B204" s="45" t="str">
        <f t="shared" si="23"/>
        <v>2Y</v>
      </c>
      <c r="C204" s="45" t="str">
        <f t="shared" si="24"/>
        <v>12F</v>
      </c>
      <c r="D204" s="43" t="str">
        <f t="shared" si="25"/>
        <v>EUR12F2Y_Quote</v>
      </c>
      <c r="E204" s="43" t="e">
        <f ca="1">_xll.qlSimpleQuote(D204,,RateTickValue,Permanent,Trigger,ObjectOverwrite)</f>
        <v>#NAME?</v>
      </c>
      <c r="F204" s="42" t="e">
        <f ca="1">_xll.ohRangeRetrieveError(E204)</f>
        <v>#NAME?</v>
      </c>
      <c r="G204" s="36"/>
      <c r="H204" s="162"/>
      <c r="I204" s="113"/>
      <c r="J204" s="138" t="s">
        <v>54</v>
      </c>
      <c r="K204" s="138" t="str">
        <f t="shared" si="27"/>
        <v>12F</v>
      </c>
      <c r="L204" s="140" t="str">
        <f t="shared" si="26"/>
        <v>EUR12F2Y</v>
      </c>
      <c r="M204" s="140" t="str">
        <v>EUR12F2Y=ICAP</v>
      </c>
      <c r="N204" s="78">
        <v>2.1909999999999998</v>
      </c>
      <c r="O204" s="111"/>
      <c r="P204" s="78">
        <v>2.1909999999999998</v>
      </c>
      <c r="Q204" s="111"/>
      <c r="R204" s="78">
        <v>2.1909999999999998</v>
      </c>
      <c r="S204" s="78" t="e">
        <f ca="1">_xll.qlSimpleQuoteSetValue(E204,R204/100,Trigger)</f>
        <v>#NAME?</v>
      </c>
      <c r="T204" s="130"/>
      <c r="V204" s="161"/>
    </row>
    <row r="205" spans="1:22" x14ac:dyDescent="0.2">
      <c r="A205" s="135"/>
      <c r="B205" s="45" t="str">
        <f t="shared" si="23"/>
        <v>3Y</v>
      </c>
      <c r="C205" s="45" t="str">
        <f t="shared" si="24"/>
        <v>12F</v>
      </c>
      <c r="D205" s="43" t="str">
        <f t="shared" si="25"/>
        <v>EUR12F3Y_Quote</v>
      </c>
      <c r="E205" s="43" t="e">
        <f ca="1">_xll.qlSimpleQuote(D205,,RateTickValue,Permanent,Trigger,ObjectOverwrite)</f>
        <v>#NAME?</v>
      </c>
      <c r="F205" s="42" t="e">
        <f ca="1">_xll.ohRangeRetrieveError(E205)</f>
        <v>#NAME?</v>
      </c>
      <c r="G205" s="36"/>
      <c r="H205" s="162"/>
      <c r="I205" s="113"/>
      <c r="J205" s="138" t="s">
        <v>53</v>
      </c>
      <c r="K205" s="138" t="str">
        <f t="shared" si="27"/>
        <v>12F</v>
      </c>
      <c r="L205" s="140" t="str">
        <f t="shared" si="26"/>
        <v>EUR12F3Y</v>
      </c>
      <c r="M205" s="140" t="str">
        <v>EUR12F3Y=ICAP</v>
      </c>
      <c r="N205" s="78">
        <v>2.19</v>
      </c>
      <c r="O205" s="111"/>
      <c r="P205" s="78">
        <v>2.19</v>
      </c>
      <c r="Q205" s="111"/>
      <c r="R205" s="78">
        <v>2.19</v>
      </c>
      <c r="S205" s="78" t="e">
        <f ca="1">_xll.qlSimpleQuoteSetValue(E205,R205/100,Trigger)</f>
        <v>#NAME?</v>
      </c>
      <c r="T205" s="130"/>
      <c r="V205" s="161"/>
    </row>
    <row r="206" spans="1:22" x14ac:dyDescent="0.2">
      <c r="A206" s="135"/>
      <c r="B206" s="45" t="str">
        <f t="shared" si="23"/>
        <v>4Y</v>
      </c>
      <c r="C206" s="45" t="str">
        <f t="shared" si="24"/>
        <v>12F</v>
      </c>
      <c r="D206" s="43" t="str">
        <f t="shared" si="25"/>
        <v>EUR12F4Y_Quote</v>
      </c>
      <c r="E206" s="43" t="e">
        <f ca="1">_xll.qlSimpleQuote(D206,,RateTickValue,Permanent,Trigger,ObjectOverwrite)</f>
        <v>#NAME?</v>
      </c>
      <c r="F206" s="42" t="e">
        <f ca="1">_xll.ohRangeRetrieveError(E206)</f>
        <v>#NAME?</v>
      </c>
      <c r="G206" s="36"/>
      <c r="H206" s="162"/>
      <c r="I206" s="113"/>
      <c r="J206" s="138" t="s">
        <v>52</v>
      </c>
      <c r="K206" s="138" t="str">
        <f t="shared" si="27"/>
        <v>12F</v>
      </c>
      <c r="L206" s="140" t="str">
        <f t="shared" si="26"/>
        <v>EUR12F4Y</v>
      </c>
      <c r="M206" s="140" t="str">
        <v>EUR12F4Y=ICAP</v>
      </c>
      <c r="N206" s="78">
        <v>2.1800000000000002</v>
      </c>
      <c r="O206" s="111"/>
      <c r="P206" s="78">
        <v>2.1800000000000002</v>
      </c>
      <c r="Q206" s="111"/>
      <c r="R206" s="78">
        <v>2.1800000000000002</v>
      </c>
      <c r="S206" s="78" t="e">
        <f ca="1">_xll.qlSimpleQuoteSetValue(E206,R206/100,Trigger)</f>
        <v>#NAME?</v>
      </c>
      <c r="T206" s="130"/>
      <c r="V206" s="161"/>
    </row>
    <row r="207" spans="1:22" x14ac:dyDescent="0.2">
      <c r="A207" s="135"/>
      <c r="B207" s="45" t="str">
        <f t="shared" si="23"/>
        <v>5Y</v>
      </c>
      <c r="C207" s="45" t="str">
        <f t="shared" si="24"/>
        <v>12F</v>
      </c>
      <c r="D207" s="43" t="str">
        <f t="shared" si="25"/>
        <v>EUR12F5Y_Quote</v>
      </c>
      <c r="E207" s="43" t="e">
        <f ca="1">_xll.qlSimpleQuote(D207,,RateTickValue,Permanent,Trigger,ObjectOverwrite)</f>
        <v>#NAME?</v>
      </c>
      <c r="F207" s="42" t="e">
        <f ca="1">_xll.ohRangeRetrieveError(E207)</f>
        <v>#NAME?</v>
      </c>
      <c r="G207" s="36"/>
      <c r="H207" s="162"/>
      <c r="I207" s="113"/>
      <c r="J207" s="138" t="s">
        <v>51</v>
      </c>
      <c r="K207" s="138" t="str">
        <f t="shared" si="27"/>
        <v>12F</v>
      </c>
      <c r="L207" s="140" t="str">
        <f t="shared" si="26"/>
        <v>EUR12F5Y</v>
      </c>
      <c r="M207" s="140" t="str">
        <v>EUR12F5Y=ICAP</v>
      </c>
      <c r="N207" s="78">
        <v>2.1720000000000002</v>
      </c>
      <c r="O207" s="111"/>
      <c r="P207" s="78">
        <v>2.1720000000000002</v>
      </c>
      <c r="Q207" s="111"/>
      <c r="R207" s="78">
        <v>2.1720000000000002</v>
      </c>
      <c r="S207" s="78" t="e">
        <f ca="1">_xll.qlSimpleQuoteSetValue(E207,R207/100,Trigger)</f>
        <v>#NAME?</v>
      </c>
      <c r="T207" s="130"/>
      <c r="V207" s="161"/>
    </row>
    <row r="208" spans="1:22" x14ac:dyDescent="0.2">
      <c r="A208" s="135"/>
      <c r="B208" s="45" t="str">
        <f t="shared" si="23"/>
        <v>6Y</v>
      </c>
      <c r="C208" s="45" t="str">
        <f t="shared" si="24"/>
        <v>12F</v>
      </c>
      <c r="D208" s="43" t="str">
        <f t="shared" si="25"/>
        <v>EUR12F6Y_Quote</v>
      </c>
      <c r="E208" s="43" t="e">
        <f ca="1">_xll.qlSimpleQuote(D208,,RateTickValue,Permanent,Trigger,ObjectOverwrite)</f>
        <v>#NAME?</v>
      </c>
      <c r="F208" s="42" t="e">
        <f ca="1">_xll.ohRangeRetrieveError(E208)</f>
        <v>#NAME?</v>
      </c>
      <c r="G208" s="36"/>
      <c r="H208" s="162"/>
      <c r="I208" s="113"/>
      <c r="J208" s="138" t="s">
        <v>50</v>
      </c>
      <c r="K208" s="138" t="str">
        <f t="shared" si="27"/>
        <v>12F</v>
      </c>
      <c r="L208" s="140" t="str">
        <f t="shared" si="26"/>
        <v>EUR12F6Y</v>
      </c>
      <c r="M208" s="140" t="str">
        <v>EUR12F6Y=ICAP</v>
      </c>
      <c r="N208" s="78">
        <v>2.1520000000000001</v>
      </c>
      <c r="O208" s="111"/>
      <c r="P208" s="78">
        <v>2.1520000000000001</v>
      </c>
      <c r="Q208" s="111"/>
      <c r="R208" s="78">
        <v>2.1520000000000001</v>
      </c>
      <c r="S208" s="78" t="e">
        <f ca="1">_xll.qlSimpleQuoteSetValue(E208,R208/100,Trigger)</f>
        <v>#NAME?</v>
      </c>
      <c r="T208" s="130"/>
      <c r="V208" s="161"/>
    </row>
    <row r="209" spans="1:22" x14ac:dyDescent="0.2">
      <c r="A209" s="135"/>
      <c r="B209" s="45" t="str">
        <f t="shared" si="23"/>
        <v>7Y</v>
      </c>
      <c r="C209" s="45" t="str">
        <f t="shared" si="24"/>
        <v>12F</v>
      </c>
      <c r="D209" s="43" t="str">
        <f t="shared" si="25"/>
        <v>EUR12F7Y_Quote</v>
      </c>
      <c r="E209" s="43" t="e">
        <f ca="1">_xll.qlSimpleQuote(D209,,RateTickValue,Permanent,Trigger,ObjectOverwrite)</f>
        <v>#NAME?</v>
      </c>
      <c r="F209" s="42" t="e">
        <f ca="1">_xll.ohRangeRetrieveError(E209)</f>
        <v>#NAME?</v>
      </c>
      <c r="G209" s="36"/>
      <c r="H209" s="162"/>
      <c r="I209" s="113"/>
      <c r="J209" s="138" t="s">
        <v>49</v>
      </c>
      <c r="K209" s="138" t="str">
        <f t="shared" si="27"/>
        <v>12F</v>
      </c>
      <c r="L209" s="140" t="str">
        <f t="shared" si="26"/>
        <v>EUR12F7Y</v>
      </c>
      <c r="M209" s="140" t="str">
        <v>EUR12F7Y=ICAP</v>
      </c>
      <c r="N209" s="78">
        <v>2.13</v>
      </c>
      <c r="O209" s="111"/>
      <c r="P209" s="78">
        <v>2.13</v>
      </c>
      <c r="Q209" s="111"/>
      <c r="R209" s="78">
        <v>2.13</v>
      </c>
      <c r="S209" s="78" t="e">
        <f ca="1">_xll.qlSimpleQuoteSetValue(E209,R209/100,Trigger)</f>
        <v>#NAME?</v>
      </c>
      <c r="T209" s="130"/>
      <c r="V209" s="161"/>
    </row>
    <row r="210" spans="1:22" x14ac:dyDescent="0.2">
      <c r="A210" s="135"/>
      <c r="B210" s="45" t="str">
        <f t="shared" si="23"/>
        <v>8Y</v>
      </c>
      <c r="C210" s="45" t="str">
        <f t="shared" si="24"/>
        <v>12F</v>
      </c>
      <c r="D210" s="43" t="str">
        <f t="shared" si="25"/>
        <v>EUR12F8Y_Quote</v>
      </c>
      <c r="E210" s="43" t="e">
        <f ca="1">_xll.qlSimpleQuote(D210,,RateTickValue,Permanent,Trigger,ObjectOverwrite)</f>
        <v>#NAME?</v>
      </c>
      <c r="F210" s="42" t="e">
        <f ca="1">_xll.ohRangeRetrieveError(E210)</f>
        <v>#NAME?</v>
      </c>
      <c r="G210" s="36"/>
      <c r="H210" s="162"/>
      <c r="I210" s="113"/>
      <c r="J210" s="138" t="s">
        <v>48</v>
      </c>
      <c r="K210" s="138" t="str">
        <f t="shared" si="27"/>
        <v>12F</v>
      </c>
      <c r="L210" s="140" t="str">
        <f t="shared" si="26"/>
        <v>EUR12F8Y</v>
      </c>
      <c r="M210" s="140" t="str">
        <v>EUR12F8Y=ICAP</v>
      </c>
      <c r="N210" s="78">
        <v>2.1019999999999999</v>
      </c>
      <c r="O210" s="111"/>
      <c r="P210" s="78">
        <v>2.1019999999999999</v>
      </c>
      <c r="Q210" s="111"/>
      <c r="R210" s="78">
        <v>2.1019999999999999</v>
      </c>
      <c r="S210" s="78" t="e">
        <f ca="1">_xll.qlSimpleQuoteSetValue(E210,R210/100,Trigger)</f>
        <v>#NAME?</v>
      </c>
      <c r="T210" s="130"/>
      <c r="V210" s="161"/>
    </row>
    <row r="211" spans="1:22" x14ac:dyDescent="0.2">
      <c r="A211" s="135"/>
      <c r="B211" s="45" t="str">
        <f t="shared" si="23"/>
        <v>9Y</v>
      </c>
      <c r="C211" s="45" t="str">
        <f t="shared" si="24"/>
        <v>12F</v>
      </c>
      <c r="D211" s="43" t="str">
        <f t="shared" si="25"/>
        <v>EUR12F9Y_Quote</v>
      </c>
      <c r="E211" s="43" t="e">
        <f ca="1">_xll.qlSimpleQuote(D211,,RateTickValue,Permanent,Trigger,ObjectOverwrite)</f>
        <v>#NAME?</v>
      </c>
      <c r="F211" s="42" t="e">
        <f ca="1">_xll.ohRangeRetrieveError(E211)</f>
        <v>#NAME?</v>
      </c>
      <c r="G211" s="36"/>
      <c r="H211" s="162"/>
      <c r="I211" s="113"/>
      <c r="J211" s="138" t="s">
        <v>47</v>
      </c>
      <c r="K211" s="138" t="str">
        <f t="shared" si="27"/>
        <v>12F</v>
      </c>
      <c r="L211" s="140" t="str">
        <f t="shared" si="26"/>
        <v>EUR12F9Y</v>
      </c>
      <c r="M211" s="140" t="str">
        <v>EUR12F9Y=ICAP</v>
      </c>
      <c r="N211" s="78">
        <v>2.073</v>
      </c>
      <c r="O211" s="111"/>
      <c r="P211" s="78">
        <v>2.073</v>
      </c>
      <c r="Q211" s="111"/>
      <c r="R211" s="78">
        <v>2.073</v>
      </c>
      <c r="S211" s="78" t="e">
        <f ca="1">_xll.qlSimpleQuoteSetValue(E211,R211/100,Trigger)</f>
        <v>#NAME?</v>
      </c>
      <c r="T211" s="130"/>
      <c r="V211" s="161"/>
    </row>
    <row r="212" spans="1:22" x14ac:dyDescent="0.2">
      <c r="A212" s="135"/>
      <c r="B212" s="45" t="str">
        <f t="shared" si="23"/>
        <v>10Y</v>
      </c>
      <c r="C212" s="45" t="str">
        <f t="shared" si="24"/>
        <v>12F</v>
      </c>
      <c r="D212" s="43" t="str">
        <f t="shared" si="25"/>
        <v>EUR12F10Y_Quote</v>
      </c>
      <c r="E212" s="43" t="e">
        <f ca="1">_xll.qlSimpleQuote(D212,,RateTickValue,Permanent,Trigger,ObjectOverwrite)</f>
        <v>#NAME?</v>
      </c>
      <c r="F212" s="42" t="e">
        <f ca="1">_xll.ohRangeRetrieveError(E212)</f>
        <v>#NAME?</v>
      </c>
      <c r="G212" s="36"/>
      <c r="H212" s="162"/>
      <c r="I212" s="113"/>
      <c r="J212" s="138" t="s">
        <v>46</v>
      </c>
      <c r="K212" s="138" t="str">
        <f t="shared" si="27"/>
        <v>12F</v>
      </c>
      <c r="L212" s="140" t="str">
        <f t="shared" si="26"/>
        <v>EUR12F10Y</v>
      </c>
      <c r="M212" s="140" t="str">
        <v>EUR12F10Y=ICAP</v>
      </c>
      <c r="N212" s="78">
        <v>2.0449999999999999</v>
      </c>
      <c r="O212" s="111"/>
      <c r="P212" s="78">
        <v>2.0449999999999999</v>
      </c>
      <c r="Q212" s="111"/>
      <c r="R212" s="78">
        <v>2.0449999999999999</v>
      </c>
      <c r="S212" s="78" t="e">
        <f ca="1">_xll.qlSimpleQuoteSetValue(E212,R212/100,Trigger)</f>
        <v>#NAME?</v>
      </c>
      <c r="T212" s="130"/>
      <c r="V212" s="161"/>
    </row>
    <row r="213" spans="1:22" x14ac:dyDescent="0.2">
      <c r="A213" s="135"/>
      <c r="B213" s="45" t="str">
        <f t="shared" si="23"/>
        <v>11Y</v>
      </c>
      <c r="C213" s="45" t="str">
        <f t="shared" si="24"/>
        <v>12F</v>
      </c>
      <c r="D213" s="43" t="str">
        <f t="shared" si="25"/>
        <v>EUR12F11Y_Quote</v>
      </c>
      <c r="E213" s="43" t="e">
        <f ca="1">_xll.qlSimpleQuote(D213,,RateTickValue,Permanent,Trigger,ObjectOverwrite)</f>
        <v>#NAME?</v>
      </c>
      <c r="F213" s="42" t="e">
        <f ca="1">_xll.ohRangeRetrieveError(E213)</f>
        <v>#NAME?</v>
      </c>
      <c r="G213" s="36"/>
      <c r="H213" s="162"/>
      <c r="I213" s="113"/>
      <c r="J213" s="138" t="s">
        <v>45</v>
      </c>
      <c r="K213" s="138" t="str">
        <f t="shared" si="27"/>
        <v>12F</v>
      </c>
      <c r="L213" s="140" t="str">
        <f t="shared" si="26"/>
        <v>EUR12F11Y</v>
      </c>
      <c r="M213" s="140" t="str">
        <v>EUR12F11Y=ICAP</v>
      </c>
      <c r="N213" s="78">
        <v>2.012</v>
      </c>
      <c r="O213" s="111"/>
      <c r="P213" s="78">
        <v>2.012</v>
      </c>
      <c r="Q213" s="111"/>
      <c r="R213" s="78">
        <v>2.012</v>
      </c>
      <c r="S213" s="78" t="e">
        <f ca="1">_xll.qlSimpleQuoteSetValue(E213,R213/100,Trigger)</f>
        <v>#NAME?</v>
      </c>
      <c r="T213" s="130"/>
      <c r="V213" s="161"/>
    </row>
    <row r="214" spans="1:22" x14ac:dyDescent="0.2">
      <c r="A214" s="135"/>
      <c r="B214" s="45" t="str">
        <f t="shared" si="23"/>
        <v>12Y</v>
      </c>
      <c r="C214" s="45" t="str">
        <f t="shared" si="24"/>
        <v>12F</v>
      </c>
      <c r="D214" s="43" t="str">
        <f t="shared" si="25"/>
        <v>EUR12F12Y_Quote</v>
      </c>
      <c r="E214" s="43" t="e">
        <f ca="1">_xll.qlSimpleQuote(D214,,RateTickValue,Permanent,Trigger,ObjectOverwrite)</f>
        <v>#NAME?</v>
      </c>
      <c r="F214" s="42" t="e">
        <f ca="1">_xll.ohRangeRetrieveError(E214)</f>
        <v>#NAME?</v>
      </c>
      <c r="G214" s="36"/>
      <c r="H214" s="162"/>
      <c r="I214" s="113"/>
      <c r="J214" s="138" t="s">
        <v>44</v>
      </c>
      <c r="K214" s="138" t="str">
        <f t="shared" si="27"/>
        <v>12F</v>
      </c>
      <c r="L214" s="140" t="str">
        <f t="shared" si="26"/>
        <v>EUR12F12Y</v>
      </c>
      <c r="M214" s="140" t="str">
        <v>EUR12F12Y=ICAP</v>
      </c>
      <c r="N214" s="78">
        <v>1.9830000000000001</v>
      </c>
      <c r="O214" s="111"/>
      <c r="P214" s="78">
        <v>1.9830000000000001</v>
      </c>
      <c r="Q214" s="111"/>
      <c r="R214" s="78">
        <v>1.9830000000000001</v>
      </c>
      <c r="S214" s="78" t="e">
        <f ca="1">_xll.qlSimpleQuoteSetValue(E214,R214/100,Trigger)</f>
        <v>#NAME?</v>
      </c>
      <c r="T214" s="130"/>
      <c r="V214" s="161"/>
    </row>
    <row r="215" spans="1:22" x14ac:dyDescent="0.2">
      <c r="A215" s="135"/>
      <c r="B215" s="45" t="str">
        <f t="shared" si="23"/>
        <v>13Y</v>
      </c>
      <c r="C215" s="45" t="str">
        <f t="shared" si="24"/>
        <v>12F</v>
      </c>
      <c r="D215" s="43" t="str">
        <f t="shared" si="25"/>
        <v>EUR12F13Y_Quote</v>
      </c>
      <c r="E215" s="43" t="e">
        <f ca="1">_xll.qlSimpleQuote(D215,,RateTickValue,Permanent,Trigger,ObjectOverwrite)</f>
        <v>#NAME?</v>
      </c>
      <c r="F215" s="42" t="e">
        <f ca="1">_xll.ohRangeRetrieveError(E215)</f>
        <v>#NAME?</v>
      </c>
      <c r="G215" s="36"/>
      <c r="H215" s="162"/>
      <c r="I215" s="113"/>
      <c r="J215" s="138" t="s">
        <v>43</v>
      </c>
      <c r="K215" s="138" t="str">
        <f t="shared" si="27"/>
        <v>12F</v>
      </c>
      <c r="L215" s="140" t="str">
        <f t="shared" si="26"/>
        <v>EUR12F13Y</v>
      </c>
      <c r="M215" s="140" t="str">
        <v>EUR12F13Y=ICAP</v>
      </c>
      <c r="N215" s="78">
        <v>1.956</v>
      </c>
      <c r="O215" s="111"/>
      <c r="P215" s="78">
        <v>1.956</v>
      </c>
      <c r="Q215" s="111"/>
      <c r="R215" s="78">
        <v>1.956</v>
      </c>
      <c r="S215" s="78" t="e">
        <f ca="1">_xll.qlSimpleQuoteSetValue(E215,R215/100,Trigger)</f>
        <v>#NAME?</v>
      </c>
      <c r="T215" s="130"/>
      <c r="V215" s="161"/>
    </row>
    <row r="216" spans="1:22" x14ac:dyDescent="0.2">
      <c r="A216" s="135"/>
      <c r="B216" s="45" t="str">
        <f t="shared" si="23"/>
        <v>14Y</v>
      </c>
      <c r="C216" s="45" t="str">
        <f t="shared" si="24"/>
        <v>12F</v>
      </c>
      <c r="D216" s="43" t="str">
        <f t="shared" si="25"/>
        <v>EUR12F14Y_Quote</v>
      </c>
      <c r="E216" s="43" t="e">
        <f ca="1">_xll.qlSimpleQuote(D216,,RateTickValue,Permanent,Trigger,ObjectOverwrite)</f>
        <v>#NAME?</v>
      </c>
      <c r="F216" s="42" t="e">
        <f ca="1">_xll.ohRangeRetrieveError(E216)</f>
        <v>#NAME?</v>
      </c>
      <c r="G216" s="36"/>
      <c r="H216" s="162"/>
      <c r="I216" s="113"/>
      <c r="J216" s="138" t="s">
        <v>42</v>
      </c>
      <c r="K216" s="138" t="str">
        <f t="shared" si="27"/>
        <v>12F</v>
      </c>
      <c r="L216" s="140" t="str">
        <f t="shared" si="26"/>
        <v>EUR12F14Y</v>
      </c>
      <c r="M216" s="140" t="str">
        <v>EUR12F14Y=ICAP</v>
      </c>
      <c r="N216" s="78">
        <v>1.9300000000000002</v>
      </c>
      <c r="O216" s="111"/>
      <c r="P216" s="78">
        <v>1.9300000000000002</v>
      </c>
      <c r="Q216" s="111"/>
      <c r="R216" s="78">
        <v>1.9300000000000002</v>
      </c>
      <c r="S216" s="78" t="e">
        <f ca="1">_xll.qlSimpleQuoteSetValue(E216,R216/100,Trigger)</f>
        <v>#NAME?</v>
      </c>
      <c r="T216" s="130"/>
      <c r="V216" s="161"/>
    </row>
    <row r="217" spans="1:22" x14ac:dyDescent="0.2">
      <c r="A217" s="135"/>
      <c r="B217" s="45" t="str">
        <f t="shared" si="23"/>
        <v>15Y</v>
      </c>
      <c r="C217" s="45" t="str">
        <f t="shared" si="24"/>
        <v>12F</v>
      </c>
      <c r="D217" s="43" t="str">
        <f t="shared" si="25"/>
        <v>EUR12F15Y_Quote</v>
      </c>
      <c r="E217" s="43" t="e">
        <f ca="1">_xll.qlSimpleQuote(D217,,RateTickValue,Permanent,Trigger,ObjectOverwrite)</f>
        <v>#NAME?</v>
      </c>
      <c r="F217" s="42" t="e">
        <f ca="1">_xll.ohRangeRetrieveError(E217)</f>
        <v>#NAME?</v>
      </c>
      <c r="G217" s="36"/>
      <c r="H217" s="162"/>
      <c r="I217" s="113"/>
      <c r="J217" s="138" t="s">
        <v>41</v>
      </c>
      <c r="K217" s="138" t="str">
        <f t="shared" si="27"/>
        <v>12F</v>
      </c>
      <c r="L217" s="140" t="str">
        <f t="shared" si="26"/>
        <v>EUR12F15Y</v>
      </c>
      <c r="M217" s="140" t="str">
        <v>EUR12F15Y=ICAP</v>
      </c>
      <c r="N217" s="78">
        <v>1.9079999999999999</v>
      </c>
      <c r="O217" s="111"/>
      <c r="P217" s="78">
        <v>1.9079999999999999</v>
      </c>
      <c r="Q217" s="111"/>
      <c r="R217" s="78">
        <v>1.9079999999999999</v>
      </c>
      <c r="S217" s="78" t="e">
        <f ca="1">_xll.qlSimpleQuoteSetValue(E217,R217/100,Trigger)</f>
        <v>#NAME?</v>
      </c>
      <c r="T217" s="130"/>
      <c r="V217" s="161"/>
    </row>
    <row r="218" spans="1:22" x14ac:dyDescent="0.2">
      <c r="A218" s="135"/>
      <c r="B218" s="45" t="str">
        <f t="shared" si="23"/>
        <v>20Y</v>
      </c>
      <c r="C218" s="45" t="str">
        <f t="shared" si="24"/>
        <v>12F</v>
      </c>
      <c r="D218" s="43" t="str">
        <f t="shared" si="25"/>
        <v>EUR12F20Y_Quote</v>
      </c>
      <c r="E218" s="43" t="e">
        <f ca="1">_xll.qlSimpleQuote(D218,,RateTickValue,Permanent,Trigger,ObjectOverwrite)</f>
        <v>#NAME?</v>
      </c>
      <c r="F218" s="42" t="e">
        <f ca="1">_xll.ohRangeRetrieveError(E218)</f>
        <v>#NAME?</v>
      </c>
      <c r="G218" s="36"/>
      <c r="H218" s="162"/>
      <c r="I218" s="113"/>
      <c r="J218" s="138" t="s">
        <v>36</v>
      </c>
      <c r="K218" s="138" t="str">
        <f t="shared" si="27"/>
        <v>12F</v>
      </c>
      <c r="L218" s="140" t="str">
        <f t="shared" si="26"/>
        <v>EUR12F20Y</v>
      </c>
      <c r="M218" s="140" t="str">
        <v>EUR12F20Y=ICAP</v>
      </c>
      <c r="N218" s="78">
        <v>1.831</v>
      </c>
      <c r="O218" s="111"/>
      <c r="P218" s="78">
        <v>1.831</v>
      </c>
      <c r="Q218" s="111"/>
      <c r="R218" s="78">
        <v>1.831</v>
      </c>
      <c r="S218" s="78" t="e">
        <f ca="1">_xll.qlSimpleQuoteSetValue(E218,R218/100,Trigger)</f>
        <v>#NAME?</v>
      </c>
      <c r="T218" s="130"/>
      <c r="V218" s="161"/>
    </row>
    <row r="219" spans="1:22" x14ac:dyDescent="0.2">
      <c r="A219" s="135"/>
      <c r="B219" s="45" t="str">
        <f t="shared" si="23"/>
        <v>25Y</v>
      </c>
      <c r="C219" s="45" t="str">
        <f t="shared" si="24"/>
        <v>12F</v>
      </c>
      <c r="D219" s="43" t="str">
        <f t="shared" si="25"/>
        <v>EUR12F25Y_Quote</v>
      </c>
      <c r="E219" s="43" t="e">
        <f ca="1">_xll.qlSimpleQuote(D219,,RateTickValue,Permanent,Trigger,ObjectOverwrite)</f>
        <v>#NAME?</v>
      </c>
      <c r="F219" s="42" t="e">
        <f ca="1">_xll.ohRangeRetrieveError(E219)</f>
        <v>#NAME?</v>
      </c>
      <c r="G219" s="36"/>
      <c r="H219" s="162"/>
      <c r="I219" s="113"/>
      <c r="J219" s="138" t="s">
        <v>31</v>
      </c>
      <c r="K219" s="138" t="str">
        <f t="shared" si="27"/>
        <v>12F</v>
      </c>
      <c r="L219" s="140" t="str">
        <f t="shared" si="26"/>
        <v>EUR12F25Y</v>
      </c>
      <c r="M219" s="140" t="str">
        <v>EUR12F25Y=ICAP</v>
      </c>
      <c r="N219" s="78">
        <v>1.786</v>
      </c>
      <c r="O219" s="111"/>
      <c r="P219" s="78">
        <v>1.786</v>
      </c>
      <c r="Q219" s="111"/>
      <c r="R219" s="78">
        <v>1.786</v>
      </c>
      <c r="S219" s="78" t="e">
        <f ca="1">_xll.qlSimpleQuoteSetValue(E219,R219/100,Trigger)</f>
        <v>#NAME?</v>
      </c>
      <c r="T219" s="130"/>
      <c r="V219" s="161"/>
    </row>
    <row r="220" spans="1:22" x14ac:dyDescent="0.2">
      <c r="A220" s="135"/>
      <c r="B220" s="45" t="str">
        <f t="shared" si="23"/>
        <v>30Y</v>
      </c>
      <c r="C220" s="45" t="str">
        <f t="shared" si="24"/>
        <v>12F</v>
      </c>
      <c r="D220" s="43" t="str">
        <f t="shared" si="25"/>
        <v>EUR12F30Y_Quote</v>
      </c>
      <c r="E220" s="43" t="e">
        <f ca="1">_xll.qlSimpleQuote(D220,,RateTickValue,Permanent,Trigger,ObjectOverwrite)</f>
        <v>#NAME?</v>
      </c>
      <c r="F220" s="42" t="e">
        <f ca="1">_xll.ohRangeRetrieveError(E220)</f>
        <v>#NAME?</v>
      </c>
      <c r="G220" s="36"/>
      <c r="H220" s="162"/>
      <c r="I220" s="113"/>
      <c r="J220" s="131" t="s">
        <v>26</v>
      </c>
      <c r="K220" s="131" t="str">
        <f t="shared" si="27"/>
        <v>12F</v>
      </c>
      <c r="L220" s="133" t="str">
        <f t="shared" si="26"/>
        <v>EUR12F30Y</v>
      </c>
      <c r="M220" s="133" t="str">
        <v>EUR12F30Y=ICAP</v>
      </c>
      <c r="N220" s="65">
        <v>1.74</v>
      </c>
      <c r="O220" s="111"/>
      <c r="P220" s="65">
        <v>1.74</v>
      </c>
      <c r="Q220" s="111"/>
      <c r="R220" s="65">
        <v>1.74</v>
      </c>
      <c r="S220" s="65" t="e">
        <f ca="1">_xll.qlSimpleQuoteSetValue(E220,R220/100,Trigger)</f>
        <v>#NAME?</v>
      </c>
      <c r="T220" s="130"/>
      <c r="V220" s="161"/>
    </row>
    <row r="221" spans="1:22" x14ac:dyDescent="0.2">
      <c r="A221" s="135"/>
      <c r="B221" s="45" t="str">
        <f t="shared" si="23"/>
        <v>1Y</v>
      </c>
      <c r="C221" s="45" t="str">
        <f t="shared" si="24"/>
        <v>13F</v>
      </c>
      <c r="D221" s="43" t="str">
        <f t="shared" si="25"/>
        <v>EUR13F1Y_Quote</v>
      </c>
      <c r="E221" s="43" t="e">
        <f ca="1">_xll.qlSimpleQuote(D221,,RateTickValue,Permanent,Trigger,ObjectOverwrite)</f>
        <v>#NAME?</v>
      </c>
      <c r="F221" s="42" t="e">
        <f ca="1">_xll.ohRangeRetrieveError(E221)</f>
        <v>#NAME?</v>
      </c>
      <c r="G221" s="36"/>
      <c r="H221" s="162"/>
      <c r="I221" s="135">
        <v>13</v>
      </c>
      <c r="J221" s="164" t="s">
        <v>58</v>
      </c>
      <c r="K221" s="164" t="str">
        <f t="shared" ref="K221:K238" si="28">$I$221&amp;"F"</f>
        <v>13F</v>
      </c>
      <c r="L221" s="163" t="str">
        <f t="shared" si="26"/>
        <v>EUR13F1Y</v>
      </c>
      <c r="M221" s="163" t="str">
        <v>EUR13F1Y=ICAP</v>
      </c>
      <c r="N221" s="89">
        <v>2.194</v>
      </c>
      <c r="O221" s="111"/>
      <c r="P221" s="89">
        <v>2.194</v>
      </c>
      <c r="Q221" s="111"/>
      <c r="R221" s="89">
        <v>2.194</v>
      </c>
      <c r="S221" s="89" t="e">
        <f ca="1">_xll.qlSimpleQuoteSetValue(E221,R221/100,Trigger)</f>
        <v>#NAME?</v>
      </c>
      <c r="T221" s="130"/>
      <c r="V221" s="161"/>
    </row>
    <row r="222" spans="1:22" x14ac:dyDescent="0.2">
      <c r="A222" s="135"/>
      <c r="B222" s="45" t="str">
        <f t="shared" si="23"/>
        <v>2Y</v>
      </c>
      <c r="C222" s="45" t="str">
        <f t="shared" si="24"/>
        <v>13F</v>
      </c>
      <c r="D222" s="43" t="str">
        <f t="shared" si="25"/>
        <v>EUR13F2Y_Quote</v>
      </c>
      <c r="E222" s="43" t="e">
        <f ca="1">_xll.qlSimpleQuote(D222,,RateTickValue,Permanent,Trigger,ObjectOverwrite)</f>
        <v>#NAME?</v>
      </c>
      <c r="F222" s="42" t="e">
        <f ca="1">_xll.ohRangeRetrieveError(E222)</f>
        <v>#NAME?</v>
      </c>
      <c r="G222" s="36"/>
      <c r="H222" s="162"/>
      <c r="I222" s="113"/>
      <c r="J222" s="138" t="s">
        <v>54</v>
      </c>
      <c r="K222" s="138" t="str">
        <f t="shared" si="28"/>
        <v>13F</v>
      </c>
      <c r="L222" s="140" t="str">
        <f t="shared" si="26"/>
        <v>EUR13F2Y</v>
      </c>
      <c r="M222" s="140" t="str">
        <v>EUR13F2Y=ICAP</v>
      </c>
      <c r="N222" s="78">
        <v>2.1909999999999998</v>
      </c>
      <c r="O222" s="111"/>
      <c r="P222" s="78">
        <v>2.1909999999999998</v>
      </c>
      <c r="Q222" s="111"/>
      <c r="R222" s="78">
        <v>2.1909999999999998</v>
      </c>
      <c r="S222" s="78" t="e">
        <f ca="1">_xll.qlSimpleQuoteSetValue(E222,R222/100,Trigger)</f>
        <v>#NAME?</v>
      </c>
      <c r="T222" s="130"/>
      <c r="V222" s="161"/>
    </row>
    <row r="223" spans="1:22" x14ac:dyDescent="0.2">
      <c r="A223" s="135"/>
      <c r="B223" s="45" t="str">
        <f t="shared" si="23"/>
        <v>3Y</v>
      </c>
      <c r="C223" s="45" t="str">
        <f t="shared" si="24"/>
        <v>13F</v>
      </c>
      <c r="D223" s="43" t="str">
        <f t="shared" si="25"/>
        <v>EUR13F3Y_Quote</v>
      </c>
      <c r="E223" s="43" t="e">
        <f ca="1">_xll.qlSimpleQuote(D223,,RateTickValue,Permanent,Trigger,ObjectOverwrite)</f>
        <v>#NAME?</v>
      </c>
      <c r="F223" s="42" t="e">
        <f ca="1">_xll.ohRangeRetrieveError(E223)</f>
        <v>#NAME?</v>
      </c>
      <c r="G223" s="36"/>
      <c r="H223" s="162"/>
      <c r="I223" s="113"/>
      <c r="J223" s="138" t="s">
        <v>53</v>
      </c>
      <c r="K223" s="138" t="str">
        <f t="shared" si="28"/>
        <v>13F</v>
      </c>
      <c r="L223" s="140" t="str">
        <f t="shared" si="26"/>
        <v>EUR13F3Y</v>
      </c>
      <c r="M223" s="140" t="str">
        <v>EUR13F3Y=ICAP</v>
      </c>
      <c r="N223" s="78">
        <v>2.1779999999999999</v>
      </c>
      <c r="O223" s="111"/>
      <c r="P223" s="78">
        <v>2.1779999999999999</v>
      </c>
      <c r="Q223" s="111"/>
      <c r="R223" s="78">
        <v>2.1779999999999999</v>
      </c>
      <c r="S223" s="78" t="e">
        <f ca="1">_xll.qlSimpleQuoteSetValue(E223,R223/100,Trigger)</f>
        <v>#NAME?</v>
      </c>
      <c r="T223" s="130"/>
      <c r="V223" s="161"/>
    </row>
    <row r="224" spans="1:22" x14ac:dyDescent="0.2">
      <c r="A224" s="135"/>
      <c r="B224" s="45" t="str">
        <f t="shared" si="23"/>
        <v>4Y</v>
      </c>
      <c r="C224" s="45" t="str">
        <f t="shared" si="24"/>
        <v>13F</v>
      </c>
      <c r="D224" s="43" t="str">
        <f t="shared" si="25"/>
        <v>EUR13F4Y_Quote</v>
      </c>
      <c r="E224" s="43" t="e">
        <f ca="1">_xll.qlSimpleQuote(D224,,RateTickValue,Permanent,Trigger,ObjectOverwrite)</f>
        <v>#NAME?</v>
      </c>
      <c r="F224" s="42" t="e">
        <f ca="1">_xll.ohRangeRetrieveError(E224)</f>
        <v>#NAME?</v>
      </c>
      <c r="G224" s="36"/>
      <c r="H224" s="162"/>
      <c r="I224" s="113"/>
      <c r="J224" s="138" t="s">
        <v>52</v>
      </c>
      <c r="K224" s="138" t="str">
        <f t="shared" si="28"/>
        <v>13F</v>
      </c>
      <c r="L224" s="140" t="str">
        <f t="shared" si="26"/>
        <v>EUR13F4Y</v>
      </c>
      <c r="M224" s="140" t="str">
        <v>EUR13F4Y=ICAP</v>
      </c>
      <c r="N224" s="78">
        <v>2.1680000000000001</v>
      </c>
      <c r="O224" s="111"/>
      <c r="P224" s="78">
        <v>2.1680000000000001</v>
      </c>
      <c r="Q224" s="111"/>
      <c r="R224" s="78">
        <v>2.1680000000000001</v>
      </c>
      <c r="S224" s="78" t="e">
        <f ca="1">_xll.qlSimpleQuoteSetValue(E224,R224/100,Trigger)</f>
        <v>#NAME?</v>
      </c>
      <c r="T224" s="130"/>
      <c r="V224" s="161"/>
    </row>
    <row r="225" spans="1:22" x14ac:dyDescent="0.2">
      <c r="A225" s="135"/>
      <c r="B225" s="45" t="str">
        <f t="shared" si="23"/>
        <v>5Y</v>
      </c>
      <c r="C225" s="45" t="str">
        <f t="shared" si="24"/>
        <v>13F</v>
      </c>
      <c r="D225" s="43" t="str">
        <f t="shared" si="25"/>
        <v>EUR13F5Y_Quote</v>
      </c>
      <c r="E225" s="43" t="e">
        <f ca="1">_xll.qlSimpleQuote(D225,,RateTickValue,Permanent,Trigger,ObjectOverwrite)</f>
        <v>#NAME?</v>
      </c>
      <c r="F225" s="42" t="e">
        <f ca="1">_xll.ohRangeRetrieveError(E225)</f>
        <v>#NAME?</v>
      </c>
      <c r="G225" s="36"/>
      <c r="H225" s="162"/>
      <c r="I225" s="113"/>
      <c r="J225" s="138" t="s">
        <v>51</v>
      </c>
      <c r="K225" s="138" t="str">
        <f t="shared" si="28"/>
        <v>13F</v>
      </c>
      <c r="L225" s="140" t="str">
        <f t="shared" si="26"/>
        <v>EUR13F5Y</v>
      </c>
      <c r="M225" s="140" t="str">
        <v>EUR13F5Y=ICAP</v>
      </c>
      <c r="N225" s="78">
        <v>2.145</v>
      </c>
      <c r="O225" s="111"/>
      <c r="P225" s="78">
        <v>2.145</v>
      </c>
      <c r="Q225" s="111"/>
      <c r="R225" s="78">
        <v>2.145</v>
      </c>
      <c r="S225" s="78" t="e">
        <f ca="1">_xll.qlSimpleQuoteSetValue(E225,R225/100,Trigger)</f>
        <v>#NAME?</v>
      </c>
      <c r="T225" s="130"/>
      <c r="V225" s="161"/>
    </row>
    <row r="226" spans="1:22" x14ac:dyDescent="0.2">
      <c r="A226" s="135"/>
      <c r="B226" s="45" t="str">
        <f t="shared" si="23"/>
        <v>6Y</v>
      </c>
      <c r="C226" s="45" t="str">
        <f t="shared" si="24"/>
        <v>13F</v>
      </c>
      <c r="D226" s="43" t="str">
        <f t="shared" si="25"/>
        <v>EUR13F6Y_Quote</v>
      </c>
      <c r="E226" s="43" t="e">
        <f ca="1">_xll.qlSimpleQuote(D226,,RateTickValue,Permanent,Trigger,ObjectOverwrite)</f>
        <v>#NAME?</v>
      </c>
      <c r="F226" s="42" t="e">
        <f ca="1">_xll.ohRangeRetrieveError(E226)</f>
        <v>#NAME?</v>
      </c>
      <c r="G226" s="36"/>
      <c r="H226" s="162"/>
      <c r="I226" s="113"/>
      <c r="J226" s="138" t="s">
        <v>50</v>
      </c>
      <c r="K226" s="138" t="str">
        <f t="shared" si="28"/>
        <v>13F</v>
      </c>
      <c r="L226" s="140" t="str">
        <f t="shared" si="26"/>
        <v>EUR13F6Y</v>
      </c>
      <c r="M226" s="140" t="str">
        <v>EUR13F6Y=ICAP</v>
      </c>
      <c r="N226" s="78">
        <v>2.1189999999999998</v>
      </c>
      <c r="O226" s="111"/>
      <c r="P226" s="78">
        <v>2.1189999999999998</v>
      </c>
      <c r="Q226" s="111"/>
      <c r="R226" s="78">
        <v>2.1189999999999998</v>
      </c>
      <c r="S226" s="78" t="e">
        <f ca="1">_xll.qlSimpleQuoteSetValue(E226,R226/100,Trigger)</f>
        <v>#NAME?</v>
      </c>
      <c r="T226" s="130"/>
      <c r="V226" s="161"/>
    </row>
    <row r="227" spans="1:22" x14ac:dyDescent="0.2">
      <c r="A227" s="135"/>
      <c r="B227" s="45" t="str">
        <f t="shared" si="23"/>
        <v>7Y</v>
      </c>
      <c r="C227" s="45" t="str">
        <f t="shared" si="24"/>
        <v>13F</v>
      </c>
      <c r="D227" s="43" t="str">
        <f t="shared" si="25"/>
        <v>EUR13F7Y_Quote</v>
      </c>
      <c r="E227" s="43" t="e">
        <f ca="1">_xll.qlSimpleQuote(D227,,RateTickValue,Permanent,Trigger,ObjectOverwrite)</f>
        <v>#NAME?</v>
      </c>
      <c r="F227" s="42" t="e">
        <f ca="1">_xll.ohRangeRetrieveError(E227)</f>
        <v>#NAME?</v>
      </c>
      <c r="G227" s="36"/>
      <c r="H227" s="162"/>
      <c r="I227" s="113"/>
      <c r="J227" s="138" t="s">
        <v>49</v>
      </c>
      <c r="K227" s="138" t="str">
        <f t="shared" si="28"/>
        <v>13F</v>
      </c>
      <c r="L227" s="140" t="str">
        <f t="shared" si="26"/>
        <v>EUR13F7Y</v>
      </c>
      <c r="M227" s="140" t="str">
        <v>EUR13F7Y=ICAP</v>
      </c>
      <c r="N227" s="78">
        <v>2.089</v>
      </c>
      <c r="O227" s="111"/>
      <c r="P227" s="78">
        <v>2.089</v>
      </c>
      <c r="Q227" s="111"/>
      <c r="R227" s="78">
        <v>2.089</v>
      </c>
      <c r="S227" s="78" t="e">
        <f ca="1">_xll.qlSimpleQuoteSetValue(E227,R227/100,Trigger)</f>
        <v>#NAME?</v>
      </c>
      <c r="T227" s="130"/>
      <c r="V227" s="161"/>
    </row>
    <row r="228" spans="1:22" x14ac:dyDescent="0.2">
      <c r="A228" s="135"/>
      <c r="B228" s="45" t="str">
        <f t="shared" si="23"/>
        <v>8Y</v>
      </c>
      <c r="C228" s="45" t="str">
        <f t="shared" si="24"/>
        <v>13F</v>
      </c>
      <c r="D228" s="43" t="str">
        <f t="shared" si="25"/>
        <v>EUR13F8Y_Quote</v>
      </c>
      <c r="E228" s="43" t="e">
        <f ca="1">_xll.qlSimpleQuote(D228,,RateTickValue,Permanent,Trigger,ObjectOverwrite)</f>
        <v>#NAME?</v>
      </c>
      <c r="F228" s="42" t="e">
        <f ca="1">_xll.ohRangeRetrieveError(E228)</f>
        <v>#NAME?</v>
      </c>
      <c r="G228" s="36"/>
      <c r="H228" s="162"/>
      <c r="I228" s="113"/>
      <c r="J228" s="138" t="s">
        <v>48</v>
      </c>
      <c r="K228" s="138" t="str">
        <f t="shared" si="28"/>
        <v>13F</v>
      </c>
      <c r="L228" s="140" t="str">
        <f t="shared" si="26"/>
        <v>EUR13F8Y</v>
      </c>
      <c r="M228" s="140" t="str">
        <v>EUR13F8Y=ICAP</v>
      </c>
      <c r="N228" s="78">
        <v>2.0569999999999999</v>
      </c>
      <c r="O228" s="111"/>
      <c r="P228" s="78">
        <v>2.0569999999999999</v>
      </c>
      <c r="Q228" s="111"/>
      <c r="R228" s="78">
        <v>2.0569999999999999</v>
      </c>
      <c r="S228" s="78" t="e">
        <f ca="1">_xll.qlSimpleQuoteSetValue(E228,R228/100,Trigger)</f>
        <v>#NAME?</v>
      </c>
      <c r="T228" s="130"/>
      <c r="V228" s="161"/>
    </row>
    <row r="229" spans="1:22" x14ac:dyDescent="0.2">
      <c r="A229" s="135"/>
      <c r="B229" s="45" t="str">
        <f t="shared" si="23"/>
        <v>9Y</v>
      </c>
      <c r="C229" s="45" t="str">
        <f t="shared" si="24"/>
        <v>13F</v>
      </c>
      <c r="D229" s="43" t="str">
        <f t="shared" si="25"/>
        <v>EUR13F9Y_Quote</v>
      </c>
      <c r="E229" s="43" t="e">
        <f ca="1">_xll.qlSimpleQuote(D229,,RateTickValue,Permanent,Trigger,ObjectOverwrite)</f>
        <v>#NAME?</v>
      </c>
      <c r="F229" s="42" t="e">
        <f ca="1">_xll.ohRangeRetrieveError(E229)</f>
        <v>#NAME?</v>
      </c>
      <c r="G229" s="36"/>
      <c r="H229" s="162"/>
      <c r="I229" s="113"/>
      <c r="J229" s="138" t="s">
        <v>47</v>
      </c>
      <c r="K229" s="138" t="str">
        <f t="shared" si="28"/>
        <v>13F</v>
      </c>
      <c r="L229" s="140" t="str">
        <f t="shared" si="26"/>
        <v>EUR13F9Y</v>
      </c>
      <c r="M229" s="140" t="str">
        <v>EUR13F9Y=ICAP</v>
      </c>
      <c r="N229" s="78">
        <v>2.0270000000000001</v>
      </c>
      <c r="O229" s="111"/>
      <c r="P229" s="78">
        <v>2.0270000000000001</v>
      </c>
      <c r="Q229" s="111"/>
      <c r="R229" s="78">
        <v>2.0270000000000001</v>
      </c>
      <c r="S229" s="78" t="e">
        <f ca="1">_xll.qlSimpleQuoteSetValue(E229,R229/100,Trigger)</f>
        <v>#NAME?</v>
      </c>
      <c r="T229" s="130"/>
      <c r="V229" s="161"/>
    </row>
    <row r="230" spans="1:22" x14ac:dyDescent="0.2">
      <c r="A230" s="135"/>
      <c r="B230" s="45" t="str">
        <f t="shared" si="23"/>
        <v>10Y</v>
      </c>
      <c r="C230" s="45" t="str">
        <f t="shared" si="24"/>
        <v>13F</v>
      </c>
      <c r="D230" s="43" t="str">
        <f t="shared" si="25"/>
        <v>EUR13F10Y_Quote</v>
      </c>
      <c r="E230" s="43" t="e">
        <f ca="1">_xll.qlSimpleQuote(D230,,RateTickValue,Permanent,Trigger,ObjectOverwrite)</f>
        <v>#NAME?</v>
      </c>
      <c r="F230" s="42" t="e">
        <f ca="1">_xll.ohRangeRetrieveError(E230)</f>
        <v>#NAME?</v>
      </c>
      <c r="G230" s="36"/>
      <c r="H230" s="162"/>
      <c r="I230" s="113"/>
      <c r="J230" s="138" t="s">
        <v>46</v>
      </c>
      <c r="K230" s="138" t="str">
        <f t="shared" si="28"/>
        <v>13F</v>
      </c>
      <c r="L230" s="140" t="str">
        <f t="shared" si="26"/>
        <v>EUR13F10Y</v>
      </c>
      <c r="M230" s="140" t="str">
        <v>EUR13F10Y=ICAP</v>
      </c>
      <c r="N230" s="78">
        <v>1.9929999999999999</v>
      </c>
      <c r="O230" s="111"/>
      <c r="P230" s="78">
        <v>1.9929999999999999</v>
      </c>
      <c r="Q230" s="111"/>
      <c r="R230" s="78">
        <v>1.9929999999999999</v>
      </c>
      <c r="S230" s="78" t="e">
        <f ca="1">_xll.qlSimpleQuoteSetValue(E230,R230/100,Trigger)</f>
        <v>#NAME?</v>
      </c>
      <c r="T230" s="130"/>
      <c r="V230" s="161"/>
    </row>
    <row r="231" spans="1:22" x14ac:dyDescent="0.2">
      <c r="A231" s="135"/>
      <c r="B231" s="45" t="str">
        <f t="shared" si="23"/>
        <v>11Y</v>
      </c>
      <c r="C231" s="45" t="str">
        <f t="shared" si="24"/>
        <v>13F</v>
      </c>
      <c r="D231" s="43" t="str">
        <f t="shared" si="25"/>
        <v>EUR13F11Y_Quote</v>
      </c>
      <c r="E231" s="43" t="e">
        <f ca="1">_xll.qlSimpleQuote(D231,,RateTickValue,Permanent,Trigger,ObjectOverwrite)</f>
        <v>#NAME?</v>
      </c>
      <c r="F231" s="42" t="e">
        <f ca="1">_xll.ohRangeRetrieveError(E231)</f>
        <v>#NAME?</v>
      </c>
      <c r="G231" s="36"/>
      <c r="H231" s="162"/>
      <c r="I231" s="113"/>
      <c r="J231" s="138" t="s">
        <v>45</v>
      </c>
      <c r="K231" s="138" t="str">
        <f t="shared" si="28"/>
        <v>13F</v>
      </c>
      <c r="L231" s="140" t="str">
        <f t="shared" si="26"/>
        <v>EUR13F11Y</v>
      </c>
      <c r="M231" s="140" t="str">
        <v>EUR13F11Y=ICAP</v>
      </c>
      <c r="N231" s="78">
        <v>1.9630000000000001</v>
      </c>
      <c r="O231" s="111"/>
      <c r="P231" s="78">
        <v>1.9630000000000001</v>
      </c>
      <c r="Q231" s="111"/>
      <c r="R231" s="78">
        <v>1.9630000000000001</v>
      </c>
      <c r="S231" s="78" t="e">
        <f ca="1">_xll.qlSimpleQuoteSetValue(E231,R231/100,Trigger)</f>
        <v>#NAME?</v>
      </c>
      <c r="T231" s="130"/>
      <c r="V231" s="161"/>
    </row>
    <row r="232" spans="1:22" x14ac:dyDescent="0.2">
      <c r="A232" s="135"/>
      <c r="B232" s="45" t="str">
        <f t="shared" si="23"/>
        <v>12Y</v>
      </c>
      <c r="C232" s="45" t="str">
        <f t="shared" si="24"/>
        <v>13F</v>
      </c>
      <c r="D232" s="43" t="str">
        <f t="shared" si="25"/>
        <v>EUR13F12Y_Quote</v>
      </c>
      <c r="E232" s="43" t="e">
        <f ca="1">_xll.qlSimpleQuote(D232,,RateTickValue,Permanent,Trigger,ObjectOverwrite)</f>
        <v>#NAME?</v>
      </c>
      <c r="F232" s="42" t="e">
        <f ca="1">_xll.ohRangeRetrieveError(E232)</f>
        <v>#NAME?</v>
      </c>
      <c r="G232" s="36"/>
      <c r="H232" s="162"/>
      <c r="I232" s="113"/>
      <c r="J232" s="138" t="s">
        <v>44</v>
      </c>
      <c r="K232" s="138" t="str">
        <f t="shared" si="28"/>
        <v>13F</v>
      </c>
      <c r="L232" s="140" t="str">
        <f t="shared" si="26"/>
        <v>EUR13F12Y</v>
      </c>
      <c r="M232" s="140" t="str">
        <v>EUR13F12Y=ICAP</v>
      </c>
      <c r="N232" s="78">
        <v>1.9339999999999999</v>
      </c>
      <c r="O232" s="111"/>
      <c r="P232" s="78">
        <v>1.9339999999999999</v>
      </c>
      <c r="Q232" s="111"/>
      <c r="R232" s="78">
        <v>1.9339999999999999</v>
      </c>
      <c r="S232" s="78" t="e">
        <f ca="1">_xll.qlSimpleQuoteSetValue(E232,R232/100,Trigger)</f>
        <v>#NAME?</v>
      </c>
      <c r="T232" s="130"/>
      <c r="V232" s="161"/>
    </row>
    <row r="233" spans="1:22" x14ac:dyDescent="0.2">
      <c r="A233" s="135"/>
      <c r="B233" s="45" t="str">
        <f t="shared" si="23"/>
        <v>13Y</v>
      </c>
      <c r="C233" s="45" t="str">
        <f t="shared" si="24"/>
        <v>13F</v>
      </c>
      <c r="D233" s="43" t="str">
        <f t="shared" si="25"/>
        <v>EUR13F13Y_Quote</v>
      </c>
      <c r="E233" s="43" t="e">
        <f ca="1">_xll.qlSimpleQuote(D233,,RateTickValue,Permanent,Trigger,ObjectOverwrite)</f>
        <v>#NAME?</v>
      </c>
      <c r="F233" s="42" t="e">
        <f ca="1">_xll.ohRangeRetrieveError(E233)</f>
        <v>#NAME?</v>
      </c>
      <c r="G233" s="36"/>
      <c r="H233" s="162"/>
      <c r="I233" s="113"/>
      <c r="J233" s="138" t="s">
        <v>43</v>
      </c>
      <c r="K233" s="138" t="str">
        <f t="shared" si="28"/>
        <v>13F</v>
      </c>
      <c r="L233" s="140" t="str">
        <f t="shared" si="26"/>
        <v>EUR13F13Y</v>
      </c>
      <c r="M233" s="140" t="str">
        <v>EUR13F13Y=ICAP</v>
      </c>
      <c r="N233" s="78">
        <v>1.9079999999999999</v>
      </c>
      <c r="O233" s="111"/>
      <c r="P233" s="78">
        <v>1.9079999999999999</v>
      </c>
      <c r="Q233" s="111"/>
      <c r="R233" s="78">
        <v>1.9079999999999999</v>
      </c>
      <c r="S233" s="78" t="e">
        <f ca="1">_xll.qlSimpleQuoteSetValue(E233,R233/100,Trigger)</f>
        <v>#NAME?</v>
      </c>
      <c r="T233" s="130"/>
      <c r="V233" s="161"/>
    </row>
    <row r="234" spans="1:22" x14ac:dyDescent="0.2">
      <c r="A234" s="135"/>
      <c r="B234" s="45" t="str">
        <f t="shared" si="23"/>
        <v>14Y</v>
      </c>
      <c r="C234" s="45" t="str">
        <f t="shared" si="24"/>
        <v>13F</v>
      </c>
      <c r="D234" s="43" t="str">
        <f t="shared" si="25"/>
        <v>EUR13F14Y_Quote</v>
      </c>
      <c r="E234" s="43" t="e">
        <f ca="1">_xll.qlSimpleQuote(D234,,RateTickValue,Permanent,Trigger,ObjectOverwrite)</f>
        <v>#NAME?</v>
      </c>
      <c r="F234" s="42" t="e">
        <f ca="1">_xll.ohRangeRetrieveError(E234)</f>
        <v>#NAME?</v>
      </c>
      <c r="G234" s="36"/>
      <c r="H234" s="162"/>
      <c r="I234" s="113"/>
      <c r="J234" s="138" t="s">
        <v>42</v>
      </c>
      <c r="K234" s="138" t="str">
        <f t="shared" si="28"/>
        <v>13F</v>
      </c>
      <c r="L234" s="140" t="str">
        <f t="shared" si="26"/>
        <v>EUR13F14Y</v>
      </c>
      <c r="M234" s="140" t="str">
        <v>EUR13F14Y=ICAP</v>
      </c>
      <c r="N234" s="78">
        <v>1.885</v>
      </c>
      <c r="O234" s="111"/>
      <c r="P234" s="78">
        <v>1.885</v>
      </c>
      <c r="Q234" s="111"/>
      <c r="R234" s="78">
        <v>1.885</v>
      </c>
      <c r="S234" s="78" t="e">
        <f ca="1">_xll.qlSimpleQuoteSetValue(E234,R234/100,Trigger)</f>
        <v>#NAME?</v>
      </c>
      <c r="T234" s="130"/>
      <c r="V234" s="161"/>
    </row>
    <row r="235" spans="1:22" x14ac:dyDescent="0.2">
      <c r="A235" s="135"/>
      <c r="B235" s="45" t="str">
        <f t="shared" si="23"/>
        <v>15Y</v>
      </c>
      <c r="C235" s="45" t="str">
        <f t="shared" si="24"/>
        <v>13F</v>
      </c>
      <c r="D235" s="43" t="str">
        <f t="shared" si="25"/>
        <v>EUR13F15Y_Quote</v>
      </c>
      <c r="E235" s="43" t="e">
        <f ca="1">_xll.qlSimpleQuote(D235,,RateTickValue,Permanent,Trigger,ObjectOverwrite)</f>
        <v>#NAME?</v>
      </c>
      <c r="F235" s="42" t="e">
        <f ca="1">_xll.ohRangeRetrieveError(E235)</f>
        <v>#NAME?</v>
      </c>
      <c r="G235" s="36"/>
      <c r="H235" s="162"/>
      <c r="I235" s="113"/>
      <c r="J235" s="138" t="s">
        <v>41</v>
      </c>
      <c r="K235" s="138" t="str">
        <f t="shared" si="28"/>
        <v>13F</v>
      </c>
      <c r="L235" s="140" t="str">
        <f t="shared" si="26"/>
        <v>EUR13F15Y</v>
      </c>
      <c r="M235" s="140" t="str">
        <v>EUR13F15Y=ICAP</v>
      </c>
      <c r="N235" s="78">
        <v>1.8660000000000001</v>
      </c>
      <c r="O235" s="111"/>
      <c r="P235" s="78">
        <v>1.8660000000000001</v>
      </c>
      <c r="Q235" s="111"/>
      <c r="R235" s="78">
        <v>1.8660000000000001</v>
      </c>
      <c r="S235" s="78" t="e">
        <f ca="1">_xll.qlSimpleQuoteSetValue(E235,R235/100,Trigger)</f>
        <v>#NAME?</v>
      </c>
      <c r="T235" s="130"/>
      <c r="V235" s="161"/>
    </row>
    <row r="236" spans="1:22" x14ac:dyDescent="0.2">
      <c r="A236" s="135"/>
      <c r="B236" s="45" t="str">
        <f t="shared" si="23"/>
        <v>20Y</v>
      </c>
      <c r="C236" s="45" t="str">
        <f t="shared" si="24"/>
        <v>13F</v>
      </c>
      <c r="D236" s="43" t="str">
        <f t="shared" si="25"/>
        <v>EUR13F20Y_Quote</v>
      </c>
      <c r="E236" s="43" t="e">
        <f ca="1">_xll.qlSimpleQuote(D236,,RateTickValue,Permanent,Trigger,ObjectOverwrite)</f>
        <v>#NAME?</v>
      </c>
      <c r="F236" s="42" t="e">
        <f ca="1">_xll.ohRangeRetrieveError(E236)</f>
        <v>#NAME?</v>
      </c>
      <c r="G236" s="36"/>
      <c r="H236" s="162"/>
      <c r="I236" s="113"/>
      <c r="J236" s="138" t="s">
        <v>36</v>
      </c>
      <c r="K236" s="138" t="str">
        <f t="shared" si="28"/>
        <v>13F</v>
      </c>
      <c r="L236" s="140" t="str">
        <f t="shared" si="26"/>
        <v>EUR13F20Y</v>
      </c>
      <c r="M236" s="140" t="str">
        <v>EUR13F20Y=ICAP</v>
      </c>
      <c r="N236" s="78">
        <v>1.8</v>
      </c>
      <c r="O236" s="111"/>
      <c r="P236" s="78">
        <v>1.8</v>
      </c>
      <c r="Q236" s="111"/>
      <c r="R236" s="78">
        <v>1.8</v>
      </c>
      <c r="S236" s="78" t="e">
        <f ca="1">_xll.qlSimpleQuoteSetValue(E236,R236/100,Trigger)</f>
        <v>#NAME?</v>
      </c>
      <c r="T236" s="130"/>
      <c r="V236" s="161"/>
    </row>
    <row r="237" spans="1:22" x14ac:dyDescent="0.2">
      <c r="A237" s="135"/>
      <c r="B237" s="45" t="str">
        <f t="shared" si="23"/>
        <v>25Y</v>
      </c>
      <c r="C237" s="45" t="str">
        <f t="shared" si="24"/>
        <v>13F</v>
      </c>
      <c r="D237" s="43" t="str">
        <f t="shared" si="25"/>
        <v>EUR13F25Y_Quote</v>
      </c>
      <c r="E237" s="43" t="e">
        <f ca="1">_xll.qlSimpleQuote(D237,,RateTickValue,Permanent,Trigger,ObjectOverwrite)</f>
        <v>#NAME?</v>
      </c>
      <c r="F237" s="42" t="e">
        <f ca="1">_xll.ohRangeRetrieveError(E237)</f>
        <v>#NAME?</v>
      </c>
      <c r="G237" s="36"/>
      <c r="H237" s="162"/>
      <c r="I237" s="113"/>
      <c r="J237" s="138" t="s">
        <v>31</v>
      </c>
      <c r="K237" s="138" t="str">
        <f t="shared" si="28"/>
        <v>13F</v>
      </c>
      <c r="L237" s="140" t="str">
        <f t="shared" si="26"/>
        <v>EUR13F25Y</v>
      </c>
      <c r="M237" s="140" t="str">
        <v>EUR13F25Y=ICAP</v>
      </c>
      <c r="N237" s="78">
        <v>1.7570000000000001</v>
      </c>
      <c r="O237" s="111"/>
      <c r="P237" s="78">
        <v>1.7570000000000001</v>
      </c>
      <c r="Q237" s="111"/>
      <c r="R237" s="78">
        <v>1.7570000000000001</v>
      </c>
      <c r="S237" s="78" t="e">
        <f ca="1">_xll.qlSimpleQuoteSetValue(E237,R237/100,Trigger)</f>
        <v>#NAME?</v>
      </c>
      <c r="T237" s="130"/>
      <c r="V237" s="161"/>
    </row>
    <row r="238" spans="1:22" x14ac:dyDescent="0.2">
      <c r="A238" s="135"/>
      <c r="B238" s="45" t="str">
        <f t="shared" si="23"/>
        <v>30Y</v>
      </c>
      <c r="C238" s="45" t="str">
        <f t="shared" si="24"/>
        <v>13F</v>
      </c>
      <c r="D238" s="43" t="str">
        <f t="shared" si="25"/>
        <v>EUR13F30Y_Quote</v>
      </c>
      <c r="E238" s="43" t="e">
        <f ca="1">_xll.qlSimpleQuote(D238,,RateTickValue,Permanent,Trigger,ObjectOverwrite)</f>
        <v>#NAME?</v>
      </c>
      <c r="F238" s="42" t="e">
        <f ca="1">_xll.ohRangeRetrieveError(E238)</f>
        <v>#NAME?</v>
      </c>
      <c r="G238" s="36"/>
      <c r="H238" s="162"/>
      <c r="I238" s="113"/>
      <c r="J238" s="131" t="s">
        <v>26</v>
      </c>
      <c r="K238" s="131" t="str">
        <f t="shared" si="28"/>
        <v>13F</v>
      </c>
      <c r="L238" s="133" t="str">
        <f t="shared" si="26"/>
        <v>EUR13F30Y</v>
      </c>
      <c r="M238" s="133" t="str">
        <v>EUR13F30Y=ICAP</v>
      </c>
      <c r="N238" s="65">
        <v>1.71</v>
      </c>
      <c r="O238" s="111"/>
      <c r="P238" s="65">
        <v>1.71</v>
      </c>
      <c r="Q238" s="111"/>
      <c r="R238" s="65">
        <v>1.71</v>
      </c>
      <c r="S238" s="65" t="e">
        <f ca="1">_xll.qlSimpleQuoteSetValue(E238,R238/100,Trigger)</f>
        <v>#NAME?</v>
      </c>
      <c r="T238" s="130"/>
      <c r="V238" s="161"/>
    </row>
    <row r="239" spans="1:22" x14ac:dyDescent="0.2">
      <c r="A239" s="135"/>
      <c r="B239" s="45" t="str">
        <f t="shared" si="23"/>
        <v>1Y</v>
      </c>
      <c r="C239" s="45" t="str">
        <f t="shared" si="24"/>
        <v>14F</v>
      </c>
      <c r="D239" s="43" t="str">
        <f t="shared" si="25"/>
        <v>EUR14F1Y_Quote</v>
      </c>
      <c r="E239" s="43" t="e">
        <f ca="1">_xll.qlSimpleQuote(D239,,RateTickValue,Permanent,Trigger,ObjectOverwrite)</f>
        <v>#NAME?</v>
      </c>
      <c r="F239" s="42" t="e">
        <f ca="1">_xll.ohRangeRetrieveError(E239)</f>
        <v>#NAME?</v>
      </c>
      <c r="G239" s="36"/>
      <c r="H239" s="162"/>
      <c r="I239" s="135">
        <v>14</v>
      </c>
      <c r="J239" s="164" t="s">
        <v>58</v>
      </c>
      <c r="K239" s="164" t="str">
        <f t="shared" ref="K239:K256" si="29">$I$239&amp;"F"</f>
        <v>14F</v>
      </c>
      <c r="L239" s="163" t="str">
        <f t="shared" si="26"/>
        <v>EUR14F1Y</v>
      </c>
      <c r="M239" s="163" t="str">
        <v>EUR14F1Y=ICAP</v>
      </c>
      <c r="N239" s="89">
        <v>2.1880000000000002</v>
      </c>
      <c r="O239" s="111"/>
      <c r="P239" s="89">
        <v>2.1880000000000002</v>
      </c>
      <c r="Q239" s="111"/>
      <c r="R239" s="89">
        <v>2.1880000000000002</v>
      </c>
      <c r="S239" s="89" t="e">
        <f ca="1">_xll.qlSimpleQuoteSetValue(E239,R239/100,Trigger)</f>
        <v>#NAME?</v>
      </c>
      <c r="T239" s="130"/>
      <c r="V239" s="161"/>
    </row>
    <row r="240" spans="1:22" x14ac:dyDescent="0.2">
      <c r="A240" s="135"/>
      <c r="B240" s="45" t="str">
        <f t="shared" si="23"/>
        <v>2Y</v>
      </c>
      <c r="C240" s="45" t="str">
        <f t="shared" si="24"/>
        <v>14F</v>
      </c>
      <c r="D240" s="43" t="str">
        <f t="shared" si="25"/>
        <v>EUR14F2Y_Quote</v>
      </c>
      <c r="E240" s="43" t="e">
        <f ca="1">_xll.qlSimpleQuote(D240,,RateTickValue,Permanent,Trigger,ObjectOverwrite)</f>
        <v>#NAME?</v>
      </c>
      <c r="F240" s="42" t="e">
        <f ca="1">_xll.ohRangeRetrieveError(E240)</f>
        <v>#NAME?</v>
      </c>
      <c r="G240" s="36"/>
      <c r="H240" s="162"/>
      <c r="I240" s="113"/>
      <c r="J240" s="138" t="s">
        <v>54</v>
      </c>
      <c r="K240" s="138" t="str">
        <f t="shared" si="29"/>
        <v>14F</v>
      </c>
      <c r="L240" s="140" t="str">
        <f t="shared" si="26"/>
        <v>EUR14F2Y</v>
      </c>
      <c r="M240" s="140" t="str">
        <v>EUR14F2Y=ICAP</v>
      </c>
      <c r="N240" s="78">
        <v>2.17</v>
      </c>
      <c r="O240" s="111"/>
      <c r="P240" s="78">
        <v>2.17</v>
      </c>
      <c r="Q240" s="111"/>
      <c r="R240" s="78">
        <v>2.17</v>
      </c>
      <c r="S240" s="78" t="e">
        <f ca="1">_xll.qlSimpleQuoteSetValue(E240,R240/100,Trigger)</f>
        <v>#NAME?</v>
      </c>
      <c r="T240" s="130"/>
      <c r="V240" s="161"/>
    </row>
    <row r="241" spans="1:22" x14ac:dyDescent="0.2">
      <c r="A241" s="135"/>
      <c r="B241" s="45" t="str">
        <f t="shared" si="23"/>
        <v>3Y</v>
      </c>
      <c r="C241" s="45" t="str">
        <f t="shared" si="24"/>
        <v>14F</v>
      </c>
      <c r="D241" s="43" t="str">
        <f t="shared" si="25"/>
        <v>EUR14F3Y_Quote</v>
      </c>
      <c r="E241" s="43" t="e">
        <f ca="1">_xll.qlSimpleQuote(D241,,RateTickValue,Permanent,Trigger,ObjectOverwrite)</f>
        <v>#NAME?</v>
      </c>
      <c r="F241" s="42" t="e">
        <f ca="1">_xll.ohRangeRetrieveError(E241)</f>
        <v>#NAME?</v>
      </c>
      <c r="G241" s="36"/>
      <c r="H241" s="162"/>
      <c r="I241" s="113"/>
      <c r="J241" s="138" t="s">
        <v>53</v>
      </c>
      <c r="K241" s="138" t="str">
        <f t="shared" si="29"/>
        <v>14F</v>
      </c>
      <c r="L241" s="140" t="str">
        <f t="shared" si="26"/>
        <v>EUR14F3Y</v>
      </c>
      <c r="M241" s="140" t="str">
        <v>EUR14F3Y=ICAP</v>
      </c>
      <c r="N241" s="78">
        <v>2.1589999999999998</v>
      </c>
      <c r="O241" s="111"/>
      <c r="P241" s="78">
        <v>2.1589999999999998</v>
      </c>
      <c r="Q241" s="111"/>
      <c r="R241" s="78">
        <v>2.1589999999999998</v>
      </c>
      <c r="S241" s="78" t="e">
        <f ca="1">_xll.qlSimpleQuoteSetValue(E241,R241/100,Trigger)</f>
        <v>#NAME?</v>
      </c>
      <c r="T241" s="130"/>
      <c r="V241" s="161"/>
    </row>
    <row r="242" spans="1:22" x14ac:dyDescent="0.2">
      <c r="A242" s="135"/>
      <c r="B242" s="45" t="str">
        <f t="shared" si="23"/>
        <v>4Y</v>
      </c>
      <c r="C242" s="45" t="str">
        <f t="shared" si="24"/>
        <v>14F</v>
      </c>
      <c r="D242" s="43" t="str">
        <f t="shared" si="25"/>
        <v>EUR14F4Y_Quote</v>
      </c>
      <c r="E242" s="43" t="e">
        <f ca="1">_xll.qlSimpleQuote(D242,,RateTickValue,Permanent,Trigger,ObjectOverwrite)</f>
        <v>#NAME?</v>
      </c>
      <c r="F242" s="42" t="e">
        <f ca="1">_xll.ohRangeRetrieveError(E242)</f>
        <v>#NAME?</v>
      </c>
      <c r="G242" s="36"/>
      <c r="H242" s="162"/>
      <c r="I242" s="113"/>
      <c r="J242" s="138" t="s">
        <v>52</v>
      </c>
      <c r="K242" s="138" t="str">
        <f t="shared" si="29"/>
        <v>14F</v>
      </c>
      <c r="L242" s="140" t="str">
        <f t="shared" si="26"/>
        <v>EUR14F4Y</v>
      </c>
      <c r="M242" s="140" t="str">
        <v>EUR14F4Y=ICAP</v>
      </c>
      <c r="N242" s="78">
        <v>2.1320000000000001</v>
      </c>
      <c r="O242" s="111"/>
      <c r="P242" s="78">
        <v>2.1320000000000001</v>
      </c>
      <c r="Q242" s="111"/>
      <c r="R242" s="78">
        <v>2.1320000000000001</v>
      </c>
      <c r="S242" s="78" t="e">
        <f ca="1">_xll.qlSimpleQuoteSetValue(E242,R242/100,Trigger)</f>
        <v>#NAME?</v>
      </c>
      <c r="T242" s="130"/>
      <c r="V242" s="161"/>
    </row>
    <row r="243" spans="1:22" x14ac:dyDescent="0.2">
      <c r="A243" s="135"/>
      <c r="B243" s="45" t="str">
        <f t="shared" si="23"/>
        <v>5Y</v>
      </c>
      <c r="C243" s="45" t="str">
        <f t="shared" si="24"/>
        <v>14F</v>
      </c>
      <c r="D243" s="43" t="str">
        <f t="shared" si="25"/>
        <v>EUR14F5Y_Quote</v>
      </c>
      <c r="E243" s="43" t="e">
        <f ca="1">_xll.qlSimpleQuote(D243,,RateTickValue,Permanent,Trigger,ObjectOverwrite)</f>
        <v>#NAME?</v>
      </c>
      <c r="F243" s="42" t="e">
        <f ca="1">_xll.ohRangeRetrieveError(E243)</f>
        <v>#NAME?</v>
      </c>
      <c r="G243" s="36"/>
      <c r="H243" s="162"/>
      <c r="I243" s="113"/>
      <c r="J243" s="138" t="s">
        <v>51</v>
      </c>
      <c r="K243" s="138" t="str">
        <f t="shared" si="29"/>
        <v>14F</v>
      </c>
      <c r="L243" s="140" t="str">
        <f t="shared" si="26"/>
        <v>EUR14F5Y</v>
      </c>
      <c r="M243" s="140" t="str">
        <v>EUR14F5Y=ICAP</v>
      </c>
      <c r="N243" s="78">
        <v>2.1030000000000002</v>
      </c>
      <c r="O243" s="111"/>
      <c r="P243" s="78">
        <v>2.1030000000000002</v>
      </c>
      <c r="Q243" s="111"/>
      <c r="R243" s="78">
        <v>2.1030000000000002</v>
      </c>
      <c r="S243" s="78" t="e">
        <f ca="1">_xll.qlSimpleQuoteSetValue(E243,R243/100,Trigger)</f>
        <v>#NAME?</v>
      </c>
      <c r="T243" s="130"/>
      <c r="V243" s="161"/>
    </row>
    <row r="244" spans="1:22" x14ac:dyDescent="0.2">
      <c r="A244" s="135"/>
      <c r="B244" s="45" t="str">
        <f t="shared" si="23"/>
        <v>6Y</v>
      </c>
      <c r="C244" s="45" t="str">
        <f t="shared" si="24"/>
        <v>14F</v>
      </c>
      <c r="D244" s="43" t="str">
        <f t="shared" si="25"/>
        <v>EUR14F6Y_Quote</v>
      </c>
      <c r="E244" s="43" t="e">
        <f ca="1">_xll.qlSimpleQuote(D244,,RateTickValue,Permanent,Trigger,ObjectOverwrite)</f>
        <v>#NAME?</v>
      </c>
      <c r="F244" s="42" t="e">
        <f ca="1">_xll.ohRangeRetrieveError(E244)</f>
        <v>#NAME?</v>
      </c>
      <c r="G244" s="36"/>
      <c r="H244" s="162"/>
      <c r="I244" s="113"/>
      <c r="J244" s="138" t="s">
        <v>50</v>
      </c>
      <c r="K244" s="138" t="str">
        <f t="shared" si="29"/>
        <v>14F</v>
      </c>
      <c r="L244" s="140" t="str">
        <f t="shared" si="26"/>
        <v>EUR14F6Y</v>
      </c>
      <c r="M244" s="140" t="str">
        <v>EUR14F6Y=ICAP</v>
      </c>
      <c r="N244" s="78">
        <v>2.0710000000000002</v>
      </c>
      <c r="O244" s="111"/>
      <c r="P244" s="78">
        <v>2.0710000000000002</v>
      </c>
      <c r="Q244" s="111"/>
      <c r="R244" s="78">
        <v>2.0710000000000002</v>
      </c>
      <c r="S244" s="78" t="e">
        <f ca="1">_xll.qlSimpleQuoteSetValue(E244,R244/100,Trigger)</f>
        <v>#NAME?</v>
      </c>
      <c r="T244" s="130"/>
      <c r="V244" s="161"/>
    </row>
    <row r="245" spans="1:22" x14ac:dyDescent="0.2">
      <c r="A245" s="135"/>
      <c r="B245" s="45" t="str">
        <f t="shared" si="23"/>
        <v>7Y</v>
      </c>
      <c r="C245" s="45" t="str">
        <f t="shared" si="24"/>
        <v>14F</v>
      </c>
      <c r="D245" s="43" t="str">
        <f t="shared" si="25"/>
        <v>EUR14F7Y_Quote</v>
      </c>
      <c r="E245" s="43" t="e">
        <f ca="1">_xll.qlSimpleQuote(D245,,RateTickValue,Permanent,Trigger,ObjectOverwrite)</f>
        <v>#NAME?</v>
      </c>
      <c r="F245" s="42" t="e">
        <f ca="1">_xll.ohRangeRetrieveError(E245)</f>
        <v>#NAME?</v>
      </c>
      <c r="G245" s="36"/>
      <c r="H245" s="162"/>
      <c r="I245" s="113"/>
      <c r="J245" s="138" t="s">
        <v>49</v>
      </c>
      <c r="K245" s="138" t="str">
        <f t="shared" si="29"/>
        <v>14F</v>
      </c>
      <c r="L245" s="140" t="str">
        <f t="shared" si="26"/>
        <v>EUR14F7Y</v>
      </c>
      <c r="M245" s="140" t="str">
        <v>EUR14F7Y=ICAP</v>
      </c>
      <c r="N245" s="78">
        <v>2.036</v>
      </c>
      <c r="O245" s="111"/>
      <c r="P245" s="78">
        <v>2.036</v>
      </c>
      <c r="Q245" s="111"/>
      <c r="R245" s="78">
        <v>2.036</v>
      </c>
      <c r="S245" s="78" t="e">
        <f ca="1">_xll.qlSimpleQuoteSetValue(E245,R245/100,Trigger)</f>
        <v>#NAME?</v>
      </c>
      <c r="T245" s="130"/>
      <c r="V245" s="161"/>
    </row>
    <row r="246" spans="1:22" x14ac:dyDescent="0.2">
      <c r="A246" s="135"/>
      <c r="B246" s="45" t="str">
        <f t="shared" si="23"/>
        <v>8Y</v>
      </c>
      <c r="C246" s="45" t="str">
        <f t="shared" si="24"/>
        <v>14F</v>
      </c>
      <c r="D246" s="43" t="str">
        <f t="shared" si="25"/>
        <v>EUR14F8Y_Quote</v>
      </c>
      <c r="E246" s="43" t="e">
        <f ca="1">_xll.qlSimpleQuote(D246,,RateTickValue,Permanent,Trigger,ObjectOverwrite)</f>
        <v>#NAME?</v>
      </c>
      <c r="F246" s="42" t="e">
        <f ca="1">_xll.ohRangeRetrieveError(E246)</f>
        <v>#NAME?</v>
      </c>
      <c r="G246" s="36"/>
      <c r="H246" s="162"/>
      <c r="I246" s="113"/>
      <c r="J246" s="138" t="s">
        <v>48</v>
      </c>
      <c r="K246" s="138" t="str">
        <f t="shared" si="29"/>
        <v>14F</v>
      </c>
      <c r="L246" s="140" t="str">
        <f t="shared" si="26"/>
        <v>EUR14F8Y</v>
      </c>
      <c r="M246" s="140" t="str">
        <v>EUR14F8Y=ICAP</v>
      </c>
      <c r="N246" s="78">
        <v>2.0049999999999999</v>
      </c>
      <c r="O246" s="111"/>
      <c r="P246" s="78">
        <v>2.0049999999999999</v>
      </c>
      <c r="Q246" s="111"/>
      <c r="R246" s="78">
        <v>2.0049999999999999</v>
      </c>
      <c r="S246" s="78" t="e">
        <f ca="1">_xll.qlSimpleQuoteSetValue(E246,R246/100,Trigger)</f>
        <v>#NAME?</v>
      </c>
      <c r="T246" s="130"/>
      <c r="V246" s="161"/>
    </row>
    <row r="247" spans="1:22" x14ac:dyDescent="0.2">
      <c r="A247" s="135"/>
      <c r="B247" s="45" t="str">
        <f t="shared" si="23"/>
        <v>9Y</v>
      </c>
      <c r="C247" s="45" t="str">
        <f t="shared" si="24"/>
        <v>14F</v>
      </c>
      <c r="D247" s="43" t="str">
        <f t="shared" si="25"/>
        <v>EUR14F9Y_Quote</v>
      </c>
      <c r="E247" s="43" t="e">
        <f ca="1">_xll.qlSimpleQuote(D247,,RateTickValue,Permanent,Trigger,ObjectOverwrite)</f>
        <v>#NAME?</v>
      </c>
      <c r="F247" s="42" t="e">
        <f ca="1">_xll.ohRangeRetrieveError(E247)</f>
        <v>#NAME?</v>
      </c>
      <c r="G247" s="36"/>
      <c r="H247" s="162"/>
      <c r="I247" s="113"/>
      <c r="J247" s="138" t="s">
        <v>47</v>
      </c>
      <c r="K247" s="138" t="str">
        <f t="shared" si="29"/>
        <v>14F</v>
      </c>
      <c r="L247" s="140" t="str">
        <f t="shared" si="26"/>
        <v>EUR14F9Y</v>
      </c>
      <c r="M247" s="140" t="str">
        <v>EUR14F9Y=ICAP</v>
      </c>
      <c r="N247" s="78">
        <v>1.968</v>
      </c>
      <c r="O247" s="111"/>
      <c r="P247" s="78">
        <v>1.968</v>
      </c>
      <c r="Q247" s="111"/>
      <c r="R247" s="78">
        <v>1.968</v>
      </c>
      <c r="S247" s="78" t="e">
        <f ca="1">_xll.qlSimpleQuoteSetValue(E247,R247/100,Trigger)</f>
        <v>#NAME?</v>
      </c>
      <c r="T247" s="130"/>
      <c r="V247" s="161"/>
    </row>
    <row r="248" spans="1:22" x14ac:dyDescent="0.2">
      <c r="A248" s="135"/>
      <c r="B248" s="45" t="str">
        <f t="shared" si="23"/>
        <v>10Y</v>
      </c>
      <c r="C248" s="45" t="str">
        <f t="shared" si="24"/>
        <v>14F</v>
      </c>
      <c r="D248" s="43" t="str">
        <f t="shared" si="25"/>
        <v>EUR14F10Y_Quote</v>
      </c>
      <c r="E248" s="43" t="e">
        <f ca="1">_xll.qlSimpleQuote(D248,,RateTickValue,Permanent,Trigger,ObjectOverwrite)</f>
        <v>#NAME?</v>
      </c>
      <c r="F248" s="42" t="e">
        <f ca="1">_xll.ohRangeRetrieveError(E248)</f>
        <v>#NAME?</v>
      </c>
      <c r="G248" s="36"/>
      <c r="H248" s="162"/>
      <c r="I248" s="113"/>
      <c r="J248" s="138" t="s">
        <v>46</v>
      </c>
      <c r="K248" s="138" t="str">
        <f t="shared" si="29"/>
        <v>14F</v>
      </c>
      <c r="L248" s="140" t="str">
        <f t="shared" si="26"/>
        <v>EUR14F10Y</v>
      </c>
      <c r="M248" s="140" t="str">
        <v>EUR14F10Y=ICAP</v>
      </c>
      <c r="N248" s="78">
        <v>1.9369999999999998</v>
      </c>
      <c r="O248" s="111"/>
      <c r="P248" s="78">
        <v>1.9369999999999998</v>
      </c>
      <c r="Q248" s="111"/>
      <c r="R248" s="78">
        <v>1.9369999999999998</v>
      </c>
      <c r="S248" s="78" t="e">
        <f ca="1">_xll.qlSimpleQuoteSetValue(E248,R248/100,Trigger)</f>
        <v>#NAME?</v>
      </c>
      <c r="T248" s="130"/>
      <c r="V248" s="161"/>
    </row>
    <row r="249" spans="1:22" x14ac:dyDescent="0.2">
      <c r="A249" s="135"/>
      <c r="B249" s="45" t="str">
        <f t="shared" si="23"/>
        <v>11Y</v>
      </c>
      <c r="C249" s="45" t="str">
        <f t="shared" si="24"/>
        <v>14F</v>
      </c>
      <c r="D249" s="43" t="str">
        <f t="shared" si="25"/>
        <v>EUR14F11Y_Quote</v>
      </c>
      <c r="E249" s="43" t="e">
        <f ca="1">_xll.qlSimpleQuote(D249,,RateTickValue,Permanent,Trigger,ObjectOverwrite)</f>
        <v>#NAME?</v>
      </c>
      <c r="F249" s="42" t="e">
        <f ca="1">_xll.ohRangeRetrieveError(E249)</f>
        <v>#NAME?</v>
      </c>
      <c r="G249" s="36"/>
      <c r="H249" s="162"/>
      <c r="I249" s="113"/>
      <c r="J249" s="138" t="s">
        <v>45</v>
      </c>
      <c r="K249" s="138" t="str">
        <f t="shared" si="29"/>
        <v>14F</v>
      </c>
      <c r="L249" s="140" t="str">
        <f t="shared" si="26"/>
        <v>EUR14F11Y</v>
      </c>
      <c r="M249" s="140" t="str">
        <v>EUR14F11Y=ICAP</v>
      </c>
      <c r="N249" s="78">
        <v>1.9079999999999999</v>
      </c>
      <c r="O249" s="111"/>
      <c r="P249" s="78">
        <v>1.9079999999999999</v>
      </c>
      <c r="Q249" s="111"/>
      <c r="R249" s="78">
        <v>1.9079999999999999</v>
      </c>
      <c r="S249" s="78" t="e">
        <f ca="1">_xll.qlSimpleQuoteSetValue(E249,R249/100,Trigger)</f>
        <v>#NAME?</v>
      </c>
      <c r="T249" s="130"/>
      <c r="V249" s="161"/>
    </row>
    <row r="250" spans="1:22" x14ac:dyDescent="0.2">
      <c r="A250" s="135"/>
      <c r="B250" s="45" t="str">
        <f t="shared" si="23"/>
        <v>12Y</v>
      </c>
      <c r="C250" s="45" t="str">
        <f t="shared" si="24"/>
        <v>14F</v>
      </c>
      <c r="D250" s="43" t="str">
        <f t="shared" si="25"/>
        <v>EUR14F12Y_Quote</v>
      </c>
      <c r="E250" s="43" t="e">
        <f ca="1">_xll.qlSimpleQuote(D250,,RateTickValue,Permanent,Trigger,ObjectOverwrite)</f>
        <v>#NAME?</v>
      </c>
      <c r="F250" s="42" t="e">
        <f ca="1">_xll.ohRangeRetrieveError(E250)</f>
        <v>#NAME?</v>
      </c>
      <c r="G250" s="36"/>
      <c r="H250" s="162"/>
      <c r="I250" s="113"/>
      <c r="J250" s="138" t="s">
        <v>44</v>
      </c>
      <c r="K250" s="138" t="str">
        <f t="shared" si="29"/>
        <v>14F</v>
      </c>
      <c r="L250" s="140" t="str">
        <f t="shared" si="26"/>
        <v>EUR14F12Y</v>
      </c>
      <c r="M250" s="140" t="str">
        <v>EUR14F12Y=ICAP</v>
      </c>
      <c r="N250" s="78">
        <v>1.881</v>
      </c>
      <c r="O250" s="111"/>
      <c r="P250" s="78">
        <v>1.881</v>
      </c>
      <c r="Q250" s="111"/>
      <c r="R250" s="78">
        <v>1.881</v>
      </c>
      <c r="S250" s="78" t="e">
        <f ca="1">_xll.qlSimpleQuoteSetValue(E250,R250/100,Trigger)</f>
        <v>#NAME?</v>
      </c>
      <c r="T250" s="130"/>
      <c r="V250" s="161"/>
    </row>
    <row r="251" spans="1:22" x14ac:dyDescent="0.2">
      <c r="A251" s="135"/>
      <c r="B251" s="45" t="str">
        <f t="shared" si="23"/>
        <v>13Y</v>
      </c>
      <c r="C251" s="45" t="str">
        <f t="shared" si="24"/>
        <v>14F</v>
      </c>
      <c r="D251" s="43" t="str">
        <f t="shared" si="25"/>
        <v>EUR14F13Y_Quote</v>
      </c>
      <c r="E251" s="43" t="e">
        <f ca="1">_xll.qlSimpleQuote(D251,,RateTickValue,Permanent,Trigger,ObjectOverwrite)</f>
        <v>#NAME?</v>
      </c>
      <c r="F251" s="42" t="e">
        <f ca="1">_xll.ohRangeRetrieveError(E251)</f>
        <v>#NAME?</v>
      </c>
      <c r="G251" s="36"/>
      <c r="H251" s="162"/>
      <c r="I251" s="113"/>
      <c r="J251" s="138" t="s">
        <v>43</v>
      </c>
      <c r="K251" s="138" t="str">
        <f t="shared" si="29"/>
        <v>14F</v>
      </c>
      <c r="L251" s="140" t="str">
        <f t="shared" si="26"/>
        <v>EUR14F13Y</v>
      </c>
      <c r="M251" s="140" t="str">
        <v>EUR14F13Y=ICAP</v>
      </c>
      <c r="N251" s="78">
        <v>1.8580000000000001</v>
      </c>
      <c r="O251" s="111"/>
      <c r="P251" s="78">
        <v>1.8580000000000001</v>
      </c>
      <c r="Q251" s="111"/>
      <c r="R251" s="78">
        <v>1.8580000000000001</v>
      </c>
      <c r="S251" s="78" t="e">
        <f ca="1">_xll.qlSimpleQuoteSetValue(E251,R251/100,Trigger)</f>
        <v>#NAME?</v>
      </c>
      <c r="T251" s="130"/>
      <c r="V251" s="161"/>
    </row>
    <row r="252" spans="1:22" x14ac:dyDescent="0.2">
      <c r="A252" s="135"/>
      <c r="B252" s="45" t="str">
        <f t="shared" si="23"/>
        <v>14Y</v>
      </c>
      <c r="C252" s="45" t="str">
        <f t="shared" si="24"/>
        <v>14F</v>
      </c>
      <c r="D252" s="43" t="str">
        <f t="shared" si="25"/>
        <v>EUR14F14Y_Quote</v>
      </c>
      <c r="E252" s="43" t="e">
        <f ca="1">_xll.qlSimpleQuote(D252,,RateTickValue,Permanent,Trigger,ObjectOverwrite)</f>
        <v>#NAME?</v>
      </c>
      <c r="F252" s="42" t="e">
        <f ca="1">_xll.ohRangeRetrieveError(E252)</f>
        <v>#NAME?</v>
      </c>
      <c r="G252" s="36"/>
      <c r="H252" s="162"/>
      <c r="I252" s="113"/>
      <c r="J252" s="138" t="s">
        <v>42</v>
      </c>
      <c r="K252" s="138" t="str">
        <f t="shared" si="29"/>
        <v>14F</v>
      </c>
      <c r="L252" s="140" t="str">
        <f t="shared" si="26"/>
        <v>EUR14F14Y</v>
      </c>
      <c r="M252" s="140" t="str">
        <v>EUR14F14Y=ICAP</v>
      </c>
      <c r="N252" s="78">
        <v>1.839</v>
      </c>
      <c r="O252" s="111"/>
      <c r="P252" s="78">
        <v>1.839</v>
      </c>
      <c r="Q252" s="111"/>
      <c r="R252" s="78">
        <v>1.839</v>
      </c>
      <c r="S252" s="78" t="e">
        <f ca="1">_xll.qlSimpleQuoteSetValue(E252,R252/100,Trigger)</f>
        <v>#NAME?</v>
      </c>
      <c r="T252" s="130"/>
      <c r="V252" s="161"/>
    </row>
    <row r="253" spans="1:22" x14ac:dyDescent="0.2">
      <c r="A253" s="135"/>
      <c r="B253" s="45" t="str">
        <f t="shared" si="23"/>
        <v>15Y</v>
      </c>
      <c r="C253" s="45" t="str">
        <f t="shared" si="24"/>
        <v>14F</v>
      </c>
      <c r="D253" s="43" t="str">
        <f t="shared" si="25"/>
        <v>EUR14F15Y_Quote</v>
      </c>
      <c r="E253" s="43" t="e">
        <f ca="1">_xll.qlSimpleQuote(D253,,RateTickValue,Permanent,Trigger,ObjectOverwrite)</f>
        <v>#NAME?</v>
      </c>
      <c r="F253" s="42" t="e">
        <f ca="1">_xll.ohRangeRetrieveError(E253)</f>
        <v>#NAME?</v>
      </c>
      <c r="G253" s="36"/>
      <c r="H253" s="162"/>
      <c r="I253" s="113"/>
      <c r="J253" s="138" t="s">
        <v>41</v>
      </c>
      <c r="K253" s="138" t="str">
        <f t="shared" si="29"/>
        <v>14F</v>
      </c>
      <c r="L253" s="140" t="str">
        <f t="shared" si="26"/>
        <v>EUR14F15Y</v>
      </c>
      <c r="M253" s="140" t="str">
        <v>EUR14F15Y=ICAP</v>
      </c>
      <c r="N253" s="78">
        <v>1.8199999999999998</v>
      </c>
      <c r="O253" s="111"/>
      <c r="P253" s="78">
        <v>1.8199999999999998</v>
      </c>
      <c r="Q253" s="111"/>
      <c r="R253" s="78">
        <v>1.8199999999999998</v>
      </c>
      <c r="S253" s="78" t="e">
        <f ca="1">_xll.qlSimpleQuoteSetValue(E253,R253/100,Trigger)</f>
        <v>#NAME?</v>
      </c>
      <c r="T253" s="130"/>
      <c r="V253" s="161"/>
    </row>
    <row r="254" spans="1:22" x14ac:dyDescent="0.2">
      <c r="A254" s="135"/>
      <c r="B254" s="45" t="str">
        <f t="shared" si="23"/>
        <v>20Y</v>
      </c>
      <c r="C254" s="45" t="str">
        <f t="shared" si="24"/>
        <v>14F</v>
      </c>
      <c r="D254" s="43" t="str">
        <f t="shared" si="25"/>
        <v>EUR14F20Y_Quote</v>
      </c>
      <c r="E254" s="43" t="e">
        <f ca="1">_xll.qlSimpleQuote(D254,,RateTickValue,Permanent,Trigger,ObjectOverwrite)</f>
        <v>#NAME?</v>
      </c>
      <c r="F254" s="42" t="e">
        <f ca="1">_xll.ohRangeRetrieveError(E254)</f>
        <v>#NAME?</v>
      </c>
      <c r="G254" s="36"/>
      <c r="H254" s="162"/>
      <c r="I254" s="113"/>
      <c r="J254" s="138" t="s">
        <v>36</v>
      </c>
      <c r="K254" s="138" t="str">
        <f t="shared" si="29"/>
        <v>14F</v>
      </c>
      <c r="L254" s="140" t="str">
        <f t="shared" si="26"/>
        <v>EUR14F20Y</v>
      </c>
      <c r="M254" s="140" t="str">
        <v>EUR14F20Y=ICAP</v>
      </c>
      <c r="N254" s="78">
        <v>1.7669999999999999</v>
      </c>
      <c r="O254" s="111"/>
      <c r="P254" s="78">
        <v>1.7669999999999999</v>
      </c>
      <c r="Q254" s="111"/>
      <c r="R254" s="78">
        <v>1.7669999999999999</v>
      </c>
      <c r="S254" s="78" t="e">
        <f ca="1">_xll.qlSimpleQuoteSetValue(E254,R254/100,Trigger)</f>
        <v>#NAME?</v>
      </c>
      <c r="T254" s="130"/>
      <c r="V254" s="161"/>
    </row>
    <row r="255" spans="1:22" x14ac:dyDescent="0.2">
      <c r="A255" s="135"/>
      <c r="B255" s="45" t="str">
        <f t="shared" si="23"/>
        <v>25Y</v>
      </c>
      <c r="C255" s="45" t="str">
        <f t="shared" si="24"/>
        <v>14F</v>
      </c>
      <c r="D255" s="43" t="str">
        <f t="shared" si="25"/>
        <v>EUR14F25Y_Quote</v>
      </c>
      <c r="E255" s="43" t="e">
        <f ca="1">_xll.qlSimpleQuote(D255,,RateTickValue,Permanent,Trigger,ObjectOverwrite)</f>
        <v>#NAME?</v>
      </c>
      <c r="F255" s="42" t="e">
        <f ca="1">_xll.ohRangeRetrieveError(E255)</f>
        <v>#NAME?</v>
      </c>
      <c r="G255" s="36"/>
      <c r="H255" s="162"/>
      <c r="I255" s="113"/>
      <c r="J255" s="138" t="s">
        <v>31</v>
      </c>
      <c r="K255" s="138" t="str">
        <f t="shared" si="29"/>
        <v>14F</v>
      </c>
      <c r="L255" s="140" t="str">
        <f t="shared" si="26"/>
        <v>EUR14F25Y</v>
      </c>
      <c r="M255" s="140" t="str">
        <v>EUR14F25Y=ICAP</v>
      </c>
      <c r="N255" s="78">
        <v>1.726</v>
      </c>
      <c r="O255" s="111"/>
      <c r="P255" s="78">
        <v>1.726</v>
      </c>
      <c r="Q255" s="111"/>
      <c r="R255" s="78">
        <v>1.726</v>
      </c>
      <c r="S255" s="78" t="e">
        <f ca="1">_xll.qlSimpleQuoteSetValue(E255,R255/100,Trigger)</f>
        <v>#NAME?</v>
      </c>
      <c r="T255" s="130"/>
      <c r="V255" s="161"/>
    </row>
    <row r="256" spans="1:22" x14ac:dyDescent="0.2">
      <c r="A256" s="135"/>
      <c r="B256" s="45" t="str">
        <f t="shared" si="23"/>
        <v>30Y</v>
      </c>
      <c r="C256" s="45" t="str">
        <f t="shared" si="24"/>
        <v>14F</v>
      </c>
      <c r="D256" s="43" t="str">
        <f t="shared" si="25"/>
        <v>EUR14F30Y_Quote</v>
      </c>
      <c r="E256" s="43" t="e">
        <f ca="1">_xll.qlSimpleQuote(D256,,RateTickValue,Permanent,Trigger,ObjectOverwrite)</f>
        <v>#NAME?</v>
      </c>
      <c r="F256" s="42" t="e">
        <f ca="1">_xll.ohRangeRetrieveError(E256)</f>
        <v>#NAME?</v>
      </c>
      <c r="G256" s="36"/>
      <c r="H256" s="162"/>
      <c r="I256" s="113"/>
      <c r="J256" s="131" t="s">
        <v>26</v>
      </c>
      <c r="K256" s="131" t="str">
        <f t="shared" si="29"/>
        <v>14F</v>
      </c>
      <c r="L256" s="133" t="str">
        <f t="shared" si="26"/>
        <v>EUR14F30Y</v>
      </c>
      <c r="M256" s="133" t="str">
        <v>EUR14F30Y=ICAP</v>
      </c>
      <c r="N256" s="65">
        <v>1.6779999999999999</v>
      </c>
      <c r="O256" s="111"/>
      <c r="P256" s="65">
        <v>1.6779999999999999</v>
      </c>
      <c r="Q256" s="111"/>
      <c r="R256" s="65">
        <v>1.6779999999999999</v>
      </c>
      <c r="S256" s="65" t="e">
        <f ca="1">_xll.qlSimpleQuoteSetValue(E256,R256/100,Trigger)</f>
        <v>#NAME?</v>
      </c>
      <c r="T256" s="130"/>
      <c r="V256" s="161"/>
    </row>
    <row r="257" spans="1:22" x14ac:dyDescent="0.2">
      <c r="A257" s="135"/>
      <c r="B257" s="45" t="str">
        <f t="shared" si="23"/>
        <v>1Y</v>
      </c>
      <c r="C257" s="45" t="str">
        <f t="shared" si="24"/>
        <v>15F</v>
      </c>
      <c r="D257" s="43" t="str">
        <f t="shared" si="25"/>
        <v>EUR15F1Y_Quote</v>
      </c>
      <c r="E257" s="43" t="e">
        <f ca="1">_xll.qlSimpleQuote(D257,,RateTickValue,Permanent,Trigger,ObjectOverwrite)</f>
        <v>#NAME?</v>
      </c>
      <c r="F257" s="42" t="e">
        <f ca="1">_xll.ohRangeRetrieveError(E257)</f>
        <v>#NAME?</v>
      </c>
      <c r="G257" s="36"/>
      <c r="H257" s="162"/>
      <c r="I257" s="135">
        <v>15</v>
      </c>
      <c r="J257" s="164" t="s">
        <v>58</v>
      </c>
      <c r="K257" s="164" t="str">
        <f t="shared" ref="K257:K274" si="30">$I$257&amp;"F"</f>
        <v>15F</v>
      </c>
      <c r="L257" s="163" t="str">
        <f t="shared" si="26"/>
        <v>EUR15F1Y</v>
      </c>
      <c r="M257" s="163" t="str">
        <v>EUR15F1Y=ICAP</v>
      </c>
      <c r="N257" s="89">
        <v>2.1509999999999998</v>
      </c>
      <c r="O257" s="111"/>
      <c r="P257" s="89">
        <v>2.1509999999999998</v>
      </c>
      <c r="Q257" s="111"/>
      <c r="R257" s="89">
        <v>2.1509999999999998</v>
      </c>
      <c r="S257" s="89" t="e">
        <f ca="1">_xll.qlSimpleQuoteSetValue(E257,R257/100,Trigger)</f>
        <v>#NAME?</v>
      </c>
      <c r="T257" s="130"/>
      <c r="V257" s="161"/>
    </row>
    <row r="258" spans="1:22" x14ac:dyDescent="0.2">
      <c r="A258" s="135"/>
      <c r="B258" s="45" t="str">
        <f t="shared" si="23"/>
        <v>2Y</v>
      </c>
      <c r="C258" s="45" t="str">
        <f t="shared" si="24"/>
        <v>15F</v>
      </c>
      <c r="D258" s="43" t="str">
        <f t="shared" si="25"/>
        <v>EUR15F2Y_Quote</v>
      </c>
      <c r="E258" s="43" t="e">
        <f ca="1">_xll.qlSimpleQuote(D258,,RateTickValue,Permanent,Trigger,ObjectOverwrite)</f>
        <v>#NAME?</v>
      </c>
      <c r="F258" s="42" t="e">
        <f ca="1">_xll.ohRangeRetrieveError(E258)</f>
        <v>#NAME?</v>
      </c>
      <c r="G258" s="36"/>
      <c r="H258" s="162"/>
      <c r="I258" s="113"/>
      <c r="J258" s="138" t="s">
        <v>54</v>
      </c>
      <c r="K258" s="138" t="str">
        <f t="shared" si="30"/>
        <v>15F</v>
      </c>
      <c r="L258" s="140" t="str">
        <f t="shared" si="26"/>
        <v>EUR15F2Y</v>
      </c>
      <c r="M258" s="140" t="str">
        <v>EUR15F2Y=ICAP</v>
      </c>
      <c r="N258" s="78">
        <v>2.1440000000000001</v>
      </c>
      <c r="O258" s="111"/>
      <c r="P258" s="78">
        <v>2.1440000000000001</v>
      </c>
      <c r="Q258" s="111"/>
      <c r="R258" s="78">
        <v>2.1440000000000001</v>
      </c>
      <c r="S258" s="78" t="e">
        <f ca="1">_xll.qlSimpleQuoteSetValue(E258,R258/100,Trigger)</f>
        <v>#NAME?</v>
      </c>
      <c r="T258" s="130"/>
      <c r="V258" s="161"/>
    </row>
    <row r="259" spans="1:22" x14ac:dyDescent="0.2">
      <c r="A259" s="135"/>
      <c r="B259" s="45" t="str">
        <f t="shared" si="23"/>
        <v>3Y</v>
      </c>
      <c r="C259" s="45" t="str">
        <f t="shared" si="24"/>
        <v>15F</v>
      </c>
      <c r="D259" s="43" t="str">
        <f t="shared" si="25"/>
        <v>EUR15F3Y_Quote</v>
      </c>
      <c r="E259" s="43" t="e">
        <f ca="1">_xll.qlSimpleQuote(D259,,RateTickValue,Permanent,Trigger,ObjectOverwrite)</f>
        <v>#NAME?</v>
      </c>
      <c r="F259" s="42" t="e">
        <f ca="1">_xll.ohRangeRetrieveError(E259)</f>
        <v>#NAME?</v>
      </c>
      <c r="G259" s="36"/>
      <c r="H259" s="162"/>
      <c r="I259" s="113"/>
      <c r="J259" s="138" t="s">
        <v>53</v>
      </c>
      <c r="K259" s="138" t="str">
        <f t="shared" si="30"/>
        <v>15F</v>
      </c>
      <c r="L259" s="140" t="str">
        <f t="shared" si="26"/>
        <v>EUR15F3Y</v>
      </c>
      <c r="M259" s="140" t="str">
        <v>EUR15F3Y=ICAP</v>
      </c>
      <c r="N259" s="78">
        <v>2.1120000000000001</v>
      </c>
      <c r="O259" s="111"/>
      <c r="P259" s="78">
        <v>2.1120000000000001</v>
      </c>
      <c r="Q259" s="111"/>
      <c r="R259" s="78">
        <v>2.1120000000000001</v>
      </c>
      <c r="S259" s="78" t="e">
        <f ca="1">_xll.qlSimpleQuoteSetValue(E259,R259/100,Trigger)</f>
        <v>#NAME?</v>
      </c>
      <c r="T259" s="130"/>
      <c r="V259" s="161"/>
    </row>
    <row r="260" spans="1:22" x14ac:dyDescent="0.2">
      <c r="A260" s="135"/>
      <c r="B260" s="45" t="str">
        <f t="shared" si="23"/>
        <v>4Y</v>
      </c>
      <c r="C260" s="45" t="str">
        <f t="shared" si="24"/>
        <v>15F</v>
      </c>
      <c r="D260" s="43" t="str">
        <f t="shared" si="25"/>
        <v>EUR15F4Y_Quote</v>
      </c>
      <c r="E260" s="43" t="e">
        <f ca="1">_xll.qlSimpleQuote(D260,,RateTickValue,Permanent,Trigger,ObjectOverwrite)</f>
        <v>#NAME?</v>
      </c>
      <c r="F260" s="42" t="e">
        <f ca="1">_xll.ohRangeRetrieveError(E260)</f>
        <v>#NAME?</v>
      </c>
      <c r="G260" s="36"/>
      <c r="H260" s="162"/>
      <c r="I260" s="113"/>
      <c r="J260" s="138" t="s">
        <v>52</v>
      </c>
      <c r="K260" s="138" t="str">
        <f t="shared" si="30"/>
        <v>15F</v>
      </c>
      <c r="L260" s="140" t="str">
        <f t="shared" si="26"/>
        <v>EUR15F4Y</v>
      </c>
      <c r="M260" s="140" t="str">
        <v>EUR15F4Y=ICAP</v>
      </c>
      <c r="N260" s="78">
        <v>2.081</v>
      </c>
      <c r="O260" s="111"/>
      <c r="P260" s="78">
        <v>2.081</v>
      </c>
      <c r="Q260" s="111"/>
      <c r="R260" s="78">
        <v>2.081</v>
      </c>
      <c r="S260" s="78" t="e">
        <f ca="1">_xll.qlSimpleQuoteSetValue(E260,R260/100,Trigger)</f>
        <v>#NAME?</v>
      </c>
      <c r="T260" s="130"/>
      <c r="V260" s="161"/>
    </row>
    <row r="261" spans="1:22" x14ac:dyDescent="0.2">
      <c r="A261" s="135"/>
      <c r="B261" s="45" t="str">
        <f t="shared" ref="B261:B328" si="31">J261</f>
        <v>5Y</v>
      </c>
      <c r="C261" s="45" t="str">
        <f t="shared" ref="C261:C328" si="32">K261</f>
        <v>15F</v>
      </c>
      <c r="D261" s="43" t="str">
        <f t="shared" ref="D261:D328" si="33">Currency&amp;$C261&amp;B261&amp;QuoteSuffix</f>
        <v>EUR15F5Y_Quote</v>
      </c>
      <c r="E261" s="43" t="e">
        <f ca="1">_xll.qlSimpleQuote(D261,,RateTickValue,Permanent,Trigger,ObjectOverwrite)</f>
        <v>#NAME?</v>
      </c>
      <c r="F261" s="42" t="e">
        <f ca="1">_xll.ohRangeRetrieveError(E261)</f>
        <v>#NAME?</v>
      </c>
      <c r="G261" s="36"/>
      <c r="H261" s="162"/>
      <c r="I261" s="113"/>
      <c r="J261" s="138" t="s">
        <v>51</v>
      </c>
      <c r="K261" s="138" t="str">
        <f t="shared" si="30"/>
        <v>15F</v>
      </c>
      <c r="L261" s="140" t="str">
        <f t="shared" ref="L261:L328" si="34">Currency&amp;$K261&amp;$J261</f>
        <v>EUR15F5Y</v>
      </c>
      <c r="M261" s="140" t="str">
        <v>EUR15F5Y=ICAP</v>
      </c>
      <c r="N261" s="78">
        <v>2.0459999999999998</v>
      </c>
      <c r="O261" s="111"/>
      <c r="P261" s="78">
        <v>2.0459999999999998</v>
      </c>
      <c r="Q261" s="111"/>
      <c r="R261" s="78">
        <v>2.0459999999999998</v>
      </c>
      <c r="S261" s="78" t="e">
        <f ca="1">_xll.qlSimpleQuoteSetValue(E261,R261/100,Trigger)</f>
        <v>#NAME?</v>
      </c>
      <c r="T261" s="130"/>
      <c r="V261" s="161"/>
    </row>
    <row r="262" spans="1:22" x14ac:dyDescent="0.2">
      <c r="A262" s="135"/>
      <c r="B262" s="45" t="str">
        <f t="shared" si="31"/>
        <v>6Y</v>
      </c>
      <c r="C262" s="45" t="str">
        <f t="shared" si="32"/>
        <v>15F</v>
      </c>
      <c r="D262" s="43" t="str">
        <f t="shared" si="33"/>
        <v>EUR15F6Y_Quote</v>
      </c>
      <c r="E262" s="43" t="e">
        <f ca="1">_xll.qlSimpleQuote(D262,,RateTickValue,Permanent,Trigger,ObjectOverwrite)</f>
        <v>#NAME?</v>
      </c>
      <c r="F262" s="42" t="e">
        <f ca="1">_xll.ohRangeRetrieveError(E262)</f>
        <v>#NAME?</v>
      </c>
      <c r="G262" s="36"/>
      <c r="H262" s="162"/>
      <c r="I262" s="113"/>
      <c r="J262" s="138" t="s">
        <v>50</v>
      </c>
      <c r="K262" s="138" t="str">
        <f t="shared" si="30"/>
        <v>15F</v>
      </c>
      <c r="L262" s="140" t="str">
        <f t="shared" si="34"/>
        <v>EUR15F6Y</v>
      </c>
      <c r="M262" s="140" t="str">
        <v>EUR15F6Y=ICAP</v>
      </c>
      <c r="N262" s="78">
        <v>2.0089999999999999</v>
      </c>
      <c r="O262" s="111"/>
      <c r="P262" s="78">
        <v>2.0089999999999999</v>
      </c>
      <c r="Q262" s="111"/>
      <c r="R262" s="78">
        <v>2.0089999999999999</v>
      </c>
      <c r="S262" s="78" t="e">
        <f ca="1">_xll.qlSimpleQuoteSetValue(E262,R262/100,Trigger)</f>
        <v>#NAME?</v>
      </c>
      <c r="T262" s="130"/>
      <c r="V262" s="161"/>
    </row>
    <row r="263" spans="1:22" x14ac:dyDescent="0.2">
      <c r="A263" s="135"/>
      <c r="B263" s="45" t="str">
        <f t="shared" si="31"/>
        <v>7Y</v>
      </c>
      <c r="C263" s="45" t="str">
        <f t="shared" si="32"/>
        <v>15F</v>
      </c>
      <c r="D263" s="43" t="str">
        <f t="shared" si="33"/>
        <v>EUR15F7Y_Quote</v>
      </c>
      <c r="E263" s="43" t="e">
        <f ca="1">_xll.qlSimpleQuote(D263,,RateTickValue,Permanent,Trigger,ObjectOverwrite)</f>
        <v>#NAME?</v>
      </c>
      <c r="F263" s="42" t="e">
        <f ca="1">_xll.ohRangeRetrieveError(E263)</f>
        <v>#NAME?</v>
      </c>
      <c r="G263" s="36"/>
      <c r="H263" s="162"/>
      <c r="I263" s="113"/>
      <c r="J263" s="138" t="s">
        <v>49</v>
      </c>
      <c r="K263" s="138" t="str">
        <f t="shared" si="30"/>
        <v>15F</v>
      </c>
      <c r="L263" s="140" t="str">
        <f t="shared" si="34"/>
        <v>EUR15F7Y</v>
      </c>
      <c r="M263" s="140" t="str">
        <v>EUR15F7Y=ICAP</v>
      </c>
      <c r="N263" s="78">
        <v>1.976</v>
      </c>
      <c r="O263" s="111"/>
      <c r="P263" s="78">
        <v>1.976</v>
      </c>
      <c r="Q263" s="111"/>
      <c r="R263" s="78">
        <v>1.976</v>
      </c>
      <c r="S263" s="78" t="e">
        <f ca="1">_xll.qlSimpleQuoteSetValue(E263,R263/100,Trigger)</f>
        <v>#NAME?</v>
      </c>
      <c r="T263" s="130"/>
      <c r="V263" s="161"/>
    </row>
    <row r="264" spans="1:22" x14ac:dyDescent="0.2">
      <c r="A264" s="135"/>
      <c r="B264" s="45" t="str">
        <f t="shared" si="31"/>
        <v>8Y</v>
      </c>
      <c r="C264" s="45" t="str">
        <f t="shared" si="32"/>
        <v>15F</v>
      </c>
      <c r="D264" s="43" t="str">
        <f t="shared" si="33"/>
        <v>EUR15F8Y_Quote</v>
      </c>
      <c r="E264" s="43" t="e">
        <f ca="1">_xll.qlSimpleQuote(D264,,RateTickValue,Permanent,Trigger,ObjectOverwrite)</f>
        <v>#NAME?</v>
      </c>
      <c r="F264" s="42" t="e">
        <f ca="1">_xll.ohRangeRetrieveError(E264)</f>
        <v>#NAME?</v>
      </c>
      <c r="G264" s="36"/>
      <c r="H264" s="162"/>
      <c r="I264" s="113"/>
      <c r="J264" s="138" t="s">
        <v>48</v>
      </c>
      <c r="K264" s="138" t="str">
        <f t="shared" si="30"/>
        <v>15F</v>
      </c>
      <c r="L264" s="140" t="str">
        <f t="shared" si="34"/>
        <v>EUR15F8Y</v>
      </c>
      <c r="M264" s="140" t="str">
        <v>EUR15F8Y=ICAP</v>
      </c>
      <c r="N264" s="78">
        <v>1.9380000000000002</v>
      </c>
      <c r="O264" s="111"/>
      <c r="P264" s="78">
        <v>1.9380000000000002</v>
      </c>
      <c r="Q264" s="111"/>
      <c r="R264" s="78">
        <v>1.9380000000000002</v>
      </c>
      <c r="S264" s="78" t="e">
        <f ca="1">_xll.qlSimpleQuoteSetValue(E264,R264/100,Trigger)</f>
        <v>#NAME?</v>
      </c>
      <c r="T264" s="130"/>
      <c r="V264" s="161"/>
    </row>
    <row r="265" spans="1:22" x14ac:dyDescent="0.2">
      <c r="A265" s="135"/>
      <c r="B265" s="45" t="str">
        <f t="shared" si="31"/>
        <v>9Y</v>
      </c>
      <c r="C265" s="45" t="str">
        <f t="shared" si="32"/>
        <v>15F</v>
      </c>
      <c r="D265" s="43" t="str">
        <f t="shared" si="33"/>
        <v>EUR15F9Y_Quote</v>
      </c>
      <c r="E265" s="43" t="e">
        <f ca="1">_xll.qlSimpleQuote(D265,,RateTickValue,Permanent,Trigger,ObjectOverwrite)</f>
        <v>#NAME?</v>
      </c>
      <c r="F265" s="42" t="e">
        <f ca="1">_xll.ohRangeRetrieveError(E265)</f>
        <v>#NAME?</v>
      </c>
      <c r="G265" s="36"/>
      <c r="H265" s="162"/>
      <c r="I265" s="113"/>
      <c r="J265" s="138" t="s">
        <v>47</v>
      </c>
      <c r="K265" s="138" t="str">
        <f t="shared" si="30"/>
        <v>15F</v>
      </c>
      <c r="L265" s="140" t="str">
        <f t="shared" si="34"/>
        <v>EUR15F9Y</v>
      </c>
      <c r="M265" s="140" t="str">
        <v>EUR15F9Y=ICAP</v>
      </c>
      <c r="N265" s="78">
        <v>1.907</v>
      </c>
      <c r="O265" s="111"/>
      <c r="P265" s="78">
        <v>1.907</v>
      </c>
      <c r="Q265" s="111"/>
      <c r="R265" s="78">
        <v>1.907</v>
      </c>
      <c r="S265" s="78" t="e">
        <f ca="1">_xll.qlSimpleQuoteSetValue(E265,R265/100,Trigger)</f>
        <v>#NAME?</v>
      </c>
      <c r="T265" s="130"/>
      <c r="V265" s="161"/>
    </row>
    <row r="266" spans="1:22" x14ac:dyDescent="0.2">
      <c r="A266" s="135"/>
      <c r="B266" s="45" t="str">
        <f t="shared" si="31"/>
        <v>10Y</v>
      </c>
      <c r="C266" s="45" t="str">
        <f t="shared" si="32"/>
        <v>15F</v>
      </c>
      <c r="D266" s="43" t="str">
        <f t="shared" si="33"/>
        <v>EUR15F10Y_Quote</v>
      </c>
      <c r="E266" s="43" t="e">
        <f ca="1">_xll.qlSimpleQuote(D266,,RateTickValue,Permanent,Trigger,ObjectOverwrite)</f>
        <v>#NAME?</v>
      </c>
      <c r="F266" s="42" t="e">
        <f ca="1">_xll.ohRangeRetrieveError(E266)</f>
        <v>#NAME?</v>
      </c>
      <c r="G266" s="36"/>
      <c r="H266" s="162"/>
      <c r="I266" s="113"/>
      <c r="J266" s="138" t="s">
        <v>46</v>
      </c>
      <c r="K266" s="138" t="str">
        <f t="shared" si="30"/>
        <v>15F</v>
      </c>
      <c r="L266" s="140" t="str">
        <f t="shared" si="34"/>
        <v>EUR15F10Y</v>
      </c>
      <c r="M266" s="140" t="str">
        <v>EUR15F10Y=ICAP</v>
      </c>
      <c r="N266" s="78">
        <v>1.877</v>
      </c>
      <c r="O266" s="111"/>
      <c r="P266" s="78">
        <v>1.877</v>
      </c>
      <c r="Q266" s="111"/>
      <c r="R266" s="78">
        <v>1.877</v>
      </c>
      <c r="S266" s="78" t="e">
        <f ca="1">_xll.qlSimpleQuoteSetValue(E266,R266/100,Trigger)</f>
        <v>#NAME?</v>
      </c>
      <c r="T266" s="130"/>
      <c r="V266" s="161"/>
    </row>
    <row r="267" spans="1:22" x14ac:dyDescent="0.2">
      <c r="A267" s="135"/>
      <c r="B267" s="45" t="str">
        <f t="shared" si="31"/>
        <v>11Y</v>
      </c>
      <c r="C267" s="45" t="str">
        <f t="shared" si="32"/>
        <v>15F</v>
      </c>
      <c r="D267" s="43" t="str">
        <f t="shared" si="33"/>
        <v>EUR15F11Y_Quote</v>
      </c>
      <c r="E267" s="43" t="e">
        <f ca="1">_xll.qlSimpleQuote(D267,,RateTickValue,Permanent,Trigger,ObjectOverwrite)</f>
        <v>#NAME?</v>
      </c>
      <c r="F267" s="42" t="e">
        <f ca="1">_xll.ohRangeRetrieveError(E267)</f>
        <v>#NAME?</v>
      </c>
      <c r="G267" s="36"/>
      <c r="H267" s="162"/>
      <c r="I267" s="113"/>
      <c r="J267" s="138" t="s">
        <v>45</v>
      </c>
      <c r="K267" s="138" t="str">
        <f t="shared" si="30"/>
        <v>15F</v>
      </c>
      <c r="L267" s="140" t="str">
        <f t="shared" si="34"/>
        <v>EUR15F11Y</v>
      </c>
      <c r="M267" s="140" t="str">
        <v>EUR15F11Y=ICAP</v>
      </c>
      <c r="N267" s="78">
        <v>1.85</v>
      </c>
      <c r="O267" s="111"/>
      <c r="P267" s="78">
        <v>1.85</v>
      </c>
      <c r="Q267" s="111"/>
      <c r="R267" s="78">
        <v>1.85</v>
      </c>
      <c r="S267" s="78" t="e">
        <f ca="1">_xll.qlSimpleQuoteSetValue(E267,R267/100,Trigger)</f>
        <v>#NAME?</v>
      </c>
      <c r="T267" s="130"/>
      <c r="V267" s="161"/>
    </row>
    <row r="268" spans="1:22" x14ac:dyDescent="0.2">
      <c r="A268" s="135"/>
      <c r="B268" s="45" t="str">
        <f t="shared" si="31"/>
        <v>12Y</v>
      </c>
      <c r="C268" s="45" t="str">
        <f t="shared" si="32"/>
        <v>15F</v>
      </c>
      <c r="D268" s="43" t="str">
        <f t="shared" si="33"/>
        <v>EUR15F12Y_Quote</v>
      </c>
      <c r="E268" s="43" t="e">
        <f ca="1">_xll.qlSimpleQuote(D268,,RateTickValue,Permanent,Trigger,ObjectOverwrite)</f>
        <v>#NAME?</v>
      </c>
      <c r="F268" s="42" t="e">
        <f ca="1">_xll.ohRangeRetrieveError(E268)</f>
        <v>#NAME?</v>
      </c>
      <c r="G268" s="36"/>
      <c r="H268" s="162"/>
      <c r="I268" s="113"/>
      <c r="J268" s="138" t="s">
        <v>44</v>
      </c>
      <c r="K268" s="138" t="str">
        <f t="shared" si="30"/>
        <v>15F</v>
      </c>
      <c r="L268" s="140" t="str">
        <f t="shared" si="34"/>
        <v>EUR15F12Y</v>
      </c>
      <c r="M268" s="140" t="str">
        <v>EUR15F12Y=ICAP</v>
      </c>
      <c r="N268" s="78">
        <v>1.827</v>
      </c>
      <c r="O268" s="111"/>
      <c r="P268" s="78">
        <v>1.827</v>
      </c>
      <c r="Q268" s="111"/>
      <c r="R268" s="78">
        <v>1.827</v>
      </c>
      <c r="S268" s="78" t="e">
        <f ca="1">_xll.qlSimpleQuoteSetValue(E268,R268/100,Trigger)</f>
        <v>#NAME?</v>
      </c>
      <c r="T268" s="130"/>
      <c r="V268" s="161"/>
    </row>
    <row r="269" spans="1:22" x14ac:dyDescent="0.2">
      <c r="A269" s="135"/>
      <c r="B269" s="45" t="str">
        <f t="shared" si="31"/>
        <v>13Y</v>
      </c>
      <c r="C269" s="45" t="str">
        <f t="shared" si="32"/>
        <v>15F</v>
      </c>
      <c r="D269" s="43" t="str">
        <f t="shared" si="33"/>
        <v>EUR15F13Y_Quote</v>
      </c>
      <c r="E269" s="43" t="e">
        <f ca="1">_xll.qlSimpleQuote(D269,,RateTickValue,Permanent,Trigger,ObjectOverwrite)</f>
        <v>#NAME?</v>
      </c>
      <c r="F269" s="42" t="e">
        <f ca="1">_xll.ohRangeRetrieveError(E269)</f>
        <v>#NAME?</v>
      </c>
      <c r="G269" s="36"/>
      <c r="H269" s="162"/>
      <c r="I269" s="113"/>
      <c r="J269" s="138" t="s">
        <v>43</v>
      </c>
      <c r="K269" s="138" t="str">
        <f t="shared" si="30"/>
        <v>15F</v>
      </c>
      <c r="L269" s="140" t="str">
        <f t="shared" si="34"/>
        <v>EUR15F13Y</v>
      </c>
      <c r="M269" s="140" t="str">
        <v>EUR15F13Y=ICAP</v>
      </c>
      <c r="N269" s="78">
        <v>1.8089999999999999</v>
      </c>
      <c r="O269" s="111"/>
      <c r="P269" s="78">
        <v>1.8089999999999999</v>
      </c>
      <c r="Q269" s="111"/>
      <c r="R269" s="78">
        <v>1.8089999999999999</v>
      </c>
      <c r="S269" s="78" t="e">
        <f ca="1">_xll.qlSimpleQuoteSetValue(E269,R269/100,Trigger)</f>
        <v>#NAME?</v>
      </c>
      <c r="T269" s="130"/>
      <c r="V269" s="161"/>
    </row>
    <row r="270" spans="1:22" x14ac:dyDescent="0.2">
      <c r="A270" s="135"/>
      <c r="B270" s="45" t="str">
        <f t="shared" si="31"/>
        <v>14Y</v>
      </c>
      <c r="C270" s="45" t="str">
        <f t="shared" si="32"/>
        <v>15F</v>
      </c>
      <c r="D270" s="43" t="str">
        <f t="shared" si="33"/>
        <v>EUR15F14Y_Quote</v>
      </c>
      <c r="E270" s="43" t="e">
        <f ca="1">_xll.qlSimpleQuote(D270,,RateTickValue,Permanent,Trigger,ObjectOverwrite)</f>
        <v>#NAME?</v>
      </c>
      <c r="F270" s="42" t="e">
        <f ca="1">_xll.ohRangeRetrieveError(E270)</f>
        <v>#NAME?</v>
      </c>
      <c r="G270" s="36"/>
      <c r="H270" s="162"/>
      <c r="I270" s="113"/>
      <c r="J270" s="138" t="s">
        <v>42</v>
      </c>
      <c r="K270" s="138" t="str">
        <f t="shared" si="30"/>
        <v>15F</v>
      </c>
      <c r="L270" s="140" t="str">
        <f t="shared" si="34"/>
        <v>EUR15F14Y</v>
      </c>
      <c r="M270" s="140" t="str">
        <v>EUR15F14Y=ICAP</v>
      </c>
      <c r="N270" s="78">
        <v>1.79</v>
      </c>
      <c r="O270" s="111"/>
      <c r="P270" s="78">
        <v>1.79</v>
      </c>
      <c r="Q270" s="111"/>
      <c r="R270" s="78">
        <v>1.79</v>
      </c>
      <c r="S270" s="78" t="e">
        <f ca="1">_xll.qlSimpleQuoteSetValue(E270,R270/100,Trigger)</f>
        <v>#NAME?</v>
      </c>
      <c r="T270" s="130"/>
      <c r="V270" s="161"/>
    </row>
    <row r="271" spans="1:22" x14ac:dyDescent="0.2">
      <c r="A271" s="135"/>
      <c r="B271" s="45" t="str">
        <f t="shared" si="31"/>
        <v>15Y</v>
      </c>
      <c r="C271" s="45" t="str">
        <f t="shared" si="32"/>
        <v>15F</v>
      </c>
      <c r="D271" s="43" t="str">
        <f t="shared" si="33"/>
        <v>EUR15F15Y_Quote</v>
      </c>
      <c r="E271" s="43" t="e">
        <f ca="1">_xll.qlSimpleQuote(D271,,RateTickValue,Permanent,Trigger,ObjectOverwrite)</f>
        <v>#NAME?</v>
      </c>
      <c r="F271" s="42" t="e">
        <f ca="1">_xll.ohRangeRetrieveError(E271)</f>
        <v>#NAME?</v>
      </c>
      <c r="G271" s="36"/>
      <c r="H271" s="162"/>
      <c r="I271" s="113"/>
      <c r="J271" s="138" t="s">
        <v>41</v>
      </c>
      <c r="K271" s="138" t="str">
        <f t="shared" si="30"/>
        <v>15F</v>
      </c>
      <c r="L271" s="140" t="str">
        <f t="shared" si="34"/>
        <v>EUR15F15Y</v>
      </c>
      <c r="M271" s="140" t="str">
        <v>EUR15F15Y=ICAP</v>
      </c>
      <c r="N271" s="78">
        <v>1.7769999999999999</v>
      </c>
      <c r="O271" s="111"/>
      <c r="P271" s="78">
        <v>1.7769999999999999</v>
      </c>
      <c r="Q271" s="111"/>
      <c r="R271" s="78">
        <v>1.7769999999999999</v>
      </c>
      <c r="S271" s="78" t="e">
        <f ca="1">_xll.qlSimpleQuoteSetValue(E271,R271/100,Trigger)</f>
        <v>#NAME?</v>
      </c>
      <c r="T271" s="130"/>
      <c r="V271" s="161"/>
    </row>
    <row r="272" spans="1:22" x14ac:dyDescent="0.2">
      <c r="A272" s="135"/>
      <c r="B272" s="45" t="str">
        <f t="shared" si="31"/>
        <v>20Y</v>
      </c>
      <c r="C272" s="45" t="str">
        <f t="shared" si="32"/>
        <v>15F</v>
      </c>
      <c r="D272" s="43" t="str">
        <f t="shared" si="33"/>
        <v>EUR15F20Y_Quote</v>
      </c>
      <c r="E272" s="43" t="e">
        <f ca="1">_xll.qlSimpleQuote(D272,,RateTickValue,Permanent,Trigger,ObjectOverwrite)</f>
        <v>#NAME?</v>
      </c>
      <c r="F272" s="42" t="e">
        <f ca="1">_xll.ohRangeRetrieveError(E272)</f>
        <v>#NAME?</v>
      </c>
      <c r="G272" s="36"/>
      <c r="H272" s="162"/>
      <c r="I272" s="113"/>
      <c r="J272" s="138" t="s">
        <v>36</v>
      </c>
      <c r="K272" s="138" t="str">
        <f t="shared" si="30"/>
        <v>15F</v>
      </c>
      <c r="L272" s="140" t="str">
        <f t="shared" si="34"/>
        <v>EUR15F20Y</v>
      </c>
      <c r="M272" s="140" t="str">
        <v>EUR15F20Y=ICAP</v>
      </c>
      <c r="N272" s="78">
        <v>1.7330000000000001</v>
      </c>
      <c r="O272" s="111"/>
      <c r="P272" s="78">
        <v>1.7330000000000001</v>
      </c>
      <c r="Q272" s="111"/>
      <c r="R272" s="78">
        <v>1.7330000000000001</v>
      </c>
      <c r="S272" s="78" t="e">
        <f ca="1">_xll.qlSimpleQuoteSetValue(E272,R272/100,Trigger)</f>
        <v>#NAME?</v>
      </c>
      <c r="T272" s="130"/>
      <c r="V272" s="161"/>
    </row>
    <row r="273" spans="1:22" x14ac:dyDescent="0.2">
      <c r="A273" s="135"/>
      <c r="B273" s="45" t="str">
        <f t="shared" si="31"/>
        <v>25Y</v>
      </c>
      <c r="C273" s="45" t="str">
        <f t="shared" si="32"/>
        <v>15F</v>
      </c>
      <c r="D273" s="43" t="str">
        <f t="shared" si="33"/>
        <v>EUR15F25Y_Quote</v>
      </c>
      <c r="E273" s="43" t="e">
        <f ca="1">_xll.qlSimpleQuote(D273,,RateTickValue,Permanent,Trigger,ObjectOverwrite)</f>
        <v>#NAME?</v>
      </c>
      <c r="F273" s="42" t="e">
        <f ca="1">_xll.ohRangeRetrieveError(E273)</f>
        <v>#NAME?</v>
      </c>
      <c r="G273" s="36"/>
      <c r="H273" s="162"/>
      <c r="I273" s="113"/>
      <c r="J273" s="138" t="s">
        <v>31</v>
      </c>
      <c r="K273" s="138" t="str">
        <f t="shared" si="30"/>
        <v>15F</v>
      </c>
      <c r="L273" s="140" t="str">
        <f t="shared" si="34"/>
        <v>EUR15F25Y</v>
      </c>
      <c r="M273" s="140" t="str">
        <v>EUR15F25Y=ICAP</v>
      </c>
      <c r="N273" s="78">
        <v>1.6930000000000001</v>
      </c>
      <c r="O273" s="111"/>
      <c r="P273" s="78">
        <v>1.6930000000000001</v>
      </c>
      <c r="Q273" s="111"/>
      <c r="R273" s="78">
        <v>1.6930000000000001</v>
      </c>
      <c r="S273" s="78" t="e">
        <f ca="1">_xll.qlSimpleQuoteSetValue(E273,R273/100,Trigger)</f>
        <v>#NAME?</v>
      </c>
      <c r="T273" s="130"/>
      <c r="V273" s="161"/>
    </row>
    <row r="274" spans="1:22" x14ac:dyDescent="0.2">
      <c r="A274" s="135"/>
      <c r="B274" s="45" t="str">
        <f t="shared" si="31"/>
        <v>30Y</v>
      </c>
      <c r="C274" s="45" t="str">
        <f t="shared" si="32"/>
        <v>15F</v>
      </c>
      <c r="D274" s="43" t="str">
        <f t="shared" si="33"/>
        <v>EUR15F30Y_Quote</v>
      </c>
      <c r="E274" s="43" t="e">
        <f ca="1">_xll.qlSimpleQuote(D274,,RateTickValue,Permanent,Trigger,ObjectOverwrite)</f>
        <v>#NAME?</v>
      </c>
      <c r="F274" s="42" t="e">
        <f ca="1">_xll.ohRangeRetrieveError(E274)</f>
        <v>#NAME?</v>
      </c>
      <c r="G274" s="36"/>
      <c r="H274" s="162"/>
      <c r="I274" s="113"/>
      <c r="J274" s="131" t="s">
        <v>26</v>
      </c>
      <c r="K274" s="131" t="str">
        <f t="shared" si="30"/>
        <v>15F</v>
      </c>
      <c r="L274" s="133" t="str">
        <f t="shared" si="34"/>
        <v>EUR15F30Y</v>
      </c>
      <c r="M274" s="133" t="str">
        <v>EUR15F30Y=ICAP</v>
      </c>
      <c r="N274" s="65">
        <v>1.643</v>
      </c>
      <c r="O274" s="111"/>
      <c r="P274" s="65">
        <v>1.643</v>
      </c>
      <c r="Q274" s="111"/>
      <c r="R274" s="65">
        <v>1.643</v>
      </c>
      <c r="S274" s="65" t="e">
        <f ca="1">_xll.qlSimpleQuoteSetValue(E274,R274/100,Trigger)</f>
        <v>#NAME?</v>
      </c>
      <c r="T274" s="130"/>
      <c r="V274" s="161"/>
    </row>
    <row r="275" spans="1:22" x14ac:dyDescent="0.2">
      <c r="A275" s="135"/>
      <c r="B275" s="45" t="str">
        <f t="shared" si="31"/>
        <v>1Y</v>
      </c>
      <c r="C275" s="45" t="str">
        <f t="shared" si="32"/>
        <v>20F</v>
      </c>
      <c r="D275" s="43" t="str">
        <f t="shared" si="33"/>
        <v>EUR20F1Y_Quote</v>
      </c>
      <c r="E275" s="43" t="e">
        <f ca="1">_xll.qlSimpleQuote(D275,,RateTickValue,Permanent,Trigger,ObjectOverwrite)</f>
        <v>#NAME?</v>
      </c>
      <c r="F275" s="42" t="e">
        <f ca="1">_xll.ohRangeRetrieveError(E275)</f>
        <v>#NAME?</v>
      </c>
      <c r="G275" s="36"/>
      <c r="H275" s="162"/>
      <c r="I275" s="135">
        <v>20</v>
      </c>
      <c r="J275" s="164" t="s">
        <v>58</v>
      </c>
      <c r="K275" s="164" t="str">
        <f t="shared" ref="K275:K292" si="35">$I$275&amp;"F"</f>
        <v>20F</v>
      </c>
      <c r="L275" s="163" t="str">
        <f t="shared" si="34"/>
        <v>EUR20F1Y</v>
      </c>
      <c r="M275" s="163" t="str">
        <v>EUR20F1Y=ICAP</v>
      </c>
      <c r="N275" s="89">
        <v>1.8149999999999999</v>
      </c>
      <c r="O275" s="111"/>
      <c r="P275" s="89">
        <v>1.8149999999999999</v>
      </c>
      <c r="Q275" s="111"/>
      <c r="R275" s="89">
        <v>1.8149999999999999</v>
      </c>
      <c r="S275" s="89" t="e">
        <f ca="1">_xll.qlSimpleQuoteSetValue(E275,R275/100,Trigger)</f>
        <v>#NAME?</v>
      </c>
      <c r="T275" s="130"/>
      <c r="V275" s="161"/>
    </row>
    <row r="276" spans="1:22" x14ac:dyDescent="0.2">
      <c r="A276" s="135"/>
      <c r="B276" s="45" t="str">
        <f t="shared" si="31"/>
        <v>2Y</v>
      </c>
      <c r="C276" s="45" t="str">
        <f t="shared" si="32"/>
        <v>20F</v>
      </c>
      <c r="D276" s="43" t="str">
        <f t="shared" si="33"/>
        <v>EUR20F2Y_Quote</v>
      </c>
      <c r="E276" s="43" t="e">
        <f ca="1">_xll.qlSimpleQuote(D276,,RateTickValue,Permanent,Trigger,ObjectOverwrite)</f>
        <v>#NAME?</v>
      </c>
      <c r="F276" s="42" t="e">
        <f ca="1">_xll.ohRangeRetrieveError(E276)</f>
        <v>#NAME?</v>
      </c>
      <c r="G276" s="36"/>
      <c r="H276" s="162"/>
      <c r="I276" s="113"/>
      <c r="J276" s="138" t="s">
        <v>54</v>
      </c>
      <c r="K276" s="138" t="str">
        <f t="shared" si="35"/>
        <v>20F</v>
      </c>
      <c r="L276" s="140" t="str">
        <f t="shared" si="34"/>
        <v>EUR20F2Y</v>
      </c>
      <c r="M276" s="140" t="str">
        <v>EUR20F2Y=ICAP</v>
      </c>
      <c r="N276" s="78">
        <v>1.7909999999999999</v>
      </c>
      <c r="O276" s="111"/>
      <c r="P276" s="78">
        <v>1.7909999999999999</v>
      </c>
      <c r="Q276" s="111"/>
      <c r="R276" s="78">
        <v>1.7909999999999999</v>
      </c>
      <c r="S276" s="78" t="e">
        <f ca="1">_xll.qlSimpleQuoteSetValue(E276,R276/100,Trigger)</f>
        <v>#NAME?</v>
      </c>
      <c r="T276" s="130"/>
      <c r="V276" s="161"/>
    </row>
    <row r="277" spans="1:22" x14ac:dyDescent="0.2">
      <c r="A277" s="135"/>
      <c r="B277" s="45" t="str">
        <f t="shared" si="31"/>
        <v>3Y</v>
      </c>
      <c r="C277" s="45" t="str">
        <f t="shared" si="32"/>
        <v>20F</v>
      </c>
      <c r="D277" s="43" t="str">
        <f t="shared" si="33"/>
        <v>EUR20F3Y_Quote</v>
      </c>
      <c r="E277" s="43" t="e">
        <f ca="1">_xll.qlSimpleQuote(D277,,RateTickValue,Permanent,Trigger,ObjectOverwrite)</f>
        <v>#NAME?</v>
      </c>
      <c r="F277" s="42" t="e">
        <f ca="1">_xll.ohRangeRetrieveError(E277)</f>
        <v>#NAME?</v>
      </c>
      <c r="G277" s="36"/>
      <c r="H277" s="162"/>
      <c r="I277" s="113"/>
      <c r="J277" s="138" t="s">
        <v>53</v>
      </c>
      <c r="K277" s="138" t="str">
        <f t="shared" si="35"/>
        <v>20F</v>
      </c>
      <c r="L277" s="140" t="str">
        <f t="shared" si="34"/>
        <v>EUR20F3Y</v>
      </c>
      <c r="M277" s="140" t="str">
        <v>EUR20F3Y=ICAP</v>
      </c>
      <c r="N277" s="78">
        <v>1.7450000000000001</v>
      </c>
      <c r="O277" s="111"/>
      <c r="P277" s="78">
        <v>1.7450000000000001</v>
      </c>
      <c r="Q277" s="111"/>
      <c r="R277" s="78">
        <v>1.7450000000000001</v>
      </c>
      <c r="S277" s="78" t="e">
        <f ca="1">_xll.qlSimpleQuoteSetValue(E277,R277/100,Trigger)</f>
        <v>#NAME?</v>
      </c>
      <c r="T277" s="130"/>
      <c r="V277" s="161"/>
    </row>
    <row r="278" spans="1:22" x14ac:dyDescent="0.2">
      <c r="A278" s="135"/>
      <c r="B278" s="45" t="str">
        <f t="shared" si="31"/>
        <v>4Y</v>
      </c>
      <c r="C278" s="45" t="str">
        <f t="shared" si="32"/>
        <v>20F</v>
      </c>
      <c r="D278" s="43" t="str">
        <f t="shared" si="33"/>
        <v>EUR20F4Y_Quote</v>
      </c>
      <c r="E278" s="43" t="e">
        <f ca="1">_xll.qlSimpleQuote(D278,,RateTickValue,Permanent,Trigger,ObjectOverwrite)</f>
        <v>#NAME?</v>
      </c>
      <c r="F278" s="42" t="e">
        <f ca="1">_xll.ohRangeRetrieveError(E278)</f>
        <v>#NAME?</v>
      </c>
      <c r="G278" s="36"/>
      <c r="H278" s="162"/>
      <c r="I278" s="113"/>
      <c r="J278" s="138" t="s">
        <v>52</v>
      </c>
      <c r="K278" s="138" t="str">
        <f t="shared" si="35"/>
        <v>20F</v>
      </c>
      <c r="L278" s="140" t="str">
        <f t="shared" si="34"/>
        <v>EUR20F4Y</v>
      </c>
      <c r="M278" s="140" t="str">
        <v>EUR20F4Y=ICAP</v>
      </c>
      <c r="N278" s="78">
        <v>1.718</v>
      </c>
      <c r="O278" s="111"/>
      <c r="P278" s="78">
        <v>1.718</v>
      </c>
      <c r="Q278" s="111"/>
      <c r="R278" s="78">
        <v>1.718</v>
      </c>
      <c r="S278" s="78" t="e">
        <f ca="1">_xll.qlSimpleQuoteSetValue(E278,R278/100,Trigger)</f>
        <v>#NAME?</v>
      </c>
      <c r="T278" s="130"/>
      <c r="V278" s="161"/>
    </row>
    <row r="279" spans="1:22" x14ac:dyDescent="0.2">
      <c r="A279" s="135"/>
      <c r="B279" s="45" t="str">
        <f t="shared" si="31"/>
        <v>5Y</v>
      </c>
      <c r="C279" s="45" t="str">
        <f t="shared" si="32"/>
        <v>20F</v>
      </c>
      <c r="D279" s="43" t="str">
        <f t="shared" si="33"/>
        <v>EUR20F5Y_Quote</v>
      </c>
      <c r="E279" s="43" t="e">
        <f ca="1">_xll.qlSimpleQuote(D279,,RateTickValue,Permanent,Trigger,ObjectOverwrite)</f>
        <v>#NAME?</v>
      </c>
      <c r="F279" s="42" t="e">
        <f ca="1">_xll.ohRangeRetrieveError(E279)</f>
        <v>#NAME?</v>
      </c>
      <c r="G279" s="36"/>
      <c r="H279" s="162"/>
      <c r="I279" s="113"/>
      <c r="J279" s="138" t="s">
        <v>51</v>
      </c>
      <c r="K279" s="138" t="str">
        <f t="shared" si="35"/>
        <v>20F</v>
      </c>
      <c r="L279" s="140" t="str">
        <f t="shared" si="34"/>
        <v>EUR20F5Y</v>
      </c>
      <c r="M279" s="140" t="str">
        <v>EUR20F5Y=ICAP</v>
      </c>
      <c r="N279" s="78">
        <v>1.6919999999999999</v>
      </c>
      <c r="O279" s="111"/>
      <c r="P279" s="78">
        <v>1.6919999999999999</v>
      </c>
      <c r="Q279" s="111"/>
      <c r="R279" s="78">
        <v>1.6919999999999999</v>
      </c>
      <c r="S279" s="78" t="e">
        <f ca="1">_xll.qlSimpleQuoteSetValue(E279,R279/100,Trigger)</f>
        <v>#NAME?</v>
      </c>
      <c r="T279" s="130"/>
      <c r="V279" s="161"/>
    </row>
    <row r="280" spans="1:22" x14ac:dyDescent="0.2">
      <c r="A280" s="135"/>
      <c r="B280" s="45" t="str">
        <f t="shared" si="31"/>
        <v>6Y</v>
      </c>
      <c r="C280" s="45" t="str">
        <f t="shared" si="32"/>
        <v>20F</v>
      </c>
      <c r="D280" s="43" t="str">
        <f t="shared" si="33"/>
        <v>EUR20F6Y_Quote</v>
      </c>
      <c r="E280" s="43" t="e">
        <f ca="1">_xll.qlSimpleQuote(D280,,RateTickValue,Permanent,Trigger,ObjectOverwrite)</f>
        <v>#NAME?</v>
      </c>
      <c r="F280" s="42" t="e">
        <f ca="1">_xll.ohRangeRetrieveError(E280)</f>
        <v>#NAME?</v>
      </c>
      <c r="G280" s="36"/>
      <c r="H280" s="162"/>
      <c r="I280" s="113"/>
      <c r="J280" s="138" t="s">
        <v>50</v>
      </c>
      <c r="K280" s="138" t="str">
        <f t="shared" si="35"/>
        <v>20F</v>
      </c>
      <c r="L280" s="140" t="str">
        <f t="shared" si="34"/>
        <v>EUR20F6Y</v>
      </c>
      <c r="M280" s="140" t="str">
        <v>EUR20F6Y=ICAP</v>
      </c>
      <c r="N280" s="78">
        <v>1.67</v>
      </c>
      <c r="O280" s="111"/>
      <c r="P280" s="78">
        <v>1.67</v>
      </c>
      <c r="Q280" s="111"/>
      <c r="R280" s="78">
        <v>1.67</v>
      </c>
      <c r="S280" s="78" t="e">
        <f ca="1">_xll.qlSimpleQuoteSetValue(E280,R280/100,Trigger)</f>
        <v>#NAME?</v>
      </c>
      <c r="T280" s="130"/>
      <c r="V280" s="161"/>
    </row>
    <row r="281" spans="1:22" x14ac:dyDescent="0.2">
      <c r="A281" s="135"/>
      <c r="B281" s="45" t="str">
        <f t="shared" si="31"/>
        <v>7Y</v>
      </c>
      <c r="C281" s="45" t="str">
        <f t="shared" si="32"/>
        <v>20F</v>
      </c>
      <c r="D281" s="43" t="str">
        <f t="shared" si="33"/>
        <v>EUR20F7Y_Quote</v>
      </c>
      <c r="E281" s="43" t="e">
        <f ca="1">_xll.qlSimpleQuote(D281,,RateTickValue,Permanent,Trigger,ObjectOverwrite)</f>
        <v>#NAME?</v>
      </c>
      <c r="F281" s="42" t="e">
        <f ca="1">_xll.ohRangeRetrieveError(E281)</f>
        <v>#NAME?</v>
      </c>
      <c r="G281" s="36"/>
      <c r="H281" s="162"/>
      <c r="I281" s="113"/>
      <c r="J281" s="138" t="s">
        <v>49</v>
      </c>
      <c r="K281" s="138" t="str">
        <f t="shared" si="35"/>
        <v>20F</v>
      </c>
      <c r="L281" s="140" t="str">
        <f t="shared" si="34"/>
        <v>EUR20F7Y</v>
      </c>
      <c r="M281" s="140" t="str">
        <v>EUR20F7Y=ICAP</v>
      </c>
      <c r="N281" s="78">
        <v>1.6539999999999999</v>
      </c>
      <c r="O281" s="111"/>
      <c r="P281" s="78">
        <v>1.6539999999999999</v>
      </c>
      <c r="Q281" s="111"/>
      <c r="R281" s="78">
        <v>1.6539999999999999</v>
      </c>
      <c r="S281" s="78" t="e">
        <f ca="1">_xll.qlSimpleQuoteSetValue(E281,R281/100,Trigger)</f>
        <v>#NAME?</v>
      </c>
      <c r="T281" s="130"/>
      <c r="V281" s="161"/>
    </row>
    <row r="282" spans="1:22" x14ac:dyDescent="0.2">
      <c r="A282" s="135"/>
      <c r="B282" s="45" t="str">
        <f t="shared" si="31"/>
        <v>8Y</v>
      </c>
      <c r="C282" s="45" t="str">
        <f t="shared" si="32"/>
        <v>20F</v>
      </c>
      <c r="D282" s="43" t="str">
        <f t="shared" si="33"/>
        <v>EUR20F8Y_Quote</v>
      </c>
      <c r="E282" s="43" t="e">
        <f ca="1">_xll.qlSimpleQuote(D282,,RateTickValue,Permanent,Trigger,ObjectOverwrite)</f>
        <v>#NAME?</v>
      </c>
      <c r="F282" s="42" t="e">
        <f ca="1">_xll.ohRangeRetrieveError(E282)</f>
        <v>#NAME?</v>
      </c>
      <c r="G282" s="36"/>
      <c r="H282" s="162"/>
      <c r="I282" s="113"/>
      <c r="J282" s="138" t="s">
        <v>48</v>
      </c>
      <c r="K282" s="138" t="str">
        <f t="shared" si="35"/>
        <v>20F</v>
      </c>
      <c r="L282" s="140" t="str">
        <f t="shared" si="34"/>
        <v>EUR20F8Y</v>
      </c>
      <c r="M282" s="140" t="str">
        <v>EUR20F8Y=ICAP</v>
      </c>
      <c r="N282" s="78">
        <v>1.643</v>
      </c>
      <c r="O282" s="111"/>
      <c r="P282" s="78">
        <v>1.643</v>
      </c>
      <c r="Q282" s="111"/>
      <c r="R282" s="78">
        <v>1.643</v>
      </c>
      <c r="S282" s="78" t="e">
        <f ca="1">_xll.qlSimpleQuoteSetValue(E282,R282/100,Trigger)</f>
        <v>#NAME?</v>
      </c>
      <c r="T282" s="130"/>
      <c r="V282" s="161"/>
    </row>
    <row r="283" spans="1:22" x14ac:dyDescent="0.2">
      <c r="A283" s="135"/>
      <c r="B283" s="45" t="str">
        <f t="shared" si="31"/>
        <v>9Y</v>
      </c>
      <c r="C283" s="45" t="str">
        <f t="shared" si="32"/>
        <v>20F</v>
      </c>
      <c r="D283" s="43" t="str">
        <f t="shared" si="33"/>
        <v>EUR20F9Y_Quote</v>
      </c>
      <c r="E283" s="43" t="e">
        <f ca="1">_xll.qlSimpleQuote(D283,,RateTickValue,Permanent,Trigger,ObjectOverwrite)</f>
        <v>#NAME?</v>
      </c>
      <c r="F283" s="42" t="e">
        <f ca="1">_xll.ohRangeRetrieveError(E283)</f>
        <v>#NAME?</v>
      </c>
      <c r="G283" s="36"/>
      <c r="H283" s="162"/>
      <c r="I283" s="113"/>
      <c r="J283" s="138" t="s">
        <v>47</v>
      </c>
      <c r="K283" s="138" t="str">
        <f t="shared" si="35"/>
        <v>20F</v>
      </c>
      <c r="L283" s="140" t="str">
        <f t="shared" si="34"/>
        <v>EUR20F9Y</v>
      </c>
      <c r="M283" s="140" t="str">
        <v>EUR20F9Y=ICAP</v>
      </c>
      <c r="N283" s="78">
        <v>1.631</v>
      </c>
      <c r="O283" s="111"/>
      <c r="P283" s="78">
        <v>1.631</v>
      </c>
      <c r="Q283" s="111"/>
      <c r="R283" s="78">
        <v>1.631</v>
      </c>
      <c r="S283" s="78" t="e">
        <f ca="1">_xll.qlSimpleQuoteSetValue(E283,R283/100,Trigger)</f>
        <v>#NAME?</v>
      </c>
      <c r="T283" s="130"/>
      <c r="V283" s="161"/>
    </row>
    <row r="284" spans="1:22" x14ac:dyDescent="0.2">
      <c r="A284" s="135"/>
      <c r="B284" s="45" t="str">
        <f t="shared" si="31"/>
        <v>10Y</v>
      </c>
      <c r="C284" s="45" t="str">
        <f t="shared" si="32"/>
        <v>20F</v>
      </c>
      <c r="D284" s="43" t="str">
        <f t="shared" si="33"/>
        <v>EUR20F10Y_Quote</v>
      </c>
      <c r="E284" s="43" t="e">
        <f ca="1">_xll.qlSimpleQuote(D284,,RateTickValue,Permanent,Trigger,ObjectOverwrite)</f>
        <v>#NAME?</v>
      </c>
      <c r="F284" s="42" t="e">
        <f ca="1">_xll.ohRangeRetrieveError(E284)</f>
        <v>#NAME?</v>
      </c>
      <c r="G284" s="36"/>
      <c r="H284" s="162"/>
      <c r="I284" s="113"/>
      <c r="J284" s="138" t="s">
        <v>46</v>
      </c>
      <c r="K284" s="138" t="str">
        <f t="shared" si="35"/>
        <v>20F</v>
      </c>
      <c r="L284" s="140" t="str">
        <f t="shared" si="34"/>
        <v>EUR20F10Y</v>
      </c>
      <c r="M284" s="140" t="str">
        <v>EUR20F10Y=ICAP</v>
      </c>
      <c r="N284" s="78">
        <v>1.625</v>
      </c>
      <c r="O284" s="111"/>
      <c r="P284" s="78">
        <v>1.625</v>
      </c>
      <c r="Q284" s="111"/>
      <c r="R284" s="78">
        <v>1.625</v>
      </c>
      <c r="S284" s="78" t="e">
        <f ca="1">_xll.qlSimpleQuoteSetValue(E284,R284/100,Trigger)</f>
        <v>#NAME?</v>
      </c>
      <c r="T284" s="130"/>
      <c r="V284" s="161"/>
    </row>
    <row r="285" spans="1:22" x14ac:dyDescent="0.2">
      <c r="A285" s="135"/>
      <c r="B285" s="45" t="str">
        <f t="shared" si="31"/>
        <v>11Y</v>
      </c>
      <c r="C285" s="45" t="str">
        <f t="shared" si="32"/>
        <v>20F</v>
      </c>
      <c r="D285" s="43" t="str">
        <f t="shared" si="33"/>
        <v>EUR20F11Y_Quote</v>
      </c>
      <c r="E285" s="43" t="e">
        <f ca="1">_xll.qlSimpleQuote(D285,,RateTickValue,Permanent,Trigger,ObjectOverwrite)</f>
        <v>#NAME?</v>
      </c>
      <c r="F285" s="42" t="e">
        <f ca="1">_xll.ohRangeRetrieveError(E285)</f>
        <v>#NAME?</v>
      </c>
      <c r="G285" s="36"/>
      <c r="H285" s="162"/>
      <c r="I285" s="113"/>
      <c r="J285" s="138" t="s">
        <v>45</v>
      </c>
      <c r="K285" s="138" t="str">
        <f t="shared" si="35"/>
        <v>20F</v>
      </c>
      <c r="L285" s="140" t="str">
        <f t="shared" si="34"/>
        <v>EUR20F11Y</v>
      </c>
      <c r="M285" s="140" t="str">
        <v>EUR20F11Y=ICAP</v>
      </c>
      <c r="N285" s="78">
        <v>1.62</v>
      </c>
      <c r="O285" s="111"/>
      <c r="P285" s="78">
        <v>1.62</v>
      </c>
      <c r="Q285" s="111"/>
      <c r="R285" s="78">
        <v>1.62</v>
      </c>
      <c r="S285" s="78" t="e">
        <f ca="1">_xll.qlSimpleQuoteSetValue(E285,R285/100,Trigger)</f>
        <v>#NAME?</v>
      </c>
      <c r="T285" s="130"/>
      <c r="V285" s="161"/>
    </row>
    <row r="286" spans="1:22" x14ac:dyDescent="0.2">
      <c r="A286" s="135"/>
      <c r="B286" s="45" t="str">
        <f t="shared" si="31"/>
        <v>12Y</v>
      </c>
      <c r="C286" s="45" t="str">
        <f t="shared" si="32"/>
        <v>20F</v>
      </c>
      <c r="D286" s="43" t="str">
        <f t="shared" si="33"/>
        <v>EUR20F12Y_Quote</v>
      </c>
      <c r="E286" s="43" t="e">
        <f ca="1">_xll.qlSimpleQuote(D286,,RateTickValue,Permanent,Trigger,ObjectOverwrite)</f>
        <v>#NAME?</v>
      </c>
      <c r="F286" s="42" t="e">
        <f ca="1">_xll.ohRangeRetrieveError(E286)</f>
        <v>#NAME?</v>
      </c>
      <c r="G286" s="36"/>
      <c r="H286" s="162"/>
      <c r="I286" s="113"/>
      <c r="J286" s="138" t="s">
        <v>44</v>
      </c>
      <c r="K286" s="138" t="str">
        <f t="shared" si="35"/>
        <v>20F</v>
      </c>
      <c r="L286" s="140" t="str">
        <f t="shared" si="34"/>
        <v>EUR20F12Y</v>
      </c>
      <c r="M286" s="140" t="str">
        <v>EUR20F12Y=ICAP</v>
      </c>
      <c r="N286" s="78">
        <v>1.617</v>
      </c>
      <c r="O286" s="111"/>
      <c r="P286" s="78">
        <v>1.617</v>
      </c>
      <c r="Q286" s="111"/>
      <c r="R286" s="78">
        <v>1.617</v>
      </c>
      <c r="S286" s="78" t="e">
        <f ca="1">_xll.qlSimpleQuoteSetValue(E286,R286/100,Trigger)</f>
        <v>#NAME?</v>
      </c>
      <c r="T286" s="130"/>
      <c r="V286" s="161"/>
    </row>
    <row r="287" spans="1:22" x14ac:dyDescent="0.2">
      <c r="A287" s="135"/>
      <c r="B287" s="45" t="str">
        <f t="shared" si="31"/>
        <v>13Y</v>
      </c>
      <c r="C287" s="45" t="str">
        <f t="shared" si="32"/>
        <v>20F</v>
      </c>
      <c r="D287" s="43" t="str">
        <f t="shared" si="33"/>
        <v>EUR20F13Y_Quote</v>
      </c>
      <c r="E287" s="43" t="e">
        <f ca="1">_xll.qlSimpleQuote(D287,,RateTickValue,Permanent,Trigger,ObjectOverwrite)</f>
        <v>#NAME?</v>
      </c>
      <c r="F287" s="42" t="e">
        <f ca="1">_xll.ohRangeRetrieveError(E287)</f>
        <v>#NAME?</v>
      </c>
      <c r="G287" s="36"/>
      <c r="H287" s="162"/>
      <c r="I287" s="113"/>
      <c r="J287" s="138" t="s">
        <v>43</v>
      </c>
      <c r="K287" s="138" t="str">
        <f t="shared" si="35"/>
        <v>20F</v>
      </c>
      <c r="L287" s="140" t="str">
        <f t="shared" si="34"/>
        <v>EUR20F13Y</v>
      </c>
      <c r="M287" s="140" t="str">
        <v>EUR20F13Y=ICAP</v>
      </c>
      <c r="N287" s="78">
        <v>1.615</v>
      </c>
      <c r="O287" s="111"/>
      <c r="P287" s="78">
        <v>1.615</v>
      </c>
      <c r="Q287" s="111"/>
      <c r="R287" s="78">
        <v>1.615</v>
      </c>
      <c r="S287" s="78" t="e">
        <f ca="1">_xll.qlSimpleQuoteSetValue(E287,R287/100,Trigger)</f>
        <v>#NAME?</v>
      </c>
      <c r="T287" s="130"/>
      <c r="V287" s="161"/>
    </row>
    <row r="288" spans="1:22" x14ac:dyDescent="0.2">
      <c r="A288" s="135"/>
      <c r="B288" s="45" t="str">
        <f t="shared" si="31"/>
        <v>14Y</v>
      </c>
      <c r="C288" s="45" t="str">
        <f t="shared" si="32"/>
        <v>20F</v>
      </c>
      <c r="D288" s="43" t="str">
        <f t="shared" si="33"/>
        <v>EUR20F14Y_Quote</v>
      </c>
      <c r="E288" s="43" t="e">
        <f ca="1">_xll.qlSimpleQuote(D288,,RateTickValue,Permanent,Trigger,ObjectOverwrite)</f>
        <v>#NAME?</v>
      </c>
      <c r="F288" s="42" t="e">
        <f ca="1">_xll.ohRangeRetrieveError(E288)</f>
        <v>#NAME?</v>
      </c>
      <c r="G288" s="36"/>
      <c r="H288" s="162"/>
      <c r="I288" s="113"/>
      <c r="J288" s="138" t="s">
        <v>42</v>
      </c>
      <c r="K288" s="138" t="str">
        <f t="shared" si="35"/>
        <v>20F</v>
      </c>
      <c r="L288" s="140" t="str">
        <f t="shared" si="34"/>
        <v>EUR20F14Y</v>
      </c>
      <c r="M288" s="140" t="str">
        <v>EUR20F14Y=ICAP</v>
      </c>
      <c r="N288" s="78">
        <v>1.613</v>
      </c>
      <c r="O288" s="111"/>
      <c r="P288" s="78">
        <v>1.613</v>
      </c>
      <c r="Q288" s="111"/>
      <c r="R288" s="78">
        <v>1.613</v>
      </c>
      <c r="S288" s="78" t="e">
        <f ca="1">_xll.qlSimpleQuoteSetValue(E288,R288/100,Trigger)</f>
        <v>#NAME?</v>
      </c>
      <c r="T288" s="130"/>
      <c r="V288" s="161"/>
    </row>
    <row r="289" spans="1:22" x14ac:dyDescent="0.2">
      <c r="A289" s="135"/>
      <c r="B289" s="45" t="str">
        <f t="shared" si="31"/>
        <v>15Y</v>
      </c>
      <c r="C289" s="45" t="str">
        <f t="shared" si="32"/>
        <v>20F</v>
      </c>
      <c r="D289" s="43" t="str">
        <f t="shared" si="33"/>
        <v>EUR20F15Y_Quote</v>
      </c>
      <c r="E289" s="43" t="e">
        <f ca="1">_xll.qlSimpleQuote(D289,,RateTickValue,Permanent,Trigger,ObjectOverwrite)</f>
        <v>#NAME?</v>
      </c>
      <c r="F289" s="42" t="e">
        <f ca="1">_xll.ohRangeRetrieveError(E289)</f>
        <v>#NAME?</v>
      </c>
      <c r="G289" s="36"/>
      <c r="H289" s="162"/>
      <c r="I289" s="113"/>
      <c r="J289" s="138" t="s">
        <v>41</v>
      </c>
      <c r="K289" s="138" t="str">
        <f t="shared" si="35"/>
        <v>20F</v>
      </c>
      <c r="L289" s="140" t="str">
        <f t="shared" si="34"/>
        <v>EUR20F15Y</v>
      </c>
      <c r="M289" s="140" t="str">
        <v>EUR20F15Y=ICAP</v>
      </c>
      <c r="N289" s="78">
        <v>1.611</v>
      </c>
      <c r="O289" s="111"/>
      <c r="P289" s="78">
        <v>1.611</v>
      </c>
      <c r="Q289" s="111"/>
      <c r="R289" s="78">
        <v>1.611</v>
      </c>
      <c r="S289" s="78" t="e">
        <f ca="1">_xll.qlSimpleQuoteSetValue(E289,R289/100,Trigger)</f>
        <v>#NAME?</v>
      </c>
      <c r="T289" s="130"/>
      <c r="V289" s="161"/>
    </row>
    <row r="290" spans="1:22" x14ac:dyDescent="0.2">
      <c r="A290" s="135"/>
      <c r="B290" s="45" t="str">
        <f t="shared" si="31"/>
        <v>20Y</v>
      </c>
      <c r="C290" s="45" t="str">
        <f t="shared" si="32"/>
        <v>20F</v>
      </c>
      <c r="D290" s="43" t="str">
        <f t="shared" si="33"/>
        <v>EUR20F20Y_Quote</v>
      </c>
      <c r="E290" s="43" t="e">
        <f ca="1">_xll.qlSimpleQuote(D290,,RateTickValue,Permanent,Trigger,ObjectOverwrite)</f>
        <v>#NAME?</v>
      </c>
      <c r="F290" s="42" t="e">
        <f ca="1">_xll.ohRangeRetrieveError(E290)</f>
        <v>#NAME?</v>
      </c>
      <c r="G290" s="36"/>
      <c r="H290" s="162"/>
      <c r="I290" s="113"/>
      <c r="J290" s="138" t="s">
        <v>36</v>
      </c>
      <c r="K290" s="138" t="str">
        <f t="shared" si="35"/>
        <v>20F</v>
      </c>
      <c r="L290" s="140" t="str">
        <f t="shared" si="34"/>
        <v>EUR20F20Y</v>
      </c>
      <c r="M290" s="140" t="str">
        <v>EUR20F20Y=ICAP</v>
      </c>
      <c r="N290" s="78">
        <v>1.5860000000000001</v>
      </c>
      <c r="O290" s="111"/>
      <c r="P290" s="78">
        <v>1.5860000000000001</v>
      </c>
      <c r="Q290" s="111"/>
      <c r="R290" s="78">
        <v>1.5860000000000001</v>
      </c>
      <c r="S290" s="78" t="e">
        <f ca="1">_xll.qlSimpleQuoteSetValue(E290,R290/100,Trigger)</f>
        <v>#NAME?</v>
      </c>
      <c r="T290" s="130"/>
      <c r="V290" s="161"/>
    </row>
    <row r="291" spans="1:22" x14ac:dyDescent="0.2">
      <c r="A291" s="135"/>
      <c r="B291" s="45" t="str">
        <f t="shared" si="31"/>
        <v>25Y</v>
      </c>
      <c r="C291" s="45" t="str">
        <f t="shared" si="32"/>
        <v>20F</v>
      </c>
      <c r="D291" s="43" t="str">
        <f t="shared" si="33"/>
        <v>EUR20F25Y_Quote</v>
      </c>
      <c r="E291" s="43" t="e">
        <f ca="1">_xll.qlSimpleQuote(D291,,RateTickValue,Permanent,Trigger,ObjectOverwrite)</f>
        <v>#NAME?</v>
      </c>
      <c r="F291" s="42" t="e">
        <f ca="1">_xll.ohRangeRetrieveError(E291)</f>
        <v>#NAME?</v>
      </c>
      <c r="G291" s="36"/>
      <c r="H291" s="162"/>
      <c r="I291" s="113"/>
      <c r="J291" s="138" t="s">
        <v>31</v>
      </c>
      <c r="K291" s="138" t="str">
        <f t="shared" si="35"/>
        <v>20F</v>
      </c>
      <c r="L291" s="140" t="str">
        <f t="shared" si="34"/>
        <v>EUR20F25Y</v>
      </c>
      <c r="M291" s="140" t="str">
        <v>EUR20F25Y=ICAP</v>
      </c>
      <c r="N291" s="78">
        <v>1.542</v>
      </c>
      <c r="O291" s="111"/>
      <c r="P291" s="78">
        <v>1.542</v>
      </c>
      <c r="Q291" s="111"/>
      <c r="R291" s="78">
        <v>1.542</v>
      </c>
      <c r="S291" s="78" t="e">
        <f ca="1">_xll.qlSimpleQuoteSetValue(E291,R291/100,Trigger)</f>
        <v>#NAME?</v>
      </c>
      <c r="T291" s="130"/>
      <c r="V291" s="161"/>
    </row>
    <row r="292" spans="1:22" x14ac:dyDescent="0.2">
      <c r="A292" s="135"/>
      <c r="B292" s="45" t="str">
        <f t="shared" si="31"/>
        <v>30Y</v>
      </c>
      <c r="C292" s="45" t="str">
        <f t="shared" si="32"/>
        <v>20F</v>
      </c>
      <c r="D292" s="43" t="str">
        <f t="shared" si="33"/>
        <v>EUR20F30Y_Quote</v>
      </c>
      <c r="E292" s="43" t="e">
        <f ca="1">_xll.qlSimpleQuote(D292,,RateTickValue,Permanent,Trigger,ObjectOverwrite)</f>
        <v>#NAME?</v>
      </c>
      <c r="F292" s="42" t="e">
        <f ca="1">_xll.ohRangeRetrieveError(E292)</f>
        <v>#NAME?</v>
      </c>
      <c r="G292" s="36"/>
      <c r="H292" s="162"/>
      <c r="I292" s="113"/>
      <c r="J292" s="131" t="s">
        <v>26</v>
      </c>
      <c r="K292" s="131" t="str">
        <f t="shared" si="35"/>
        <v>20F</v>
      </c>
      <c r="L292" s="133" t="str">
        <f t="shared" si="34"/>
        <v>EUR20F30Y</v>
      </c>
      <c r="M292" s="133" t="str">
        <v>EUR20F30Y=ICAP</v>
      </c>
      <c r="N292" s="65">
        <v>1.478</v>
      </c>
      <c r="O292" s="111"/>
      <c r="P292" s="65">
        <v>1.478</v>
      </c>
      <c r="Q292" s="111"/>
      <c r="R292" s="65">
        <v>1.478</v>
      </c>
      <c r="S292" s="65" t="e">
        <f ca="1">_xll.qlSimpleQuoteSetValue(E292,R292/100,Trigger)</f>
        <v>#NAME?</v>
      </c>
      <c r="T292" s="130"/>
      <c r="V292" s="161"/>
    </row>
    <row r="293" spans="1:22" x14ac:dyDescent="0.2">
      <c r="A293" s="135"/>
      <c r="B293" s="45" t="str">
        <f t="shared" si="31"/>
        <v>1Y</v>
      </c>
      <c r="C293" s="45" t="str">
        <f t="shared" si="32"/>
        <v>25F</v>
      </c>
      <c r="D293" s="43" t="str">
        <f t="shared" si="33"/>
        <v>EUR25F1Y_Quote</v>
      </c>
      <c r="E293" s="43" t="e">
        <f ca="1">_xll.qlSimpleQuote(D293,,RateTickValue,Permanent,Trigger,ObjectOverwrite)</f>
        <v>#NAME?</v>
      </c>
      <c r="F293" s="42" t="e">
        <f ca="1">_xll.ohRangeRetrieveError(E293)</f>
        <v>#NAME?</v>
      </c>
      <c r="G293" s="36"/>
      <c r="H293" s="162"/>
      <c r="I293" s="135">
        <v>25</v>
      </c>
      <c r="J293" s="164" t="s">
        <v>58</v>
      </c>
      <c r="K293" s="164" t="str">
        <f t="shared" ref="K293:K310" si="36">$I$293&amp;"F"</f>
        <v>25F</v>
      </c>
      <c r="L293" s="163" t="str">
        <f t="shared" si="34"/>
        <v>EUR25F1Y</v>
      </c>
      <c r="M293" s="163" t="str">
        <v>EUR25F1Y=ICAP</v>
      </c>
      <c r="N293" s="89">
        <v>1.554</v>
      </c>
      <c r="O293" s="111"/>
      <c r="P293" s="89">
        <v>1.554</v>
      </c>
      <c r="Q293" s="111"/>
      <c r="R293" s="89">
        <v>1.554</v>
      </c>
      <c r="S293" s="89" t="e">
        <f ca="1">_xll.qlSimpleQuoteSetValue(E293,R293/100,Trigger)</f>
        <v>#NAME?</v>
      </c>
      <c r="T293" s="130"/>
      <c r="V293" s="161"/>
    </row>
    <row r="294" spans="1:22" x14ac:dyDescent="0.2">
      <c r="A294" s="135"/>
      <c r="B294" s="45" t="str">
        <f t="shared" si="31"/>
        <v>2Y</v>
      </c>
      <c r="C294" s="45" t="str">
        <f t="shared" si="32"/>
        <v>25F</v>
      </c>
      <c r="D294" s="43" t="str">
        <f t="shared" si="33"/>
        <v>EUR25F2Y_Quote</v>
      </c>
      <c r="E294" s="43" t="e">
        <f ca="1">_xll.qlSimpleQuote(D294,,RateTickValue,Permanent,Trigger,ObjectOverwrite)</f>
        <v>#NAME?</v>
      </c>
      <c r="F294" s="42" t="e">
        <f ca="1">_xll.ohRangeRetrieveError(E294)</f>
        <v>#NAME?</v>
      </c>
      <c r="G294" s="36"/>
      <c r="H294" s="162"/>
      <c r="I294" s="113"/>
      <c r="J294" s="138" t="s">
        <v>54</v>
      </c>
      <c r="K294" s="138" t="str">
        <f t="shared" si="36"/>
        <v>25F</v>
      </c>
      <c r="L294" s="140" t="str">
        <f t="shared" si="34"/>
        <v>EUR25F2Y</v>
      </c>
      <c r="M294" s="140" t="str">
        <v>EUR25F2Y=ICAP</v>
      </c>
      <c r="N294" s="78">
        <v>1.556</v>
      </c>
      <c r="O294" s="111"/>
      <c r="P294" s="78">
        <v>1.556</v>
      </c>
      <c r="Q294" s="111"/>
      <c r="R294" s="78">
        <v>1.556</v>
      </c>
      <c r="S294" s="78" t="e">
        <f ca="1">_xll.qlSimpleQuoteSetValue(E294,R294/100,Trigger)</f>
        <v>#NAME?</v>
      </c>
      <c r="T294" s="130"/>
      <c r="V294" s="161"/>
    </row>
    <row r="295" spans="1:22" x14ac:dyDescent="0.2">
      <c r="A295" s="135"/>
      <c r="B295" s="45" t="str">
        <f t="shared" si="31"/>
        <v>3Y</v>
      </c>
      <c r="C295" s="45" t="str">
        <f t="shared" si="32"/>
        <v>25F</v>
      </c>
      <c r="D295" s="43" t="str">
        <f t="shared" si="33"/>
        <v>EUR25F3Y_Quote</v>
      </c>
      <c r="E295" s="43" t="e">
        <f ca="1">_xll.qlSimpleQuote(D295,,RateTickValue,Permanent,Trigger,ObjectOverwrite)</f>
        <v>#NAME?</v>
      </c>
      <c r="F295" s="42" t="e">
        <f ca="1">_xll.ohRangeRetrieveError(E295)</f>
        <v>#NAME?</v>
      </c>
      <c r="G295" s="36"/>
      <c r="H295" s="162"/>
      <c r="I295" s="113"/>
      <c r="J295" s="138" t="s">
        <v>53</v>
      </c>
      <c r="K295" s="138" t="str">
        <f t="shared" si="36"/>
        <v>25F</v>
      </c>
      <c r="L295" s="140" t="str">
        <f t="shared" si="34"/>
        <v>EUR25F3Y</v>
      </c>
      <c r="M295" s="140" t="str">
        <v>EUR25F3Y=ICAP</v>
      </c>
      <c r="N295" s="78">
        <v>1.5569999999999999</v>
      </c>
      <c r="O295" s="111"/>
      <c r="P295" s="78">
        <v>1.5569999999999999</v>
      </c>
      <c r="Q295" s="111"/>
      <c r="R295" s="78">
        <v>1.5569999999999999</v>
      </c>
      <c r="S295" s="78" t="e">
        <f ca="1">_xll.qlSimpleQuoteSetValue(E295,R295/100,Trigger)</f>
        <v>#NAME?</v>
      </c>
      <c r="T295" s="130"/>
      <c r="V295" s="161"/>
    </row>
    <row r="296" spans="1:22" x14ac:dyDescent="0.2">
      <c r="A296" s="135"/>
      <c r="B296" s="45" t="str">
        <f t="shared" si="31"/>
        <v>4Y</v>
      </c>
      <c r="C296" s="45" t="str">
        <f t="shared" si="32"/>
        <v>25F</v>
      </c>
      <c r="D296" s="43" t="str">
        <f t="shared" si="33"/>
        <v>EUR25F4Y_Quote</v>
      </c>
      <c r="E296" s="43" t="e">
        <f ca="1">_xll.qlSimpleQuote(D296,,RateTickValue,Permanent,Trigger,ObjectOverwrite)</f>
        <v>#NAME?</v>
      </c>
      <c r="F296" s="42" t="e">
        <f ca="1">_xll.ohRangeRetrieveError(E296)</f>
        <v>#NAME?</v>
      </c>
      <c r="G296" s="36"/>
      <c r="H296" s="162"/>
      <c r="I296" s="113"/>
      <c r="J296" s="138" t="s">
        <v>52</v>
      </c>
      <c r="K296" s="138" t="str">
        <f t="shared" si="36"/>
        <v>25F</v>
      </c>
      <c r="L296" s="140" t="str">
        <f t="shared" si="34"/>
        <v>EUR25F4Y</v>
      </c>
      <c r="M296" s="140" t="str">
        <v>EUR25F4Y=ICAP</v>
      </c>
      <c r="N296" s="78">
        <v>1.5489999999999999</v>
      </c>
      <c r="O296" s="111"/>
      <c r="P296" s="78">
        <v>1.5489999999999999</v>
      </c>
      <c r="Q296" s="111"/>
      <c r="R296" s="78">
        <v>1.5489999999999999</v>
      </c>
      <c r="S296" s="78" t="e">
        <f ca="1">_xll.qlSimpleQuoteSetValue(E296,R296/100,Trigger)</f>
        <v>#NAME?</v>
      </c>
      <c r="T296" s="130"/>
      <c r="V296" s="161"/>
    </row>
    <row r="297" spans="1:22" x14ac:dyDescent="0.2">
      <c r="A297" s="135"/>
      <c r="B297" s="45" t="str">
        <f t="shared" si="31"/>
        <v>5Y</v>
      </c>
      <c r="C297" s="45" t="str">
        <f t="shared" si="32"/>
        <v>25F</v>
      </c>
      <c r="D297" s="43" t="str">
        <f t="shared" si="33"/>
        <v>EUR25F5Y_Quote</v>
      </c>
      <c r="E297" s="43" t="e">
        <f ca="1">_xll.qlSimpleQuote(D297,,RateTickValue,Permanent,Trigger,ObjectOverwrite)</f>
        <v>#NAME?</v>
      </c>
      <c r="F297" s="42" t="e">
        <f ca="1">_xll.ohRangeRetrieveError(E297)</f>
        <v>#NAME?</v>
      </c>
      <c r="G297" s="36"/>
      <c r="H297" s="162"/>
      <c r="I297" s="113"/>
      <c r="J297" s="138" t="s">
        <v>51</v>
      </c>
      <c r="K297" s="138" t="str">
        <f t="shared" si="36"/>
        <v>25F</v>
      </c>
      <c r="L297" s="140" t="str">
        <f t="shared" si="34"/>
        <v>EUR25F5Y</v>
      </c>
      <c r="M297" s="140" t="str">
        <v>EUR25F5Y=ICAP</v>
      </c>
      <c r="N297" s="78">
        <v>1.552</v>
      </c>
      <c r="O297" s="111"/>
      <c r="P297" s="78">
        <v>1.552</v>
      </c>
      <c r="Q297" s="111"/>
      <c r="R297" s="78">
        <v>1.552</v>
      </c>
      <c r="S297" s="78" t="e">
        <f ca="1">_xll.qlSimpleQuoteSetValue(E297,R297/100,Trigger)</f>
        <v>#NAME?</v>
      </c>
      <c r="T297" s="130"/>
      <c r="V297" s="161"/>
    </row>
    <row r="298" spans="1:22" x14ac:dyDescent="0.2">
      <c r="A298" s="135"/>
      <c r="B298" s="45" t="str">
        <f t="shared" si="31"/>
        <v>6Y</v>
      </c>
      <c r="C298" s="45" t="str">
        <f t="shared" si="32"/>
        <v>25F</v>
      </c>
      <c r="D298" s="43" t="str">
        <f t="shared" si="33"/>
        <v>EUR25F6Y_Quote</v>
      </c>
      <c r="E298" s="43" t="e">
        <f ca="1">_xll.qlSimpleQuote(D298,,RateTickValue,Permanent,Trigger,ObjectOverwrite)</f>
        <v>#NAME?</v>
      </c>
      <c r="F298" s="42" t="e">
        <f ca="1">_xll.ohRangeRetrieveError(E298)</f>
        <v>#NAME?</v>
      </c>
      <c r="G298" s="36"/>
      <c r="H298" s="162"/>
      <c r="I298" s="113"/>
      <c r="J298" s="138" t="s">
        <v>50</v>
      </c>
      <c r="K298" s="138" t="str">
        <f t="shared" si="36"/>
        <v>25F</v>
      </c>
      <c r="L298" s="140" t="str">
        <f t="shared" si="34"/>
        <v>EUR25F6Y</v>
      </c>
      <c r="M298" s="140" t="str">
        <v>EUR25F6Y=ICAP</v>
      </c>
      <c r="N298" s="78">
        <v>1.5549999999999999</v>
      </c>
      <c r="O298" s="111"/>
      <c r="P298" s="78">
        <v>1.5549999999999999</v>
      </c>
      <c r="Q298" s="111"/>
      <c r="R298" s="78">
        <v>1.5549999999999999</v>
      </c>
      <c r="S298" s="78" t="e">
        <f ca="1">_xll.qlSimpleQuoteSetValue(E298,R298/100,Trigger)</f>
        <v>#NAME?</v>
      </c>
      <c r="T298" s="130"/>
      <c r="V298" s="161"/>
    </row>
    <row r="299" spans="1:22" x14ac:dyDescent="0.2">
      <c r="A299" s="135"/>
      <c r="B299" s="45" t="str">
        <f t="shared" si="31"/>
        <v>7Y</v>
      </c>
      <c r="C299" s="45" t="str">
        <f t="shared" si="32"/>
        <v>25F</v>
      </c>
      <c r="D299" s="43" t="str">
        <f t="shared" si="33"/>
        <v>EUR25F7Y_Quote</v>
      </c>
      <c r="E299" s="43" t="e">
        <f ca="1">_xll.qlSimpleQuote(D299,,RateTickValue,Permanent,Trigger,ObjectOverwrite)</f>
        <v>#NAME?</v>
      </c>
      <c r="F299" s="42" t="e">
        <f ca="1">_xll.ohRangeRetrieveError(E299)</f>
        <v>#NAME?</v>
      </c>
      <c r="G299" s="36"/>
      <c r="H299" s="162"/>
      <c r="I299" s="113"/>
      <c r="J299" s="138" t="s">
        <v>49</v>
      </c>
      <c r="K299" s="138" t="str">
        <f t="shared" si="36"/>
        <v>25F</v>
      </c>
      <c r="L299" s="140" t="str">
        <f t="shared" si="34"/>
        <v>EUR25F7Y</v>
      </c>
      <c r="M299" s="140" t="str">
        <v>EUR25F7Y=ICAP</v>
      </c>
      <c r="N299" s="78">
        <v>1.5589999999999999</v>
      </c>
      <c r="O299" s="111"/>
      <c r="P299" s="78">
        <v>1.5589999999999999</v>
      </c>
      <c r="Q299" s="111"/>
      <c r="R299" s="78">
        <v>1.5589999999999999</v>
      </c>
      <c r="S299" s="78" t="e">
        <f ca="1">_xll.qlSimpleQuoteSetValue(E299,R299/100,Trigger)</f>
        <v>#NAME?</v>
      </c>
      <c r="T299" s="130"/>
      <c r="V299" s="161"/>
    </row>
    <row r="300" spans="1:22" x14ac:dyDescent="0.2">
      <c r="A300" s="135"/>
      <c r="B300" s="45" t="str">
        <f t="shared" si="31"/>
        <v>8Y</v>
      </c>
      <c r="C300" s="45" t="str">
        <f t="shared" si="32"/>
        <v>25F</v>
      </c>
      <c r="D300" s="43" t="str">
        <f t="shared" si="33"/>
        <v>EUR25F8Y_Quote</v>
      </c>
      <c r="E300" s="43" t="e">
        <f ca="1">_xll.qlSimpleQuote(D300,,RateTickValue,Permanent,Trigger,ObjectOverwrite)</f>
        <v>#NAME?</v>
      </c>
      <c r="F300" s="42" t="e">
        <f ca="1">_xll.ohRangeRetrieveError(E300)</f>
        <v>#NAME?</v>
      </c>
      <c r="G300" s="36"/>
      <c r="H300" s="162"/>
      <c r="I300" s="113"/>
      <c r="J300" s="138" t="s">
        <v>48</v>
      </c>
      <c r="K300" s="138" t="str">
        <f t="shared" si="36"/>
        <v>25F</v>
      </c>
      <c r="L300" s="140" t="str">
        <f t="shared" si="34"/>
        <v>EUR25F8Y</v>
      </c>
      <c r="M300" s="140" t="str">
        <v>EUR25F8Y=ICAP</v>
      </c>
      <c r="N300" s="78">
        <v>1.5629999999999999</v>
      </c>
      <c r="O300" s="111"/>
      <c r="P300" s="78">
        <v>1.5629999999999999</v>
      </c>
      <c r="Q300" s="111"/>
      <c r="R300" s="78">
        <v>1.5629999999999999</v>
      </c>
      <c r="S300" s="78" t="e">
        <f ca="1">_xll.qlSimpleQuoteSetValue(E300,R300/100,Trigger)</f>
        <v>#NAME?</v>
      </c>
      <c r="T300" s="130"/>
      <c r="V300" s="161"/>
    </row>
    <row r="301" spans="1:22" x14ac:dyDescent="0.2">
      <c r="A301" s="135"/>
      <c r="B301" s="45" t="str">
        <f t="shared" si="31"/>
        <v>9Y</v>
      </c>
      <c r="C301" s="45" t="str">
        <f t="shared" si="32"/>
        <v>25F</v>
      </c>
      <c r="D301" s="43" t="str">
        <f t="shared" si="33"/>
        <v>EUR25F9Y_Quote</v>
      </c>
      <c r="E301" s="43" t="e">
        <f ca="1">_xll.qlSimpleQuote(D301,,RateTickValue,Permanent,Trigger,ObjectOverwrite)</f>
        <v>#NAME?</v>
      </c>
      <c r="F301" s="42" t="e">
        <f ca="1">_xll.ohRangeRetrieveError(E301)</f>
        <v>#NAME?</v>
      </c>
      <c r="G301" s="36"/>
      <c r="H301" s="162"/>
      <c r="I301" s="113"/>
      <c r="J301" s="138" t="s">
        <v>47</v>
      </c>
      <c r="K301" s="138" t="str">
        <f t="shared" si="36"/>
        <v>25F</v>
      </c>
      <c r="L301" s="140" t="str">
        <f t="shared" si="34"/>
        <v>EUR25F9Y</v>
      </c>
      <c r="M301" s="140" t="str">
        <v>EUR25F9Y=ICAP</v>
      </c>
      <c r="N301" s="78">
        <v>1.5649999999999999</v>
      </c>
      <c r="O301" s="111"/>
      <c r="P301" s="78">
        <v>1.5649999999999999</v>
      </c>
      <c r="Q301" s="111"/>
      <c r="R301" s="78">
        <v>1.5649999999999999</v>
      </c>
      <c r="S301" s="78" t="e">
        <f ca="1">_xll.qlSimpleQuoteSetValue(E301,R301/100,Trigger)</f>
        <v>#NAME?</v>
      </c>
      <c r="T301" s="130"/>
      <c r="V301" s="161"/>
    </row>
    <row r="302" spans="1:22" x14ac:dyDescent="0.2">
      <c r="A302" s="135"/>
      <c r="B302" s="45" t="str">
        <f t="shared" si="31"/>
        <v>10Y</v>
      </c>
      <c r="C302" s="45" t="str">
        <f t="shared" si="32"/>
        <v>25F</v>
      </c>
      <c r="D302" s="43" t="str">
        <f t="shared" si="33"/>
        <v>EUR25F10Y_Quote</v>
      </c>
      <c r="E302" s="43" t="e">
        <f ca="1">_xll.qlSimpleQuote(D302,,RateTickValue,Permanent,Trigger,ObjectOverwrite)</f>
        <v>#NAME?</v>
      </c>
      <c r="F302" s="42" t="e">
        <f ca="1">_xll.ohRangeRetrieveError(E302)</f>
        <v>#NAME?</v>
      </c>
      <c r="G302" s="36"/>
      <c r="H302" s="162"/>
      <c r="I302" s="113"/>
      <c r="J302" s="138" t="s">
        <v>46</v>
      </c>
      <c r="K302" s="138" t="str">
        <f t="shared" si="36"/>
        <v>25F</v>
      </c>
      <c r="L302" s="140" t="str">
        <f t="shared" si="34"/>
        <v>EUR25F10Y</v>
      </c>
      <c r="M302" s="140" t="str">
        <v>EUR25F10Y=ICAP</v>
      </c>
      <c r="N302" s="78">
        <v>1.5660000000000001</v>
      </c>
      <c r="O302" s="111"/>
      <c r="P302" s="78">
        <v>1.5660000000000001</v>
      </c>
      <c r="Q302" s="111"/>
      <c r="R302" s="78">
        <v>1.5660000000000001</v>
      </c>
      <c r="S302" s="78" t="e">
        <f ca="1">_xll.qlSimpleQuoteSetValue(E302,R302/100,Trigger)</f>
        <v>#NAME?</v>
      </c>
      <c r="T302" s="130"/>
      <c r="V302" s="161"/>
    </row>
    <row r="303" spans="1:22" x14ac:dyDescent="0.2">
      <c r="A303" s="135"/>
      <c r="B303" s="45" t="str">
        <f t="shared" si="31"/>
        <v>11Y</v>
      </c>
      <c r="C303" s="45" t="str">
        <f t="shared" si="32"/>
        <v>25F</v>
      </c>
      <c r="D303" s="43" t="str">
        <f t="shared" si="33"/>
        <v>EUR25F11Y_Quote</v>
      </c>
      <c r="E303" s="43" t="e">
        <f ca="1">_xll.qlSimpleQuote(D303,,RateTickValue,Permanent,Trigger,ObjectOverwrite)</f>
        <v>#NAME?</v>
      </c>
      <c r="F303" s="42" t="e">
        <f ca="1">_xll.ohRangeRetrieveError(E303)</f>
        <v>#NAME?</v>
      </c>
      <c r="G303" s="36"/>
      <c r="H303" s="162"/>
      <c r="I303" s="113"/>
      <c r="J303" s="138" t="s">
        <v>45</v>
      </c>
      <c r="K303" s="138" t="str">
        <f t="shared" si="36"/>
        <v>25F</v>
      </c>
      <c r="L303" s="140" t="str">
        <f t="shared" si="34"/>
        <v>EUR25F11Y</v>
      </c>
      <c r="M303" s="140" t="str">
        <v>EUR25F11Y=ICAP</v>
      </c>
      <c r="N303" s="78">
        <v>1.5640000000000001</v>
      </c>
      <c r="O303" s="111"/>
      <c r="P303" s="78">
        <v>1.5640000000000001</v>
      </c>
      <c r="Q303" s="111"/>
      <c r="R303" s="78">
        <v>1.5640000000000001</v>
      </c>
      <c r="S303" s="78" t="e">
        <f ca="1">_xll.qlSimpleQuoteSetValue(E303,R303/100,Trigger)</f>
        <v>#NAME?</v>
      </c>
      <c r="T303" s="130"/>
      <c r="V303" s="161"/>
    </row>
    <row r="304" spans="1:22" x14ac:dyDescent="0.2">
      <c r="A304" s="135"/>
      <c r="B304" s="45" t="str">
        <f t="shared" si="31"/>
        <v>12Y</v>
      </c>
      <c r="C304" s="45" t="str">
        <f t="shared" si="32"/>
        <v>25F</v>
      </c>
      <c r="D304" s="43" t="str">
        <f t="shared" si="33"/>
        <v>EUR25F12Y_Quote</v>
      </c>
      <c r="E304" s="43" t="e">
        <f ca="1">_xll.qlSimpleQuote(D304,,RateTickValue,Permanent,Trigger,ObjectOverwrite)</f>
        <v>#NAME?</v>
      </c>
      <c r="F304" s="42" t="e">
        <f ca="1">_xll.ohRangeRetrieveError(E304)</f>
        <v>#NAME?</v>
      </c>
      <c r="G304" s="36"/>
      <c r="H304" s="162"/>
      <c r="I304" s="113"/>
      <c r="J304" s="138" t="s">
        <v>44</v>
      </c>
      <c r="K304" s="138" t="str">
        <f t="shared" si="36"/>
        <v>25F</v>
      </c>
      <c r="L304" s="140" t="str">
        <f t="shared" si="34"/>
        <v>EUR25F12Y</v>
      </c>
      <c r="M304" s="140" t="str">
        <v>EUR25F12Y=ICAP</v>
      </c>
      <c r="N304" s="78">
        <v>1.5609999999999999</v>
      </c>
      <c r="O304" s="111"/>
      <c r="P304" s="78">
        <v>1.5609999999999999</v>
      </c>
      <c r="Q304" s="111"/>
      <c r="R304" s="78">
        <v>1.5609999999999999</v>
      </c>
      <c r="S304" s="78" t="e">
        <f ca="1">_xll.qlSimpleQuoteSetValue(E304,R304/100,Trigger)</f>
        <v>#NAME?</v>
      </c>
      <c r="T304" s="130"/>
      <c r="V304" s="161"/>
    </row>
    <row r="305" spans="1:22" x14ac:dyDescent="0.2">
      <c r="A305" s="135"/>
      <c r="B305" s="45" t="str">
        <f t="shared" si="31"/>
        <v>13Y</v>
      </c>
      <c r="C305" s="45" t="str">
        <f t="shared" si="32"/>
        <v>25F</v>
      </c>
      <c r="D305" s="43" t="str">
        <f t="shared" si="33"/>
        <v>EUR25F13Y_Quote</v>
      </c>
      <c r="E305" s="43" t="e">
        <f ca="1">_xll.qlSimpleQuote(D305,,RateTickValue,Permanent,Trigger,ObjectOverwrite)</f>
        <v>#NAME?</v>
      </c>
      <c r="F305" s="42" t="e">
        <f ca="1">_xll.ohRangeRetrieveError(E305)</f>
        <v>#NAME?</v>
      </c>
      <c r="G305" s="36"/>
      <c r="H305" s="162"/>
      <c r="I305" s="113"/>
      <c r="J305" s="138" t="s">
        <v>43</v>
      </c>
      <c r="K305" s="138" t="str">
        <f t="shared" si="36"/>
        <v>25F</v>
      </c>
      <c r="L305" s="140" t="str">
        <f t="shared" si="34"/>
        <v>EUR25F13Y</v>
      </c>
      <c r="M305" s="140" t="str">
        <v>EUR25F13Y=ICAP</v>
      </c>
      <c r="N305" s="78">
        <v>1.5569999999999999</v>
      </c>
      <c r="O305" s="111"/>
      <c r="P305" s="78">
        <v>1.5569999999999999</v>
      </c>
      <c r="Q305" s="111"/>
      <c r="R305" s="78">
        <v>1.5569999999999999</v>
      </c>
      <c r="S305" s="78" t="e">
        <f ca="1">_xll.qlSimpleQuoteSetValue(E305,R305/100,Trigger)</f>
        <v>#NAME?</v>
      </c>
      <c r="T305" s="130"/>
      <c r="V305" s="161"/>
    </row>
    <row r="306" spans="1:22" x14ac:dyDescent="0.2">
      <c r="A306" s="135"/>
      <c r="B306" s="45" t="str">
        <f t="shared" si="31"/>
        <v>14Y</v>
      </c>
      <c r="C306" s="45" t="str">
        <f t="shared" si="32"/>
        <v>25F</v>
      </c>
      <c r="D306" s="43" t="str">
        <f t="shared" si="33"/>
        <v>EUR25F14Y_Quote</v>
      </c>
      <c r="E306" s="43" t="e">
        <f ca="1">_xll.qlSimpleQuote(D306,,RateTickValue,Permanent,Trigger,ObjectOverwrite)</f>
        <v>#NAME?</v>
      </c>
      <c r="F306" s="42" t="e">
        <f ca="1">_xll.ohRangeRetrieveError(E306)</f>
        <v>#NAME?</v>
      </c>
      <c r="G306" s="36"/>
      <c r="H306" s="162"/>
      <c r="I306" s="113"/>
      <c r="J306" s="138" t="s">
        <v>42</v>
      </c>
      <c r="K306" s="138" t="str">
        <f t="shared" si="36"/>
        <v>25F</v>
      </c>
      <c r="L306" s="140" t="str">
        <f t="shared" si="34"/>
        <v>EUR25F14Y</v>
      </c>
      <c r="M306" s="140" t="str">
        <v>EUR25F14Y=ICAP</v>
      </c>
      <c r="N306" s="78">
        <v>1.552</v>
      </c>
      <c r="O306" s="111"/>
      <c r="P306" s="78">
        <v>1.552</v>
      </c>
      <c r="Q306" s="111"/>
      <c r="R306" s="78">
        <v>1.552</v>
      </c>
      <c r="S306" s="78" t="e">
        <f ca="1">_xll.qlSimpleQuoteSetValue(E306,R306/100,Trigger)</f>
        <v>#NAME?</v>
      </c>
      <c r="T306" s="130"/>
      <c r="V306" s="161"/>
    </row>
    <row r="307" spans="1:22" x14ac:dyDescent="0.2">
      <c r="A307" s="135"/>
      <c r="B307" s="45" t="str">
        <f t="shared" si="31"/>
        <v>15Y</v>
      </c>
      <c r="C307" s="45" t="str">
        <f t="shared" si="32"/>
        <v>25F</v>
      </c>
      <c r="D307" s="43" t="str">
        <f t="shared" si="33"/>
        <v>EUR25F15Y_Quote</v>
      </c>
      <c r="E307" s="43" t="e">
        <f ca="1">_xll.qlSimpleQuote(D307,,RateTickValue,Permanent,Trigger,ObjectOverwrite)</f>
        <v>#NAME?</v>
      </c>
      <c r="F307" s="42" t="e">
        <f ca="1">_xll.ohRangeRetrieveError(E307)</f>
        <v>#NAME?</v>
      </c>
      <c r="G307" s="36"/>
      <c r="H307" s="162"/>
      <c r="I307" s="113"/>
      <c r="J307" s="138" t="s">
        <v>41</v>
      </c>
      <c r="K307" s="138" t="str">
        <f t="shared" si="36"/>
        <v>25F</v>
      </c>
      <c r="L307" s="140" t="str">
        <f t="shared" si="34"/>
        <v>EUR25F15Y</v>
      </c>
      <c r="M307" s="140" t="str">
        <v>EUR25F15Y=ICAP</v>
      </c>
      <c r="N307" s="78">
        <v>1.5449999999999999</v>
      </c>
      <c r="O307" s="111"/>
      <c r="P307" s="78">
        <v>1.5449999999999999</v>
      </c>
      <c r="Q307" s="111"/>
      <c r="R307" s="78">
        <v>1.5449999999999999</v>
      </c>
      <c r="S307" s="78" t="e">
        <f ca="1">_xll.qlSimpleQuoteSetValue(E307,R307/100,Trigger)</f>
        <v>#NAME?</v>
      </c>
      <c r="T307" s="130"/>
      <c r="V307" s="161"/>
    </row>
    <row r="308" spans="1:22" x14ac:dyDescent="0.2">
      <c r="A308" s="135"/>
      <c r="B308" s="45" t="str">
        <f t="shared" si="31"/>
        <v>20Y</v>
      </c>
      <c r="C308" s="45" t="str">
        <f t="shared" si="32"/>
        <v>25F</v>
      </c>
      <c r="D308" s="43" t="str">
        <f t="shared" si="33"/>
        <v>EUR25F20Y_Quote</v>
      </c>
      <c r="E308" s="43" t="e">
        <f ca="1">_xll.qlSimpleQuote(D308,,RateTickValue,Permanent,Trigger,ObjectOverwrite)</f>
        <v>#NAME?</v>
      </c>
      <c r="F308" s="42" t="e">
        <f ca="1">_xll.ohRangeRetrieveError(E308)</f>
        <v>#NAME?</v>
      </c>
      <c r="G308" s="36"/>
      <c r="H308" s="162"/>
      <c r="I308" s="113"/>
      <c r="J308" s="138" t="s">
        <v>36</v>
      </c>
      <c r="K308" s="138" t="str">
        <f t="shared" si="36"/>
        <v>25F</v>
      </c>
      <c r="L308" s="140" t="str">
        <f t="shared" si="34"/>
        <v>EUR25F20Y</v>
      </c>
      <c r="M308" s="140" t="str">
        <v>EUR25F20Y=ICAP</v>
      </c>
      <c r="N308" s="78">
        <v>1.4969999999999999</v>
      </c>
      <c r="O308" s="111"/>
      <c r="P308" s="78">
        <v>1.4969999999999999</v>
      </c>
      <c r="Q308" s="111"/>
      <c r="R308" s="78">
        <v>1.4969999999999999</v>
      </c>
      <c r="S308" s="78" t="e">
        <f ca="1">_xll.qlSimpleQuoteSetValue(E308,R308/100,Trigger)</f>
        <v>#NAME?</v>
      </c>
      <c r="T308" s="130"/>
      <c r="V308" s="161"/>
    </row>
    <row r="309" spans="1:22" x14ac:dyDescent="0.2">
      <c r="A309" s="135"/>
      <c r="B309" s="45" t="str">
        <f t="shared" si="31"/>
        <v>25Y</v>
      </c>
      <c r="C309" s="45" t="str">
        <f t="shared" si="32"/>
        <v>25F</v>
      </c>
      <c r="D309" s="43" t="str">
        <f t="shared" si="33"/>
        <v>EUR25F25Y_Quote</v>
      </c>
      <c r="E309" s="43" t="e">
        <f ca="1">_xll.qlSimpleQuote(D309,,RateTickValue,Permanent,Trigger,ObjectOverwrite)</f>
        <v>#NAME?</v>
      </c>
      <c r="F309" s="42" t="e">
        <f ca="1">_xll.ohRangeRetrieveError(E309)</f>
        <v>#NAME?</v>
      </c>
      <c r="G309" s="36"/>
      <c r="H309" s="162"/>
      <c r="I309" s="113"/>
      <c r="J309" s="138" t="s">
        <v>31</v>
      </c>
      <c r="K309" s="138" t="str">
        <f t="shared" si="36"/>
        <v>25F</v>
      </c>
      <c r="L309" s="140" t="str">
        <f t="shared" si="34"/>
        <v>EUR25F25Y</v>
      </c>
      <c r="M309" s="140" t="str">
        <v>EUR25F25Y=ICAP</v>
      </c>
      <c r="N309" s="78">
        <v>1.425</v>
      </c>
      <c r="O309" s="111"/>
      <c r="P309" s="78">
        <v>1.425</v>
      </c>
      <c r="Q309" s="111"/>
      <c r="R309" s="78">
        <v>1.425</v>
      </c>
      <c r="S309" s="78" t="e">
        <f ca="1">_xll.qlSimpleQuoteSetValue(E309,R309/100,Trigger)</f>
        <v>#NAME?</v>
      </c>
      <c r="T309" s="130"/>
      <c r="V309" s="161"/>
    </row>
    <row r="310" spans="1:22" x14ac:dyDescent="0.2">
      <c r="A310" s="135"/>
      <c r="B310" s="45" t="str">
        <f t="shared" si="31"/>
        <v>30Y</v>
      </c>
      <c r="C310" s="45" t="str">
        <f t="shared" si="32"/>
        <v>25F</v>
      </c>
      <c r="D310" s="43" t="str">
        <f t="shared" si="33"/>
        <v>EUR25F30Y_Quote</v>
      </c>
      <c r="E310" s="43" t="e">
        <f ca="1">_xll.qlSimpleQuote(D310,,RateTickValue,Permanent,Trigger,ObjectOverwrite)</f>
        <v>#NAME?</v>
      </c>
      <c r="F310" s="42" t="e">
        <f ca="1">_xll.ohRangeRetrieveError(E310)</f>
        <v>#NAME?</v>
      </c>
      <c r="G310" s="36"/>
      <c r="H310" s="162"/>
      <c r="I310" s="113"/>
      <c r="J310" s="131" t="s">
        <v>26</v>
      </c>
      <c r="K310" s="131" t="str">
        <f t="shared" si="36"/>
        <v>25F</v>
      </c>
      <c r="L310" s="133" t="str">
        <f t="shared" si="34"/>
        <v>EUR25F30Y</v>
      </c>
      <c r="M310" s="133" t="str">
        <v>EUR25F30Y=ICAP</v>
      </c>
      <c r="N310" s="65">
        <v>1.4039999999999999</v>
      </c>
      <c r="O310" s="111"/>
      <c r="P310" s="65">
        <v>1.4039999999999999</v>
      </c>
      <c r="Q310" s="111"/>
      <c r="R310" s="65">
        <v>1.4039999999999999</v>
      </c>
      <c r="S310" s="65" t="e">
        <f ca="1">_xll.qlSimpleQuoteSetValue(E310,R310/100,Trigger)</f>
        <v>#NAME?</v>
      </c>
      <c r="T310" s="130"/>
      <c r="V310" s="161"/>
    </row>
    <row r="311" spans="1:22" x14ac:dyDescent="0.2">
      <c r="A311" s="135"/>
      <c r="B311" s="45" t="str">
        <f t="shared" si="31"/>
        <v>1Y</v>
      </c>
      <c r="C311" s="45" t="str">
        <f t="shared" si="32"/>
        <v>30F</v>
      </c>
      <c r="D311" s="43" t="str">
        <f t="shared" si="33"/>
        <v>EUR30F1Y_Quote</v>
      </c>
      <c r="E311" s="43" t="e">
        <f ca="1">_xll.qlSimpleQuote(D311,,RateTickValue,Permanent,Trigger,ObjectOverwrite)</f>
        <v>#NAME?</v>
      </c>
      <c r="F311" s="42" t="e">
        <f ca="1">_xll.ohRangeRetrieveError(E311)</f>
        <v>#NAME?</v>
      </c>
      <c r="G311" s="36"/>
      <c r="H311" s="162"/>
      <c r="I311" s="135">
        <v>30</v>
      </c>
      <c r="J311" s="164" t="s">
        <v>58</v>
      </c>
      <c r="K311" s="164" t="str">
        <f t="shared" ref="K311:K328" si="37">$I$311&amp;"F"</f>
        <v>30F</v>
      </c>
      <c r="L311" s="163" t="str">
        <f t="shared" si="34"/>
        <v>EUR30F1Y</v>
      </c>
      <c r="M311" s="163" t="str">
        <v>EUR30F1Y=ICAP</v>
      </c>
      <c r="N311" s="89">
        <v>1.571</v>
      </c>
      <c r="O311" s="111"/>
      <c r="P311" s="89">
        <v>1.571</v>
      </c>
      <c r="Q311" s="111"/>
      <c r="R311" s="89">
        <v>1.571</v>
      </c>
      <c r="S311" s="89" t="e">
        <f ca="1">_xll.qlSimpleQuoteSetValue(E311,R311/100,Trigger)</f>
        <v>#NAME?</v>
      </c>
      <c r="T311" s="130"/>
      <c r="V311" s="161"/>
    </row>
    <row r="312" spans="1:22" x14ac:dyDescent="0.2">
      <c r="A312" s="135"/>
      <c r="B312" s="45" t="str">
        <f t="shared" si="31"/>
        <v>2Y</v>
      </c>
      <c r="C312" s="45" t="str">
        <f t="shared" si="32"/>
        <v>30F</v>
      </c>
      <c r="D312" s="43" t="str">
        <f t="shared" si="33"/>
        <v>EUR30F2Y_Quote</v>
      </c>
      <c r="E312" s="43" t="e">
        <f ca="1">_xll.qlSimpleQuote(D312,,RateTickValue,Permanent,Trigger,ObjectOverwrite)</f>
        <v>#NAME?</v>
      </c>
      <c r="F312" s="42" t="e">
        <f ca="1">_xll.ohRangeRetrieveError(E312)</f>
        <v>#NAME?</v>
      </c>
      <c r="G312" s="36"/>
      <c r="H312" s="162"/>
      <c r="I312" s="113"/>
      <c r="J312" s="138" t="s">
        <v>54</v>
      </c>
      <c r="K312" s="138" t="str">
        <f t="shared" si="37"/>
        <v>30F</v>
      </c>
      <c r="L312" s="140" t="str">
        <f t="shared" si="34"/>
        <v>EUR30F2Y</v>
      </c>
      <c r="M312" s="140" t="str">
        <v>EUR30F2Y=ICAP</v>
      </c>
      <c r="N312" s="78">
        <v>1.577</v>
      </c>
      <c r="O312" s="111"/>
      <c r="P312" s="78">
        <v>1.577</v>
      </c>
      <c r="Q312" s="111"/>
      <c r="R312" s="78">
        <v>1.577</v>
      </c>
      <c r="S312" s="78" t="e">
        <f ca="1">_xll.qlSimpleQuoteSetValue(E312,R312/100,Trigger)</f>
        <v>#NAME?</v>
      </c>
      <c r="T312" s="130"/>
      <c r="V312" s="161"/>
    </row>
    <row r="313" spans="1:22" x14ac:dyDescent="0.2">
      <c r="A313" s="135"/>
      <c r="B313" s="45" t="str">
        <f t="shared" si="31"/>
        <v>3Y</v>
      </c>
      <c r="C313" s="45" t="str">
        <f t="shared" si="32"/>
        <v>30F</v>
      </c>
      <c r="D313" s="43" t="str">
        <f t="shared" si="33"/>
        <v>EUR30F3Y_Quote</v>
      </c>
      <c r="E313" s="43" t="e">
        <f ca="1">_xll.qlSimpleQuote(D313,,RateTickValue,Permanent,Trigger,ObjectOverwrite)</f>
        <v>#NAME?</v>
      </c>
      <c r="F313" s="42" t="e">
        <f ca="1">_xll.ohRangeRetrieveError(E313)</f>
        <v>#NAME?</v>
      </c>
      <c r="G313" s="36"/>
      <c r="H313" s="162"/>
      <c r="I313" s="113"/>
      <c r="J313" s="138" t="s">
        <v>53</v>
      </c>
      <c r="K313" s="138" t="str">
        <f t="shared" si="37"/>
        <v>30F</v>
      </c>
      <c r="L313" s="140" t="str">
        <f t="shared" si="34"/>
        <v>EUR30F3Y</v>
      </c>
      <c r="M313" s="140" t="str">
        <v>EUR30F3Y=ICAP</v>
      </c>
      <c r="N313" s="78">
        <v>1.5820000000000001</v>
      </c>
      <c r="O313" s="111"/>
      <c r="P313" s="78">
        <v>1.5820000000000001</v>
      </c>
      <c r="Q313" s="111"/>
      <c r="R313" s="78">
        <v>1.5820000000000001</v>
      </c>
      <c r="S313" s="78" t="e">
        <f ca="1">_xll.qlSimpleQuoteSetValue(E313,R313/100,Trigger)</f>
        <v>#NAME?</v>
      </c>
      <c r="T313" s="130"/>
      <c r="V313" s="161"/>
    </row>
    <row r="314" spans="1:22" x14ac:dyDescent="0.2">
      <c r="A314" s="135"/>
      <c r="B314" s="45" t="str">
        <f t="shared" si="31"/>
        <v>4Y</v>
      </c>
      <c r="C314" s="45" t="str">
        <f t="shared" si="32"/>
        <v>30F</v>
      </c>
      <c r="D314" s="43" t="str">
        <f t="shared" si="33"/>
        <v>EUR30F4Y_Quote</v>
      </c>
      <c r="E314" s="43" t="e">
        <f ca="1">_xll.qlSimpleQuote(D314,,RateTickValue,Permanent,Trigger,ObjectOverwrite)</f>
        <v>#NAME?</v>
      </c>
      <c r="F314" s="42" t="e">
        <f ca="1">_xll.ohRangeRetrieveError(E314)</f>
        <v>#NAME?</v>
      </c>
      <c r="G314" s="36"/>
      <c r="H314" s="162"/>
      <c r="I314" s="113"/>
      <c r="J314" s="138" t="s">
        <v>52</v>
      </c>
      <c r="K314" s="138" t="str">
        <f t="shared" si="37"/>
        <v>30F</v>
      </c>
      <c r="L314" s="140" t="str">
        <f t="shared" si="34"/>
        <v>EUR30F4Y</v>
      </c>
      <c r="M314" s="140" t="str">
        <v>EUR30F4Y=ICAP</v>
      </c>
      <c r="N314" s="78">
        <v>1.5820000000000001</v>
      </c>
      <c r="O314" s="111"/>
      <c r="P314" s="78">
        <v>1.5820000000000001</v>
      </c>
      <c r="Q314" s="111"/>
      <c r="R314" s="78">
        <v>1.5820000000000001</v>
      </c>
      <c r="S314" s="78" t="e">
        <f ca="1">_xll.qlSimpleQuoteSetValue(E314,R314/100,Trigger)</f>
        <v>#NAME?</v>
      </c>
      <c r="T314" s="130"/>
      <c r="V314" s="161"/>
    </row>
    <row r="315" spans="1:22" x14ac:dyDescent="0.2">
      <c r="A315" s="135"/>
      <c r="B315" s="45" t="str">
        <f t="shared" si="31"/>
        <v>5Y</v>
      </c>
      <c r="C315" s="45" t="str">
        <f t="shared" si="32"/>
        <v>30F</v>
      </c>
      <c r="D315" s="43" t="str">
        <f t="shared" si="33"/>
        <v>EUR30F5Y_Quote</v>
      </c>
      <c r="E315" s="43" t="e">
        <f ca="1">_xll.qlSimpleQuote(D315,,RateTickValue,Permanent,Trigger,ObjectOverwrite)</f>
        <v>#NAME?</v>
      </c>
      <c r="F315" s="42" t="e">
        <f ca="1">_xll.ohRangeRetrieveError(E315)</f>
        <v>#NAME?</v>
      </c>
      <c r="G315" s="36"/>
      <c r="H315" s="162"/>
      <c r="I315" s="113"/>
      <c r="J315" s="138" t="s">
        <v>51</v>
      </c>
      <c r="K315" s="138" t="str">
        <f t="shared" si="37"/>
        <v>30F</v>
      </c>
      <c r="L315" s="140" t="str">
        <f t="shared" si="34"/>
        <v>EUR30F5Y</v>
      </c>
      <c r="M315" s="140" t="str">
        <v>EUR30F5Y=ICAP</v>
      </c>
      <c r="N315" s="78">
        <v>1.58</v>
      </c>
      <c r="O315" s="111"/>
      <c r="P315" s="78">
        <v>1.58</v>
      </c>
      <c r="Q315" s="111"/>
      <c r="R315" s="78">
        <v>1.58</v>
      </c>
      <c r="S315" s="78" t="e">
        <f ca="1">_xll.qlSimpleQuoteSetValue(E315,R315/100,Trigger)</f>
        <v>#NAME?</v>
      </c>
      <c r="T315" s="130"/>
      <c r="V315" s="161"/>
    </row>
    <row r="316" spans="1:22" x14ac:dyDescent="0.2">
      <c r="A316" s="135"/>
      <c r="B316" s="45" t="str">
        <f t="shared" si="31"/>
        <v>6Y</v>
      </c>
      <c r="C316" s="45" t="str">
        <f t="shared" si="32"/>
        <v>30F</v>
      </c>
      <c r="D316" s="43" t="str">
        <f t="shared" si="33"/>
        <v>EUR30F6Y_Quote</v>
      </c>
      <c r="E316" s="43" t="e">
        <f ca="1">_xll.qlSimpleQuote(D316,,RateTickValue,Permanent,Trigger,ObjectOverwrite)</f>
        <v>#NAME?</v>
      </c>
      <c r="F316" s="42" t="e">
        <f ca="1">_xll.ohRangeRetrieveError(E316)</f>
        <v>#NAME?</v>
      </c>
      <c r="G316" s="36"/>
      <c r="H316" s="162"/>
      <c r="I316" s="113"/>
      <c r="J316" s="138" t="s">
        <v>50</v>
      </c>
      <c r="K316" s="138" t="str">
        <f t="shared" si="37"/>
        <v>30F</v>
      </c>
      <c r="L316" s="140" t="str">
        <f t="shared" si="34"/>
        <v>EUR30F6Y</v>
      </c>
      <c r="M316" s="140" t="str">
        <v>EUR30F6Y=ICAP</v>
      </c>
      <c r="N316" s="78">
        <v>1.575</v>
      </c>
      <c r="O316" s="111"/>
      <c r="P316" s="78">
        <v>1.575</v>
      </c>
      <c r="Q316" s="111"/>
      <c r="R316" s="78">
        <v>1.575</v>
      </c>
      <c r="S316" s="78" t="e">
        <f ca="1">_xll.qlSimpleQuoteSetValue(E316,R316/100,Trigger)</f>
        <v>#NAME?</v>
      </c>
      <c r="T316" s="130"/>
      <c r="V316" s="161"/>
    </row>
    <row r="317" spans="1:22" x14ac:dyDescent="0.2">
      <c r="A317" s="135"/>
      <c r="B317" s="45" t="str">
        <f t="shared" si="31"/>
        <v>7Y</v>
      </c>
      <c r="C317" s="45" t="str">
        <f t="shared" si="32"/>
        <v>30F</v>
      </c>
      <c r="D317" s="43" t="str">
        <f t="shared" si="33"/>
        <v>EUR30F7Y_Quote</v>
      </c>
      <c r="E317" s="43" t="e">
        <f ca="1">_xll.qlSimpleQuote(D317,,RateTickValue,Permanent,Trigger,ObjectOverwrite)</f>
        <v>#NAME?</v>
      </c>
      <c r="F317" s="42" t="e">
        <f ca="1">_xll.ohRangeRetrieveError(E317)</f>
        <v>#NAME?</v>
      </c>
      <c r="G317" s="36"/>
      <c r="H317" s="162"/>
      <c r="I317" s="113"/>
      <c r="J317" s="138" t="s">
        <v>49</v>
      </c>
      <c r="K317" s="138" t="str">
        <f t="shared" si="37"/>
        <v>30F</v>
      </c>
      <c r="L317" s="140" t="str">
        <f t="shared" si="34"/>
        <v>EUR30F7Y</v>
      </c>
      <c r="M317" s="140" t="str">
        <v>EUR30F7Y=ICAP</v>
      </c>
      <c r="N317" s="78">
        <v>1.569</v>
      </c>
      <c r="O317" s="111"/>
      <c r="P317" s="78">
        <v>1.569</v>
      </c>
      <c r="Q317" s="111"/>
      <c r="R317" s="78">
        <v>1.569</v>
      </c>
      <c r="S317" s="78" t="e">
        <f ca="1">_xll.qlSimpleQuoteSetValue(E317,R317/100,Trigger)</f>
        <v>#NAME?</v>
      </c>
      <c r="T317" s="130"/>
      <c r="V317" s="161"/>
    </row>
    <row r="318" spans="1:22" x14ac:dyDescent="0.2">
      <c r="A318" s="135"/>
      <c r="B318" s="45" t="str">
        <f t="shared" si="31"/>
        <v>8Y</v>
      </c>
      <c r="C318" s="45" t="str">
        <f t="shared" si="32"/>
        <v>30F</v>
      </c>
      <c r="D318" s="43" t="str">
        <f t="shared" si="33"/>
        <v>EUR30F8Y_Quote</v>
      </c>
      <c r="E318" s="43" t="e">
        <f ca="1">_xll.qlSimpleQuote(D318,,RateTickValue,Permanent,Trigger,ObjectOverwrite)</f>
        <v>#NAME?</v>
      </c>
      <c r="F318" s="42" t="e">
        <f ca="1">_xll.ohRangeRetrieveError(E318)</f>
        <v>#NAME?</v>
      </c>
      <c r="G318" s="36"/>
      <c r="H318" s="162"/>
      <c r="I318" s="113"/>
      <c r="J318" s="138" t="s">
        <v>48</v>
      </c>
      <c r="K318" s="138" t="str">
        <f t="shared" si="37"/>
        <v>30F</v>
      </c>
      <c r="L318" s="140" t="str">
        <f t="shared" si="34"/>
        <v>EUR30F8Y</v>
      </c>
      <c r="M318" s="140" t="str">
        <v>EUR30F8Y=ICAP</v>
      </c>
      <c r="N318" s="78">
        <v>1.5609999999999999</v>
      </c>
      <c r="O318" s="111"/>
      <c r="P318" s="78">
        <v>1.5609999999999999</v>
      </c>
      <c r="Q318" s="111"/>
      <c r="R318" s="78">
        <v>1.5609999999999999</v>
      </c>
      <c r="S318" s="78" t="e">
        <f ca="1">_xll.qlSimpleQuoteSetValue(E318,R318/100,Trigger)</f>
        <v>#NAME?</v>
      </c>
      <c r="T318" s="130"/>
      <c r="V318" s="161"/>
    </row>
    <row r="319" spans="1:22" x14ac:dyDescent="0.2">
      <c r="A319" s="135"/>
      <c r="B319" s="45" t="str">
        <f t="shared" si="31"/>
        <v>9Y</v>
      </c>
      <c r="C319" s="45" t="str">
        <f t="shared" si="32"/>
        <v>30F</v>
      </c>
      <c r="D319" s="43" t="str">
        <f t="shared" si="33"/>
        <v>EUR30F9Y_Quote</v>
      </c>
      <c r="E319" s="43" t="e">
        <f ca="1">_xll.qlSimpleQuote(D319,,RateTickValue,Permanent,Trigger,ObjectOverwrite)</f>
        <v>#NAME?</v>
      </c>
      <c r="F319" s="42" t="e">
        <f ca="1">_xll.ohRangeRetrieveError(E319)</f>
        <v>#NAME?</v>
      </c>
      <c r="G319" s="36"/>
      <c r="H319" s="162"/>
      <c r="I319" s="113"/>
      <c r="J319" s="138" t="s">
        <v>47</v>
      </c>
      <c r="K319" s="138" t="str">
        <f t="shared" si="37"/>
        <v>30F</v>
      </c>
      <c r="L319" s="140" t="str">
        <f t="shared" si="34"/>
        <v>EUR30F9Y</v>
      </c>
      <c r="M319" s="140" t="str">
        <v>EUR30F9Y=ICAP</v>
      </c>
      <c r="N319" s="78">
        <v>1.5509999999999999</v>
      </c>
      <c r="O319" s="111"/>
      <c r="P319" s="78">
        <v>1.5509999999999999</v>
      </c>
      <c r="Q319" s="111"/>
      <c r="R319" s="78">
        <v>1.5509999999999999</v>
      </c>
      <c r="S319" s="78" t="e">
        <f ca="1">_xll.qlSimpleQuoteSetValue(E319,R319/100,Trigger)</f>
        <v>#NAME?</v>
      </c>
      <c r="T319" s="130"/>
      <c r="V319" s="161"/>
    </row>
    <row r="320" spans="1:22" x14ac:dyDescent="0.2">
      <c r="A320" s="135"/>
      <c r="B320" s="45" t="str">
        <f t="shared" si="31"/>
        <v>10Y</v>
      </c>
      <c r="C320" s="45" t="str">
        <f t="shared" si="32"/>
        <v>30F</v>
      </c>
      <c r="D320" s="43" t="str">
        <f t="shared" si="33"/>
        <v>EUR30F10Y_Quote</v>
      </c>
      <c r="E320" s="43" t="e">
        <f ca="1">_xll.qlSimpleQuote(D320,,RateTickValue,Permanent,Trigger,ObjectOverwrite)</f>
        <v>#NAME?</v>
      </c>
      <c r="F320" s="42" t="e">
        <f ca="1">_xll.ohRangeRetrieveError(E320)</f>
        <v>#NAME?</v>
      </c>
      <c r="G320" s="36"/>
      <c r="H320" s="162"/>
      <c r="I320" s="113"/>
      <c r="J320" s="138" t="s">
        <v>46</v>
      </c>
      <c r="K320" s="138" t="str">
        <f t="shared" si="37"/>
        <v>30F</v>
      </c>
      <c r="L320" s="140" t="str">
        <f t="shared" si="34"/>
        <v>EUR30F10Y</v>
      </c>
      <c r="M320" s="140" t="str">
        <v>EUR30F10Y=ICAP</v>
      </c>
      <c r="N320" s="78">
        <v>1.542</v>
      </c>
      <c r="O320" s="111"/>
      <c r="P320" s="78">
        <v>1.542</v>
      </c>
      <c r="Q320" s="111"/>
      <c r="R320" s="78">
        <v>1.542</v>
      </c>
      <c r="S320" s="78" t="e">
        <f ca="1">_xll.qlSimpleQuoteSetValue(E320,R320/100,Trigger)</f>
        <v>#NAME?</v>
      </c>
      <c r="T320" s="130"/>
      <c r="V320" s="161"/>
    </row>
    <row r="321" spans="1:22" x14ac:dyDescent="0.2">
      <c r="A321" s="135"/>
      <c r="B321" s="45" t="str">
        <f t="shared" si="31"/>
        <v>11Y</v>
      </c>
      <c r="C321" s="45" t="str">
        <f t="shared" si="32"/>
        <v>30F</v>
      </c>
      <c r="D321" s="43" t="str">
        <f t="shared" si="33"/>
        <v>EUR30F11Y_Quote</v>
      </c>
      <c r="E321" s="43" t="e">
        <f ca="1">_xll.qlSimpleQuote(D321,,RateTickValue,Permanent,Trigger,ObjectOverwrite)</f>
        <v>#NAME?</v>
      </c>
      <c r="F321" s="42" t="e">
        <f ca="1">_xll.ohRangeRetrieveError(E321)</f>
        <v>#NAME?</v>
      </c>
      <c r="G321" s="36"/>
      <c r="H321" s="162"/>
      <c r="I321" s="113"/>
      <c r="J321" s="138" t="s">
        <v>45</v>
      </c>
      <c r="K321" s="138" t="str">
        <f t="shared" si="37"/>
        <v>30F</v>
      </c>
      <c r="L321" s="140" t="str">
        <f t="shared" si="34"/>
        <v>EUR30F11Y</v>
      </c>
      <c r="M321" s="140" t="str">
        <v>EUR30F11Y=ICAP</v>
      </c>
      <c r="N321" s="78">
        <v>1.532</v>
      </c>
      <c r="O321" s="111"/>
      <c r="P321" s="78">
        <v>1.532</v>
      </c>
      <c r="Q321" s="111"/>
      <c r="R321" s="78">
        <v>1.532</v>
      </c>
      <c r="S321" s="78" t="e">
        <f ca="1">_xll.qlSimpleQuoteSetValue(E321,R321/100,Trigger)</f>
        <v>#NAME?</v>
      </c>
      <c r="T321" s="130"/>
      <c r="V321" s="161"/>
    </row>
    <row r="322" spans="1:22" x14ac:dyDescent="0.2">
      <c r="A322" s="135"/>
      <c r="B322" s="45" t="str">
        <f t="shared" si="31"/>
        <v>12Y</v>
      </c>
      <c r="C322" s="45" t="str">
        <f t="shared" si="32"/>
        <v>30F</v>
      </c>
      <c r="D322" s="43" t="str">
        <f t="shared" si="33"/>
        <v>EUR30F12Y_Quote</v>
      </c>
      <c r="E322" s="43" t="e">
        <f ca="1">_xll.qlSimpleQuote(D322,,RateTickValue,Permanent,Trigger,ObjectOverwrite)</f>
        <v>#NAME?</v>
      </c>
      <c r="F322" s="42" t="e">
        <f ca="1">_xll.ohRangeRetrieveError(E322)</f>
        <v>#NAME?</v>
      </c>
      <c r="G322" s="36"/>
      <c r="H322" s="162"/>
      <c r="I322" s="113"/>
      <c r="J322" s="138" t="s">
        <v>44</v>
      </c>
      <c r="K322" s="138" t="str">
        <f t="shared" si="37"/>
        <v>30F</v>
      </c>
      <c r="L322" s="140" t="str">
        <f t="shared" si="34"/>
        <v>EUR30F12Y</v>
      </c>
      <c r="M322" s="140" t="str">
        <v>EUR30F12Y=ICAP</v>
      </c>
      <c r="N322" s="78">
        <v>1.52</v>
      </c>
      <c r="O322" s="111"/>
      <c r="P322" s="78">
        <v>1.52</v>
      </c>
      <c r="Q322" s="111"/>
      <c r="R322" s="78">
        <v>1.52</v>
      </c>
      <c r="S322" s="78" t="e">
        <f ca="1">_xll.qlSimpleQuoteSetValue(E322,R322/100,Trigger)</f>
        <v>#NAME?</v>
      </c>
      <c r="T322" s="130"/>
      <c r="V322" s="161"/>
    </row>
    <row r="323" spans="1:22" x14ac:dyDescent="0.2">
      <c r="A323" s="135"/>
      <c r="B323" s="45" t="str">
        <f t="shared" si="31"/>
        <v>13Y</v>
      </c>
      <c r="C323" s="45" t="str">
        <f t="shared" si="32"/>
        <v>30F</v>
      </c>
      <c r="D323" s="43" t="str">
        <f t="shared" si="33"/>
        <v>EUR30F13Y_Quote</v>
      </c>
      <c r="E323" s="43" t="e">
        <f ca="1">_xll.qlSimpleQuote(D323,,RateTickValue,Permanent,Trigger,ObjectOverwrite)</f>
        <v>#NAME?</v>
      </c>
      <c r="F323" s="42" t="e">
        <f ca="1">_xll.ohRangeRetrieveError(E323)</f>
        <v>#NAME?</v>
      </c>
      <c r="G323" s="36"/>
      <c r="H323" s="162"/>
      <c r="I323" s="113"/>
      <c r="J323" s="138" t="s">
        <v>43</v>
      </c>
      <c r="K323" s="138" t="str">
        <f t="shared" si="37"/>
        <v>30F</v>
      </c>
      <c r="L323" s="140" t="str">
        <f t="shared" si="34"/>
        <v>EUR30F13Y</v>
      </c>
      <c r="M323" s="140" t="str">
        <v>EUR30F13Y=ICAP</v>
      </c>
      <c r="N323" s="78">
        <v>1.5070000000000001</v>
      </c>
      <c r="O323" s="111"/>
      <c r="P323" s="78">
        <v>1.5070000000000001</v>
      </c>
      <c r="Q323" s="111"/>
      <c r="R323" s="78">
        <v>1.5070000000000001</v>
      </c>
      <c r="S323" s="78" t="e">
        <f ca="1">_xll.qlSimpleQuoteSetValue(E323,R323/100,Trigger)</f>
        <v>#NAME?</v>
      </c>
      <c r="T323" s="130"/>
      <c r="V323" s="161"/>
    </row>
    <row r="324" spans="1:22" x14ac:dyDescent="0.2">
      <c r="A324" s="135"/>
      <c r="B324" s="45" t="str">
        <f t="shared" si="31"/>
        <v>14Y</v>
      </c>
      <c r="C324" s="45" t="str">
        <f t="shared" si="32"/>
        <v>30F</v>
      </c>
      <c r="D324" s="43" t="str">
        <f t="shared" si="33"/>
        <v>EUR30F14Y_Quote</v>
      </c>
      <c r="E324" s="43" t="e">
        <f ca="1">_xll.qlSimpleQuote(D324,,RateTickValue,Permanent,Trigger,ObjectOverwrite)</f>
        <v>#NAME?</v>
      </c>
      <c r="F324" s="42" t="e">
        <f ca="1">_xll.ohRangeRetrieveError(E324)</f>
        <v>#NAME?</v>
      </c>
      <c r="G324" s="36"/>
      <c r="H324" s="162"/>
      <c r="I324" s="113"/>
      <c r="J324" s="138" t="s">
        <v>42</v>
      </c>
      <c r="K324" s="138" t="str">
        <f t="shared" si="37"/>
        <v>30F</v>
      </c>
      <c r="L324" s="140" t="str">
        <f t="shared" si="34"/>
        <v>EUR30F14Y</v>
      </c>
      <c r="M324" s="140" t="str">
        <v>EUR30F14Y=ICAP</v>
      </c>
      <c r="N324" s="78">
        <v>1.492</v>
      </c>
      <c r="O324" s="111"/>
      <c r="P324" s="78">
        <v>1.492</v>
      </c>
      <c r="Q324" s="111"/>
      <c r="R324" s="78">
        <v>1.492</v>
      </c>
      <c r="S324" s="78" t="e">
        <f ca="1">_xll.qlSimpleQuoteSetValue(E324,R324/100,Trigger)</f>
        <v>#NAME?</v>
      </c>
      <c r="T324" s="130"/>
      <c r="V324" s="161"/>
    </row>
    <row r="325" spans="1:22" x14ac:dyDescent="0.2">
      <c r="A325" s="135"/>
      <c r="B325" s="45" t="str">
        <f t="shared" si="31"/>
        <v>15Y</v>
      </c>
      <c r="C325" s="45" t="str">
        <f t="shared" si="32"/>
        <v>30F</v>
      </c>
      <c r="D325" s="43" t="str">
        <f t="shared" si="33"/>
        <v>EUR30F15Y_Quote</v>
      </c>
      <c r="E325" s="43" t="e">
        <f ca="1">_xll.qlSimpleQuote(D325,,RateTickValue,Permanent,Trigger,ObjectOverwrite)</f>
        <v>#NAME?</v>
      </c>
      <c r="F325" s="42" t="e">
        <f ca="1">_xll.ohRangeRetrieveError(E325)</f>
        <v>#NAME?</v>
      </c>
      <c r="G325" s="36"/>
      <c r="H325" s="162"/>
      <c r="I325" s="113"/>
      <c r="J325" s="138" t="s">
        <v>41</v>
      </c>
      <c r="K325" s="138" t="str">
        <f t="shared" si="37"/>
        <v>30F</v>
      </c>
      <c r="L325" s="140" t="str">
        <f t="shared" si="34"/>
        <v>EUR30F15Y</v>
      </c>
      <c r="M325" s="140" t="str">
        <v>EUR30F15Y=ICAP</v>
      </c>
      <c r="N325" s="78">
        <v>1.476</v>
      </c>
      <c r="O325" s="111"/>
      <c r="P325" s="78">
        <v>1.476</v>
      </c>
      <c r="Q325" s="111"/>
      <c r="R325" s="78">
        <v>1.476</v>
      </c>
      <c r="S325" s="78" t="e">
        <f ca="1">_xll.qlSimpleQuoteSetValue(E325,R325/100,Trigger)</f>
        <v>#NAME?</v>
      </c>
      <c r="T325" s="130"/>
      <c r="V325" s="161"/>
    </row>
    <row r="326" spans="1:22" x14ac:dyDescent="0.2">
      <c r="A326" s="135"/>
      <c r="B326" s="45" t="str">
        <f t="shared" si="31"/>
        <v>20Y</v>
      </c>
      <c r="C326" s="45" t="str">
        <f t="shared" si="32"/>
        <v>30F</v>
      </c>
      <c r="D326" s="43" t="str">
        <f t="shared" si="33"/>
        <v>EUR30F20Y_Quote</v>
      </c>
      <c r="E326" s="43" t="e">
        <f ca="1">_xll.qlSimpleQuote(D326,,RateTickValue,Permanent,Trigger,ObjectOverwrite)</f>
        <v>#NAME?</v>
      </c>
      <c r="F326" s="42" t="e">
        <f ca="1">_xll.ohRangeRetrieveError(E326)</f>
        <v>#NAME?</v>
      </c>
      <c r="G326" s="36"/>
      <c r="H326" s="162"/>
      <c r="I326" s="113"/>
      <c r="J326" s="138" t="s">
        <v>36</v>
      </c>
      <c r="K326" s="138" t="str">
        <f t="shared" si="37"/>
        <v>30F</v>
      </c>
      <c r="L326" s="140" t="str">
        <f t="shared" si="34"/>
        <v>EUR30F20Y</v>
      </c>
      <c r="M326" s="140" t="str">
        <v>EUR30F20Y=ICAP</v>
      </c>
      <c r="N326" s="78">
        <v>1.387</v>
      </c>
      <c r="O326" s="111"/>
      <c r="P326" s="78">
        <v>1.387</v>
      </c>
      <c r="Q326" s="111"/>
      <c r="R326" s="78">
        <v>1.387</v>
      </c>
      <c r="S326" s="78" t="e">
        <f ca="1">_xll.qlSimpleQuoteSetValue(E326,R326/100,Trigger)</f>
        <v>#NAME?</v>
      </c>
      <c r="T326" s="130"/>
      <c r="V326" s="161"/>
    </row>
    <row r="327" spans="1:22" x14ac:dyDescent="0.2">
      <c r="A327" s="135"/>
      <c r="B327" s="45" t="str">
        <f t="shared" si="31"/>
        <v>25Y</v>
      </c>
      <c r="C327" s="45" t="str">
        <f t="shared" si="32"/>
        <v>30F</v>
      </c>
      <c r="D327" s="43" t="str">
        <f t="shared" si="33"/>
        <v>EUR30F25Y_Quote</v>
      </c>
      <c r="E327" s="43" t="e">
        <f ca="1">_xll.qlSimpleQuote(D327,,RateTickValue,Permanent,Trigger,ObjectOverwrite)</f>
        <v>#NAME?</v>
      </c>
      <c r="F327" s="42" t="e">
        <f ca="1">_xll.ohRangeRetrieveError(E327)</f>
        <v>#NAME?</v>
      </c>
      <c r="G327" s="36"/>
      <c r="H327" s="162"/>
      <c r="I327" s="113"/>
      <c r="J327" s="138" t="s">
        <v>31</v>
      </c>
      <c r="K327" s="138" t="str">
        <f t="shared" si="37"/>
        <v>30F</v>
      </c>
      <c r="L327" s="140" t="str">
        <f t="shared" si="34"/>
        <v>EUR30F25Y</v>
      </c>
      <c r="M327" s="140" t="str">
        <v>EUR30F25Y=ICAP</v>
      </c>
      <c r="N327" s="78">
        <v>1.367</v>
      </c>
      <c r="O327" s="111"/>
      <c r="P327" s="78">
        <v>1.367</v>
      </c>
      <c r="Q327" s="111"/>
      <c r="R327" s="78">
        <v>1.367</v>
      </c>
      <c r="S327" s="78" t="e">
        <f ca="1">_xll.qlSimpleQuoteSetValue(E327,R327/100,Trigger)</f>
        <v>#NAME?</v>
      </c>
      <c r="T327" s="130"/>
      <c r="V327" s="161"/>
    </row>
    <row r="328" spans="1:22" x14ac:dyDescent="0.2">
      <c r="A328" s="135"/>
      <c r="B328" s="40" t="str">
        <f t="shared" si="31"/>
        <v>30Y</v>
      </c>
      <c r="C328" s="40" t="str">
        <f t="shared" si="32"/>
        <v>30F</v>
      </c>
      <c r="D328" s="38" t="str">
        <f t="shared" si="33"/>
        <v>EUR30F30Y_Quote</v>
      </c>
      <c r="E328" s="38" t="e">
        <f ca="1">_xll.qlSimpleQuote(D328,,RateTickValue,Permanent,Trigger,ObjectOverwrite)</f>
        <v>#NAME?</v>
      </c>
      <c r="F328" s="37" t="e">
        <f ca="1">_xll.ohRangeRetrieveError(E328)</f>
        <v>#NAME?</v>
      </c>
      <c r="G328" s="36"/>
      <c r="H328" s="162"/>
      <c r="I328" s="113"/>
      <c r="J328" s="131" t="s">
        <v>26</v>
      </c>
      <c r="K328" s="131" t="str">
        <f t="shared" si="37"/>
        <v>30F</v>
      </c>
      <c r="L328" s="133" t="str">
        <f t="shared" si="34"/>
        <v>EUR30F30Y</v>
      </c>
      <c r="M328" s="133" t="str">
        <v>EUR30F30Y=ICAP</v>
      </c>
      <c r="N328" s="65">
        <v>1.377</v>
      </c>
      <c r="O328" s="111"/>
      <c r="P328" s="65">
        <v>1.377</v>
      </c>
      <c r="Q328" s="111"/>
      <c r="R328" s="65">
        <v>1.377</v>
      </c>
      <c r="S328" s="65" t="e">
        <f ca="1">_xll.qlSimpleQuoteSetValue(E328,R328/100,Trigger)</f>
        <v>#NAME?</v>
      </c>
      <c r="T328" s="130"/>
      <c r="V328" s="161"/>
    </row>
    <row r="329" spans="1:22" x14ac:dyDescent="0.2">
      <c r="A329" s="158"/>
      <c r="B329" s="157"/>
      <c r="C329" s="157"/>
      <c r="D329" s="157"/>
      <c r="E329" s="160"/>
      <c r="F329" s="157"/>
      <c r="G329" s="159"/>
      <c r="I329" s="158"/>
      <c r="J329" s="157"/>
      <c r="K329" s="157"/>
      <c r="L329" s="157"/>
      <c r="M329" s="157"/>
      <c r="N329" s="157"/>
      <c r="O329" s="157"/>
      <c r="P329" s="157"/>
      <c r="Q329" s="157"/>
      <c r="R329" s="157"/>
      <c r="S329" s="157"/>
      <c r="T329" s="156"/>
    </row>
  </sheetData>
  <dataValidations count="1">
    <dataValidation showInputMessage="1" showErrorMessage="1" sqref="M2"/>
  </dataValidations>
  <pageMargins left="0.75" right="0.75" top="1" bottom="1" header="0.5" footer="0.5"/>
  <pageSetup paperSize="9" orientation="portrait"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12"/>
  <sheetViews>
    <sheetView topLeftCell="I1" workbookViewId="0">
      <selection activeCell="AB2" sqref="AB2:AB3"/>
    </sheetView>
  </sheetViews>
  <sheetFormatPr defaultRowHeight="11.25" customHeight="1" outlineLevelCol="1" x14ac:dyDescent="0.2"/>
  <cols>
    <col min="1" max="1" width="2.7109375" style="30" hidden="1" customWidth="1" outlineLevel="1"/>
    <col min="2" max="2" width="6" style="30" hidden="1" customWidth="1" outlineLevel="1"/>
    <col min="3" max="4" width="4" style="30" hidden="1" customWidth="1" outlineLevel="1"/>
    <col min="5" max="5" width="19.28515625" style="30" hidden="1" customWidth="1" outlineLevel="1"/>
    <col min="6" max="6" width="25.7109375" style="31" hidden="1" customWidth="1" outlineLevel="1"/>
    <col min="7" max="7" width="25.7109375" style="30" hidden="1" customWidth="1" outlineLevel="1"/>
    <col min="8" max="8" width="2.7109375" style="30" hidden="1" customWidth="1" outlineLevel="1"/>
    <col min="9" max="9" width="2.7109375" style="30" customWidth="1" collapsed="1"/>
    <col min="10" max="10" width="2.7109375" style="30" customWidth="1"/>
    <col min="11" max="13" width="4.85546875" style="30" customWidth="1"/>
    <col min="14" max="14" width="9.5703125" style="30" customWidth="1"/>
    <col min="15" max="15" width="14.5703125" style="30" customWidth="1"/>
    <col min="16" max="19" width="10.28515625" style="30" customWidth="1"/>
    <col min="20" max="20" width="2.7109375" style="30" customWidth="1"/>
    <col min="21" max="21" width="8" style="30" bestFit="1" customWidth="1"/>
    <col min="22" max="22" width="2.7109375" style="30" customWidth="1"/>
    <col min="23" max="23" width="10.28515625" style="30" customWidth="1"/>
    <col min="24" max="24" width="8.7109375" style="30" customWidth="1"/>
    <col min="25" max="26" width="2.7109375" style="30" customWidth="1"/>
    <col min="27" max="16384" width="9.140625" style="30"/>
  </cols>
  <sheetData>
    <row r="1" spans="1:28" ht="11.25" customHeight="1" thickBot="1" x14ac:dyDescent="0.25">
      <c r="A1" s="128"/>
      <c r="B1" s="125"/>
      <c r="C1" s="54"/>
      <c r="D1" s="54"/>
      <c r="E1" s="54"/>
      <c r="F1" s="55"/>
      <c r="G1" s="54"/>
      <c r="H1" s="53"/>
      <c r="J1" s="153" t="s">
        <v>99</v>
      </c>
      <c r="K1" s="123"/>
      <c r="L1" s="123"/>
      <c r="M1" s="123"/>
      <c r="N1" s="123"/>
      <c r="O1" s="123"/>
      <c r="P1" s="123"/>
      <c r="Q1" s="123"/>
      <c r="R1" s="123"/>
      <c r="S1" s="123"/>
      <c r="T1" s="123"/>
      <c r="U1" s="123"/>
      <c r="V1" s="123"/>
      <c r="W1" s="123"/>
      <c r="X1" s="54"/>
      <c r="Y1" s="53"/>
    </row>
    <row r="2" spans="1:28" ht="11.25" customHeight="1" x14ac:dyDescent="0.25">
      <c r="A2" s="121"/>
      <c r="B2" s="109"/>
      <c r="C2" s="109"/>
      <c r="D2" s="109"/>
      <c r="E2" s="109"/>
      <c r="F2" s="151"/>
      <c r="G2" s="109"/>
      <c r="H2" s="120"/>
      <c r="J2" s="113"/>
      <c r="K2" s="110"/>
      <c r="L2" s="111"/>
      <c r="M2" s="111"/>
      <c r="N2" s="111"/>
      <c r="O2" s="119" t="str">
        <f>VLOOKUP(J1,AreaTable,2,FALSE)</f>
        <v>ICAP</v>
      </c>
      <c r="P2" s="111"/>
      <c r="Q2" s="111"/>
      <c r="R2" s="110"/>
      <c r="S2" s="110"/>
      <c r="T2" s="111"/>
      <c r="U2" s="111"/>
      <c r="V2" s="111"/>
      <c r="W2" s="111"/>
      <c r="X2" s="152" t="e">
        <f ca="1">_xll.ohTrigger(X5:X11)</f>
        <v>#NAME?</v>
      </c>
      <c r="Y2" s="36"/>
      <c r="AA2" s="1361" t="s">
        <v>529</v>
      </c>
      <c r="AB2" s="1364" t="e">
        <f ca="1">_xll.ohTrigger('General Settings'!Trigger)</f>
        <v>#NAME?</v>
      </c>
    </row>
    <row r="3" spans="1:28" ht="11.25" customHeight="1" thickBot="1" x14ac:dyDescent="0.3">
      <c r="A3" s="117"/>
      <c r="B3" s="109"/>
      <c r="C3" s="109"/>
      <c r="D3" s="109"/>
      <c r="E3" s="109"/>
      <c r="F3" s="151"/>
      <c r="G3" s="109"/>
      <c r="H3" s="120"/>
      <c r="J3" s="135"/>
      <c r="K3" s="111"/>
      <c r="L3" s="110"/>
      <c r="M3" s="110"/>
      <c r="N3" s="110"/>
      <c r="O3" s="110"/>
      <c r="P3" s="110"/>
      <c r="Q3" s="110"/>
      <c r="R3" s="110"/>
      <c r="S3" s="110"/>
      <c r="T3" s="111"/>
      <c r="U3" s="111"/>
      <c r="V3" s="111"/>
      <c r="W3" s="110"/>
      <c r="X3" s="109"/>
      <c r="Y3" s="120"/>
      <c r="AA3" s="1362" t="s">
        <v>530</v>
      </c>
      <c r="AB3" s="1365" t="e">
        <f ca="1">_xll.ohTrigger(X5:X11)</f>
        <v>#NAME?</v>
      </c>
    </row>
    <row r="4" spans="1:28" ht="21" customHeight="1" x14ac:dyDescent="0.2">
      <c r="A4" s="135"/>
      <c r="B4" s="150"/>
      <c r="C4" s="150"/>
      <c r="D4" s="150"/>
      <c r="E4" s="51" t="s">
        <v>91</v>
      </c>
      <c r="F4" s="51" t="s">
        <v>90</v>
      </c>
      <c r="G4" s="50" t="s">
        <v>59</v>
      </c>
      <c r="H4" s="36"/>
      <c r="J4" s="135"/>
      <c r="K4" s="146"/>
      <c r="L4" s="149"/>
      <c r="M4" s="146"/>
      <c r="N4" s="146"/>
      <c r="O4" s="148" t="e">
        <f ca="1">_xll.RData(O5:O11,P4:Q4,,ReutersRtMode,,P5)</f>
        <v>#NAME?</v>
      </c>
      <c r="P4" s="147" t="s">
        <v>84</v>
      </c>
      <c r="Q4" s="147" t="s">
        <v>83</v>
      </c>
      <c r="R4" s="103" t="s">
        <v>80</v>
      </c>
      <c r="S4" s="103" t="s">
        <v>79</v>
      </c>
      <c r="T4" s="111"/>
      <c r="U4" s="147" t="s">
        <v>78</v>
      </c>
      <c r="V4" s="111"/>
      <c r="W4" s="146" t="s">
        <v>77</v>
      </c>
      <c r="X4" s="146" t="s">
        <v>76</v>
      </c>
      <c r="Y4" s="130"/>
    </row>
    <row r="5" spans="1:28" ht="11.25" customHeight="1" x14ac:dyDescent="0.2">
      <c r="A5" s="135"/>
      <c r="B5" s="145"/>
      <c r="C5" s="144" t="s">
        <v>95</v>
      </c>
      <c r="D5" s="49">
        <v>12</v>
      </c>
      <c r="E5" s="47" t="str">
        <f t="shared" ref="E5:E11" si="0">Currency&amp;$C5&amp;$D5&amp;$B5&amp;QuoteSuffix</f>
        <v>EUR1S12_Quote</v>
      </c>
      <c r="F5" s="47" t="e">
        <f ca="1">_xll.qlSimpleQuote(Currency&amp;$C5&amp;$D5&amp;$B5&amp;QuoteSuffix,,RateTickValue,Permanent,Trigger,ObjectOverwrite)</f>
        <v>#NAME?</v>
      </c>
      <c r="G5" s="46" t="e">
        <f ca="1">_xll.ohRangeRetrieveError(F5)</f>
        <v>#NAME?</v>
      </c>
      <c r="H5" s="36"/>
      <c r="J5" s="135"/>
      <c r="K5" s="141"/>
      <c r="L5" s="141" t="s">
        <v>95</v>
      </c>
      <c r="M5" s="141">
        <v>12</v>
      </c>
      <c r="N5" s="140" t="str">
        <f t="shared" ref="N5:N11" si="1">Currency&amp;$L5&amp;$M5&amp;$K5</f>
        <v>EUR1S12</v>
      </c>
      <c r="O5" s="140" t="str">
        <f t="array" ref="O5:O11">Instruments&amp;"="&amp;VLOOKUP(Contributor,ContributorTable,2,FALSE)</f>
        <v>EUR1S12=ICAP</v>
      </c>
      <c r="P5" s="78">
        <v>-8.4999999999999992E-2</v>
      </c>
      <c r="Q5" s="78">
        <v>-3.4999999999999996E-2</v>
      </c>
      <c r="R5" s="78">
        <f t="shared" ref="R5:R11" si="2">IF(ISERROR(AVERAGE(P5,Q5)),#NUM!,AVERAGE(P5,Q5))</f>
        <v>-0.06</v>
      </c>
      <c r="S5" s="78">
        <f t="shared" ref="S5:S11" si="3">(R5-P5)*2</f>
        <v>4.9999999999999989E-2</v>
      </c>
      <c r="T5" s="115"/>
      <c r="U5" s="139">
        <v>-0.06</v>
      </c>
      <c r="V5" s="115"/>
      <c r="W5" s="78">
        <f t="array" ref="W5:W11">QuoteStatic</f>
        <v>-0.06</v>
      </c>
      <c r="X5" s="138" t="e">
        <f ca="1">_xll.qlSimpleQuoteSetValue(F5,W5/100,Trigger)</f>
        <v>#NAME?</v>
      </c>
      <c r="Y5" s="130"/>
    </row>
    <row r="6" spans="1:28" ht="11.25" customHeight="1" x14ac:dyDescent="0.2">
      <c r="A6" s="135"/>
      <c r="B6" s="143"/>
      <c r="C6" s="142" t="s">
        <v>96</v>
      </c>
      <c r="D6" s="45">
        <v>12</v>
      </c>
      <c r="E6" s="43" t="str">
        <f t="shared" si="0"/>
        <v>EUR2S12_Quote</v>
      </c>
      <c r="F6" s="43" t="e">
        <f ca="1">_xll.qlSimpleQuote(Currency&amp;$C6&amp;$D6&amp;$B6&amp;QuoteSuffix,,RateTickValue,Permanent,Trigger,ObjectOverwrite)</f>
        <v>#NAME?</v>
      </c>
      <c r="G6" s="42" t="e">
        <f ca="1">_xll.ohRangeRetrieveError(F6)</f>
        <v>#NAME?</v>
      </c>
      <c r="H6" s="36"/>
      <c r="J6" s="135"/>
      <c r="K6" s="141"/>
      <c r="L6" s="141" t="s">
        <v>96</v>
      </c>
      <c r="M6" s="141">
        <v>12</v>
      </c>
      <c r="N6" s="140" t="str">
        <f t="shared" si="1"/>
        <v>EUR2S12</v>
      </c>
      <c r="O6" s="140" t="str">
        <v>EUR2S12=ICAP</v>
      </c>
      <c r="P6" s="78">
        <v>-8.4000000000000005E-2</v>
      </c>
      <c r="Q6" s="78">
        <v>-3.3999999999999996E-2</v>
      </c>
      <c r="R6" s="78">
        <f t="shared" si="2"/>
        <v>-5.8999999999999997E-2</v>
      </c>
      <c r="S6" s="78">
        <f t="shared" si="3"/>
        <v>5.0000000000000017E-2</v>
      </c>
      <c r="T6" s="115"/>
      <c r="U6" s="139">
        <v>-5.8999999999999997E-2</v>
      </c>
      <c r="V6" s="115"/>
      <c r="W6" s="78">
        <v>-5.8999999999999997E-2</v>
      </c>
      <c r="X6" s="138" t="e">
        <f ca="1">_xll.qlSimpleQuoteSetValue(F6,W6/100,Trigger)</f>
        <v>#NAME?</v>
      </c>
      <c r="Y6" s="130"/>
    </row>
    <row r="7" spans="1:28" ht="11.25" customHeight="1" x14ac:dyDescent="0.2">
      <c r="A7" s="135"/>
      <c r="B7" s="143"/>
      <c r="C7" s="142" t="s">
        <v>98</v>
      </c>
      <c r="D7" s="45">
        <v>12</v>
      </c>
      <c r="E7" s="43" t="str">
        <f t="shared" si="0"/>
        <v>EUR3S12_Quote</v>
      </c>
      <c r="F7" s="43" t="e">
        <f ca="1">_xll.qlSimpleQuote(Currency&amp;$C7&amp;$D7&amp;$B7&amp;QuoteSuffix,,RateTickValue,Permanent,Trigger,ObjectOverwrite)</f>
        <v>#NAME?</v>
      </c>
      <c r="G7" s="42" t="e">
        <f ca="1">_xll.ohRangeRetrieveError(F7)</f>
        <v>#NAME?</v>
      </c>
      <c r="H7" s="36"/>
      <c r="J7" s="135"/>
      <c r="K7" s="141"/>
      <c r="L7" s="141" t="s">
        <v>98</v>
      </c>
      <c r="M7" s="141">
        <v>12</v>
      </c>
      <c r="N7" s="140" t="str">
        <f t="shared" si="1"/>
        <v>EUR3S12</v>
      </c>
      <c r="O7" s="140" t="str">
        <v>EUR3S12=ICAP</v>
      </c>
      <c r="P7" s="78">
        <v>-7.3999999999999996E-2</v>
      </c>
      <c r="Q7" s="78">
        <v>-2.4E-2</v>
      </c>
      <c r="R7" s="78">
        <f t="shared" si="2"/>
        <v>-4.9000000000000002E-2</v>
      </c>
      <c r="S7" s="78">
        <f t="shared" si="3"/>
        <v>4.9999999999999989E-2</v>
      </c>
      <c r="T7" s="115"/>
      <c r="U7" s="139">
        <v>-4.9000000000000002E-2</v>
      </c>
      <c r="V7" s="115"/>
      <c r="W7" s="78">
        <v>-4.9000000000000002E-2</v>
      </c>
      <c r="X7" s="138" t="e">
        <f ca="1">_xll.qlSimpleQuoteSetValue(F7,W7/100,Trigger)</f>
        <v>#NAME?</v>
      </c>
      <c r="Y7" s="130"/>
    </row>
    <row r="8" spans="1:28" ht="11.25" customHeight="1" x14ac:dyDescent="0.2">
      <c r="A8" s="135"/>
      <c r="B8" s="143"/>
      <c r="C8" s="142" t="s">
        <v>97</v>
      </c>
      <c r="D8" s="45">
        <v>12</v>
      </c>
      <c r="E8" s="43" t="str">
        <f t="shared" si="0"/>
        <v>EUR4S12_Quote</v>
      </c>
      <c r="F8" s="43" t="e">
        <f ca="1">_xll.qlSimpleQuote(Currency&amp;$C8&amp;$D8&amp;$B8&amp;QuoteSuffix,,RateTickValue,Permanent,Trigger,ObjectOverwrite)</f>
        <v>#NAME?</v>
      </c>
      <c r="G8" s="42" t="e">
        <f ca="1">_xll.ohRangeRetrieveError(F8)</f>
        <v>#NAME?</v>
      </c>
      <c r="H8" s="36"/>
      <c r="J8" s="135"/>
      <c r="K8" s="141"/>
      <c r="L8" s="141" t="s">
        <v>97</v>
      </c>
      <c r="M8" s="141">
        <v>12</v>
      </c>
      <c r="N8" s="140" t="str">
        <f t="shared" si="1"/>
        <v>EUR4S12</v>
      </c>
      <c r="O8" s="140" t="str">
        <v>EUR4S12=ICAP</v>
      </c>
      <c r="P8" s="78">
        <v>-5.5000000000000007E-2</v>
      </c>
      <c r="Q8" s="78">
        <v>-5.0000000000000001E-3</v>
      </c>
      <c r="R8" s="78">
        <f t="shared" si="2"/>
        <v>-3.0000000000000002E-2</v>
      </c>
      <c r="S8" s="78">
        <f t="shared" si="3"/>
        <v>5.000000000000001E-2</v>
      </c>
      <c r="T8" s="115"/>
      <c r="U8" s="139">
        <v>-3.0000000000000002E-2</v>
      </c>
      <c r="V8" s="115"/>
      <c r="W8" s="78">
        <v>-3.0000000000000002E-2</v>
      </c>
      <c r="X8" s="138" t="e">
        <f ca="1">_xll.qlSimpleQuoteSetValue(F8,W8/100,Trigger)</f>
        <v>#NAME?</v>
      </c>
      <c r="Y8" s="130"/>
    </row>
    <row r="9" spans="1:28" ht="11.25" customHeight="1" x14ac:dyDescent="0.2">
      <c r="A9" s="135"/>
      <c r="B9" s="143"/>
      <c r="C9" s="142" t="s">
        <v>95</v>
      </c>
      <c r="D9" s="45">
        <v>24</v>
      </c>
      <c r="E9" s="43" t="str">
        <f t="shared" si="0"/>
        <v>EUR1S24_Quote</v>
      </c>
      <c r="F9" s="43" t="e">
        <f ca="1">_xll.qlSimpleQuote(Currency&amp;$C9&amp;$D9&amp;$B9&amp;QuoteSuffix,,RateTickValue,Permanent,Trigger,ObjectOverwrite)</f>
        <v>#NAME?</v>
      </c>
      <c r="G9" s="42" t="e">
        <f ca="1">_xll.ohRangeRetrieveError(F9)</f>
        <v>#NAME?</v>
      </c>
      <c r="H9" s="36"/>
      <c r="J9" s="135"/>
      <c r="K9" s="141"/>
      <c r="L9" s="141" t="s">
        <v>95</v>
      </c>
      <c r="M9" s="141">
        <v>24</v>
      </c>
      <c r="N9" s="140" t="str">
        <f t="shared" si="1"/>
        <v>EUR1S24</v>
      </c>
      <c r="O9" s="140" t="str">
        <v>EUR1S24=ICAP</v>
      </c>
      <c r="P9" s="78">
        <v>-5.5999999999999994E-2</v>
      </c>
      <c r="Q9" s="78">
        <v>-6.0000000000000001E-3</v>
      </c>
      <c r="R9" s="78">
        <f t="shared" si="2"/>
        <v>-3.0999999999999996E-2</v>
      </c>
      <c r="S9" s="78">
        <f t="shared" si="3"/>
        <v>4.9999999999999996E-2</v>
      </c>
      <c r="T9" s="115"/>
      <c r="U9" s="139">
        <v>-3.0999999999999996E-2</v>
      </c>
      <c r="V9" s="115"/>
      <c r="W9" s="78">
        <v>-3.0999999999999996E-2</v>
      </c>
      <c r="X9" s="138" t="e">
        <f ca="1">_xll.qlSimpleQuoteSetValue(F9,W9/100,Trigger)</f>
        <v>#NAME?</v>
      </c>
      <c r="Y9" s="130"/>
    </row>
    <row r="10" spans="1:28" ht="11.25" customHeight="1" x14ac:dyDescent="0.2">
      <c r="A10" s="135"/>
      <c r="B10" s="143"/>
      <c r="C10" s="142" t="s">
        <v>96</v>
      </c>
      <c r="D10" s="45">
        <v>24</v>
      </c>
      <c r="E10" s="43" t="str">
        <f t="shared" si="0"/>
        <v>EUR2S24_Quote</v>
      </c>
      <c r="F10" s="43" t="e">
        <f ca="1">_xll.qlSimpleQuote(Currency&amp;$C10&amp;$D10&amp;$B10&amp;QuoteSuffix,,RateTickValue,Permanent,Trigger,ObjectOverwrite)</f>
        <v>#NAME?</v>
      </c>
      <c r="G10" s="42" t="e">
        <f ca="1">_xll.ohRangeRetrieveError(F10)</f>
        <v>#NAME?</v>
      </c>
      <c r="H10" s="36"/>
      <c r="J10" s="135"/>
      <c r="K10" s="141"/>
      <c r="L10" s="141" t="s">
        <v>96</v>
      </c>
      <c r="M10" s="141">
        <v>24</v>
      </c>
      <c r="N10" s="140" t="str">
        <f t="shared" si="1"/>
        <v>EUR2S24</v>
      </c>
      <c r="O10" s="140" t="str">
        <v>EUR2S24=ICAP</v>
      </c>
      <c r="P10" s="78">
        <v>-3.6999999999999998E-2</v>
      </c>
      <c r="Q10" s="78">
        <v>1.3000000000000001E-2</v>
      </c>
      <c r="R10" s="78">
        <f t="shared" si="2"/>
        <v>-1.1999999999999999E-2</v>
      </c>
      <c r="S10" s="78">
        <f t="shared" si="3"/>
        <v>0.05</v>
      </c>
      <c r="T10" s="115"/>
      <c r="U10" s="139">
        <v>-1.1999999999999999E-2</v>
      </c>
      <c r="V10" s="115"/>
      <c r="W10" s="78">
        <v>-1.1999999999999999E-2</v>
      </c>
      <c r="X10" s="138" t="e">
        <f ca="1">_xll.qlSimpleQuoteSetValue(F10,W10/100,Trigger)</f>
        <v>#NAME?</v>
      </c>
      <c r="Y10" s="130"/>
    </row>
    <row r="11" spans="1:28" ht="11.25" customHeight="1" x14ac:dyDescent="0.2">
      <c r="A11" s="135"/>
      <c r="B11" s="137"/>
      <c r="C11" s="136" t="s">
        <v>95</v>
      </c>
      <c r="D11" s="40">
        <v>36</v>
      </c>
      <c r="E11" s="38" t="str">
        <f t="shared" si="0"/>
        <v>EUR1S36_Quote</v>
      </c>
      <c r="F11" s="38" t="e">
        <f ca="1">_xll.qlSimpleQuote(Currency&amp;$C11&amp;$D11&amp;$B11&amp;QuoteSuffix,,RateTickValue,Permanent,Trigger,ObjectOverwrite)</f>
        <v>#NAME?</v>
      </c>
      <c r="G11" s="37" t="e">
        <f ca="1">_xll.ohRangeRetrieveError(F11)</f>
        <v>#NAME?</v>
      </c>
      <c r="H11" s="36"/>
      <c r="J11" s="135"/>
      <c r="K11" s="134"/>
      <c r="L11" s="134" t="s">
        <v>95</v>
      </c>
      <c r="M11" s="134">
        <v>36</v>
      </c>
      <c r="N11" s="133" t="str">
        <f t="shared" si="1"/>
        <v>EUR1S36</v>
      </c>
      <c r="O11" s="133" t="str">
        <v>EUR1S36=ICAP</v>
      </c>
      <c r="P11" s="65">
        <v>1.9E-2</v>
      </c>
      <c r="Q11" s="65">
        <v>6.9000000000000006E-2</v>
      </c>
      <c r="R11" s="65">
        <f t="shared" si="2"/>
        <v>4.4000000000000004E-2</v>
      </c>
      <c r="S11" s="65">
        <f t="shared" si="3"/>
        <v>5.000000000000001E-2</v>
      </c>
      <c r="T11" s="115"/>
      <c r="U11" s="132">
        <v>4.4000000000000004E-2</v>
      </c>
      <c r="V11" s="115"/>
      <c r="W11" s="65">
        <v>4.4000000000000004E-2</v>
      </c>
      <c r="X11" s="131" t="e">
        <f ca="1">_xll.qlSimpleQuoteSetValue(F11,W11/100,Trigger)</f>
        <v>#NAME?</v>
      </c>
      <c r="Y11" s="130"/>
    </row>
    <row r="12" spans="1:28" ht="11.25" customHeight="1" x14ac:dyDescent="0.2">
      <c r="A12" s="35"/>
      <c r="B12" s="34"/>
      <c r="C12" s="34"/>
      <c r="D12" s="34"/>
      <c r="E12" s="34"/>
      <c r="F12" s="33"/>
      <c r="G12" s="33"/>
      <c r="H12" s="32"/>
      <c r="J12" s="35"/>
      <c r="K12" s="34"/>
      <c r="L12" s="34"/>
      <c r="M12" s="34"/>
      <c r="N12" s="34"/>
      <c r="O12" s="34"/>
      <c r="P12" s="34"/>
      <c r="Q12" s="34"/>
      <c r="R12" s="34"/>
      <c r="S12" s="34"/>
      <c r="T12" s="34"/>
      <c r="U12" s="34"/>
      <c r="V12" s="34"/>
      <c r="W12" s="34"/>
      <c r="X12" s="34"/>
      <c r="Y12" s="129"/>
    </row>
  </sheetData>
  <conditionalFormatting sqref="X5:X9">
    <cfRule type="cellIs" dxfId="5" priority="3" stopIfTrue="1" operator="greaterThan">
      <formula>0</formula>
    </cfRule>
    <cfRule type="cellIs" dxfId="4" priority="4" stopIfTrue="1" operator="lessThan">
      <formula>0</formula>
    </cfRule>
  </conditionalFormatting>
  <conditionalFormatting sqref="X10:X11">
    <cfRule type="cellIs" dxfId="3" priority="1" stopIfTrue="1" operator="greaterThan">
      <formula>0</formula>
    </cfRule>
    <cfRule type="cellIs" dxfId="2"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E9"/>
  <sheetViews>
    <sheetView topLeftCell="J1" workbookViewId="0">
      <selection activeCell="AE2" sqref="AE2:AE3"/>
    </sheetView>
  </sheetViews>
  <sheetFormatPr defaultRowHeight="11.25" outlineLevelCol="1" x14ac:dyDescent="0.2"/>
  <cols>
    <col min="1" max="1" width="2.7109375" style="30" hidden="1" customWidth="1" outlineLevel="1"/>
    <col min="2" max="2" width="3.5703125" style="30" hidden="1" customWidth="1" outlineLevel="1"/>
    <col min="3" max="4" width="7.28515625" style="30" hidden="1" customWidth="1" outlineLevel="1"/>
    <col min="5" max="5" width="21.42578125" style="30" hidden="1" customWidth="1" outlineLevel="1"/>
    <col min="6" max="7" width="25.7109375" style="30" hidden="1" customWidth="1" outlineLevel="1"/>
    <col min="8" max="8" width="2.7109375" style="30" hidden="1" customWidth="1" outlineLevel="1"/>
    <col min="9" max="9" width="2.7109375" style="30" customWidth="1" collapsed="1"/>
    <col min="10" max="10" width="2.7109375" style="30" customWidth="1"/>
    <col min="11" max="11" width="4" style="30" customWidth="1"/>
    <col min="12" max="13" width="9.140625" style="30"/>
    <col min="14" max="14" width="17.28515625" style="30" bestFit="1" customWidth="1"/>
    <col min="15" max="15" width="17.5703125" style="30" customWidth="1"/>
    <col min="16" max="22" width="10.7109375" style="30" customWidth="1"/>
    <col min="23" max="23" width="2.7109375" style="30" customWidth="1"/>
    <col min="24" max="24" width="10.7109375" style="30" customWidth="1"/>
    <col min="25" max="25" width="2.7109375" style="30" customWidth="1"/>
    <col min="26" max="27" width="10.7109375" style="30" customWidth="1"/>
    <col min="28" max="29" width="2.7109375" style="30" customWidth="1"/>
    <col min="30" max="16384" width="9.140625" style="30"/>
  </cols>
  <sheetData>
    <row r="1" spans="1:31" ht="12" thickBot="1" x14ac:dyDescent="0.25">
      <c r="A1" s="128"/>
      <c r="B1" s="54"/>
      <c r="C1" s="54"/>
      <c r="D1" s="54"/>
      <c r="E1" s="54"/>
      <c r="F1" s="54"/>
      <c r="G1" s="54"/>
      <c r="H1" s="53"/>
      <c r="J1" s="127" t="s">
        <v>94</v>
      </c>
      <c r="K1" s="123"/>
      <c r="L1" s="126"/>
      <c r="M1" s="126"/>
      <c r="N1" s="125"/>
      <c r="O1" s="54"/>
      <c r="P1" s="123"/>
      <c r="Q1" s="123"/>
      <c r="R1" s="123"/>
      <c r="S1" s="123"/>
      <c r="T1" s="123"/>
      <c r="U1" s="123"/>
      <c r="V1" s="123"/>
      <c r="W1" s="124"/>
      <c r="X1" s="124"/>
      <c r="Y1" s="123"/>
      <c r="Z1" s="124"/>
      <c r="AA1" s="123"/>
      <c r="AB1" s="122"/>
    </row>
    <row r="2" spans="1:31" ht="15" x14ac:dyDescent="0.25">
      <c r="A2" s="121"/>
      <c r="B2" s="109"/>
      <c r="C2" s="109"/>
      <c r="D2" s="109"/>
      <c r="E2" s="109"/>
      <c r="F2" s="109"/>
      <c r="G2" s="109"/>
      <c r="H2" s="120"/>
      <c r="J2" s="113"/>
      <c r="K2" s="110"/>
      <c r="L2" s="110"/>
      <c r="M2" s="110"/>
      <c r="N2" s="110"/>
      <c r="O2" s="119" t="str">
        <f>VLOOKUP(J1,AreaTable,2,FALSE)</f>
        <v>ICAP</v>
      </c>
      <c r="P2" s="110"/>
      <c r="Q2" s="110"/>
      <c r="R2" s="110"/>
      <c r="S2" s="110"/>
      <c r="T2" s="110"/>
      <c r="U2" s="110"/>
      <c r="V2" s="110"/>
      <c r="W2" s="111"/>
      <c r="X2" s="111"/>
      <c r="Y2" s="110"/>
      <c r="Z2" s="110"/>
      <c r="AA2" s="118" t="e">
        <f ca="1">_xll.ohTrigger(AA5:AA8)</f>
        <v>#NAME?</v>
      </c>
      <c r="AB2" s="108"/>
      <c r="AD2" s="1361" t="s">
        <v>529</v>
      </c>
      <c r="AE2" s="1364" t="e">
        <f ca="1">_xll.ohTrigger('General Settings'!Trigger)</f>
        <v>#NAME?</v>
      </c>
    </row>
    <row r="3" spans="1:31" ht="15.75" thickBot="1" x14ac:dyDescent="0.3">
      <c r="A3" s="117"/>
      <c r="B3" s="116"/>
      <c r="C3" s="116"/>
      <c r="D3" s="115" t="s">
        <v>93</v>
      </c>
      <c r="E3" s="115" t="s">
        <v>92</v>
      </c>
      <c r="F3" s="109"/>
      <c r="G3" s="109"/>
      <c r="H3" s="114"/>
      <c r="J3" s="113"/>
      <c r="K3" s="110"/>
      <c r="L3" s="110"/>
      <c r="M3" s="110"/>
      <c r="N3" s="112" t="e">
        <f ca="1">_xll.qlCalendarEndOfMonth(Calendar,_xll.qlCalendarAdvance(Calendar,EvaluationDate,"2d"))</f>
        <v>#NAME?</v>
      </c>
      <c r="O3" s="110"/>
      <c r="P3" s="110"/>
      <c r="Q3" s="110"/>
      <c r="R3" s="110"/>
      <c r="S3" s="110"/>
      <c r="T3" s="110"/>
      <c r="U3" s="110"/>
      <c r="V3" s="110"/>
      <c r="W3" s="111"/>
      <c r="X3" s="111"/>
      <c r="Y3" s="110"/>
      <c r="Z3" s="110"/>
      <c r="AA3" s="109"/>
      <c r="AB3" s="108"/>
      <c r="AD3" s="1362" t="s">
        <v>530</v>
      </c>
      <c r="AE3" s="1365" t="e">
        <f ca="1">_xll.ohTrigger(AA5:AA8)</f>
        <v>#NAME?</v>
      </c>
    </row>
    <row r="4" spans="1:31" s="99" customFormat="1" ht="21" customHeight="1" x14ac:dyDescent="0.25">
      <c r="A4" s="106"/>
      <c r="B4" s="52" t="s">
        <v>89</v>
      </c>
      <c r="C4" s="107" t="s">
        <v>88</v>
      </c>
      <c r="D4" s="107" t="s">
        <v>87</v>
      </c>
      <c r="E4" s="52" t="s">
        <v>91</v>
      </c>
      <c r="F4" s="52" t="s">
        <v>90</v>
      </c>
      <c r="G4" s="52" t="s">
        <v>59</v>
      </c>
      <c r="H4" s="100"/>
      <c r="J4" s="106"/>
      <c r="K4" s="101" t="s">
        <v>89</v>
      </c>
      <c r="L4" s="101" t="s">
        <v>88</v>
      </c>
      <c r="M4" s="101" t="s">
        <v>87</v>
      </c>
      <c r="N4" s="101" t="s">
        <v>86</v>
      </c>
      <c r="O4" s="105" t="e">
        <f ca="1">_xll.RData(O5:O8,P4:T4,,ReutersRtMode,,P5)</f>
        <v>#NAME?</v>
      </c>
      <c r="P4" s="101" t="s">
        <v>85</v>
      </c>
      <c r="Q4" s="101" t="s">
        <v>84</v>
      </c>
      <c r="R4" s="101" t="s">
        <v>83</v>
      </c>
      <c r="S4" s="101" t="s">
        <v>82</v>
      </c>
      <c r="T4" s="101" t="s">
        <v>81</v>
      </c>
      <c r="U4" s="104" t="s">
        <v>80</v>
      </c>
      <c r="V4" s="103" t="s">
        <v>79</v>
      </c>
      <c r="W4" s="102"/>
      <c r="X4" s="101" t="s">
        <v>78</v>
      </c>
      <c r="Y4" s="102"/>
      <c r="Z4" s="101" t="s">
        <v>77</v>
      </c>
      <c r="AA4" s="101" t="s">
        <v>76</v>
      </c>
      <c r="AB4" s="100"/>
    </row>
    <row r="5" spans="1:31" x14ac:dyDescent="0.2">
      <c r="A5" s="71"/>
      <c r="B5" s="97">
        <v>1</v>
      </c>
      <c r="C5" s="98" t="b">
        <v>0</v>
      </c>
      <c r="D5" s="97" t="e">
        <f t="array" aca="1" ref="D5:D8" ca="1">_xll.qlIMMNextCodes(_xll.qlSettingsEvaluationDate(Trigger)-1,C5:C8)</f>
        <v>#NAME?</v>
      </c>
      <c r="E5" s="96" t="e">
        <f ca="1">Currency&amp;$D$3&amp;$E$3&amp;$D5&amp;QuoteSuffix</f>
        <v>#NAME?</v>
      </c>
      <c r="F5" s="95" t="e">
        <f ca="1">_xll.qlSimpleQuote(E5,,PriceTickValue,Permanent,Trigger,ObjectOverwrite)</f>
        <v>#NAME?</v>
      </c>
      <c r="G5" s="94" t="e">
        <f ca="1">_xll.ohRangeRetrieveError(F5)</f>
        <v>#NAME?</v>
      </c>
      <c r="H5" s="36"/>
      <c r="J5" s="71"/>
      <c r="K5" s="93">
        <v>1</v>
      </c>
      <c r="L5" s="93" t="b">
        <v>0</v>
      </c>
      <c r="M5" s="88" t="e">
        <f t="array" aca="1" ref="M5:M8" ca="1">_xll.qlIMMcode(FuturesDates)</f>
        <v>#NAME?</v>
      </c>
      <c r="N5" s="92" t="e">
        <f t="array" aca="1" ref="N5:N8" ca="1">_xll.qlIMMNextDates(N3,$L5:$L8)</f>
        <v>#NAME?</v>
      </c>
      <c r="O5" s="88" t="str">
        <f t="array" ref="O5:O8">Currency&amp;"6F"&amp;K5:K8&amp;"="&amp;VLOOKUP(Contributor,ContributorTable,2,FALSE)</f>
        <v>EUR6F1=ICAP</v>
      </c>
      <c r="P5" s="91" t="s">
        <v>75</v>
      </c>
      <c r="Q5" s="89">
        <v>-1E-3</v>
      </c>
      <c r="R5" s="89">
        <v>4.9000000000000002E-2</v>
      </c>
      <c r="S5" s="89">
        <v>0</v>
      </c>
      <c r="T5" s="89">
        <v>0</v>
      </c>
      <c r="U5" s="89" t="e">
        <f ca="1">100-_xll.qlMidSafe($Q5,$R5)</f>
        <v>#NAME?</v>
      </c>
      <c r="V5" s="78">
        <f>R5-Q5</f>
        <v>0.05</v>
      </c>
      <c r="W5" s="66"/>
      <c r="X5" s="90">
        <v>99.941999999999993</v>
      </c>
      <c r="Y5" s="66"/>
      <c r="Z5" s="89">
        <f t="array" ref="Z5:Z8">QuoteStatic</f>
        <v>99.941999999999993</v>
      </c>
      <c r="AA5" s="88" t="e">
        <f ca="1">_xll.qlSimpleQuoteSetValue(F5,Z5,Trigger)</f>
        <v>#NAME?</v>
      </c>
      <c r="AB5" s="36"/>
    </row>
    <row r="6" spans="1:31" x14ac:dyDescent="0.2">
      <c r="A6" s="71"/>
      <c r="B6" s="86">
        <v>2</v>
      </c>
      <c r="C6" s="87" t="b">
        <v>0</v>
      </c>
      <c r="D6" s="86" t="e">
        <f ca="1"/>
        <v>#NAME?</v>
      </c>
      <c r="E6" s="85" t="e">
        <f ca="1">Currency&amp;$D$3&amp;$E$3&amp;$D6&amp;QuoteSuffix</f>
        <v>#NAME?</v>
      </c>
      <c r="F6" s="84" t="e">
        <f ca="1">_xll.qlSimpleQuote(E6,,PriceTickValue,Permanent,Trigger,ObjectOverwrite)</f>
        <v>#NAME?</v>
      </c>
      <c r="G6" s="83" t="e">
        <f ca="1">_xll.ohRangeRetrieveError(F6)</f>
        <v>#NAME?</v>
      </c>
      <c r="H6" s="36"/>
      <c r="J6" s="71"/>
      <c r="K6" s="82">
        <v>2</v>
      </c>
      <c r="L6" s="82" t="b">
        <v>0</v>
      </c>
      <c r="M6" s="77" t="e">
        <f ca="1"/>
        <v>#NAME?</v>
      </c>
      <c r="N6" s="81" t="e">
        <f ca="1"/>
        <v>#NAME?</v>
      </c>
      <c r="O6" s="77" t="str">
        <v>EUR6F2=ICAP</v>
      </c>
      <c r="P6" s="80" t="s">
        <v>75</v>
      </c>
      <c r="Q6" s="78">
        <v>-2E-3</v>
      </c>
      <c r="R6" s="78">
        <v>4.8000000000000001E-2</v>
      </c>
      <c r="S6" s="78">
        <v>0</v>
      </c>
      <c r="T6" s="78">
        <v>0</v>
      </c>
      <c r="U6" s="78" t="e">
        <f ca="1">100-_xll.qlMidSafe($Q6,$R6)</f>
        <v>#NAME?</v>
      </c>
      <c r="V6" s="78">
        <f>R6-Q6</f>
        <v>0.05</v>
      </c>
      <c r="W6" s="66"/>
      <c r="X6" s="79">
        <v>99.936000000000007</v>
      </c>
      <c r="Y6" s="66"/>
      <c r="Z6" s="78">
        <v>99.936000000000007</v>
      </c>
      <c r="AA6" s="77" t="e">
        <f ca="1">_xll.qlSimpleQuoteSetValue(F6,Z6,Trigger)</f>
        <v>#NAME?</v>
      </c>
      <c r="AB6" s="36"/>
    </row>
    <row r="7" spans="1:31" x14ac:dyDescent="0.2">
      <c r="A7" s="71"/>
      <c r="B7" s="86">
        <v>3</v>
      </c>
      <c r="C7" s="87" t="b">
        <v>0</v>
      </c>
      <c r="D7" s="86" t="e">
        <f ca="1"/>
        <v>#NAME?</v>
      </c>
      <c r="E7" s="85" t="e">
        <f ca="1">Currency&amp;$D$3&amp;$E$3&amp;$D7&amp;QuoteSuffix</f>
        <v>#NAME?</v>
      </c>
      <c r="F7" s="84" t="e">
        <f ca="1">_xll.qlSimpleQuote(E7,,PriceTickValue,Permanent,Trigger,ObjectOverwrite)</f>
        <v>#NAME?</v>
      </c>
      <c r="G7" s="83" t="e">
        <f ca="1">_xll.ohRangeRetrieveError(F7)</f>
        <v>#NAME?</v>
      </c>
      <c r="H7" s="36"/>
      <c r="J7" s="71"/>
      <c r="K7" s="82">
        <v>3</v>
      </c>
      <c r="L7" s="82" t="b">
        <v>0</v>
      </c>
      <c r="M7" s="77" t="e">
        <f ca="1"/>
        <v>#NAME?</v>
      </c>
      <c r="N7" s="81" t="e">
        <f ca="1"/>
        <v>#NAME?</v>
      </c>
      <c r="O7" s="77" t="str">
        <v>EUR6F3=ICAP</v>
      </c>
      <c r="P7" s="80" t="s">
        <v>75</v>
      </c>
      <c r="Q7" s="78">
        <v>-4.0000000000000001E-3</v>
      </c>
      <c r="R7" s="78">
        <v>4.5999999999999999E-2</v>
      </c>
      <c r="S7" s="78">
        <v>0</v>
      </c>
      <c r="T7" s="78">
        <v>0</v>
      </c>
      <c r="U7" s="78" t="e">
        <f ca="1">100-_xll.qlMidSafe($Q7,$R7)</f>
        <v>#NAME?</v>
      </c>
      <c r="V7" s="78">
        <f>R7-Q7</f>
        <v>0.05</v>
      </c>
      <c r="W7" s="66"/>
      <c r="X7" s="79">
        <v>99.932000000000002</v>
      </c>
      <c r="Y7" s="66"/>
      <c r="Z7" s="78">
        <v>99.932000000000002</v>
      </c>
      <c r="AA7" s="77" t="e">
        <f ca="1">_xll.qlSimpleQuoteSetValue(F7,Z7,Trigger)</f>
        <v>#NAME?</v>
      </c>
      <c r="AB7" s="36"/>
    </row>
    <row r="8" spans="1:31" x14ac:dyDescent="0.2">
      <c r="A8" s="71"/>
      <c r="B8" s="75">
        <v>4</v>
      </c>
      <c r="C8" s="76" t="b">
        <v>0</v>
      </c>
      <c r="D8" s="75" t="e">
        <f ca="1"/>
        <v>#NAME?</v>
      </c>
      <c r="E8" s="74" t="e">
        <f ca="1">Currency&amp;$D$3&amp;$E$3&amp;$D8&amp;QuoteSuffix</f>
        <v>#NAME?</v>
      </c>
      <c r="F8" s="73" t="e">
        <f ca="1">_xll.qlSimpleQuote(E8,,PriceTickValue,Permanent,Trigger,ObjectOverwrite)</f>
        <v>#NAME?</v>
      </c>
      <c r="G8" s="72" t="e">
        <f ca="1">_xll.ohRangeRetrieveError(F8)</f>
        <v>#NAME?</v>
      </c>
      <c r="H8" s="36"/>
      <c r="J8" s="71"/>
      <c r="K8" s="70">
        <v>4</v>
      </c>
      <c r="L8" s="70" t="b">
        <v>0</v>
      </c>
      <c r="M8" s="64" t="e">
        <f ca="1"/>
        <v>#NAME?</v>
      </c>
      <c r="N8" s="69" t="e">
        <f ca="1"/>
        <v>#NAME?</v>
      </c>
      <c r="O8" s="64" t="str">
        <v>EUR6F4=ICAP</v>
      </c>
      <c r="P8" s="68" t="s">
        <v>75</v>
      </c>
      <c r="Q8" s="65">
        <v>-4.0000000000000001E-3</v>
      </c>
      <c r="R8" s="65">
        <v>4.5999999999999999E-2</v>
      </c>
      <c r="S8" s="65">
        <v>0</v>
      </c>
      <c r="T8" s="65">
        <v>0</v>
      </c>
      <c r="U8" s="65" t="e">
        <f ca="1">100-_xll.qlMidSafe($Q8,$R8)</f>
        <v>#NAME?</v>
      </c>
      <c r="V8" s="65">
        <f>R8-Q8</f>
        <v>0.05</v>
      </c>
      <c r="W8" s="66"/>
      <c r="X8" s="67">
        <v>99.924999999999997</v>
      </c>
      <c r="Y8" s="66"/>
      <c r="Z8" s="65">
        <v>99.924999999999997</v>
      </c>
      <c r="AA8" s="64" t="e">
        <f ca="1">_xll.qlSimpleQuoteSetValue(F8,Z8,Trigger)</f>
        <v>#NAME?</v>
      </c>
      <c r="AB8" s="36"/>
    </row>
    <row r="9" spans="1:31" x14ac:dyDescent="0.2">
      <c r="A9" s="63"/>
      <c r="B9" s="34"/>
      <c r="C9" s="34"/>
      <c r="D9" s="34"/>
      <c r="E9" s="34"/>
      <c r="F9" s="34"/>
      <c r="G9" s="34"/>
      <c r="H9" s="32"/>
      <c r="J9" s="63"/>
      <c r="K9" s="34"/>
      <c r="L9" s="34"/>
      <c r="M9" s="34"/>
      <c r="N9" s="34"/>
      <c r="O9" s="34"/>
      <c r="P9" s="34"/>
      <c r="Q9" s="34"/>
      <c r="R9" s="34"/>
      <c r="S9" s="34"/>
      <c r="T9" s="34"/>
      <c r="U9" s="34"/>
      <c r="V9" s="34"/>
      <c r="W9" s="34"/>
      <c r="X9" s="34"/>
      <c r="Y9" s="34"/>
      <c r="Z9" s="34"/>
      <c r="AA9" s="34"/>
      <c r="AB9" s="32"/>
    </row>
  </sheetData>
  <conditionalFormatting sqref="AA5:AA8">
    <cfRule type="cellIs" dxfId="1" priority="1" stopIfTrue="1" operator="greaterThan">
      <formula>0</formula>
    </cfRule>
    <cfRule type="cellIs" dxfId="0" priority="2" stopIfTrue="1" operator="lessThan">
      <formula>0</formula>
    </cfRule>
  </conditionalFormatting>
  <dataValidations count="1">
    <dataValidation showInputMessage="1" showErrorMessage="1" sqref="O2"/>
  </dataValidations>
  <pageMargins left="0.75" right="0.75" top="1" bottom="1" header="0.5" footer="0.5"/>
  <pageSetup paperSize="9" orientation="portrait"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9" width="28.7109375" style="30" customWidth="1"/>
    <col min="10" max="10" width="25.7109375" style="31" customWidth="1"/>
    <col min="11" max="11" width="2.7109375" style="30" customWidth="1"/>
    <col min="12" max="16384" width="9.140625" style="30"/>
  </cols>
  <sheetData>
    <row r="1" spans="1:14" ht="11.25" customHeight="1" x14ac:dyDescent="0.2">
      <c r="A1" s="56"/>
      <c r="B1" s="54"/>
      <c r="C1" s="54"/>
      <c r="D1" s="54"/>
      <c r="E1" s="54"/>
      <c r="F1" s="54"/>
      <c r="G1" s="54"/>
      <c r="H1" s="54"/>
      <c r="I1" s="54"/>
      <c r="J1" s="55"/>
      <c r="K1" s="53"/>
    </row>
    <row r="2" spans="1:14" ht="21" customHeight="1" thickBot="1" x14ac:dyDescent="0.25">
      <c r="A2" s="41"/>
      <c r="B2" s="52" t="s">
        <v>65</v>
      </c>
      <c r="C2" s="52"/>
      <c r="D2" s="52"/>
      <c r="E2" s="52" t="s">
        <v>64</v>
      </c>
      <c r="F2" s="52" t="s">
        <v>63</v>
      </c>
      <c r="G2" s="52" t="s">
        <v>62</v>
      </c>
      <c r="H2" s="52" t="s">
        <v>74</v>
      </c>
      <c r="I2" s="51" t="s">
        <v>60</v>
      </c>
      <c r="J2" s="51" t="s">
        <v>59</v>
      </c>
      <c r="K2" s="36"/>
    </row>
    <row r="3" spans="1:14" ht="11.25" customHeight="1" x14ac:dyDescent="0.25">
      <c r="A3" s="41"/>
      <c r="B3" s="49" t="s">
        <v>58</v>
      </c>
      <c r="C3" s="49" t="s">
        <v>73</v>
      </c>
      <c r="D3" s="49" t="s">
        <v>69</v>
      </c>
      <c r="E3" s="48" t="e">
        <f ca="1">Swap3M!F5</f>
        <v>#NAME?</v>
      </c>
      <c r="F3" s="49" t="s">
        <v>68</v>
      </c>
      <c r="G3" s="48" t="e">
        <f ca="1">BasisSwapEON3M!F5</f>
        <v>#NAME?</v>
      </c>
      <c r="H3" s="59" t="str">
        <f t="shared" ref="H3:H39" si="0">Currency&amp;$C3&amp;$D3&amp;$B3&amp;QuoteSuffix</f>
        <v>EUR1EON3E1Y_Quote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73</v>
      </c>
      <c r="D4" s="45" t="s">
        <v>69</v>
      </c>
      <c r="E4" s="44" t="e">
        <f ca="1">Swap3M!F6</f>
        <v>#NAME?</v>
      </c>
      <c r="F4" s="45" t="s">
        <v>68</v>
      </c>
      <c r="G4" s="44" t="e">
        <f ca="1">BasisSwapEON3M!F6</f>
        <v>#NAME?</v>
      </c>
      <c r="H4" s="58" t="str">
        <f t="shared" si="0"/>
        <v>EUR1EON3E15M_Quote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73</v>
      </c>
      <c r="D5" s="45" t="s">
        <v>69</v>
      </c>
      <c r="E5" s="44" t="e">
        <f ca="1">Swap3M!F7</f>
        <v>#NAME?</v>
      </c>
      <c r="F5" s="45" t="s">
        <v>68</v>
      </c>
      <c r="G5" s="44" t="e">
        <f ca="1">BasisSwapEON3M!F7</f>
        <v>#NAME?</v>
      </c>
      <c r="H5" s="58" t="str">
        <f t="shared" si="0"/>
        <v>EUR1EON3E18M_Quote</v>
      </c>
      <c r="I5" s="43" t="e">
        <f ca="1">_xll.qlCompositeQuote(H5,E5,G5,F5,Permanent,Trigger,ObjectOverwrite)</f>
        <v>#NAME?</v>
      </c>
      <c r="J5" s="42" t="e">
        <f ca="1">_xll.ohRangeRetrieveError(I5)</f>
        <v>#NAME?</v>
      </c>
      <c r="K5" s="36"/>
    </row>
    <row r="6" spans="1:14" ht="11.25" customHeight="1" x14ac:dyDescent="0.2">
      <c r="A6" s="41"/>
      <c r="B6" s="45" t="s">
        <v>55</v>
      </c>
      <c r="C6" s="45" t="s">
        <v>73</v>
      </c>
      <c r="D6" s="45" t="s">
        <v>69</v>
      </c>
      <c r="E6" s="44" t="e">
        <f ca="1">Swap3M!F8</f>
        <v>#NAME?</v>
      </c>
      <c r="F6" s="45" t="s">
        <v>68</v>
      </c>
      <c r="G6" s="44" t="e">
        <f ca="1">BasisSwapEON3M!F8</f>
        <v>#NAME?</v>
      </c>
      <c r="H6" s="58" t="str">
        <f t="shared" si="0"/>
        <v>EUR1EON3E21M_Quote</v>
      </c>
      <c r="I6" s="43" t="e">
        <f ca="1">_xll.qlCompositeQuote(H6,E6,G6,F6,Permanent,Trigger,ObjectOverwrite)</f>
        <v>#NAME?</v>
      </c>
      <c r="J6" s="42" t="e">
        <f ca="1">_xll.ohRangeRetrieveError(I6)</f>
        <v>#NAME?</v>
      </c>
      <c r="K6" s="36"/>
    </row>
    <row r="7" spans="1:14" ht="11.25" customHeight="1" x14ac:dyDescent="0.2">
      <c r="A7" s="41"/>
      <c r="B7" s="45" t="s">
        <v>54</v>
      </c>
      <c r="C7" s="45" t="s">
        <v>73</v>
      </c>
      <c r="D7" s="45" t="s">
        <v>69</v>
      </c>
      <c r="E7" s="44" t="e">
        <f ca="1">Swap3M!F9</f>
        <v>#NAME?</v>
      </c>
      <c r="F7" s="45" t="s">
        <v>68</v>
      </c>
      <c r="G7" s="44" t="e">
        <f ca="1">BasisSwapEON3M!F9</f>
        <v>#NAME?</v>
      </c>
      <c r="H7" s="58" t="str">
        <f t="shared" si="0"/>
        <v>EUR1EON3E2Y_Quote</v>
      </c>
      <c r="I7" s="43" t="e">
        <f ca="1">_xll.qlCompositeQuote(H7,E7,G7,F7,Permanent,Trigger,ObjectOverwrite)</f>
        <v>#NAME?</v>
      </c>
      <c r="J7" s="42" t="e">
        <f ca="1">_xll.ohRangeRetrieveError(I7)</f>
        <v>#NAME?</v>
      </c>
      <c r="K7" s="36"/>
    </row>
    <row r="8" spans="1:14" ht="11.25" customHeight="1" x14ac:dyDescent="0.2">
      <c r="A8" s="41"/>
      <c r="B8" s="45" t="s">
        <v>53</v>
      </c>
      <c r="C8" s="45" t="s">
        <v>73</v>
      </c>
      <c r="D8" s="45" t="s">
        <v>69</v>
      </c>
      <c r="E8" s="44" t="e">
        <f ca="1">Swap3M!F10</f>
        <v>#NAME?</v>
      </c>
      <c r="F8" s="45" t="s">
        <v>68</v>
      </c>
      <c r="G8" s="44" t="e">
        <f ca="1">BasisSwapEON3M!F10</f>
        <v>#NAME?</v>
      </c>
      <c r="H8" s="58" t="str">
        <f t="shared" si="0"/>
        <v>EUR1EON3E3Y_Quote</v>
      </c>
      <c r="I8" s="43" t="e">
        <f ca="1">_xll.qlCompositeQuote(H8,E8,G8,F8,Permanent,Trigger,ObjectOverwrite)</f>
        <v>#NAME?</v>
      </c>
      <c r="J8" s="42" t="e">
        <f ca="1">_xll.ohRangeRetrieveError(I8)</f>
        <v>#NAME?</v>
      </c>
      <c r="K8" s="36"/>
    </row>
    <row r="9" spans="1:14" ht="11.25" customHeight="1" x14ac:dyDescent="0.2">
      <c r="A9" s="41"/>
      <c r="B9" s="45" t="s">
        <v>52</v>
      </c>
      <c r="C9" s="45" t="s">
        <v>73</v>
      </c>
      <c r="D9" s="45" t="s">
        <v>69</v>
      </c>
      <c r="E9" s="44" t="e">
        <f ca="1">Swap3M!F11</f>
        <v>#NAME?</v>
      </c>
      <c r="F9" s="45" t="s">
        <v>68</v>
      </c>
      <c r="G9" s="44" t="e">
        <f ca="1">BasisSwapEON3M!F11</f>
        <v>#NAME?</v>
      </c>
      <c r="H9" s="58" t="str">
        <f t="shared" si="0"/>
        <v>EUR1EON3E4Y_Quote</v>
      </c>
      <c r="I9" s="43" t="e">
        <f ca="1">_xll.qlCompositeQuote(H9,E9,G9,F9,Permanent,Trigger,ObjectOverwrite)</f>
        <v>#NAME?</v>
      </c>
      <c r="J9" s="42" t="e">
        <f ca="1">_xll.ohRangeRetrieveError(I9)</f>
        <v>#NAME?</v>
      </c>
      <c r="K9" s="36"/>
    </row>
    <row r="10" spans="1:14" ht="11.25" customHeight="1" x14ac:dyDescent="0.2">
      <c r="A10" s="41"/>
      <c r="B10" s="45" t="s">
        <v>51</v>
      </c>
      <c r="C10" s="45" t="s">
        <v>73</v>
      </c>
      <c r="D10" s="45" t="s">
        <v>69</v>
      </c>
      <c r="E10" s="44" t="e">
        <f ca="1">Swap3M!F12</f>
        <v>#NAME?</v>
      </c>
      <c r="F10" s="45" t="s">
        <v>68</v>
      </c>
      <c r="G10" s="44" t="e">
        <f ca="1">BasisSwapEON3M!F12</f>
        <v>#NAME?</v>
      </c>
      <c r="H10" s="58" t="str">
        <f t="shared" si="0"/>
        <v>EUR1EON3E5Y_Quote</v>
      </c>
      <c r="I10" s="43" t="e">
        <f ca="1">_xll.qlCompositeQuote(H10,E10,G10,F10,Permanent,Trigger,ObjectOverwrite)</f>
        <v>#NAME?</v>
      </c>
      <c r="J10" s="42" t="e">
        <f ca="1">_xll.ohRangeRetrieveError(I10)</f>
        <v>#NAME?</v>
      </c>
      <c r="K10" s="36"/>
    </row>
    <row r="11" spans="1:14" ht="11.25" customHeight="1" x14ac:dyDescent="0.2">
      <c r="A11" s="41"/>
      <c r="B11" s="45" t="s">
        <v>50</v>
      </c>
      <c r="C11" s="45" t="s">
        <v>73</v>
      </c>
      <c r="D11" s="45" t="s">
        <v>69</v>
      </c>
      <c r="E11" s="44" t="e">
        <f ca="1">Swap3M!F13</f>
        <v>#NAME?</v>
      </c>
      <c r="F11" s="45" t="s">
        <v>68</v>
      </c>
      <c r="G11" s="44" t="e">
        <f ca="1">BasisSwapEON3M!F13</f>
        <v>#NAME?</v>
      </c>
      <c r="H11" s="58" t="str">
        <f t="shared" si="0"/>
        <v>EUR1EON3E6Y_Quote</v>
      </c>
      <c r="I11" s="43" t="e">
        <f ca="1">_xll.qlCompositeQuote(H11,E11,G11,F11,Permanent,Trigger,ObjectOverwrite)</f>
        <v>#NAME?</v>
      </c>
      <c r="J11" s="42" t="e">
        <f ca="1">_xll.ohRangeRetrieveError(I11)</f>
        <v>#NAME?</v>
      </c>
      <c r="K11" s="36"/>
    </row>
    <row r="12" spans="1:14" ht="11.25" customHeight="1" x14ac:dyDescent="0.2">
      <c r="A12" s="41"/>
      <c r="B12" s="45" t="s">
        <v>49</v>
      </c>
      <c r="C12" s="45" t="s">
        <v>73</v>
      </c>
      <c r="D12" s="45" t="s">
        <v>69</v>
      </c>
      <c r="E12" s="44" t="e">
        <f ca="1">Swap3M!F14</f>
        <v>#NAME?</v>
      </c>
      <c r="F12" s="45" t="s">
        <v>68</v>
      </c>
      <c r="G12" s="44" t="e">
        <f ca="1">BasisSwapEON3M!F14</f>
        <v>#NAME?</v>
      </c>
      <c r="H12" s="58" t="str">
        <f t="shared" si="0"/>
        <v>EUR1EON3E7Y_Quote</v>
      </c>
      <c r="I12" s="43" t="e">
        <f ca="1">_xll.qlCompositeQuote(H12,E12,G12,F12,Permanent,Trigger,ObjectOverwrite)</f>
        <v>#NAME?</v>
      </c>
      <c r="J12" s="42" t="e">
        <f ca="1">_xll.ohRangeRetrieveError(I12)</f>
        <v>#NAME?</v>
      </c>
      <c r="K12" s="36"/>
    </row>
    <row r="13" spans="1:14" ht="11.25" customHeight="1" x14ac:dyDescent="0.2">
      <c r="A13" s="41"/>
      <c r="B13" s="45" t="s">
        <v>48</v>
      </c>
      <c r="C13" s="45" t="s">
        <v>73</v>
      </c>
      <c r="D13" s="45" t="s">
        <v>69</v>
      </c>
      <c r="E13" s="44" t="e">
        <f ca="1">Swap3M!F15</f>
        <v>#NAME?</v>
      </c>
      <c r="F13" s="45" t="s">
        <v>68</v>
      </c>
      <c r="G13" s="44" t="e">
        <f ca="1">BasisSwapEON3M!F15</f>
        <v>#NAME?</v>
      </c>
      <c r="H13" s="58" t="str">
        <f t="shared" si="0"/>
        <v>EUR1EON3E8Y_Quote</v>
      </c>
      <c r="I13" s="43" t="e">
        <f ca="1">_xll.qlCompositeQuote(H13,E13,G13,F13,Permanent,Trigger,ObjectOverwrite)</f>
        <v>#NAME?</v>
      </c>
      <c r="J13" s="42" t="e">
        <f ca="1">_xll.ohRangeRetrieveError(I13)</f>
        <v>#NAME?</v>
      </c>
      <c r="K13" s="36"/>
    </row>
    <row r="14" spans="1:14" ht="11.25" customHeight="1" x14ac:dyDescent="0.2">
      <c r="A14" s="41"/>
      <c r="B14" s="45" t="s">
        <v>47</v>
      </c>
      <c r="C14" s="45" t="s">
        <v>73</v>
      </c>
      <c r="D14" s="45" t="s">
        <v>69</v>
      </c>
      <c r="E14" s="44" t="e">
        <f ca="1">Swap3M!F16</f>
        <v>#NAME?</v>
      </c>
      <c r="F14" s="45" t="s">
        <v>68</v>
      </c>
      <c r="G14" s="44" t="e">
        <f ca="1">BasisSwapEON3M!F16</f>
        <v>#NAME?</v>
      </c>
      <c r="H14" s="58" t="str">
        <f t="shared" si="0"/>
        <v>EUR1EON3E9Y_Quote</v>
      </c>
      <c r="I14" s="43" t="e">
        <f ca="1">_xll.qlCompositeQuote(H14,E14,G14,F14,Permanent,Trigger,ObjectOverwrite)</f>
        <v>#NAME?</v>
      </c>
      <c r="J14" s="42" t="e">
        <f ca="1">_xll.ohRangeRetrieveError(I14)</f>
        <v>#NAME?</v>
      </c>
      <c r="K14" s="36"/>
    </row>
    <row r="15" spans="1:14" ht="11.25" customHeight="1" x14ac:dyDescent="0.2">
      <c r="A15" s="41"/>
      <c r="B15" s="45" t="s">
        <v>46</v>
      </c>
      <c r="C15" s="45" t="s">
        <v>73</v>
      </c>
      <c r="D15" s="45" t="s">
        <v>69</v>
      </c>
      <c r="E15" s="44" t="e">
        <f ca="1">Swap3M!F17</f>
        <v>#NAME?</v>
      </c>
      <c r="F15" s="45" t="s">
        <v>68</v>
      </c>
      <c r="G15" s="44" t="e">
        <f ca="1">BasisSwapEON3M!F17</f>
        <v>#NAME?</v>
      </c>
      <c r="H15" s="58" t="str">
        <f t="shared" si="0"/>
        <v>EUR1EON3E10Y_Quote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73</v>
      </c>
      <c r="D16" s="45" t="s">
        <v>69</v>
      </c>
      <c r="E16" s="44" t="e">
        <f ca="1">Swap3M!F18</f>
        <v>#NAME?</v>
      </c>
      <c r="F16" s="45" t="s">
        <v>68</v>
      </c>
      <c r="G16" s="44" t="e">
        <f ca="1">BasisSwapEON3M!F18</f>
        <v>#NAME?</v>
      </c>
      <c r="H16" s="58" t="str">
        <f t="shared" si="0"/>
        <v>EUR1EON3E11Y_Quote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73</v>
      </c>
      <c r="D17" s="45" t="s">
        <v>69</v>
      </c>
      <c r="E17" s="44" t="e">
        <f ca="1">Swap3M!F19</f>
        <v>#NAME?</v>
      </c>
      <c r="F17" s="45" t="s">
        <v>68</v>
      </c>
      <c r="G17" s="44" t="e">
        <f ca="1">BasisSwapEON3M!F19</f>
        <v>#NAME?</v>
      </c>
      <c r="H17" s="58" t="str">
        <f t="shared" si="0"/>
        <v>EUR1EON3E12Y_Quote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73</v>
      </c>
      <c r="D18" s="45" t="s">
        <v>69</v>
      </c>
      <c r="E18" s="44" t="e">
        <f ca="1">Swap3M!F20</f>
        <v>#NAME?</v>
      </c>
      <c r="F18" s="45" t="s">
        <v>68</v>
      </c>
      <c r="G18" s="44" t="e">
        <f ca="1">BasisSwapEON3M!F20</f>
        <v>#NAME?</v>
      </c>
      <c r="H18" s="58" t="str">
        <f t="shared" si="0"/>
        <v>EUR1EON3E13Y_Quote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73</v>
      </c>
      <c r="D19" s="45" t="s">
        <v>69</v>
      </c>
      <c r="E19" s="44" t="e">
        <f ca="1">Swap3M!F21</f>
        <v>#NAME?</v>
      </c>
      <c r="F19" s="45" t="s">
        <v>68</v>
      </c>
      <c r="G19" s="44" t="e">
        <f ca="1">BasisSwapEON3M!F21</f>
        <v>#NAME?</v>
      </c>
      <c r="H19" s="58" t="str">
        <f t="shared" si="0"/>
        <v>EUR1EON3E14Y_Quote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73</v>
      </c>
      <c r="D20" s="45" t="s">
        <v>69</v>
      </c>
      <c r="E20" s="44" t="e">
        <f ca="1">Swap3M!F22</f>
        <v>#NAME?</v>
      </c>
      <c r="F20" s="45" t="s">
        <v>68</v>
      </c>
      <c r="G20" s="44" t="e">
        <f ca="1">BasisSwapEON3M!F22</f>
        <v>#NAME?</v>
      </c>
      <c r="H20" s="58" t="str">
        <f t="shared" si="0"/>
        <v>EUR1EON3E15Y_Quote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73</v>
      </c>
      <c r="D21" s="45" t="s">
        <v>69</v>
      </c>
      <c r="E21" s="44" t="e">
        <f ca="1">Swap3M!F23</f>
        <v>#NAME?</v>
      </c>
      <c r="F21" s="45" t="s">
        <v>68</v>
      </c>
      <c r="G21" s="44" t="e">
        <f ca="1">BasisSwapEON3M!F23</f>
        <v>#NAME?</v>
      </c>
      <c r="H21" s="58" t="str">
        <f t="shared" si="0"/>
        <v>EUR1EON3E16Y_Quote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73</v>
      </c>
      <c r="D22" s="45" t="s">
        <v>69</v>
      </c>
      <c r="E22" s="44" t="e">
        <f ca="1">Swap3M!F24</f>
        <v>#NAME?</v>
      </c>
      <c r="F22" s="45" t="s">
        <v>68</v>
      </c>
      <c r="G22" s="44" t="e">
        <f ca="1">BasisSwapEON3M!F24</f>
        <v>#NAME?</v>
      </c>
      <c r="H22" s="58" t="str">
        <f t="shared" si="0"/>
        <v>EUR1EON3E17Y_Quote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73</v>
      </c>
      <c r="D23" s="45" t="s">
        <v>69</v>
      </c>
      <c r="E23" s="44" t="e">
        <f ca="1">Swap3M!F25</f>
        <v>#NAME?</v>
      </c>
      <c r="F23" s="45" t="s">
        <v>68</v>
      </c>
      <c r="G23" s="44" t="e">
        <f ca="1">BasisSwapEON3M!F25</f>
        <v>#NAME?</v>
      </c>
      <c r="H23" s="58" t="str">
        <f t="shared" si="0"/>
        <v>EUR1EON3E18Y_Quote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73</v>
      </c>
      <c r="D24" s="45" t="s">
        <v>69</v>
      </c>
      <c r="E24" s="44" t="e">
        <f ca="1">Swap3M!F26</f>
        <v>#NAME?</v>
      </c>
      <c r="F24" s="45" t="s">
        <v>68</v>
      </c>
      <c r="G24" s="44" t="e">
        <f ca="1">BasisSwapEON3M!F26</f>
        <v>#NAME?</v>
      </c>
      <c r="H24" s="58" t="str">
        <f t="shared" si="0"/>
        <v>EUR1EON3E19Y_Quote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73</v>
      </c>
      <c r="D25" s="45" t="s">
        <v>69</v>
      </c>
      <c r="E25" s="44" t="e">
        <f ca="1">Swap3M!F27</f>
        <v>#NAME?</v>
      </c>
      <c r="F25" s="45" t="s">
        <v>68</v>
      </c>
      <c r="G25" s="44" t="e">
        <f ca="1">BasisSwapEON3M!F27</f>
        <v>#NAME?</v>
      </c>
      <c r="H25" s="58" t="str">
        <f t="shared" si="0"/>
        <v>EUR1EON3E20Y_Quote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73</v>
      </c>
      <c r="D26" s="45" t="s">
        <v>69</v>
      </c>
      <c r="E26" s="44" t="e">
        <f ca="1">Swap3M!F28</f>
        <v>#NAME?</v>
      </c>
      <c r="F26" s="45" t="s">
        <v>68</v>
      </c>
      <c r="G26" s="44" t="e">
        <f ca="1">BasisSwapEON3M!F28</f>
        <v>#NAME?</v>
      </c>
      <c r="H26" s="58" t="str">
        <f t="shared" si="0"/>
        <v>EUR1EON3E21Y_Quote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73</v>
      </c>
      <c r="D27" s="45" t="s">
        <v>69</v>
      </c>
      <c r="E27" s="44" t="e">
        <f ca="1">Swap3M!F29</f>
        <v>#NAME?</v>
      </c>
      <c r="F27" s="45" t="s">
        <v>68</v>
      </c>
      <c r="G27" s="44" t="e">
        <f ca="1">BasisSwapEON3M!F29</f>
        <v>#NAME?</v>
      </c>
      <c r="H27" s="58" t="str">
        <f t="shared" si="0"/>
        <v>EUR1EON3E22Y_Quote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73</v>
      </c>
      <c r="D28" s="45" t="s">
        <v>69</v>
      </c>
      <c r="E28" s="44" t="e">
        <f ca="1">Swap3M!F30</f>
        <v>#NAME?</v>
      </c>
      <c r="F28" s="45" t="s">
        <v>68</v>
      </c>
      <c r="G28" s="44" t="e">
        <f ca="1">BasisSwapEON3M!F30</f>
        <v>#NAME?</v>
      </c>
      <c r="H28" s="58" t="str">
        <f t="shared" si="0"/>
        <v>EUR1EON3E23Y_Quote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73</v>
      </c>
      <c r="D29" s="45" t="s">
        <v>69</v>
      </c>
      <c r="E29" s="44" t="e">
        <f ca="1">Swap3M!F31</f>
        <v>#NAME?</v>
      </c>
      <c r="F29" s="45" t="s">
        <v>68</v>
      </c>
      <c r="G29" s="44" t="e">
        <f ca="1">BasisSwapEON3M!F31</f>
        <v>#NAME?</v>
      </c>
      <c r="H29" s="58" t="str">
        <f t="shared" si="0"/>
        <v>EUR1EON3E24Y_Quote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73</v>
      </c>
      <c r="D30" s="45" t="s">
        <v>69</v>
      </c>
      <c r="E30" s="44" t="e">
        <f ca="1">Swap3M!F32</f>
        <v>#NAME?</v>
      </c>
      <c r="F30" s="45" t="s">
        <v>68</v>
      </c>
      <c r="G30" s="44" t="e">
        <f ca="1">BasisSwapEON3M!F32</f>
        <v>#NAME?</v>
      </c>
      <c r="H30" s="58" t="str">
        <f t="shared" si="0"/>
        <v>EUR1EON3E25Y_Quote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73</v>
      </c>
      <c r="D31" s="45" t="s">
        <v>69</v>
      </c>
      <c r="E31" s="44" t="e">
        <f ca="1">Swap3M!F33</f>
        <v>#NAME?</v>
      </c>
      <c r="F31" s="45" t="s">
        <v>68</v>
      </c>
      <c r="G31" s="44" t="e">
        <f ca="1">BasisSwapEON3M!F33</f>
        <v>#NAME?</v>
      </c>
      <c r="H31" s="58" t="str">
        <f t="shared" si="0"/>
        <v>EUR1EON3E26Y_Quote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73</v>
      </c>
      <c r="D32" s="45" t="s">
        <v>69</v>
      </c>
      <c r="E32" s="44" t="e">
        <f ca="1">Swap3M!F34</f>
        <v>#NAME?</v>
      </c>
      <c r="F32" s="45" t="s">
        <v>68</v>
      </c>
      <c r="G32" s="44" t="e">
        <f ca="1">BasisSwapEON3M!F34</f>
        <v>#NAME?</v>
      </c>
      <c r="H32" s="58" t="str">
        <f t="shared" si="0"/>
        <v>EUR1EON3E27Y_Quote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73</v>
      </c>
      <c r="D33" s="45" t="s">
        <v>69</v>
      </c>
      <c r="E33" s="44" t="e">
        <f ca="1">Swap3M!F35</f>
        <v>#NAME?</v>
      </c>
      <c r="F33" s="45" t="s">
        <v>68</v>
      </c>
      <c r="G33" s="44" t="e">
        <f ca="1">BasisSwapEON3M!F35</f>
        <v>#NAME?</v>
      </c>
      <c r="H33" s="58" t="str">
        <f t="shared" si="0"/>
        <v>EUR1EON3E28Y_Quote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73</v>
      </c>
      <c r="D34" s="45" t="s">
        <v>69</v>
      </c>
      <c r="E34" s="44" t="e">
        <f ca="1">Swap3M!F36</f>
        <v>#NAME?</v>
      </c>
      <c r="F34" s="45" t="s">
        <v>68</v>
      </c>
      <c r="G34" s="44" t="e">
        <f ca="1">BasisSwapEON3M!F36</f>
        <v>#NAME?</v>
      </c>
      <c r="H34" s="58" t="str">
        <f t="shared" si="0"/>
        <v>EUR1EON3E29Y_Quote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73</v>
      </c>
      <c r="D35" s="45" t="s">
        <v>69</v>
      </c>
      <c r="E35" s="44" t="e">
        <f ca="1">Swap3M!F37</f>
        <v>#NAME?</v>
      </c>
      <c r="F35" s="45" t="s">
        <v>68</v>
      </c>
      <c r="G35" s="44" t="e">
        <f ca="1">BasisSwapEON3M!F37</f>
        <v>#NAME?</v>
      </c>
      <c r="H35" s="58" t="str">
        <f t="shared" si="0"/>
        <v>EUR1EON3E30Y_Quote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73</v>
      </c>
      <c r="D36" s="45" t="s">
        <v>69</v>
      </c>
      <c r="E36" s="44" t="e">
        <f ca="1">Swap3M!F38</f>
        <v>#NAME?</v>
      </c>
      <c r="F36" s="45" t="s">
        <v>68</v>
      </c>
      <c r="G36" s="44" t="e">
        <f ca="1">BasisSwapEON3M!F38</f>
        <v>#NAME?</v>
      </c>
      <c r="H36" s="58" t="str">
        <f t="shared" si="0"/>
        <v>EUR1EON3E35Y_Quote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73</v>
      </c>
      <c r="D37" s="45" t="s">
        <v>69</v>
      </c>
      <c r="E37" s="44" t="e">
        <f ca="1">Swap3M!F39</f>
        <v>#NAME?</v>
      </c>
      <c r="F37" s="45" t="s">
        <v>68</v>
      </c>
      <c r="G37" s="44" t="e">
        <f ca="1">BasisSwapEON3M!F39</f>
        <v>#NAME?</v>
      </c>
      <c r="H37" s="58" t="str">
        <f t="shared" si="0"/>
        <v>EUR1EON3E40Y_Quote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73</v>
      </c>
      <c r="D38" s="45" t="s">
        <v>69</v>
      </c>
      <c r="E38" s="44" t="e">
        <f ca="1">Swap3M!F40</f>
        <v>#NAME?</v>
      </c>
      <c r="F38" s="45" t="s">
        <v>68</v>
      </c>
      <c r="G38" s="44" t="e">
        <f ca="1">BasisSwapEON3M!F40</f>
        <v>#NAME?</v>
      </c>
      <c r="H38" s="58" t="str">
        <f t="shared" si="0"/>
        <v>EUR1EON3E50Y_Quote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73</v>
      </c>
      <c r="D39" s="40" t="s">
        <v>69</v>
      </c>
      <c r="E39" s="39" t="e">
        <f ca="1">Swap3M!F41</f>
        <v>#NAME?</v>
      </c>
      <c r="F39" s="40" t="s">
        <v>68</v>
      </c>
      <c r="G39" s="39" t="e">
        <f ca="1">BasisSwapEON3M!F41</f>
        <v>#NAME?</v>
      </c>
      <c r="H39" s="57" t="str">
        <f t="shared" si="0"/>
        <v>EUR1EON3E60Y_Quote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4"/>
      <c r="J40" s="33"/>
      <c r="K40" s="32"/>
    </row>
    <row r="41" spans="1:11" ht="11.25" customHeight="1" x14ac:dyDescent="0.2"/>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4"/>
  <dimension ref="A1:N40"/>
  <sheetViews>
    <sheetView workbookViewId="0">
      <selection activeCell="N3" sqref="N3:N4"/>
    </sheetView>
  </sheetViews>
  <sheetFormatPr defaultRowHeight="11.25" customHeight="1"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72</v>
      </c>
      <c r="I2" s="51" t="s">
        <v>60</v>
      </c>
      <c r="J2" s="50" t="s">
        <v>59</v>
      </c>
      <c r="K2" s="36"/>
    </row>
    <row r="3" spans="1:14" ht="11.25" customHeight="1" x14ac:dyDescent="0.25">
      <c r="A3" s="41"/>
      <c r="B3" s="49" t="s">
        <v>58</v>
      </c>
      <c r="C3" s="49" t="s">
        <v>21</v>
      </c>
      <c r="D3" s="49" t="s">
        <v>71</v>
      </c>
      <c r="E3" s="48" t="e">
        <f ca="1">Swap6M!F5</f>
        <v>#NAME?</v>
      </c>
      <c r="F3" s="49" t="s">
        <v>68</v>
      </c>
      <c r="G3" s="48" t="e">
        <f ca="1">BasisSwap1MxM!F5</f>
        <v>#NAME?</v>
      </c>
      <c r="H3" s="47" t="str">
        <f t="shared" ref="H3:H39" si="0">Currency&amp;$C3&amp;$D3&amp;"BASIS"&amp;$B3&amp;QuoteSuffix</f>
        <v>EURAB1EBASIS1Y_Quote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71</v>
      </c>
      <c r="E4" s="44" t="e">
        <f ca="1">Swap6M!F6</f>
        <v>#NAME?</v>
      </c>
      <c r="F4" s="45" t="s">
        <v>68</v>
      </c>
      <c r="G4" s="44" t="e">
        <f ca="1">BasisSwap1MxM!F6</f>
        <v>#NAME?</v>
      </c>
      <c r="H4" s="43" t="str">
        <f t="shared" si="0"/>
        <v>EURAB1EBASIS15M_Quote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71</v>
      </c>
      <c r="E5" s="44" t="e">
        <f ca="1">Swap6M!F7</f>
        <v>#NAME?</v>
      </c>
      <c r="F5" s="45" t="s">
        <v>68</v>
      </c>
      <c r="G5" s="44" t="e">
        <f ca="1">BasisSwap1MxM!F7</f>
        <v>#NAME?</v>
      </c>
      <c r="H5" s="43" t="str">
        <f t="shared" si="0"/>
        <v>EURAB1EBASIS18M_Quote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71</v>
      </c>
      <c r="E6" s="44" t="e">
        <f ca="1">Swap6M!F8</f>
        <v>#NAME?</v>
      </c>
      <c r="F6" s="45" t="s">
        <v>68</v>
      </c>
      <c r="G6" s="44" t="e">
        <f ca="1">BasisSwap1MxM!F8</f>
        <v>#NAME?</v>
      </c>
      <c r="H6" s="43" t="str">
        <f t="shared" si="0"/>
        <v>EURAB1EBASIS21M_Quote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71</v>
      </c>
      <c r="E7" s="44" t="e">
        <f ca="1">Swap6M!F9</f>
        <v>#NAME?</v>
      </c>
      <c r="F7" s="45" t="s">
        <v>68</v>
      </c>
      <c r="G7" s="44" t="e">
        <f ca="1">BasisSwap1MxM!F9</f>
        <v>#NAME?</v>
      </c>
      <c r="H7" s="43" t="str">
        <f t="shared" si="0"/>
        <v>EURAB1EBASIS2Y_Quote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71</v>
      </c>
      <c r="E8" s="44" t="e">
        <f ca="1">Swap6M!F10</f>
        <v>#NAME?</v>
      </c>
      <c r="F8" s="45" t="s">
        <v>68</v>
      </c>
      <c r="G8" s="44" t="e">
        <f ca="1">BasisSwap1MxM!F10</f>
        <v>#NAME?</v>
      </c>
      <c r="H8" s="43" t="str">
        <f t="shared" si="0"/>
        <v>EURAB1EBASIS3Y_Quote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71</v>
      </c>
      <c r="E9" s="44" t="e">
        <f ca="1">Swap6M!F11</f>
        <v>#NAME?</v>
      </c>
      <c r="F9" s="45" t="s">
        <v>68</v>
      </c>
      <c r="G9" s="44" t="e">
        <f ca="1">BasisSwap1MxM!F11</f>
        <v>#NAME?</v>
      </c>
      <c r="H9" s="43" t="str">
        <f t="shared" si="0"/>
        <v>EURAB1EBASIS4Y_Quote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71</v>
      </c>
      <c r="E10" s="44" t="e">
        <f ca="1">Swap6M!F12</f>
        <v>#NAME?</v>
      </c>
      <c r="F10" s="45" t="s">
        <v>68</v>
      </c>
      <c r="G10" s="44" t="e">
        <f ca="1">BasisSwap1MxM!F12</f>
        <v>#NAME?</v>
      </c>
      <c r="H10" s="43" t="str">
        <f t="shared" si="0"/>
        <v>EURAB1EBASIS5Y_Quote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71</v>
      </c>
      <c r="E11" s="44" t="e">
        <f ca="1">Swap6M!F13</f>
        <v>#NAME?</v>
      </c>
      <c r="F11" s="45" t="s">
        <v>68</v>
      </c>
      <c r="G11" s="44" t="e">
        <f ca="1">BasisSwap1MxM!F13</f>
        <v>#NAME?</v>
      </c>
      <c r="H11" s="43" t="str">
        <f t="shared" si="0"/>
        <v>EURAB1EBASIS6Y_Quote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71</v>
      </c>
      <c r="E12" s="44" t="e">
        <f ca="1">Swap6M!F14</f>
        <v>#NAME?</v>
      </c>
      <c r="F12" s="45" t="s">
        <v>68</v>
      </c>
      <c r="G12" s="44" t="e">
        <f ca="1">BasisSwap1MxM!F14</f>
        <v>#NAME?</v>
      </c>
      <c r="H12" s="43" t="str">
        <f t="shared" si="0"/>
        <v>EURAB1EBASIS7Y_Quote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71</v>
      </c>
      <c r="E13" s="44" t="e">
        <f ca="1">Swap6M!F15</f>
        <v>#NAME?</v>
      </c>
      <c r="F13" s="45" t="s">
        <v>68</v>
      </c>
      <c r="G13" s="44" t="e">
        <f ca="1">BasisSwap1MxM!F15</f>
        <v>#NAME?</v>
      </c>
      <c r="H13" s="43" t="str">
        <f t="shared" si="0"/>
        <v>EURAB1EBASIS8Y_Quote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71</v>
      </c>
      <c r="E14" s="44" t="e">
        <f ca="1">Swap6M!F16</f>
        <v>#NAME?</v>
      </c>
      <c r="F14" s="45" t="s">
        <v>68</v>
      </c>
      <c r="G14" s="44" t="e">
        <f ca="1">BasisSwap1MxM!F16</f>
        <v>#NAME?</v>
      </c>
      <c r="H14" s="43" t="str">
        <f t="shared" si="0"/>
        <v>EURAB1EBASIS9Y_Quote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71</v>
      </c>
      <c r="E15" s="44" t="e">
        <f ca="1">Swap6M!F17</f>
        <v>#NAME?</v>
      </c>
      <c r="F15" s="45" t="s">
        <v>68</v>
      </c>
      <c r="G15" s="44" t="e">
        <f ca="1">BasisSwap1MxM!F17</f>
        <v>#NAME?</v>
      </c>
      <c r="H15" s="43" t="str">
        <f t="shared" si="0"/>
        <v>EURAB1EBASIS10Y_Quote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71</v>
      </c>
      <c r="E16" s="44" t="e">
        <f ca="1">Swap6M!F18</f>
        <v>#NAME?</v>
      </c>
      <c r="F16" s="45" t="s">
        <v>68</v>
      </c>
      <c r="G16" s="44" t="e">
        <f ca="1">BasisSwap1MxM!F18</f>
        <v>#NAME?</v>
      </c>
      <c r="H16" s="43" t="str">
        <f t="shared" si="0"/>
        <v>EURAB1EBASIS11Y_Quote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71</v>
      </c>
      <c r="E17" s="44" t="e">
        <f ca="1">Swap6M!F19</f>
        <v>#NAME?</v>
      </c>
      <c r="F17" s="45" t="s">
        <v>68</v>
      </c>
      <c r="G17" s="44" t="e">
        <f ca="1">BasisSwap1MxM!F19</f>
        <v>#NAME?</v>
      </c>
      <c r="H17" s="43" t="str">
        <f t="shared" si="0"/>
        <v>EURAB1EBASIS12Y_Quote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71</v>
      </c>
      <c r="E18" s="44" t="e">
        <f ca="1">Swap6M!F20</f>
        <v>#NAME?</v>
      </c>
      <c r="F18" s="45" t="s">
        <v>68</v>
      </c>
      <c r="G18" s="44" t="e">
        <f ca="1">BasisSwap1MxM!F20</f>
        <v>#NAME?</v>
      </c>
      <c r="H18" s="43" t="str">
        <f t="shared" si="0"/>
        <v>EURAB1EBASIS13Y_Quote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71</v>
      </c>
      <c r="E19" s="44" t="e">
        <f ca="1">Swap6M!F21</f>
        <v>#NAME?</v>
      </c>
      <c r="F19" s="45" t="s">
        <v>68</v>
      </c>
      <c r="G19" s="44" t="e">
        <f ca="1">BasisSwap1MxM!F21</f>
        <v>#NAME?</v>
      </c>
      <c r="H19" s="43" t="str">
        <f t="shared" si="0"/>
        <v>EURAB1EBASIS14Y_Quote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71</v>
      </c>
      <c r="E20" s="44" t="e">
        <f ca="1">Swap6M!F22</f>
        <v>#NAME?</v>
      </c>
      <c r="F20" s="45" t="s">
        <v>68</v>
      </c>
      <c r="G20" s="44" t="e">
        <f ca="1">BasisSwap1MxM!F22</f>
        <v>#NAME?</v>
      </c>
      <c r="H20" s="43" t="str">
        <f t="shared" si="0"/>
        <v>EURAB1EBASIS15Y_Quote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71</v>
      </c>
      <c r="E21" s="44" t="e">
        <f ca="1">Swap6M!F23</f>
        <v>#NAME?</v>
      </c>
      <c r="F21" s="45" t="s">
        <v>68</v>
      </c>
      <c r="G21" s="44" t="e">
        <f ca="1">BasisSwap1MxM!F23</f>
        <v>#NAME?</v>
      </c>
      <c r="H21" s="43" t="str">
        <f t="shared" si="0"/>
        <v>EURAB1EBASIS16Y_Quote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71</v>
      </c>
      <c r="E22" s="44" t="e">
        <f ca="1">Swap6M!F24</f>
        <v>#NAME?</v>
      </c>
      <c r="F22" s="45" t="s">
        <v>68</v>
      </c>
      <c r="G22" s="44" t="e">
        <f ca="1">BasisSwap1MxM!F24</f>
        <v>#NAME?</v>
      </c>
      <c r="H22" s="43" t="str">
        <f t="shared" si="0"/>
        <v>EURAB1EBASIS17Y_Quote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71</v>
      </c>
      <c r="E23" s="44" t="e">
        <f ca="1">Swap6M!F25</f>
        <v>#NAME?</v>
      </c>
      <c r="F23" s="45" t="s">
        <v>68</v>
      </c>
      <c r="G23" s="44" t="e">
        <f ca="1">BasisSwap1MxM!F25</f>
        <v>#NAME?</v>
      </c>
      <c r="H23" s="43" t="str">
        <f t="shared" si="0"/>
        <v>EURAB1EBASIS18Y_Quote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71</v>
      </c>
      <c r="E24" s="44" t="e">
        <f ca="1">Swap6M!F26</f>
        <v>#NAME?</v>
      </c>
      <c r="F24" s="45" t="s">
        <v>68</v>
      </c>
      <c r="G24" s="44" t="e">
        <f ca="1">BasisSwap1MxM!F26</f>
        <v>#NAME?</v>
      </c>
      <c r="H24" s="43" t="str">
        <f t="shared" si="0"/>
        <v>EURAB1EBASIS19Y_Quote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71</v>
      </c>
      <c r="E25" s="44" t="e">
        <f ca="1">Swap6M!F27</f>
        <v>#NAME?</v>
      </c>
      <c r="F25" s="45" t="s">
        <v>68</v>
      </c>
      <c r="G25" s="44" t="e">
        <f ca="1">BasisSwap1MxM!F27</f>
        <v>#NAME?</v>
      </c>
      <c r="H25" s="43" t="str">
        <f t="shared" si="0"/>
        <v>EURAB1EBASIS20Y_Quote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71</v>
      </c>
      <c r="E26" s="44" t="e">
        <f ca="1">Swap6M!F28</f>
        <v>#NAME?</v>
      </c>
      <c r="F26" s="45" t="s">
        <v>68</v>
      </c>
      <c r="G26" s="44" t="e">
        <f ca="1">BasisSwap1MxM!F28</f>
        <v>#NAME?</v>
      </c>
      <c r="H26" s="43" t="str">
        <f t="shared" si="0"/>
        <v>EURAB1EBASIS21Y_Quote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71</v>
      </c>
      <c r="E27" s="44" t="e">
        <f ca="1">Swap6M!F29</f>
        <v>#NAME?</v>
      </c>
      <c r="F27" s="45" t="s">
        <v>68</v>
      </c>
      <c r="G27" s="44" t="e">
        <f ca="1">BasisSwap1MxM!F29</f>
        <v>#NAME?</v>
      </c>
      <c r="H27" s="43" t="str">
        <f t="shared" si="0"/>
        <v>EURAB1EBASIS22Y_Quote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71</v>
      </c>
      <c r="E28" s="44" t="e">
        <f ca="1">Swap6M!F30</f>
        <v>#NAME?</v>
      </c>
      <c r="F28" s="45" t="s">
        <v>68</v>
      </c>
      <c r="G28" s="44" t="e">
        <f ca="1">BasisSwap1MxM!F30</f>
        <v>#NAME?</v>
      </c>
      <c r="H28" s="43" t="str">
        <f t="shared" si="0"/>
        <v>EURAB1EBASIS23Y_Quote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71</v>
      </c>
      <c r="E29" s="44" t="e">
        <f ca="1">Swap6M!F31</f>
        <v>#NAME?</v>
      </c>
      <c r="F29" s="45" t="s">
        <v>68</v>
      </c>
      <c r="G29" s="44" t="e">
        <f ca="1">BasisSwap1MxM!F31</f>
        <v>#NAME?</v>
      </c>
      <c r="H29" s="43" t="str">
        <f t="shared" si="0"/>
        <v>EURAB1EBASIS24Y_Quote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71</v>
      </c>
      <c r="E30" s="44" t="e">
        <f ca="1">Swap6M!F32</f>
        <v>#NAME?</v>
      </c>
      <c r="F30" s="45" t="s">
        <v>68</v>
      </c>
      <c r="G30" s="44" t="e">
        <f ca="1">BasisSwap1MxM!F32</f>
        <v>#NAME?</v>
      </c>
      <c r="H30" s="43" t="str">
        <f t="shared" si="0"/>
        <v>EURAB1EBASIS25Y_Quote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71</v>
      </c>
      <c r="E31" s="44" t="e">
        <f ca="1">Swap6M!F33</f>
        <v>#NAME?</v>
      </c>
      <c r="F31" s="45" t="s">
        <v>68</v>
      </c>
      <c r="G31" s="44" t="e">
        <f ca="1">BasisSwap1MxM!F33</f>
        <v>#NAME?</v>
      </c>
      <c r="H31" s="43" t="str">
        <f t="shared" si="0"/>
        <v>EURAB1EBASIS26Y_Quote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71</v>
      </c>
      <c r="E32" s="44" t="e">
        <f ca="1">Swap6M!F34</f>
        <v>#NAME?</v>
      </c>
      <c r="F32" s="45" t="s">
        <v>68</v>
      </c>
      <c r="G32" s="44" t="e">
        <f ca="1">BasisSwap1MxM!F34</f>
        <v>#NAME?</v>
      </c>
      <c r="H32" s="43" t="str">
        <f t="shared" si="0"/>
        <v>EURAB1EBASIS27Y_Quote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71</v>
      </c>
      <c r="E33" s="44" t="e">
        <f ca="1">Swap6M!F35</f>
        <v>#NAME?</v>
      </c>
      <c r="F33" s="45" t="s">
        <v>68</v>
      </c>
      <c r="G33" s="44" t="e">
        <f ca="1">BasisSwap1MxM!F35</f>
        <v>#NAME?</v>
      </c>
      <c r="H33" s="43" t="str">
        <f t="shared" si="0"/>
        <v>EURAB1EBASIS28Y_Quote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71</v>
      </c>
      <c r="E34" s="44" t="e">
        <f ca="1">Swap6M!F36</f>
        <v>#NAME?</v>
      </c>
      <c r="F34" s="45" t="s">
        <v>68</v>
      </c>
      <c r="G34" s="44" t="e">
        <f ca="1">BasisSwap1MxM!F36</f>
        <v>#NAME?</v>
      </c>
      <c r="H34" s="43" t="str">
        <f t="shared" si="0"/>
        <v>EURAB1EBASIS29Y_Quote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71</v>
      </c>
      <c r="E35" s="44" t="e">
        <f ca="1">Swap6M!F37</f>
        <v>#NAME?</v>
      </c>
      <c r="F35" s="45" t="s">
        <v>68</v>
      </c>
      <c r="G35" s="44" t="e">
        <f ca="1">BasisSwap1MxM!F37</f>
        <v>#NAME?</v>
      </c>
      <c r="H35" s="43" t="str">
        <f t="shared" si="0"/>
        <v>EURAB1EBASIS30Y_Quote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71</v>
      </c>
      <c r="E36" s="44" t="e">
        <f ca="1">Swap6M!F38</f>
        <v>#NAME?</v>
      </c>
      <c r="F36" s="45" t="s">
        <v>68</v>
      </c>
      <c r="G36" s="44" t="e">
        <f ca="1">BasisSwap1MxM!F38</f>
        <v>#NAME?</v>
      </c>
      <c r="H36" s="43" t="str">
        <f t="shared" si="0"/>
        <v>EURAB1EBASIS35Y_Quote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71</v>
      </c>
      <c r="E37" s="44" t="e">
        <f ca="1">Swap6M!F39</f>
        <v>#NAME?</v>
      </c>
      <c r="F37" s="45" t="s">
        <v>68</v>
      </c>
      <c r="G37" s="44" t="e">
        <f ca="1">BasisSwap1MxM!F39</f>
        <v>#NAME?</v>
      </c>
      <c r="H37" s="43" t="str">
        <f t="shared" si="0"/>
        <v>EURAB1EBASIS40Y_Quote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71</v>
      </c>
      <c r="E38" s="44" t="e">
        <f ca="1">Swap6M!F40</f>
        <v>#NAME?</v>
      </c>
      <c r="F38" s="45" t="s">
        <v>68</v>
      </c>
      <c r="G38" s="44" t="e">
        <f ca="1">BasisSwap1MxM!F40</f>
        <v>#NAME?</v>
      </c>
      <c r="H38" s="43" t="str">
        <f t="shared" si="0"/>
        <v>EURAB1EBASIS50Y_Quote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71</v>
      </c>
      <c r="E39" s="39" t="e">
        <f ca="1">Swap6M!F41</f>
        <v>#NAME?</v>
      </c>
      <c r="F39" s="40" t="s">
        <v>68</v>
      </c>
      <c r="G39" s="39" t="e">
        <f ca="1">BasisSwap1MxM!F41</f>
        <v>#NAME?</v>
      </c>
      <c r="H39" s="38" t="str">
        <f t="shared" si="0"/>
        <v>EURAB1EBASIS60Y_Quote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sheetData>
  <pageMargins left="0.75" right="0.75" top="1" bottom="1" header="0.5" footer="0.5"/>
  <pageSetup paperSize="9" orientation="portrait"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s="60" customFormat="1" ht="21" customHeight="1" thickBot="1" x14ac:dyDescent="0.3">
      <c r="A2" s="62"/>
      <c r="B2" s="52" t="s">
        <v>65</v>
      </c>
      <c r="C2" s="52"/>
      <c r="D2" s="52"/>
      <c r="E2" s="52" t="s">
        <v>64</v>
      </c>
      <c r="F2" s="52" t="s">
        <v>63</v>
      </c>
      <c r="G2" s="52" t="s">
        <v>62</v>
      </c>
      <c r="H2" s="52" t="s">
        <v>70</v>
      </c>
      <c r="I2" s="51" t="s">
        <v>60</v>
      </c>
      <c r="J2" s="50" t="s">
        <v>59</v>
      </c>
      <c r="K2" s="61"/>
    </row>
    <row r="3" spans="1:14" ht="11.25" customHeight="1" x14ac:dyDescent="0.25">
      <c r="A3" s="41"/>
      <c r="B3" s="49" t="s">
        <v>58</v>
      </c>
      <c r="C3" s="49" t="s">
        <v>21</v>
      </c>
      <c r="D3" s="49" t="s">
        <v>69</v>
      </c>
      <c r="E3" s="59" t="e">
        <f ca="1">Swap6M!F5</f>
        <v>#NAME?</v>
      </c>
      <c r="F3" s="49" t="s">
        <v>68</v>
      </c>
      <c r="G3" s="48" t="e">
        <f ca="1">BasisSwap3M6M!F5</f>
        <v>#NAME?</v>
      </c>
      <c r="H3" s="47" t="str">
        <f t="shared" ref="H3:H39" si="0">Currency&amp;$C3&amp;$D3&amp;"BASIS"&amp;$B3&amp;QuoteSuffix</f>
        <v>EURAB3EBASIS1Y_Quote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69</v>
      </c>
      <c r="E4" s="58" t="e">
        <f ca="1">Swap6M!F6</f>
        <v>#NAME?</v>
      </c>
      <c r="F4" s="45" t="s">
        <v>68</v>
      </c>
      <c r="G4" s="44" t="e">
        <f ca="1">BasisSwap3M6M!F6</f>
        <v>#NAME?</v>
      </c>
      <c r="H4" s="43" t="str">
        <f t="shared" si="0"/>
        <v>EURAB3EBASIS15M_Quote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69</v>
      </c>
      <c r="E5" s="58" t="e">
        <f ca="1">Swap6M!F7</f>
        <v>#NAME?</v>
      </c>
      <c r="F5" s="45" t="s">
        <v>68</v>
      </c>
      <c r="G5" s="44" t="e">
        <f ca="1">BasisSwap3M6M!F7</f>
        <v>#NAME?</v>
      </c>
      <c r="H5" s="43" t="str">
        <f t="shared" si="0"/>
        <v>EURAB3EBASIS18M_Quote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69</v>
      </c>
      <c r="E6" s="58" t="e">
        <f ca="1">Swap6M!F8</f>
        <v>#NAME?</v>
      </c>
      <c r="F6" s="45" t="s">
        <v>68</v>
      </c>
      <c r="G6" s="44" t="e">
        <f ca="1">BasisSwap3M6M!F8</f>
        <v>#NAME?</v>
      </c>
      <c r="H6" s="43" t="str">
        <f t="shared" si="0"/>
        <v>EURAB3EBASIS21M_Quote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69</v>
      </c>
      <c r="E7" s="58" t="e">
        <f ca="1">Swap6M!F9</f>
        <v>#NAME?</v>
      </c>
      <c r="F7" s="45" t="s">
        <v>68</v>
      </c>
      <c r="G7" s="44" t="e">
        <f ca="1">BasisSwap3M6M!F9</f>
        <v>#NAME?</v>
      </c>
      <c r="H7" s="43" t="str">
        <f t="shared" si="0"/>
        <v>EURAB3EBASIS2Y_Quote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69</v>
      </c>
      <c r="E8" s="58" t="e">
        <f ca="1">Swap6M!F10</f>
        <v>#NAME?</v>
      </c>
      <c r="F8" s="45" t="s">
        <v>68</v>
      </c>
      <c r="G8" s="44" t="e">
        <f ca="1">BasisSwap3M6M!F10</f>
        <v>#NAME?</v>
      </c>
      <c r="H8" s="43" t="str">
        <f t="shared" si="0"/>
        <v>EURAB3EBASIS3Y_Quote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69</v>
      </c>
      <c r="E9" s="58" t="e">
        <f ca="1">Swap6M!F11</f>
        <v>#NAME?</v>
      </c>
      <c r="F9" s="45" t="s">
        <v>68</v>
      </c>
      <c r="G9" s="44" t="e">
        <f ca="1">BasisSwap3M6M!F11</f>
        <v>#NAME?</v>
      </c>
      <c r="H9" s="43" t="str">
        <f t="shared" si="0"/>
        <v>EURAB3EBASIS4Y_Quote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69</v>
      </c>
      <c r="E10" s="58" t="e">
        <f ca="1">Swap6M!F12</f>
        <v>#NAME?</v>
      </c>
      <c r="F10" s="45" t="s">
        <v>68</v>
      </c>
      <c r="G10" s="44" t="e">
        <f ca="1">BasisSwap3M6M!F12</f>
        <v>#NAME?</v>
      </c>
      <c r="H10" s="43" t="str">
        <f t="shared" si="0"/>
        <v>EURAB3EBASIS5Y_Quote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69</v>
      </c>
      <c r="E11" s="58" t="e">
        <f ca="1">Swap6M!F13</f>
        <v>#NAME?</v>
      </c>
      <c r="F11" s="45" t="s">
        <v>68</v>
      </c>
      <c r="G11" s="44" t="e">
        <f ca="1">BasisSwap3M6M!F13</f>
        <v>#NAME?</v>
      </c>
      <c r="H11" s="43" t="str">
        <f t="shared" si="0"/>
        <v>EURAB3EBASIS6Y_Quote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69</v>
      </c>
      <c r="E12" s="58" t="e">
        <f ca="1">Swap6M!F14</f>
        <v>#NAME?</v>
      </c>
      <c r="F12" s="45" t="s">
        <v>68</v>
      </c>
      <c r="G12" s="44" t="e">
        <f ca="1">BasisSwap3M6M!F14</f>
        <v>#NAME?</v>
      </c>
      <c r="H12" s="43" t="str">
        <f t="shared" si="0"/>
        <v>EURAB3EBASIS7Y_Quote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69</v>
      </c>
      <c r="E13" s="58" t="e">
        <f ca="1">Swap6M!F15</f>
        <v>#NAME?</v>
      </c>
      <c r="F13" s="45" t="s">
        <v>68</v>
      </c>
      <c r="G13" s="44" t="e">
        <f ca="1">BasisSwap3M6M!F15</f>
        <v>#NAME?</v>
      </c>
      <c r="H13" s="43" t="str">
        <f t="shared" si="0"/>
        <v>EURAB3EBASIS8Y_Quote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69</v>
      </c>
      <c r="E14" s="58" t="e">
        <f ca="1">Swap6M!F16</f>
        <v>#NAME?</v>
      </c>
      <c r="F14" s="45" t="s">
        <v>68</v>
      </c>
      <c r="G14" s="44" t="e">
        <f ca="1">BasisSwap3M6M!F16</f>
        <v>#NAME?</v>
      </c>
      <c r="H14" s="43" t="str">
        <f t="shared" si="0"/>
        <v>EURAB3EBASIS9Y_Quote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69</v>
      </c>
      <c r="E15" s="58" t="e">
        <f ca="1">Swap6M!F17</f>
        <v>#NAME?</v>
      </c>
      <c r="F15" s="45" t="s">
        <v>68</v>
      </c>
      <c r="G15" s="44" t="e">
        <f ca="1">BasisSwap3M6M!F17</f>
        <v>#NAME?</v>
      </c>
      <c r="H15" s="43" t="str">
        <f t="shared" si="0"/>
        <v>EURAB3EBASIS10Y_Quote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69</v>
      </c>
      <c r="E16" s="58" t="e">
        <f ca="1">Swap6M!F18</f>
        <v>#NAME?</v>
      </c>
      <c r="F16" s="45" t="s">
        <v>68</v>
      </c>
      <c r="G16" s="44" t="e">
        <f ca="1">BasisSwap3M6M!F18</f>
        <v>#NAME?</v>
      </c>
      <c r="H16" s="43" t="str">
        <f t="shared" si="0"/>
        <v>EURAB3EBASIS11Y_Quote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69</v>
      </c>
      <c r="E17" s="58" t="e">
        <f ca="1">Swap6M!F19</f>
        <v>#NAME?</v>
      </c>
      <c r="F17" s="45" t="s">
        <v>68</v>
      </c>
      <c r="G17" s="44" t="e">
        <f ca="1">BasisSwap3M6M!F19</f>
        <v>#NAME?</v>
      </c>
      <c r="H17" s="43" t="str">
        <f t="shared" si="0"/>
        <v>EURAB3EBASIS12Y_Quote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69</v>
      </c>
      <c r="E18" s="58" t="e">
        <f ca="1">Swap6M!F20</f>
        <v>#NAME?</v>
      </c>
      <c r="F18" s="45" t="s">
        <v>68</v>
      </c>
      <c r="G18" s="44" t="e">
        <f ca="1">BasisSwap3M6M!F20</f>
        <v>#NAME?</v>
      </c>
      <c r="H18" s="43" t="str">
        <f t="shared" si="0"/>
        <v>EURAB3EBASIS13Y_Quote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69</v>
      </c>
      <c r="E19" s="58" t="e">
        <f ca="1">Swap6M!F21</f>
        <v>#NAME?</v>
      </c>
      <c r="F19" s="45" t="s">
        <v>68</v>
      </c>
      <c r="G19" s="44" t="e">
        <f ca="1">BasisSwap3M6M!F21</f>
        <v>#NAME?</v>
      </c>
      <c r="H19" s="43" t="str">
        <f t="shared" si="0"/>
        <v>EURAB3EBASIS14Y_Quote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69</v>
      </c>
      <c r="E20" s="58" t="e">
        <f ca="1">Swap6M!F22</f>
        <v>#NAME?</v>
      </c>
      <c r="F20" s="45" t="s">
        <v>68</v>
      </c>
      <c r="G20" s="44" t="e">
        <f ca="1">BasisSwap3M6M!F22</f>
        <v>#NAME?</v>
      </c>
      <c r="H20" s="43" t="str">
        <f t="shared" si="0"/>
        <v>EURAB3EBASIS15Y_Quote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69</v>
      </c>
      <c r="E21" s="58" t="e">
        <f ca="1">Swap6M!F23</f>
        <v>#NAME?</v>
      </c>
      <c r="F21" s="45" t="s">
        <v>68</v>
      </c>
      <c r="G21" s="44" t="e">
        <f ca="1">BasisSwap3M6M!F23</f>
        <v>#NAME?</v>
      </c>
      <c r="H21" s="43" t="str">
        <f t="shared" si="0"/>
        <v>EURAB3EBASIS16Y_Quote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69</v>
      </c>
      <c r="E22" s="58" t="e">
        <f ca="1">Swap6M!F24</f>
        <v>#NAME?</v>
      </c>
      <c r="F22" s="45" t="s">
        <v>68</v>
      </c>
      <c r="G22" s="44" t="e">
        <f ca="1">BasisSwap3M6M!F24</f>
        <v>#NAME?</v>
      </c>
      <c r="H22" s="43" t="str">
        <f t="shared" si="0"/>
        <v>EURAB3EBASIS17Y_Quote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69</v>
      </c>
      <c r="E23" s="58" t="e">
        <f ca="1">Swap6M!F25</f>
        <v>#NAME?</v>
      </c>
      <c r="F23" s="45" t="s">
        <v>68</v>
      </c>
      <c r="G23" s="44" t="e">
        <f ca="1">BasisSwap3M6M!F25</f>
        <v>#NAME?</v>
      </c>
      <c r="H23" s="43" t="str">
        <f t="shared" si="0"/>
        <v>EURAB3EBASIS18Y_Quote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69</v>
      </c>
      <c r="E24" s="58" t="e">
        <f ca="1">Swap6M!F26</f>
        <v>#NAME?</v>
      </c>
      <c r="F24" s="45" t="s">
        <v>68</v>
      </c>
      <c r="G24" s="44" t="e">
        <f ca="1">BasisSwap3M6M!F26</f>
        <v>#NAME?</v>
      </c>
      <c r="H24" s="43" t="str">
        <f t="shared" si="0"/>
        <v>EURAB3EBASIS19Y_Quote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69</v>
      </c>
      <c r="E25" s="58" t="e">
        <f ca="1">Swap6M!F27</f>
        <v>#NAME?</v>
      </c>
      <c r="F25" s="45" t="s">
        <v>68</v>
      </c>
      <c r="G25" s="44" t="e">
        <f ca="1">BasisSwap3M6M!F27</f>
        <v>#NAME?</v>
      </c>
      <c r="H25" s="43" t="str">
        <f t="shared" si="0"/>
        <v>EURAB3EBASIS20Y_Quote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69</v>
      </c>
      <c r="E26" s="58" t="e">
        <f ca="1">Swap6M!F28</f>
        <v>#NAME?</v>
      </c>
      <c r="F26" s="45" t="s">
        <v>68</v>
      </c>
      <c r="G26" s="44" t="e">
        <f ca="1">BasisSwap3M6M!F28</f>
        <v>#NAME?</v>
      </c>
      <c r="H26" s="43" t="str">
        <f t="shared" si="0"/>
        <v>EURAB3EBASIS21Y_Quote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69</v>
      </c>
      <c r="E27" s="58" t="e">
        <f ca="1">Swap6M!F29</f>
        <v>#NAME?</v>
      </c>
      <c r="F27" s="45" t="s">
        <v>68</v>
      </c>
      <c r="G27" s="44" t="e">
        <f ca="1">BasisSwap3M6M!F29</f>
        <v>#NAME?</v>
      </c>
      <c r="H27" s="43" t="str">
        <f t="shared" si="0"/>
        <v>EURAB3EBASIS22Y_Quote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69</v>
      </c>
      <c r="E28" s="58" t="e">
        <f ca="1">Swap6M!F30</f>
        <v>#NAME?</v>
      </c>
      <c r="F28" s="45" t="s">
        <v>68</v>
      </c>
      <c r="G28" s="44" t="e">
        <f ca="1">BasisSwap3M6M!F30</f>
        <v>#NAME?</v>
      </c>
      <c r="H28" s="43" t="str">
        <f t="shared" si="0"/>
        <v>EURAB3EBASIS23Y_Quote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69</v>
      </c>
      <c r="E29" s="58" t="e">
        <f ca="1">Swap6M!F31</f>
        <v>#NAME?</v>
      </c>
      <c r="F29" s="45" t="s">
        <v>68</v>
      </c>
      <c r="G29" s="44" t="e">
        <f ca="1">BasisSwap3M6M!F31</f>
        <v>#NAME?</v>
      </c>
      <c r="H29" s="43" t="str">
        <f t="shared" si="0"/>
        <v>EURAB3EBASIS24Y_Quote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69</v>
      </c>
      <c r="E30" s="58" t="e">
        <f ca="1">Swap6M!F32</f>
        <v>#NAME?</v>
      </c>
      <c r="F30" s="45" t="s">
        <v>68</v>
      </c>
      <c r="G30" s="44" t="e">
        <f ca="1">BasisSwap3M6M!F32</f>
        <v>#NAME?</v>
      </c>
      <c r="H30" s="43" t="str">
        <f t="shared" si="0"/>
        <v>EURAB3EBASIS25Y_Quote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69</v>
      </c>
      <c r="E31" s="58" t="e">
        <f ca="1">Swap6M!F33</f>
        <v>#NAME?</v>
      </c>
      <c r="F31" s="45" t="s">
        <v>68</v>
      </c>
      <c r="G31" s="44" t="e">
        <f ca="1">BasisSwap3M6M!F33</f>
        <v>#NAME?</v>
      </c>
      <c r="H31" s="43" t="str">
        <f t="shared" si="0"/>
        <v>EURAB3EBASIS26Y_Quote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69</v>
      </c>
      <c r="E32" s="58" t="e">
        <f ca="1">Swap6M!F34</f>
        <v>#NAME?</v>
      </c>
      <c r="F32" s="45" t="s">
        <v>68</v>
      </c>
      <c r="G32" s="44" t="e">
        <f ca="1">BasisSwap3M6M!F34</f>
        <v>#NAME?</v>
      </c>
      <c r="H32" s="43" t="str">
        <f t="shared" si="0"/>
        <v>EURAB3EBASIS27Y_Quote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69</v>
      </c>
      <c r="E33" s="58" t="e">
        <f ca="1">Swap6M!F35</f>
        <v>#NAME?</v>
      </c>
      <c r="F33" s="45" t="s">
        <v>68</v>
      </c>
      <c r="G33" s="44" t="e">
        <f ca="1">BasisSwap3M6M!F35</f>
        <v>#NAME?</v>
      </c>
      <c r="H33" s="43" t="str">
        <f t="shared" si="0"/>
        <v>EURAB3EBASIS28Y_Quote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69</v>
      </c>
      <c r="E34" s="58" t="e">
        <f ca="1">Swap6M!F36</f>
        <v>#NAME?</v>
      </c>
      <c r="F34" s="45" t="s">
        <v>68</v>
      </c>
      <c r="G34" s="44" t="e">
        <f ca="1">BasisSwap3M6M!F36</f>
        <v>#NAME?</v>
      </c>
      <c r="H34" s="43" t="str">
        <f t="shared" si="0"/>
        <v>EURAB3EBASIS29Y_Quote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69</v>
      </c>
      <c r="E35" s="58" t="e">
        <f ca="1">Swap6M!F37</f>
        <v>#NAME?</v>
      </c>
      <c r="F35" s="45" t="s">
        <v>68</v>
      </c>
      <c r="G35" s="44" t="e">
        <f ca="1">BasisSwap3M6M!F37</f>
        <v>#NAME?</v>
      </c>
      <c r="H35" s="43" t="str">
        <f t="shared" si="0"/>
        <v>EURAB3EBASIS30Y_Quote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69</v>
      </c>
      <c r="E36" s="58" t="e">
        <f ca="1">Swap6M!F38</f>
        <v>#NAME?</v>
      </c>
      <c r="F36" s="45" t="s">
        <v>68</v>
      </c>
      <c r="G36" s="44" t="e">
        <f ca="1">BasisSwap3M6M!F38</f>
        <v>#NAME?</v>
      </c>
      <c r="H36" s="43" t="str">
        <f t="shared" si="0"/>
        <v>EURAB3EBASIS35Y_Quote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69</v>
      </c>
      <c r="E37" s="58" t="e">
        <f ca="1">Swap6M!F39</f>
        <v>#NAME?</v>
      </c>
      <c r="F37" s="45" t="s">
        <v>68</v>
      </c>
      <c r="G37" s="44" t="e">
        <f ca="1">BasisSwap3M6M!F39</f>
        <v>#NAME?</v>
      </c>
      <c r="H37" s="43" t="str">
        <f t="shared" si="0"/>
        <v>EURAB3EBASIS40Y_Quote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69</v>
      </c>
      <c r="E38" s="58" t="e">
        <f ca="1">Swap6M!F40</f>
        <v>#NAME?</v>
      </c>
      <c r="F38" s="45" t="s">
        <v>68</v>
      </c>
      <c r="G38" s="44" t="e">
        <f ca="1">BasisSwap3M6M!F40</f>
        <v>#NAME?</v>
      </c>
      <c r="H38" s="43" t="str">
        <f t="shared" si="0"/>
        <v>EURAB3EBASIS50Y_Quote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69</v>
      </c>
      <c r="E39" s="57" t="e">
        <f ca="1">Swap6M!F41</f>
        <v>#NAME?</v>
      </c>
      <c r="F39" s="40" t="s">
        <v>68</v>
      </c>
      <c r="G39" s="39" t="e">
        <f ca="1">BasisSwap3M6M!F41</f>
        <v>#NAME?</v>
      </c>
      <c r="H39" s="38" t="str">
        <f t="shared" si="0"/>
        <v>EURAB3EBASIS60Y_Quote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67</v>
      </c>
      <c r="I2" s="51" t="s">
        <v>60</v>
      </c>
      <c r="J2" s="50" t="s">
        <v>59</v>
      </c>
      <c r="K2" s="36"/>
    </row>
    <row r="3" spans="1:14" ht="11.25" customHeight="1" x14ac:dyDescent="0.25">
      <c r="A3" s="41"/>
      <c r="B3" s="49" t="s">
        <v>58</v>
      </c>
      <c r="C3" s="49" t="s">
        <v>21</v>
      </c>
      <c r="D3" s="49" t="s">
        <v>66</v>
      </c>
      <c r="E3" s="59" t="e">
        <f ca="1">Swap3M!F5</f>
        <v>#NAME?</v>
      </c>
      <c r="F3" s="49" t="s">
        <v>19</v>
      </c>
      <c r="G3" s="48" t="e">
        <f ca="1">BasisSwap3M6M!F5</f>
        <v>#NAME?</v>
      </c>
      <c r="H3" s="47" t="str">
        <f t="shared" ref="H3:H39" si="0">Currency&amp;$C3&amp;$D3&amp;"BASIS"&amp;$B3&amp;QuoteSuffix</f>
        <v>EURAB6EBASIS1Y_Quote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66</v>
      </c>
      <c r="E4" s="58" t="e">
        <f ca="1">Swap3M!F6</f>
        <v>#NAME?</v>
      </c>
      <c r="F4" s="45" t="s">
        <v>19</v>
      </c>
      <c r="G4" s="44" t="e">
        <f ca="1">BasisSwap3M6M!F6</f>
        <v>#NAME?</v>
      </c>
      <c r="H4" s="43" t="str">
        <f t="shared" si="0"/>
        <v>EURAB6EBASIS15M_Quote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66</v>
      </c>
      <c r="E5" s="58" t="e">
        <f ca="1">Swap3M!F7</f>
        <v>#NAME?</v>
      </c>
      <c r="F5" s="45" t="s">
        <v>19</v>
      </c>
      <c r="G5" s="44" t="e">
        <f ca="1">BasisSwap3M6M!F7</f>
        <v>#NAME?</v>
      </c>
      <c r="H5" s="43" t="str">
        <f t="shared" si="0"/>
        <v>EURAB6EBASIS18M_Quote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66</v>
      </c>
      <c r="E6" s="58" t="e">
        <f ca="1">Swap3M!F8</f>
        <v>#NAME?</v>
      </c>
      <c r="F6" s="45" t="s">
        <v>19</v>
      </c>
      <c r="G6" s="44" t="e">
        <f ca="1">BasisSwap3M6M!F8</f>
        <v>#NAME?</v>
      </c>
      <c r="H6" s="43" t="str">
        <f t="shared" si="0"/>
        <v>EURAB6EBASIS21M_Quote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66</v>
      </c>
      <c r="E7" s="58" t="e">
        <f ca="1">Swap3M!F9</f>
        <v>#NAME?</v>
      </c>
      <c r="F7" s="45" t="s">
        <v>19</v>
      </c>
      <c r="G7" s="44" t="e">
        <f ca="1">BasisSwap3M6M!F9</f>
        <v>#NAME?</v>
      </c>
      <c r="H7" s="43" t="str">
        <f t="shared" si="0"/>
        <v>EURAB6EBASIS2Y_Quote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66</v>
      </c>
      <c r="E8" s="58" t="e">
        <f ca="1">Swap3M!F10</f>
        <v>#NAME?</v>
      </c>
      <c r="F8" s="45" t="s">
        <v>19</v>
      </c>
      <c r="G8" s="44" t="e">
        <f ca="1">BasisSwap3M6M!F10</f>
        <v>#NAME?</v>
      </c>
      <c r="H8" s="43" t="str">
        <f t="shared" si="0"/>
        <v>EURAB6EBASIS3Y_Quote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66</v>
      </c>
      <c r="E9" s="58" t="e">
        <f ca="1">Swap3M!F11</f>
        <v>#NAME?</v>
      </c>
      <c r="F9" s="45" t="s">
        <v>19</v>
      </c>
      <c r="G9" s="44" t="e">
        <f ca="1">BasisSwap3M6M!F11</f>
        <v>#NAME?</v>
      </c>
      <c r="H9" s="43" t="str">
        <f t="shared" si="0"/>
        <v>EURAB6EBASIS4Y_Quote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66</v>
      </c>
      <c r="E10" s="58" t="e">
        <f ca="1">Swap3M!F12</f>
        <v>#NAME?</v>
      </c>
      <c r="F10" s="45" t="s">
        <v>19</v>
      </c>
      <c r="G10" s="44" t="e">
        <f ca="1">BasisSwap3M6M!F12</f>
        <v>#NAME?</v>
      </c>
      <c r="H10" s="43" t="str">
        <f t="shared" si="0"/>
        <v>EURAB6EBASIS5Y_Quote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66</v>
      </c>
      <c r="E11" s="58" t="e">
        <f ca="1">Swap3M!F13</f>
        <v>#NAME?</v>
      </c>
      <c r="F11" s="45" t="s">
        <v>19</v>
      </c>
      <c r="G11" s="44" t="e">
        <f ca="1">BasisSwap3M6M!F13</f>
        <v>#NAME?</v>
      </c>
      <c r="H11" s="43" t="str">
        <f t="shared" si="0"/>
        <v>EURAB6EBASIS6Y_Quote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66</v>
      </c>
      <c r="E12" s="58" t="e">
        <f ca="1">Swap3M!F14</f>
        <v>#NAME?</v>
      </c>
      <c r="F12" s="45" t="s">
        <v>19</v>
      </c>
      <c r="G12" s="44" t="e">
        <f ca="1">BasisSwap3M6M!F14</f>
        <v>#NAME?</v>
      </c>
      <c r="H12" s="43" t="str">
        <f t="shared" si="0"/>
        <v>EURAB6EBASIS7Y_Quote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66</v>
      </c>
      <c r="E13" s="58" t="e">
        <f ca="1">Swap3M!F15</f>
        <v>#NAME?</v>
      </c>
      <c r="F13" s="45" t="s">
        <v>19</v>
      </c>
      <c r="G13" s="44" t="e">
        <f ca="1">BasisSwap3M6M!F15</f>
        <v>#NAME?</v>
      </c>
      <c r="H13" s="43" t="str">
        <f t="shared" si="0"/>
        <v>EURAB6EBASIS8Y_Quote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66</v>
      </c>
      <c r="E14" s="58" t="e">
        <f ca="1">Swap3M!F16</f>
        <v>#NAME?</v>
      </c>
      <c r="F14" s="45" t="s">
        <v>19</v>
      </c>
      <c r="G14" s="44" t="e">
        <f ca="1">BasisSwap3M6M!F16</f>
        <v>#NAME?</v>
      </c>
      <c r="H14" s="43" t="str">
        <f t="shared" si="0"/>
        <v>EURAB6EBASIS9Y_Quote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66</v>
      </c>
      <c r="E15" s="58" t="e">
        <f ca="1">Swap3M!F17</f>
        <v>#NAME?</v>
      </c>
      <c r="F15" s="45" t="s">
        <v>19</v>
      </c>
      <c r="G15" s="44" t="e">
        <f ca="1">BasisSwap3M6M!F17</f>
        <v>#NAME?</v>
      </c>
      <c r="H15" s="43" t="str">
        <f t="shared" si="0"/>
        <v>EURAB6EBASIS10Y_Quote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66</v>
      </c>
      <c r="E16" s="58" t="e">
        <f ca="1">Swap3M!F18</f>
        <v>#NAME?</v>
      </c>
      <c r="F16" s="45" t="s">
        <v>19</v>
      </c>
      <c r="G16" s="44" t="e">
        <f ca="1">BasisSwap3M6M!F18</f>
        <v>#NAME?</v>
      </c>
      <c r="H16" s="43" t="str">
        <f t="shared" si="0"/>
        <v>EURAB6EBASIS11Y_Quote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66</v>
      </c>
      <c r="E17" s="58" t="e">
        <f ca="1">Swap3M!F19</f>
        <v>#NAME?</v>
      </c>
      <c r="F17" s="45" t="s">
        <v>19</v>
      </c>
      <c r="G17" s="44" t="e">
        <f ca="1">BasisSwap3M6M!F19</f>
        <v>#NAME?</v>
      </c>
      <c r="H17" s="43" t="str">
        <f t="shared" si="0"/>
        <v>EURAB6EBASIS12Y_Quote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66</v>
      </c>
      <c r="E18" s="58" t="e">
        <f ca="1">Swap3M!F20</f>
        <v>#NAME?</v>
      </c>
      <c r="F18" s="45" t="s">
        <v>19</v>
      </c>
      <c r="G18" s="44" t="e">
        <f ca="1">BasisSwap3M6M!F20</f>
        <v>#NAME?</v>
      </c>
      <c r="H18" s="43" t="str">
        <f t="shared" si="0"/>
        <v>EURAB6EBASIS13Y_Quote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66</v>
      </c>
      <c r="E19" s="58" t="e">
        <f ca="1">Swap3M!F21</f>
        <v>#NAME?</v>
      </c>
      <c r="F19" s="45" t="s">
        <v>19</v>
      </c>
      <c r="G19" s="44" t="e">
        <f ca="1">BasisSwap3M6M!F21</f>
        <v>#NAME?</v>
      </c>
      <c r="H19" s="43" t="str">
        <f t="shared" si="0"/>
        <v>EURAB6EBASIS14Y_Quote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66</v>
      </c>
      <c r="E20" s="58" t="e">
        <f ca="1">Swap3M!F22</f>
        <v>#NAME?</v>
      </c>
      <c r="F20" s="45" t="s">
        <v>19</v>
      </c>
      <c r="G20" s="44" t="e">
        <f ca="1">BasisSwap3M6M!F22</f>
        <v>#NAME?</v>
      </c>
      <c r="H20" s="43" t="str">
        <f t="shared" si="0"/>
        <v>EURAB6EBASIS15Y_Quote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66</v>
      </c>
      <c r="E21" s="58" t="e">
        <f ca="1">Swap3M!F23</f>
        <v>#NAME?</v>
      </c>
      <c r="F21" s="45" t="s">
        <v>19</v>
      </c>
      <c r="G21" s="44" t="e">
        <f ca="1">BasisSwap3M6M!F23</f>
        <v>#NAME?</v>
      </c>
      <c r="H21" s="43" t="str">
        <f t="shared" si="0"/>
        <v>EURAB6EBASIS16Y_Quote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66</v>
      </c>
      <c r="E22" s="58" t="e">
        <f ca="1">Swap3M!F24</f>
        <v>#NAME?</v>
      </c>
      <c r="F22" s="45" t="s">
        <v>19</v>
      </c>
      <c r="G22" s="44" t="e">
        <f ca="1">BasisSwap3M6M!F24</f>
        <v>#NAME?</v>
      </c>
      <c r="H22" s="43" t="str">
        <f t="shared" si="0"/>
        <v>EURAB6EBASIS17Y_Quote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66</v>
      </c>
      <c r="E23" s="58" t="e">
        <f ca="1">Swap3M!F25</f>
        <v>#NAME?</v>
      </c>
      <c r="F23" s="45" t="s">
        <v>19</v>
      </c>
      <c r="G23" s="44" t="e">
        <f ca="1">BasisSwap3M6M!F25</f>
        <v>#NAME?</v>
      </c>
      <c r="H23" s="43" t="str">
        <f t="shared" si="0"/>
        <v>EURAB6EBASIS18Y_Quote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66</v>
      </c>
      <c r="E24" s="58" t="e">
        <f ca="1">Swap3M!F26</f>
        <v>#NAME?</v>
      </c>
      <c r="F24" s="45" t="s">
        <v>19</v>
      </c>
      <c r="G24" s="44" t="e">
        <f ca="1">BasisSwap3M6M!F26</f>
        <v>#NAME?</v>
      </c>
      <c r="H24" s="43" t="str">
        <f t="shared" si="0"/>
        <v>EURAB6EBASIS19Y_Quote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66</v>
      </c>
      <c r="E25" s="58" t="e">
        <f ca="1">Swap3M!F27</f>
        <v>#NAME?</v>
      </c>
      <c r="F25" s="45" t="s">
        <v>19</v>
      </c>
      <c r="G25" s="44" t="e">
        <f ca="1">BasisSwap3M6M!F27</f>
        <v>#NAME?</v>
      </c>
      <c r="H25" s="43" t="str">
        <f t="shared" si="0"/>
        <v>EURAB6EBASIS20Y_Quote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66</v>
      </c>
      <c r="E26" s="58" t="e">
        <f ca="1">Swap3M!F28</f>
        <v>#NAME?</v>
      </c>
      <c r="F26" s="45" t="s">
        <v>19</v>
      </c>
      <c r="G26" s="44" t="e">
        <f ca="1">BasisSwap3M6M!F28</f>
        <v>#NAME?</v>
      </c>
      <c r="H26" s="43" t="str">
        <f t="shared" si="0"/>
        <v>EURAB6EBASIS21Y_Quote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66</v>
      </c>
      <c r="E27" s="58" t="e">
        <f ca="1">Swap3M!F29</f>
        <v>#NAME?</v>
      </c>
      <c r="F27" s="45" t="s">
        <v>19</v>
      </c>
      <c r="G27" s="44" t="e">
        <f ca="1">BasisSwap3M6M!F29</f>
        <v>#NAME?</v>
      </c>
      <c r="H27" s="43" t="str">
        <f t="shared" si="0"/>
        <v>EURAB6EBASIS22Y_Quote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66</v>
      </c>
      <c r="E28" s="58" t="e">
        <f ca="1">Swap3M!F30</f>
        <v>#NAME?</v>
      </c>
      <c r="F28" s="45" t="s">
        <v>19</v>
      </c>
      <c r="G28" s="44" t="e">
        <f ca="1">BasisSwap3M6M!F30</f>
        <v>#NAME?</v>
      </c>
      <c r="H28" s="43" t="str">
        <f t="shared" si="0"/>
        <v>EURAB6EBASIS23Y_Quote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66</v>
      </c>
      <c r="E29" s="58" t="e">
        <f ca="1">Swap3M!F31</f>
        <v>#NAME?</v>
      </c>
      <c r="F29" s="45" t="s">
        <v>19</v>
      </c>
      <c r="G29" s="44" t="e">
        <f ca="1">BasisSwap3M6M!F31</f>
        <v>#NAME?</v>
      </c>
      <c r="H29" s="43" t="str">
        <f t="shared" si="0"/>
        <v>EURAB6EBASIS24Y_Quote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66</v>
      </c>
      <c r="E30" s="58" t="e">
        <f ca="1">Swap3M!F32</f>
        <v>#NAME?</v>
      </c>
      <c r="F30" s="45" t="s">
        <v>19</v>
      </c>
      <c r="G30" s="44" t="e">
        <f ca="1">BasisSwap3M6M!F32</f>
        <v>#NAME?</v>
      </c>
      <c r="H30" s="43" t="str">
        <f t="shared" si="0"/>
        <v>EURAB6EBASIS25Y_Quote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66</v>
      </c>
      <c r="E31" s="58" t="e">
        <f ca="1">Swap3M!F33</f>
        <v>#NAME?</v>
      </c>
      <c r="F31" s="45" t="s">
        <v>19</v>
      </c>
      <c r="G31" s="44" t="e">
        <f ca="1">BasisSwap3M6M!F33</f>
        <v>#NAME?</v>
      </c>
      <c r="H31" s="43" t="str">
        <f t="shared" si="0"/>
        <v>EURAB6EBASIS26Y_Quote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66</v>
      </c>
      <c r="E32" s="58" t="e">
        <f ca="1">Swap3M!F34</f>
        <v>#NAME?</v>
      </c>
      <c r="F32" s="45" t="s">
        <v>19</v>
      </c>
      <c r="G32" s="44" t="e">
        <f ca="1">BasisSwap3M6M!F34</f>
        <v>#NAME?</v>
      </c>
      <c r="H32" s="43" t="str">
        <f t="shared" si="0"/>
        <v>EURAB6EBASIS27Y_Quote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66</v>
      </c>
      <c r="E33" s="58" t="e">
        <f ca="1">Swap3M!F35</f>
        <v>#NAME?</v>
      </c>
      <c r="F33" s="45" t="s">
        <v>19</v>
      </c>
      <c r="G33" s="44" t="e">
        <f ca="1">BasisSwap3M6M!F35</f>
        <v>#NAME?</v>
      </c>
      <c r="H33" s="43" t="str">
        <f t="shared" si="0"/>
        <v>EURAB6EBASIS28Y_Quote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66</v>
      </c>
      <c r="E34" s="58" t="e">
        <f ca="1">Swap3M!F36</f>
        <v>#NAME?</v>
      </c>
      <c r="F34" s="45" t="s">
        <v>19</v>
      </c>
      <c r="G34" s="44" t="e">
        <f ca="1">BasisSwap3M6M!F36</f>
        <v>#NAME?</v>
      </c>
      <c r="H34" s="43" t="str">
        <f t="shared" si="0"/>
        <v>EURAB6EBASIS29Y_Quote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66</v>
      </c>
      <c r="E35" s="58" t="e">
        <f ca="1">Swap3M!F37</f>
        <v>#NAME?</v>
      </c>
      <c r="F35" s="45" t="s">
        <v>19</v>
      </c>
      <c r="G35" s="44" t="e">
        <f ca="1">BasisSwap3M6M!F37</f>
        <v>#NAME?</v>
      </c>
      <c r="H35" s="43" t="str">
        <f t="shared" si="0"/>
        <v>EURAB6EBASIS30Y_Quote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66</v>
      </c>
      <c r="E36" s="58" t="e">
        <f ca="1">Swap3M!F38</f>
        <v>#NAME?</v>
      </c>
      <c r="F36" s="45" t="s">
        <v>19</v>
      </c>
      <c r="G36" s="44" t="e">
        <f ca="1">BasisSwap3M6M!F38</f>
        <v>#NAME?</v>
      </c>
      <c r="H36" s="43" t="str">
        <f t="shared" si="0"/>
        <v>EURAB6EBASIS35Y_Quote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66</v>
      </c>
      <c r="E37" s="58" t="e">
        <f ca="1">Swap3M!F39</f>
        <v>#NAME?</v>
      </c>
      <c r="F37" s="45" t="s">
        <v>19</v>
      </c>
      <c r="G37" s="44" t="e">
        <f ca="1">BasisSwap3M6M!F39</f>
        <v>#NAME?</v>
      </c>
      <c r="H37" s="43" t="str">
        <f t="shared" si="0"/>
        <v>EURAB6EBASIS40Y_Quote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66</v>
      </c>
      <c r="E38" s="58" t="e">
        <f ca="1">Swap3M!F40</f>
        <v>#NAME?</v>
      </c>
      <c r="F38" s="45" t="s">
        <v>19</v>
      </c>
      <c r="G38" s="44" t="e">
        <f ca="1">BasisSwap3M6M!F40</f>
        <v>#NAME?</v>
      </c>
      <c r="H38" s="43" t="str">
        <f t="shared" si="0"/>
        <v>EURAB6EBASIS50Y_Quote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66</v>
      </c>
      <c r="E39" s="57" t="e">
        <f ca="1">Swap3M!F41</f>
        <v>#NAME?</v>
      </c>
      <c r="F39" s="40" t="s">
        <v>19</v>
      </c>
      <c r="G39" s="39" t="e">
        <f ca="1">BasisSwap3M6M!F41</f>
        <v>#NAME?</v>
      </c>
      <c r="H39" s="38" t="str">
        <f t="shared" si="0"/>
        <v>EURAB6EBASIS60Y_Quote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1:N41"/>
  <sheetViews>
    <sheetView workbookViewId="0">
      <selection activeCell="N3" sqref="N3:N4"/>
    </sheetView>
  </sheetViews>
  <sheetFormatPr defaultRowHeight="11.25" x14ac:dyDescent="0.2"/>
  <cols>
    <col min="1" max="1" width="2.7109375" style="30" customWidth="1"/>
    <col min="2" max="4" width="6.7109375" style="30" customWidth="1"/>
    <col min="5" max="5" width="28.7109375" style="30" customWidth="1"/>
    <col min="6" max="6" width="9" style="30" bestFit="1" customWidth="1"/>
    <col min="7" max="8" width="28.7109375" style="30" customWidth="1"/>
    <col min="9" max="9" width="28.7109375" style="31" customWidth="1"/>
    <col min="10" max="10" width="25.7109375" style="30" customWidth="1"/>
    <col min="11" max="11" width="2.7109375" style="30" customWidth="1"/>
    <col min="12" max="16384" width="9.140625" style="30"/>
  </cols>
  <sheetData>
    <row r="1" spans="1:14" ht="11.25" customHeight="1" x14ac:dyDescent="0.2">
      <c r="A1" s="56"/>
      <c r="B1" s="54"/>
      <c r="C1" s="54"/>
      <c r="D1" s="54"/>
      <c r="E1" s="54"/>
      <c r="F1" s="54"/>
      <c r="G1" s="54"/>
      <c r="H1" s="54"/>
      <c r="I1" s="55"/>
      <c r="J1" s="54"/>
      <c r="K1" s="53"/>
    </row>
    <row r="2" spans="1:14" ht="21" customHeight="1" thickBot="1" x14ac:dyDescent="0.25">
      <c r="A2" s="41"/>
      <c r="B2" s="52" t="s">
        <v>65</v>
      </c>
      <c r="C2" s="52"/>
      <c r="D2" s="52"/>
      <c r="E2" s="52" t="s">
        <v>64</v>
      </c>
      <c r="F2" s="52" t="s">
        <v>63</v>
      </c>
      <c r="G2" s="52" t="s">
        <v>62</v>
      </c>
      <c r="H2" s="52" t="s">
        <v>61</v>
      </c>
      <c r="I2" s="51" t="s">
        <v>60</v>
      </c>
      <c r="J2" s="50" t="s">
        <v>59</v>
      </c>
      <c r="K2" s="36"/>
    </row>
    <row r="3" spans="1:14" ht="11.25" customHeight="1" x14ac:dyDescent="0.25">
      <c r="A3" s="41"/>
      <c r="B3" s="49" t="s">
        <v>58</v>
      </c>
      <c r="C3" s="49" t="s">
        <v>21</v>
      </c>
      <c r="D3" s="49" t="s">
        <v>20</v>
      </c>
      <c r="E3" s="48" t="e">
        <f ca="1">Swap6M!F5</f>
        <v>#NAME?</v>
      </c>
      <c r="F3" s="49" t="s">
        <v>19</v>
      </c>
      <c r="G3" s="48" t="e">
        <f ca="1">BasisSwapxM12M!F5</f>
        <v>#NAME?</v>
      </c>
      <c r="H3" s="47" t="str">
        <f t="shared" ref="H3:H39" si="0">Currency&amp;$C3&amp;$D3&amp;"BASIS"&amp;$B3&amp;QuoteSuffix</f>
        <v>EURAB12EBASIS1Y_Quote</v>
      </c>
      <c r="I3" s="47" t="e">
        <f ca="1">_xll.qlCompositeQuote(H3,E3,G3,F3,Permanent,Trigger,ObjectOverwrite)</f>
        <v>#NAME?</v>
      </c>
      <c r="J3" s="46" t="e">
        <f ca="1">_xll.ohRangeRetrieveError(I3)</f>
        <v>#NAME?</v>
      </c>
      <c r="K3" s="36"/>
      <c r="M3" s="1361" t="s">
        <v>529</v>
      </c>
      <c r="N3" s="1364" t="e">
        <f ca="1">_xll.ohTrigger('General Settings'!Trigger)</f>
        <v>#NAME?</v>
      </c>
    </row>
    <row r="4" spans="1:14" ht="11.25" customHeight="1" thickBot="1" x14ac:dyDescent="0.3">
      <c r="A4" s="41"/>
      <c r="B4" s="45" t="s">
        <v>57</v>
      </c>
      <c r="C4" s="45" t="s">
        <v>21</v>
      </c>
      <c r="D4" s="45" t="s">
        <v>20</v>
      </c>
      <c r="E4" s="44" t="e">
        <f ca="1">Swap6M!F6</f>
        <v>#NAME?</v>
      </c>
      <c r="F4" s="45" t="s">
        <v>19</v>
      </c>
      <c r="G4" s="44" t="e">
        <f ca="1">BasisSwapxM12M!F6</f>
        <v>#NAME?</v>
      </c>
      <c r="H4" s="43" t="str">
        <f t="shared" si="0"/>
        <v>EURAB12EBASIS15M_Quote</v>
      </c>
      <c r="I4" s="43" t="e">
        <f ca="1">_xll.qlCompositeQuote(H4,E4,G4,F4,Permanent,Trigger,ObjectOverwrite)</f>
        <v>#NAME?</v>
      </c>
      <c r="J4" s="42" t="e">
        <f ca="1">_xll.ohRangeRetrieveError(I4)</f>
        <v>#NAME?</v>
      </c>
      <c r="K4" s="36"/>
      <c r="M4" s="1362" t="s">
        <v>530</v>
      </c>
      <c r="N4" s="1365" t="e">
        <f ca="1">_xll.ohTrigger(I3:I39)</f>
        <v>#NAME?</v>
      </c>
    </row>
    <row r="5" spans="1:14" ht="11.25" customHeight="1" x14ac:dyDescent="0.2">
      <c r="A5" s="41"/>
      <c r="B5" s="45" t="s">
        <v>56</v>
      </c>
      <c r="C5" s="45" t="s">
        <v>21</v>
      </c>
      <c r="D5" s="45" t="s">
        <v>20</v>
      </c>
      <c r="E5" s="44" t="e">
        <f ca="1">Swap6M!F7</f>
        <v>#NAME?</v>
      </c>
      <c r="F5" s="45" t="s">
        <v>19</v>
      </c>
      <c r="G5" s="44" t="e">
        <f ca="1">BasisSwapxM12M!F7</f>
        <v>#NAME?</v>
      </c>
      <c r="H5" s="43" t="str">
        <f t="shared" si="0"/>
        <v>EURAB12EBASIS18M_Quote</v>
      </c>
      <c r="I5" s="43" t="e">
        <f ca="1">_xll.qlCompositeQuote(H5,E5,G5,F5,Permanent,Trigger,ObjectOverwrite)</f>
        <v>#NAME?</v>
      </c>
      <c r="J5" s="42" t="e">
        <f ca="1">_xll.ohRangeRetrieveError(I5)</f>
        <v>#NAME?</v>
      </c>
      <c r="K5" s="36"/>
    </row>
    <row r="6" spans="1:14" ht="11.25" customHeight="1" x14ac:dyDescent="0.2">
      <c r="A6" s="41"/>
      <c r="B6" s="45" t="s">
        <v>55</v>
      </c>
      <c r="C6" s="45" t="s">
        <v>21</v>
      </c>
      <c r="D6" s="45" t="s">
        <v>20</v>
      </c>
      <c r="E6" s="44" t="e">
        <f ca="1">Swap6M!F8</f>
        <v>#NAME?</v>
      </c>
      <c r="F6" s="45" t="s">
        <v>19</v>
      </c>
      <c r="G6" s="44" t="e">
        <f ca="1">BasisSwapxM12M!F8</f>
        <v>#NAME?</v>
      </c>
      <c r="H6" s="43" t="str">
        <f t="shared" si="0"/>
        <v>EURAB12EBASIS21M_Quote</v>
      </c>
      <c r="I6" s="43" t="e">
        <f ca="1">_xll.qlCompositeQuote(H6,E6,G6,F6,Permanent,Trigger,ObjectOverwrite)</f>
        <v>#NAME?</v>
      </c>
      <c r="J6" s="42" t="e">
        <f ca="1">_xll.ohRangeRetrieveError(I6)</f>
        <v>#NAME?</v>
      </c>
      <c r="K6" s="36"/>
    </row>
    <row r="7" spans="1:14" ht="11.25" customHeight="1" x14ac:dyDescent="0.2">
      <c r="A7" s="41"/>
      <c r="B7" s="45" t="s">
        <v>54</v>
      </c>
      <c r="C7" s="45" t="s">
        <v>21</v>
      </c>
      <c r="D7" s="45" t="s">
        <v>20</v>
      </c>
      <c r="E7" s="44" t="e">
        <f ca="1">Swap6M!F9</f>
        <v>#NAME?</v>
      </c>
      <c r="F7" s="45" t="s">
        <v>19</v>
      </c>
      <c r="G7" s="44" t="e">
        <f ca="1">BasisSwapxM12M!F9</f>
        <v>#NAME?</v>
      </c>
      <c r="H7" s="43" t="str">
        <f t="shared" si="0"/>
        <v>EURAB12EBASIS2Y_Quote</v>
      </c>
      <c r="I7" s="43" t="e">
        <f ca="1">_xll.qlCompositeQuote(H7,E7,G7,F7,Permanent,Trigger,ObjectOverwrite)</f>
        <v>#NAME?</v>
      </c>
      <c r="J7" s="42" t="e">
        <f ca="1">_xll.ohRangeRetrieveError(I7)</f>
        <v>#NAME?</v>
      </c>
      <c r="K7" s="36"/>
    </row>
    <row r="8" spans="1:14" ht="11.25" customHeight="1" x14ac:dyDescent="0.2">
      <c r="A8" s="41"/>
      <c r="B8" s="45" t="s">
        <v>53</v>
      </c>
      <c r="C8" s="45" t="s">
        <v>21</v>
      </c>
      <c r="D8" s="45" t="s">
        <v>20</v>
      </c>
      <c r="E8" s="44" t="e">
        <f ca="1">Swap6M!F10</f>
        <v>#NAME?</v>
      </c>
      <c r="F8" s="45" t="s">
        <v>19</v>
      </c>
      <c r="G8" s="44" t="e">
        <f ca="1">BasisSwapxM12M!F10</f>
        <v>#NAME?</v>
      </c>
      <c r="H8" s="43" t="str">
        <f t="shared" si="0"/>
        <v>EURAB12EBASIS3Y_Quote</v>
      </c>
      <c r="I8" s="43" t="e">
        <f ca="1">_xll.qlCompositeQuote(H8,E8,G8,F8,Permanent,Trigger,ObjectOverwrite)</f>
        <v>#NAME?</v>
      </c>
      <c r="J8" s="42" t="e">
        <f ca="1">_xll.ohRangeRetrieveError(I8)</f>
        <v>#NAME?</v>
      </c>
      <c r="K8" s="36"/>
    </row>
    <row r="9" spans="1:14" ht="11.25" customHeight="1" x14ac:dyDescent="0.2">
      <c r="A9" s="41"/>
      <c r="B9" s="45" t="s">
        <v>52</v>
      </c>
      <c r="C9" s="45" t="s">
        <v>21</v>
      </c>
      <c r="D9" s="45" t="s">
        <v>20</v>
      </c>
      <c r="E9" s="44" t="e">
        <f ca="1">Swap6M!F11</f>
        <v>#NAME?</v>
      </c>
      <c r="F9" s="45" t="s">
        <v>19</v>
      </c>
      <c r="G9" s="44" t="e">
        <f ca="1">BasisSwapxM12M!F11</f>
        <v>#NAME?</v>
      </c>
      <c r="H9" s="43" t="str">
        <f t="shared" si="0"/>
        <v>EURAB12EBASIS4Y_Quote</v>
      </c>
      <c r="I9" s="43" t="e">
        <f ca="1">_xll.qlCompositeQuote(H9,E9,G9,F9,Permanent,Trigger,ObjectOverwrite)</f>
        <v>#NAME?</v>
      </c>
      <c r="J9" s="42" t="e">
        <f ca="1">_xll.ohRangeRetrieveError(I9)</f>
        <v>#NAME?</v>
      </c>
      <c r="K9" s="36"/>
    </row>
    <row r="10" spans="1:14" ht="11.25" customHeight="1" x14ac:dyDescent="0.2">
      <c r="A10" s="41"/>
      <c r="B10" s="45" t="s">
        <v>51</v>
      </c>
      <c r="C10" s="45" t="s">
        <v>21</v>
      </c>
      <c r="D10" s="45" t="s">
        <v>20</v>
      </c>
      <c r="E10" s="44" t="e">
        <f ca="1">Swap6M!F12</f>
        <v>#NAME?</v>
      </c>
      <c r="F10" s="45" t="s">
        <v>19</v>
      </c>
      <c r="G10" s="44" t="e">
        <f ca="1">BasisSwapxM12M!F12</f>
        <v>#NAME?</v>
      </c>
      <c r="H10" s="43" t="str">
        <f t="shared" si="0"/>
        <v>EURAB12EBASIS5Y_Quote</v>
      </c>
      <c r="I10" s="43" t="e">
        <f ca="1">_xll.qlCompositeQuote(H10,E10,G10,F10,Permanent,Trigger,ObjectOverwrite)</f>
        <v>#NAME?</v>
      </c>
      <c r="J10" s="42" t="e">
        <f ca="1">_xll.ohRangeRetrieveError(I10)</f>
        <v>#NAME?</v>
      </c>
      <c r="K10" s="36"/>
    </row>
    <row r="11" spans="1:14" ht="11.25" customHeight="1" x14ac:dyDescent="0.2">
      <c r="A11" s="41"/>
      <c r="B11" s="45" t="s">
        <v>50</v>
      </c>
      <c r="C11" s="45" t="s">
        <v>21</v>
      </c>
      <c r="D11" s="45" t="s">
        <v>20</v>
      </c>
      <c r="E11" s="44" t="e">
        <f ca="1">Swap6M!F13</f>
        <v>#NAME?</v>
      </c>
      <c r="F11" s="45" t="s">
        <v>19</v>
      </c>
      <c r="G11" s="44" t="e">
        <f ca="1">BasisSwapxM12M!F13</f>
        <v>#NAME?</v>
      </c>
      <c r="H11" s="43" t="str">
        <f t="shared" si="0"/>
        <v>EURAB12EBASIS6Y_Quote</v>
      </c>
      <c r="I11" s="43" t="e">
        <f ca="1">_xll.qlCompositeQuote(H11,E11,G11,F11,Permanent,Trigger,ObjectOverwrite)</f>
        <v>#NAME?</v>
      </c>
      <c r="J11" s="42" t="e">
        <f ca="1">_xll.ohRangeRetrieveError(I11)</f>
        <v>#NAME?</v>
      </c>
      <c r="K11" s="36"/>
    </row>
    <row r="12" spans="1:14" ht="11.25" customHeight="1" x14ac:dyDescent="0.2">
      <c r="A12" s="41"/>
      <c r="B12" s="45" t="s">
        <v>49</v>
      </c>
      <c r="C12" s="45" t="s">
        <v>21</v>
      </c>
      <c r="D12" s="45" t="s">
        <v>20</v>
      </c>
      <c r="E12" s="44" t="e">
        <f ca="1">Swap6M!F14</f>
        <v>#NAME?</v>
      </c>
      <c r="F12" s="45" t="s">
        <v>19</v>
      </c>
      <c r="G12" s="44" t="e">
        <f ca="1">BasisSwapxM12M!F14</f>
        <v>#NAME?</v>
      </c>
      <c r="H12" s="43" t="str">
        <f t="shared" si="0"/>
        <v>EURAB12EBASIS7Y_Quote</v>
      </c>
      <c r="I12" s="43" t="e">
        <f ca="1">_xll.qlCompositeQuote(H12,E12,G12,F12,Permanent,Trigger,ObjectOverwrite)</f>
        <v>#NAME?</v>
      </c>
      <c r="J12" s="42" t="e">
        <f ca="1">_xll.ohRangeRetrieveError(I12)</f>
        <v>#NAME?</v>
      </c>
      <c r="K12" s="36"/>
    </row>
    <row r="13" spans="1:14" ht="11.25" customHeight="1" x14ac:dyDescent="0.2">
      <c r="A13" s="41"/>
      <c r="B13" s="45" t="s">
        <v>48</v>
      </c>
      <c r="C13" s="45" t="s">
        <v>21</v>
      </c>
      <c r="D13" s="45" t="s">
        <v>20</v>
      </c>
      <c r="E13" s="44" t="e">
        <f ca="1">Swap6M!F15</f>
        <v>#NAME?</v>
      </c>
      <c r="F13" s="45" t="s">
        <v>19</v>
      </c>
      <c r="G13" s="44" t="e">
        <f ca="1">BasisSwapxM12M!F15</f>
        <v>#NAME?</v>
      </c>
      <c r="H13" s="43" t="str">
        <f t="shared" si="0"/>
        <v>EURAB12EBASIS8Y_Quote</v>
      </c>
      <c r="I13" s="43" t="e">
        <f ca="1">_xll.qlCompositeQuote(H13,E13,G13,F13,Permanent,Trigger,ObjectOverwrite)</f>
        <v>#NAME?</v>
      </c>
      <c r="J13" s="42" t="e">
        <f ca="1">_xll.ohRangeRetrieveError(I13)</f>
        <v>#NAME?</v>
      </c>
      <c r="K13" s="36"/>
    </row>
    <row r="14" spans="1:14" ht="11.25" customHeight="1" x14ac:dyDescent="0.2">
      <c r="A14" s="41"/>
      <c r="B14" s="45" t="s">
        <v>47</v>
      </c>
      <c r="C14" s="45" t="s">
        <v>21</v>
      </c>
      <c r="D14" s="45" t="s">
        <v>20</v>
      </c>
      <c r="E14" s="44" t="e">
        <f ca="1">Swap6M!F16</f>
        <v>#NAME?</v>
      </c>
      <c r="F14" s="45" t="s">
        <v>19</v>
      </c>
      <c r="G14" s="44" t="e">
        <f ca="1">BasisSwapxM12M!F16</f>
        <v>#NAME?</v>
      </c>
      <c r="H14" s="43" t="str">
        <f t="shared" si="0"/>
        <v>EURAB12EBASIS9Y_Quote</v>
      </c>
      <c r="I14" s="43" t="e">
        <f ca="1">_xll.qlCompositeQuote(H14,E14,G14,F14,Permanent,Trigger,ObjectOverwrite)</f>
        <v>#NAME?</v>
      </c>
      <c r="J14" s="42" t="e">
        <f ca="1">_xll.ohRangeRetrieveError(I14)</f>
        <v>#NAME?</v>
      </c>
      <c r="K14" s="36"/>
    </row>
    <row r="15" spans="1:14" ht="11.25" customHeight="1" x14ac:dyDescent="0.2">
      <c r="A15" s="41"/>
      <c r="B15" s="45" t="s">
        <v>46</v>
      </c>
      <c r="C15" s="45" t="s">
        <v>21</v>
      </c>
      <c r="D15" s="45" t="s">
        <v>20</v>
      </c>
      <c r="E15" s="44" t="e">
        <f ca="1">Swap6M!F17</f>
        <v>#NAME?</v>
      </c>
      <c r="F15" s="45" t="s">
        <v>19</v>
      </c>
      <c r="G15" s="44" t="e">
        <f ca="1">BasisSwapxM12M!F17</f>
        <v>#NAME?</v>
      </c>
      <c r="H15" s="43" t="str">
        <f t="shared" si="0"/>
        <v>EURAB12EBASIS10Y_Quote</v>
      </c>
      <c r="I15" s="43" t="e">
        <f ca="1">_xll.qlCompositeQuote(H15,E15,G15,F15,Permanent,Trigger,ObjectOverwrite)</f>
        <v>#NAME?</v>
      </c>
      <c r="J15" s="42" t="e">
        <f ca="1">_xll.ohRangeRetrieveError(I15)</f>
        <v>#NAME?</v>
      </c>
      <c r="K15" s="36"/>
    </row>
    <row r="16" spans="1:14" ht="11.25" customHeight="1" x14ac:dyDescent="0.2">
      <c r="A16" s="41"/>
      <c r="B16" s="45" t="s">
        <v>45</v>
      </c>
      <c r="C16" s="45" t="s">
        <v>21</v>
      </c>
      <c r="D16" s="45" t="s">
        <v>20</v>
      </c>
      <c r="E16" s="44" t="e">
        <f ca="1">Swap6M!F18</f>
        <v>#NAME?</v>
      </c>
      <c r="F16" s="45" t="s">
        <v>19</v>
      </c>
      <c r="G16" s="44" t="e">
        <f ca="1">BasisSwapxM12M!F18</f>
        <v>#NAME?</v>
      </c>
      <c r="H16" s="43" t="str">
        <f t="shared" si="0"/>
        <v>EURAB12EBASIS11Y_Quote</v>
      </c>
      <c r="I16" s="43" t="e">
        <f ca="1">_xll.qlCompositeQuote(H16,E16,G16,F16,Permanent,Trigger,ObjectOverwrite)</f>
        <v>#NAME?</v>
      </c>
      <c r="J16" s="42" t="e">
        <f ca="1">_xll.ohRangeRetrieveError(I16)</f>
        <v>#NAME?</v>
      </c>
      <c r="K16" s="36"/>
    </row>
    <row r="17" spans="1:11" ht="11.25" customHeight="1" x14ac:dyDescent="0.2">
      <c r="A17" s="41"/>
      <c r="B17" s="45" t="s">
        <v>44</v>
      </c>
      <c r="C17" s="45" t="s">
        <v>21</v>
      </c>
      <c r="D17" s="45" t="s">
        <v>20</v>
      </c>
      <c r="E17" s="44" t="e">
        <f ca="1">Swap6M!F19</f>
        <v>#NAME?</v>
      </c>
      <c r="F17" s="45" t="s">
        <v>19</v>
      </c>
      <c r="G17" s="44" t="e">
        <f ca="1">BasisSwapxM12M!F19</f>
        <v>#NAME?</v>
      </c>
      <c r="H17" s="43" t="str">
        <f t="shared" si="0"/>
        <v>EURAB12EBASIS12Y_Quote</v>
      </c>
      <c r="I17" s="43" t="e">
        <f ca="1">_xll.qlCompositeQuote(H17,E17,G17,F17,Permanent,Trigger,ObjectOverwrite)</f>
        <v>#NAME?</v>
      </c>
      <c r="J17" s="42" t="e">
        <f ca="1">_xll.ohRangeRetrieveError(I17)</f>
        <v>#NAME?</v>
      </c>
      <c r="K17" s="36"/>
    </row>
    <row r="18" spans="1:11" ht="11.25" customHeight="1" x14ac:dyDescent="0.2">
      <c r="A18" s="41"/>
      <c r="B18" s="45" t="s">
        <v>43</v>
      </c>
      <c r="C18" s="45" t="s">
        <v>21</v>
      </c>
      <c r="D18" s="45" t="s">
        <v>20</v>
      </c>
      <c r="E18" s="44" t="e">
        <f ca="1">Swap6M!F20</f>
        <v>#NAME?</v>
      </c>
      <c r="F18" s="45" t="s">
        <v>19</v>
      </c>
      <c r="G18" s="44" t="e">
        <f ca="1">BasisSwapxM12M!F20</f>
        <v>#NAME?</v>
      </c>
      <c r="H18" s="43" t="str">
        <f t="shared" si="0"/>
        <v>EURAB12EBASIS13Y_Quote</v>
      </c>
      <c r="I18" s="43" t="e">
        <f ca="1">_xll.qlCompositeQuote(H18,E18,G18,F18,Permanent,Trigger,ObjectOverwrite)</f>
        <v>#NAME?</v>
      </c>
      <c r="J18" s="42" t="e">
        <f ca="1">_xll.ohRangeRetrieveError(I18)</f>
        <v>#NAME?</v>
      </c>
      <c r="K18" s="36"/>
    </row>
    <row r="19" spans="1:11" ht="11.25" customHeight="1" x14ac:dyDescent="0.2">
      <c r="A19" s="41"/>
      <c r="B19" s="45" t="s">
        <v>42</v>
      </c>
      <c r="C19" s="45" t="s">
        <v>21</v>
      </c>
      <c r="D19" s="45" t="s">
        <v>20</v>
      </c>
      <c r="E19" s="44" t="e">
        <f ca="1">Swap6M!F21</f>
        <v>#NAME?</v>
      </c>
      <c r="F19" s="45" t="s">
        <v>19</v>
      </c>
      <c r="G19" s="44" t="e">
        <f ca="1">BasisSwapxM12M!F21</f>
        <v>#NAME?</v>
      </c>
      <c r="H19" s="43" t="str">
        <f t="shared" si="0"/>
        <v>EURAB12EBASIS14Y_Quote</v>
      </c>
      <c r="I19" s="43" t="e">
        <f ca="1">_xll.qlCompositeQuote(H19,E19,G19,F19,Permanent,Trigger,ObjectOverwrite)</f>
        <v>#NAME?</v>
      </c>
      <c r="J19" s="42" t="e">
        <f ca="1">_xll.ohRangeRetrieveError(I19)</f>
        <v>#NAME?</v>
      </c>
      <c r="K19" s="36"/>
    </row>
    <row r="20" spans="1:11" ht="11.25" customHeight="1" x14ac:dyDescent="0.2">
      <c r="A20" s="41"/>
      <c r="B20" s="45" t="s">
        <v>41</v>
      </c>
      <c r="C20" s="45" t="s">
        <v>21</v>
      </c>
      <c r="D20" s="45" t="s">
        <v>20</v>
      </c>
      <c r="E20" s="44" t="e">
        <f ca="1">Swap6M!F22</f>
        <v>#NAME?</v>
      </c>
      <c r="F20" s="45" t="s">
        <v>19</v>
      </c>
      <c r="G20" s="44" t="e">
        <f ca="1">BasisSwapxM12M!F22</f>
        <v>#NAME?</v>
      </c>
      <c r="H20" s="43" t="str">
        <f t="shared" si="0"/>
        <v>EURAB12EBASIS15Y_Quote</v>
      </c>
      <c r="I20" s="43" t="e">
        <f ca="1">_xll.qlCompositeQuote(H20,E20,G20,F20,Permanent,Trigger,ObjectOverwrite)</f>
        <v>#NAME?</v>
      </c>
      <c r="J20" s="42" t="e">
        <f ca="1">_xll.ohRangeRetrieveError(I20)</f>
        <v>#NAME?</v>
      </c>
      <c r="K20" s="36"/>
    </row>
    <row r="21" spans="1:11" ht="11.25" customHeight="1" x14ac:dyDescent="0.2">
      <c r="A21" s="41"/>
      <c r="B21" s="45" t="s">
        <v>40</v>
      </c>
      <c r="C21" s="45" t="s">
        <v>21</v>
      </c>
      <c r="D21" s="45" t="s">
        <v>20</v>
      </c>
      <c r="E21" s="44" t="e">
        <f ca="1">Swap6M!F23</f>
        <v>#NAME?</v>
      </c>
      <c r="F21" s="45" t="s">
        <v>19</v>
      </c>
      <c r="G21" s="44" t="e">
        <f ca="1">BasisSwapxM12M!F23</f>
        <v>#NAME?</v>
      </c>
      <c r="H21" s="43" t="str">
        <f t="shared" si="0"/>
        <v>EURAB12EBASIS16Y_Quote</v>
      </c>
      <c r="I21" s="43" t="e">
        <f ca="1">_xll.qlCompositeQuote(H21,E21,G21,F21,Permanent,Trigger,ObjectOverwrite)</f>
        <v>#NAME?</v>
      </c>
      <c r="J21" s="42" t="e">
        <f ca="1">_xll.ohRangeRetrieveError(I21)</f>
        <v>#NAME?</v>
      </c>
      <c r="K21" s="36"/>
    </row>
    <row r="22" spans="1:11" ht="11.25" customHeight="1" x14ac:dyDescent="0.2">
      <c r="A22" s="41"/>
      <c r="B22" s="45" t="s">
        <v>39</v>
      </c>
      <c r="C22" s="45" t="s">
        <v>21</v>
      </c>
      <c r="D22" s="45" t="s">
        <v>20</v>
      </c>
      <c r="E22" s="44" t="e">
        <f ca="1">Swap6M!F24</f>
        <v>#NAME?</v>
      </c>
      <c r="F22" s="45" t="s">
        <v>19</v>
      </c>
      <c r="G22" s="44" t="e">
        <f ca="1">BasisSwapxM12M!F24</f>
        <v>#NAME?</v>
      </c>
      <c r="H22" s="43" t="str">
        <f t="shared" si="0"/>
        <v>EURAB12EBASIS17Y_Quote</v>
      </c>
      <c r="I22" s="43" t="e">
        <f ca="1">_xll.qlCompositeQuote(H22,E22,G22,F22,Permanent,Trigger,ObjectOverwrite)</f>
        <v>#NAME?</v>
      </c>
      <c r="J22" s="42" t="e">
        <f ca="1">_xll.ohRangeRetrieveError(I22)</f>
        <v>#NAME?</v>
      </c>
      <c r="K22" s="36"/>
    </row>
    <row r="23" spans="1:11" ht="11.25" customHeight="1" x14ac:dyDescent="0.2">
      <c r="A23" s="41"/>
      <c r="B23" s="45" t="s">
        <v>38</v>
      </c>
      <c r="C23" s="45" t="s">
        <v>21</v>
      </c>
      <c r="D23" s="45" t="s">
        <v>20</v>
      </c>
      <c r="E23" s="44" t="e">
        <f ca="1">Swap6M!F25</f>
        <v>#NAME?</v>
      </c>
      <c r="F23" s="45" t="s">
        <v>19</v>
      </c>
      <c r="G23" s="44" t="e">
        <f ca="1">BasisSwapxM12M!F25</f>
        <v>#NAME?</v>
      </c>
      <c r="H23" s="43" t="str">
        <f t="shared" si="0"/>
        <v>EURAB12EBASIS18Y_Quote</v>
      </c>
      <c r="I23" s="43" t="e">
        <f ca="1">_xll.qlCompositeQuote(H23,E23,G23,F23,Permanent,Trigger,ObjectOverwrite)</f>
        <v>#NAME?</v>
      </c>
      <c r="J23" s="42" t="e">
        <f ca="1">_xll.ohRangeRetrieveError(I23)</f>
        <v>#NAME?</v>
      </c>
      <c r="K23" s="36"/>
    </row>
    <row r="24" spans="1:11" ht="11.25" customHeight="1" x14ac:dyDescent="0.2">
      <c r="A24" s="41"/>
      <c r="B24" s="45" t="s">
        <v>37</v>
      </c>
      <c r="C24" s="45" t="s">
        <v>21</v>
      </c>
      <c r="D24" s="45" t="s">
        <v>20</v>
      </c>
      <c r="E24" s="44" t="e">
        <f ca="1">Swap6M!F26</f>
        <v>#NAME?</v>
      </c>
      <c r="F24" s="45" t="s">
        <v>19</v>
      </c>
      <c r="G24" s="44" t="e">
        <f ca="1">BasisSwapxM12M!F26</f>
        <v>#NAME?</v>
      </c>
      <c r="H24" s="43" t="str">
        <f t="shared" si="0"/>
        <v>EURAB12EBASIS19Y_Quote</v>
      </c>
      <c r="I24" s="43" t="e">
        <f ca="1">_xll.qlCompositeQuote(H24,E24,G24,F24,Permanent,Trigger,ObjectOverwrite)</f>
        <v>#NAME?</v>
      </c>
      <c r="J24" s="42" t="e">
        <f ca="1">_xll.ohRangeRetrieveError(I24)</f>
        <v>#NAME?</v>
      </c>
      <c r="K24" s="36"/>
    </row>
    <row r="25" spans="1:11" ht="11.25" customHeight="1" x14ac:dyDescent="0.2">
      <c r="A25" s="41"/>
      <c r="B25" s="45" t="s">
        <v>36</v>
      </c>
      <c r="C25" s="45" t="s">
        <v>21</v>
      </c>
      <c r="D25" s="45" t="s">
        <v>20</v>
      </c>
      <c r="E25" s="44" t="e">
        <f ca="1">Swap6M!F27</f>
        <v>#NAME?</v>
      </c>
      <c r="F25" s="45" t="s">
        <v>19</v>
      </c>
      <c r="G25" s="44" t="e">
        <f ca="1">BasisSwapxM12M!F27</f>
        <v>#NAME?</v>
      </c>
      <c r="H25" s="43" t="str">
        <f t="shared" si="0"/>
        <v>EURAB12EBASIS20Y_Quote</v>
      </c>
      <c r="I25" s="43" t="e">
        <f ca="1">_xll.qlCompositeQuote(H25,E25,G25,F25,Permanent,Trigger,ObjectOverwrite)</f>
        <v>#NAME?</v>
      </c>
      <c r="J25" s="42" t="e">
        <f ca="1">_xll.ohRangeRetrieveError(I25)</f>
        <v>#NAME?</v>
      </c>
      <c r="K25" s="36"/>
    </row>
    <row r="26" spans="1:11" ht="11.25" customHeight="1" x14ac:dyDescent="0.2">
      <c r="A26" s="41"/>
      <c r="B26" s="45" t="s">
        <v>35</v>
      </c>
      <c r="C26" s="45" t="s">
        <v>21</v>
      </c>
      <c r="D26" s="45" t="s">
        <v>20</v>
      </c>
      <c r="E26" s="44" t="e">
        <f ca="1">Swap6M!F28</f>
        <v>#NAME?</v>
      </c>
      <c r="F26" s="45" t="s">
        <v>19</v>
      </c>
      <c r="G26" s="44" t="e">
        <f ca="1">BasisSwapxM12M!F28</f>
        <v>#NAME?</v>
      </c>
      <c r="H26" s="43" t="str">
        <f t="shared" si="0"/>
        <v>EURAB12EBASIS21Y_Quote</v>
      </c>
      <c r="I26" s="43" t="e">
        <f ca="1">_xll.qlCompositeQuote(H26,E26,G26,F26,Permanent,Trigger,ObjectOverwrite)</f>
        <v>#NAME?</v>
      </c>
      <c r="J26" s="42" t="e">
        <f ca="1">_xll.ohRangeRetrieveError(I26)</f>
        <v>#NAME?</v>
      </c>
      <c r="K26" s="36"/>
    </row>
    <row r="27" spans="1:11" ht="11.25" customHeight="1" x14ac:dyDescent="0.2">
      <c r="A27" s="41"/>
      <c r="B27" s="45" t="s">
        <v>34</v>
      </c>
      <c r="C27" s="45" t="s">
        <v>21</v>
      </c>
      <c r="D27" s="45" t="s">
        <v>20</v>
      </c>
      <c r="E27" s="44" t="e">
        <f ca="1">Swap6M!F29</f>
        <v>#NAME?</v>
      </c>
      <c r="F27" s="45" t="s">
        <v>19</v>
      </c>
      <c r="G27" s="44" t="e">
        <f ca="1">BasisSwapxM12M!F29</f>
        <v>#NAME?</v>
      </c>
      <c r="H27" s="43" t="str">
        <f t="shared" si="0"/>
        <v>EURAB12EBASIS22Y_Quote</v>
      </c>
      <c r="I27" s="43" t="e">
        <f ca="1">_xll.qlCompositeQuote(H27,E27,G27,F27,Permanent,Trigger,ObjectOverwrite)</f>
        <v>#NAME?</v>
      </c>
      <c r="J27" s="42" t="e">
        <f ca="1">_xll.ohRangeRetrieveError(I27)</f>
        <v>#NAME?</v>
      </c>
      <c r="K27" s="36"/>
    </row>
    <row r="28" spans="1:11" ht="11.25" customHeight="1" x14ac:dyDescent="0.2">
      <c r="A28" s="41"/>
      <c r="B28" s="45" t="s">
        <v>33</v>
      </c>
      <c r="C28" s="45" t="s">
        <v>21</v>
      </c>
      <c r="D28" s="45" t="s">
        <v>20</v>
      </c>
      <c r="E28" s="44" t="e">
        <f ca="1">Swap6M!F30</f>
        <v>#NAME?</v>
      </c>
      <c r="F28" s="45" t="s">
        <v>19</v>
      </c>
      <c r="G28" s="44" t="e">
        <f ca="1">BasisSwapxM12M!F30</f>
        <v>#NAME?</v>
      </c>
      <c r="H28" s="43" t="str">
        <f t="shared" si="0"/>
        <v>EURAB12EBASIS23Y_Quote</v>
      </c>
      <c r="I28" s="43" t="e">
        <f ca="1">_xll.qlCompositeQuote(H28,E28,G28,F28,Permanent,Trigger,ObjectOverwrite)</f>
        <v>#NAME?</v>
      </c>
      <c r="J28" s="42" t="e">
        <f ca="1">_xll.ohRangeRetrieveError(I28)</f>
        <v>#NAME?</v>
      </c>
      <c r="K28" s="36"/>
    </row>
    <row r="29" spans="1:11" ht="11.25" customHeight="1" x14ac:dyDescent="0.2">
      <c r="A29" s="41"/>
      <c r="B29" s="45" t="s">
        <v>32</v>
      </c>
      <c r="C29" s="45" t="s">
        <v>21</v>
      </c>
      <c r="D29" s="45" t="s">
        <v>20</v>
      </c>
      <c r="E29" s="44" t="e">
        <f ca="1">Swap6M!F31</f>
        <v>#NAME?</v>
      </c>
      <c r="F29" s="45" t="s">
        <v>19</v>
      </c>
      <c r="G29" s="44" t="e">
        <f ca="1">BasisSwapxM12M!F31</f>
        <v>#NAME?</v>
      </c>
      <c r="H29" s="43" t="str">
        <f t="shared" si="0"/>
        <v>EURAB12EBASIS24Y_Quote</v>
      </c>
      <c r="I29" s="43" t="e">
        <f ca="1">_xll.qlCompositeQuote(H29,E29,G29,F29,Permanent,Trigger,ObjectOverwrite)</f>
        <v>#NAME?</v>
      </c>
      <c r="J29" s="42" t="e">
        <f ca="1">_xll.ohRangeRetrieveError(I29)</f>
        <v>#NAME?</v>
      </c>
      <c r="K29" s="36"/>
    </row>
    <row r="30" spans="1:11" ht="11.25" customHeight="1" x14ac:dyDescent="0.2">
      <c r="A30" s="41"/>
      <c r="B30" s="45" t="s">
        <v>31</v>
      </c>
      <c r="C30" s="45" t="s">
        <v>21</v>
      </c>
      <c r="D30" s="45" t="s">
        <v>20</v>
      </c>
      <c r="E30" s="44" t="e">
        <f ca="1">Swap6M!F32</f>
        <v>#NAME?</v>
      </c>
      <c r="F30" s="45" t="s">
        <v>19</v>
      </c>
      <c r="G30" s="44" t="e">
        <f ca="1">BasisSwapxM12M!F32</f>
        <v>#NAME?</v>
      </c>
      <c r="H30" s="43" t="str">
        <f t="shared" si="0"/>
        <v>EURAB12EBASIS25Y_Quote</v>
      </c>
      <c r="I30" s="43" t="e">
        <f ca="1">_xll.qlCompositeQuote(H30,E30,G30,F30,Permanent,Trigger,ObjectOverwrite)</f>
        <v>#NAME?</v>
      </c>
      <c r="J30" s="42" t="e">
        <f ca="1">_xll.ohRangeRetrieveError(I30)</f>
        <v>#NAME?</v>
      </c>
      <c r="K30" s="36"/>
    </row>
    <row r="31" spans="1:11" ht="11.25" customHeight="1" x14ac:dyDescent="0.2">
      <c r="A31" s="41"/>
      <c r="B31" s="45" t="s">
        <v>30</v>
      </c>
      <c r="C31" s="45" t="s">
        <v>21</v>
      </c>
      <c r="D31" s="45" t="s">
        <v>20</v>
      </c>
      <c r="E31" s="44" t="e">
        <f ca="1">Swap6M!F33</f>
        <v>#NAME?</v>
      </c>
      <c r="F31" s="45" t="s">
        <v>19</v>
      </c>
      <c r="G31" s="44" t="e">
        <f ca="1">BasisSwapxM12M!F33</f>
        <v>#NAME?</v>
      </c>
      <c r="H31" s="43" t="str">
        <f t="shared" si="0"/>
        <v>EURAB12EBASIS26Y_Quote</v>
      </c>
      <c r="I31" s="43" t="e">
        <f ca="1">_xll.qlCompositeQuote(H31,E31,G31,F31,Permanent,Trigger,ObjectOverwrite)</f>
        <v>#NAME?</v>
      </c>
      <c r="J31" s="42" t="e">
        <f ca="1">_xll.ohRangeRetrieveError(I31)</f>
        <v>#NAME?</v>
      </c>
      <c r="K31" s="36"/>
    </row>
    <row r="32" spans="1:11" ht="11.25" customHeight="1" x14ac:dyDescent="0.2">
      <c r="A32" s="41"/>
      <c r="B32" s="45" t="s">
        <v>29</v>
      </c>
      <c r="C32" s="45" t="s">
        <v>21</v>
      </c>
      <c r="D32" s="45" t="s">
        <v>20</v>
      </c>
      <c r="E32" s="44" t="e">
        <f ca="1">Swap6M!F34</f>
        <v>#NAME?</v>
      </c>
      <c r="F32" s="45" t="s">
        <v>19</v>
      </c>
      <c r="G32" s="44" t="e">
        <f ca="1">BasisSwapxM12M!F34</f>
        <v>#NAME?</v>
      </c>
      <c r="H32" s="43" t="str">
        <f t="shared" si="0"/>
        <v>EURAB12EBASIS27Y_Quote</v>
      </c>
      <c r="I32" s="43" t="e">
        <f ca="1">_xll.qlCompositeQuote(H32,E32,G32,F32,Permanent,Trigger,ObjectOverwrite)</f>
        <v>#NAME?</v>
      </c>
      <c r="J32" s="42" t="e">
        <f ca="1">_xll.ohRangeRetrieveError(I32)</f>
        <v>#NAME?</v>
      </c>
      <c r="K32" s="36"/>
    </row>
    <row r="33" spans="1:11" ht="11.25" customHeight="1" x14ac:dyDescent="0.2">
      <c r="A33" s="41"/>
      <c r="B33" s="45" t="s">
        <v>28</v>
      </c>
      <c r="C33" s="45" t="s">
        <v>21</v>
      </c>
      <c r="D33" s="45" t="s">
        <v>20</v>
      </c>
      <c r="E33" s="44" t="e">
        <f ca="1">Swap6M!F35</f>
        <v>#NAME?</v>
      </c>
      <c r="F33" s="45" t="s">
        <v>19</v>
      </c>
      <c r="G33" s="44" t="e">
        <f ca="1">BasisSwapxM12M!F35</f>
        <v>#NAME?</v>
      </c>
      <c r="H33" s="43" t="str">
        <f t="shared" si="0"/>
        <v>EURAB12EBASIS28Y_Quote</v>
      </c>
      <c r="I33" s="43" t="e">
        <f ca="1">_xll.qlCompositeQuote(H33,E33,G33,F33,Permanent,Trigger,ObjectOverwrite)</f>
        <v>#NAME?</v>
      </c>
      <c r="J33" s="42" t="e">
        <f ca="1">_xll.ohRangeRetrieveError(I33)</f>
        <v>#NAME?</v>
      </c>
      <c r="K33" s="36"/>
    </row>
    <row r="34" spans="1:11" ht="11.25" customHeight="1" x14ac:dyDescent="0.2">
      <c r="A34" s="41"/>
      <c r="B34" s="45" t="s">
        <v>27</v>
      </c>
      <c r="C34" s="45" t="s">
        <v>21</v>
      </c>
      <c r="D34" s="45" t="s">
        <v>20</v>
      </c>
      <c r="E34" s="44" t="e">
        <f ca="1">Swap6M!F36</f>
        <v>#NAME?</v>
      </c>
      <c r="F34" s="45" t="s">
        <v>19</v>
      </c>
      <c r="G34" s="44" t="e">
        <f ca="1">BasisSwapxM12M!F36</f>
        <v>#NAME?</v>
      </c>
      <c r="H34" s="43" t="str">
        <f t="shared" si="0"/>
        <v>EURAB12EBASIS29Y_Quote</v>
      </c>
      <c r="I34" s="43" t="e">
        <f ca="1">_xll.qlCompositeQuote(H34,E34,G34,F34,Permanent,Trigger,ObjectOverwrite)</f>
        <v>#NAME?</v>
      </c>
      <c r="J34" s="42" t="e">
        <f ca="1">_xll.ohRangeRetrieveError(I34)</f>
        <v>#NAME?</v>
      </c>
      <c r="K34" s="36"/>
    </row>
    <row r="35" spans="1:11" ht="11.25" customHeight="1" x14ac:dyDescent="0.2">
      <c r="A35" s="41"/>
      <c r="B35" s="45" t="s">
        <v>26</v>
      </c>
      <c r="C35" s="45" t="s">
        <v>21</v>
      </c>
      <c r="D35" s="45" t="s">
        <v>20</v>
      </c>
      <c r="E35" s="44" t="e">
        <f ca="1">Swap6M!F37</f>
        <v>#NAME?</v>
      </c>
      <c r="F35" s="45" t="s">
        <v>19</v>
      </c>
      <c r="G35" s="44" t="e">
        <f ca="1">BasisSwapxM12M!F37</f>
        <v>#NAME?</v>
      </c>
      <c r="H35" s="43" t="str">
        <f t="shared" si="0"/>
        <v>EURAB12EBASIS30Y_Quote</v>
      </c>
      <c r="I35" s="43" t="e">
        <f ca="1">_xll.qlCompositeQuote(H35,E35,G35,F35,Permanent,Trigger,ObjectOverwrite)</f>
        <v>#NAME?</v>
      </c>
      <c r="J35" s="42" t="e">
        <f ca="1">_xll.ohRangeRetrieveError(I35)</f>
        <v>#NAME?</v>
      </c>
      <c r="K35" s="36"/>
    </row>
    <row r="36" spans="1:11" ht="11.25" customHeight="1" x14ac:dyDescent="0.2">
      <c r="A36" s="41"/>
      <c r="B36" s="45" t="s">
        <v>25</v>
      </c>
      <c r="C36" s="45" t="s">
        <v>21</v>
      </c>
      <c r="D36" s="45" t="s">
        <v>20</v>
      </c>
      <c r="E36" s="44" t="e">
        <f ca="1">Swap6M!F38</f>
        <v>#NAME?</v>
      </c>
      <c r="F36" s="45" t="s">
        <v>19</v>
      </c>
      <c r="G36" s="44" t="e">
        <f ca="1">BasisSwapxM12M!F38</f>
        <v>#NAME?</v>
      </c>
      <c r="H36" s="43" t="str">
        <f t="shared" si="0"/>
        <v>EURAB12EBASIS35Y_Quote</v>
      </c>
      <c r="I36" s="43" t="e">
        <f ca="1">_xll.qlCompositeQuote(H36,E36,G36,F36,Permanent,Trigger,ObjectOverwrite)</f>
        <v>#NAME?</v>
      </c>
      <c r="J36" s="42" t="e">
        <f ca="1">_xll.ohRangeRetrieveError(I36)</f>
        <v>#NAME?</v>
      </c>
      <c r="K36" s="36"/>
    </row>
    <row r="37" spans="1:11" ht="11.25" customHeight="1" x14ac:dyDescent="0.2">
      <c r="A37" s="41"/>
      <c r="B37" s="45" t="s">
        <v>24</v>
      </c>
      <c r="C37" s="45" t="s">
        <v>21</v>
      </c>
      <c r="D37" s="45" t="s">
        <v>20</v>
      </c>
      <c r="E37" s="44" t="e">
        <f ca="1">Swap6M!F39</f>
        <v>#NAME?</v>
      </c>
      <c r="F37" s="45" t="s">
        <v>19</v>
      </c>
      <c r="G37" s="44" t="e">
        <f ca="1">BasisSwapxM12M!F39</f>
        <v>#NAME?</v>
      </c>
      <c r="H37" s="43" t="str">
        <f t="shared" si="0"/>
        <v>EURAB12EBASIS40Y_Quote</v>
      </c>
      <c r="I37" s="43" t="e">
        <f ca="1">_xll.qlCompositeQuote(H37,E37,G37,F37,Permanent,Trigger,ObjectOverwrite)</f>
        <v>#NAME?</v>
      </c>
      <c r="J37" s="42" t="e">
        <f ca="1">_xll.ohRangeRetrieveError(I37)</f>
        <v>#NAME?</v>
      </c>
      <c r="K37" s="36"/>
    </row>
    <row r="38" spans="1:11" ht="11.25" customHeight="1" x14ac:dyDescent="0.2">
      <c r="A38" s="41"/>
      <c r="B38" s="45" t="s">
        <v>23</v>
      </c>
      <c r="C38" s="45" t="s">
        <v>21</v>
      </c>
      <c r="D38" s="45" t="s">
        <v>20</v>
      </c>
      <c r="E38" s="44" t="e">
        <f ca="1">Swap6M!F40</f>
        <v>#NAME?</v>
      </c>
      <c r="F38" s="45" t="s">
        <v>19</v>
      </c>
      <c r="G38" s="44" t="e">
        <f ca="1">BasisSwapxM12M!F40</f>
        <v>#NAME?</v>
      </c>
      <c r="H38" s="43" t="str">
        <f t="shared" si="0"/>
        <v>EURAB12EBASIS50Y_Quote</v>
      </c>
      <c r="I38" s="43" t="e">
        <f ca="1">_xll.qlCompositeQuote(H38,E38,G38,F38,Permanent,Trigger,ObjectOverwrite)</f>
        <v>#NAME?</v>
      </c>
      <c r="J38" s="42" t="e">
        <f ca="1">_xll.ohRangeRetrieveError(I38)</f>
        <v>#NAME?</v>
      </c>
      <c r="K38" s="36"/>
    </row>
    <row r="39" spans="1:11" ht="11.25" customHeight="1" x14ac:dyDescent="0.2">
      <c r="A39" s="41"/>
      <c r="B39" s="40" t="s">
        <v>22</v>
      </c>
      <c r="C39" s="40" t="s">
        <v>21</v>
      </c>
      <c r="D39" s="40" t="s">
        <v>20</v>
      </c>
      <c r="E39" s="39" t="e">
        <f ca="1">Swap6M!F41</f>
        <v>#NAME?</v>
      </c>
      <c r="F39" s="40" t="s">
        <v>19</v>
      </c>
      <c r="G39" s="39" t="e">
        <f ca="1">BasisSwapxM12M!F41</f>
        <v>#NAME?</v>
      </c>
      <c r="H39" s="38" t="str">
        <f t="shared" si="0"/>
        <v>EURAB12EBASIS60Y_Quote</v>
      </c>
      <c r="I39" s="38" t="e">
        <f ca="1">_xll.qlCompositeQuote(H39,E39,G39,F39,Permanent,Trigger,ObjectOverwrite)</f>
        <v>#NAME?</v>
      </c>
      <c r="J39" s="37" t="e">
        <f ca="1">_xll.ohRangeRetrieveError(I39)</f>
        <v>#NAME?</v>
      </c>
      <c r="K39" s="36"/>
    </row>
    <row r="40" spans="1:11" ht="11.25" customHeight="1" x14ac:dyDescent="0.2">
      <c r="A40" s="35"/>
      <c r="B40" s="34"/>
      <c r="C40" s="34"/>
      <c r="D40" s="34"/>
      <c r="E40" s="34"/>
      <c r="F40" s="34"/>
      <c r="G40" s="34"/>
      <c r="H40" s="34"/>
      <c r="I40" s="33"/>
      <c r="J40" s="33"/>
      <c r="K40" s="32"/>
    </row>
    <row r="41" spans="1:11" ht="11.25" customHeight="1" x14ac:dyDescent="0.2"/>
  </sheetData>
  <pageMargins left="0.75" right="0.75" top="1" bottom="1" header="0.5" footer="0.5"/>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18</v>
      </c>
      <c r="D1" s="1"/>
      <c r="E1" s="1"/>
      <c r="F1" s="1"/>
    </row>
    <row r="2" spans="1:9" ht="15" x14ac:dyDescent="0.25">
      <c r="A2" s="16" t="s">
        <v>11</v>
      </c>
      <c r="B2" s="29" t="e">
        <f ca="1">_xll.qlCalendarAdvance("TARGET",B3,"-4M","f",FALSE,Trigger)</f>
        <v>#NAME?</v>
      </c>
      <c r="D2" s="21" t="e">
        <f ca="1">_xll.RHistory("EURIBOR3MD=",B6:B7,B4,,"CH:In;Fd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17</v>
      </c>
      <c r="E3" s="20" t="s">
        <v>17</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-0.04</v>
      </c>
      <c r="F5" s="12" t="e">
        <f t="shared" ref="F5:F68" ca="1" si="0">_xll.qlIndexAddFixings($B$1,D5,E5/100,TRUE,Trigger)</f>
        <v>#NAME?</v>
      </c>
    </row>
    <row r="6" spans="1:9" x14ac:dyDescent="0.2">
      <c r="A6" s="10" t="s">
        <v>2</v>
      </c>
      <c r="B6" s="26" t="s">
        <v>1</v>
      </c>
      <c r="D6" s="5">
        <v>42276</v>
      </c>
      <c r="E6" s="4">
        <v>-4.1000000000000002E-2</v>
      </c>
      <c r="F6" s="4" t="e">
        <f t="shared" ca="1" si="0"/>
        <v>#NAME?</v>
      </c>
    </row>
    <row r="7" spans="1:9" x14ac:dyDescent="0.2">
      <c r="A7" s="8"/>
      <c r="B7" s="25" t="s">
        <v>0</v>
      </c>
      <c r="D7" s="5">
        <v>42275</v>
      </c>
      <c r="E7" s="4">
        <v>-4.1000000000000002E-2</v>
      </c>
      <c r="F7" s="4" t="e">
        <f t="shared" ca="1" si="0"/>
        <v>#NAME?</v>
      </c>
    </row>
    <row r="8" spans="1:9" x14ac:dyDescent="0.2">
      <c r="D8" s="5">
        <v>42272</v>
      </c>
      <c r="E8" s="4">
        <v>-4.1000000000000002E-2</v>
      </c>
      <c r="F8" s="4" t="e">
        <f t="shared" ca="1" si="0"/>
        <v>#NAME?</v>
      </c>
    </row>
    <row r="9" spans="1:9" x14ac:dyDescent="0.2">
      <c r="D9" s="5">
        <v>42271</v>
      </c>
      <c r="E9" s="4">
        <v>-0.04</v>
      </c>
      <c r="F9" s="4" t="e">
        <f t="shared" ca="1" si="0"/>
        <v>#NAME?</v>
      </c>
    </row>
    <row r="10" spans="1:9" x14ac:dyDescent="0.2">
      <c r="D10" s="5">
        <v>42270</v>
      </c>
      <c r="E10" s="4">
        <v>-3.9E-2</v>
      </c>
      <c r="F10" s="4" t="e">
        <f t="shared" ca="1" si="0"/>
        <v>#NAME?</v>
      </c>
    </row>
    <row r="11" spans="1:9" x14ac:dyDescent="0.2">
      <c r="D11" s="5">
        <v>42269</v>
      </c>
      <c r="E11" s="4">
        <v>-3.9E-2</v>
      </c>
      <c r="F11" s="4" t="e">
        <f t="shared" ca="1" si="0"/>
        <v>#NAME?</v>
      </c>
    </row>
    <row r="12" spans="1:9" x14ac:dyDescent="0.2">
      <c r="D12" s="5">
        <v>42268</v>
      </c>
      <c r="E12" s="4">
        <v>-3.7999999999999999E-2</v>
      </c>
      <c r="F12" s="4" t="e">
        <f t="shared" ca="1" si="0"/>
        <v>#NAME?</v>
      </c>
    </row>
    <row r="13" spans="1:9" x14ac:dyDescent="0.2">
      <c r="D13" s="5">
        <v>42265</v>
      </c>
      <c r="E13" s="4">
        <v>-3.6999999999999998E-2</v>
      </c>
      <c r="F13" s="4" t="e">
        <f t="shared" ca="1" si="0"/>
        <v>#NAME?</v>
      </c>
    </row>
    <row r="14" spans="1:9" x14ac:dyDescent="0.2">
      <c r="D14" s="5">
        <v>42264</v>
      </c>
      <c r="E14" s="4">
        <v>-3.6999999999999998E-2</v>
      </c>
      <c r="F14" s="4" t="e">
        <f t="shared" ca="1" si="0"/>
        <v>#NAME?</v>
      </c>
    </row>
    <row r="15" spans="1:9" x14ac:dyDescent="0.2">
      <c r="D15" s="5">
        <v>42263</v>
      </c>
      <c r="E15" s="4">
        <v>-3.6999999999999998E-2</v>
      </c>
      <c r="F15" s="4" t="e">
        <f t="shared" ca="1" si="0"/>
        <v>#NAME?</v>
      </c>
    </row>
    <row r="16" spans="1:9" x14ac:dyDescent="0.2">
      <c r="D16" s="5">
        <v>42262</v>
      </c>
      <c r="E16" s="4">
        <v>-3.5999999999999997E-2</v>
      </c>
      <c r="F16" s="4" t="e">
        <f t="shared" ca="1" si="0"/>
        <v>#NAME?</v>
      </c>
    </row>
    <row r="17" spans="4:6" x14ac:dyDescent="0.2">
      <c r="D17" s="5">
        <v>42261</v>
      </c>
      <c r="E17" s="4">
        <v>-3.7999999999999999E-2</v>
      </c>
      <c r="F17" s="4" t="e">
        <f t="shared" ca="1" si="0"/>
        <v>#NAME?</v>
      </c>
    </row>
    <row r="18" spans="4:6" x14ac:dyDescent="0.2">
      <c r="D18" s="5">
        <v>42258</v>
      </c>
      <c r="E18" s="4">
        <v>-3.7999999999999999E-2</v>
      </c>
      <c r="F18" s="4" t="e">
        <f t="shared" ca="1" si="0"/>
        <v>#NAME?</v>
      </c>
    </row>
    <row r="19" spans="4:6" x14ac:dyDescent="0.2">
      <c r="D19" s="5">
        <v>42257</v>
      </c>
      <c r="E19" s="4">
        <v>-3.5999999999999997E-2</v>
      </c>
      <c r="F19" s="4" t="e">
        <f t="shared" ca="1" si="0"/>
        <v>#NAME?</v>
      </c>
    </row>
    <row r="20" spans="4:6" x14ac:dyDescent="0.2">
      <c r="D20" s="5">
        <v>42256</v>
      </c>
      <c r="E20" s="4">
        <v>-3.5000000000000003E-2</v>
      </c>
      <c r="F20" s="4" t="e">
        <f t="shared" ca="1" si="0"/>
        <v>#NAME?</v>
      </c>
    </row>
    <row r="21" spans="4:6" x14ac:dyDescent="0.2">
      <c r="D21" s="5">
        <v>42255</v>
      </c>
      <c r="E21" s="4">
        <v>-3.5000000000000003E-2</v>
      </c>
      <c r="F21" s="4" t="e">
        <f t="shared" ca="1" si="0"/>
        <v>#NAME?</v>
      </c>
    </row>
    <row r="22" spans="4:6" x14ac:dyDescent="0.2">
      <c r="D22" s="5">
        <v>42254</v>
      </c>
      <c r="E22" s="4">
        <v>-3.4000000000000002E-2</v>
      </c>
      <c r="F22" s="4" t="e">
        <f t="shared" ca="1" si="0"/>
        <v>#NAME?</v>
      </c>
    </row>
    <row r="23" spans="4:6" x14ac:dyDescent="0.2">
      <c r="D23" s="5">
        <v>42251</v>
      </c>
      <c r="E23" s="4">
        <v>-3.4000000000000002E-2</v>
      </c>
      <c r="F23" s="4" t="e">
        <f t="shared" ca="1" si="0"/>
        <v>#NAME?</v>
      </c>
    </row>
    <row r="24" spans="4:6" x14ac:dyDescent="0.2">
      <c r="D24" s="5">
        <v>42250</v>
      </c>
      <c r="E24" s="4">
        <v>-3.3000000000000002E-2</v>
      </c>
      <c r="F24" s="4" t="e">
        <f t="shared" ca="1" si="0"/>
        <v>#NAME?</v>
      </c>
    </row>
    <row r="25" spans="4:6" x14ac:dyDescent="0.2">
      <c r="D25" s="5">
        <v>42249</v>
      </c>
      <c r="E25" s="4">
        <v>-3.3000000000000002E-2</v>
      </c>
      <c r="F25" s="4" t="e">
        <f t="shared" ca="1" si="0"/>
        <v>#NAME?</v>
      </c>
    </row>
    <row r="26" spans="4:6" x14ac:dyDescent="0.2">
      <c r="D26" s="5">
        <v>42248</v>
      </c>
      <c r="E26" s="4">
        <v>-3.3000000000000002E-2</v>
      </c>
      <c r="F26" s="4" t="e">
        <f t="shared" ca="1" si="0"/>
        <v>#NAME?</v>
      </c>
    </row>
    <row r="27" spans="4:6" x14ac:dyDescent="0.2">
      <c r="D27" s="5">
        <v>42247</v>
      </c>
      <c r="E27" s="4">
        <v>-3.3000000000000002E-2</v>
      </c>
      <c r="F27" s="4" t="e">
        <f t="shared" ca="1" si="0"/>
        <v>#NAME?</v>
      </c>
    </row>
    <row r="28" spans="4:6" x14ac:dyDescent="0.2">
      <c r="D28" s="5">
        <v>42244</v>
      </c>
      <c r="E28" s="4">
        <v>-3.3000000000000002E-2</v>
      </c>
      <c r="F28" s="4" t="e">
        <f t="shared" ca="1" si="0"/>
        <v>#NAME?</v>
      </c>
    </row>
    <row r="29" spans="4:6" x14ac:dyDescent="0.2">
      <c r="D29" s="5">
        <v>42243</v>
      </c>
      <c r="E29" s="4">
        <v>-3.3000000000000002E-2</v>
      </c>
      <c r="F29" s="4" t="e">
        <f t="shared" ca="1" si="0"/>
        <v>#NAME?</v>
      </c>
    </row>
    <row r="30" spans="4:6" x14ac:dyDescent="0.2">
      <c r="D30" s="5">
        <v>42242</v>
      </c>
      <c r="E30" s="4">
        <v>-3.3000000000000002E-2</v>
      </c>
      <c r="F30" s="4" t="e">
        <f t="shared" ca="1" si="0"/>
        <v>#NAME?</v>
      </c>
    </row>
    <row r="31" spans="4:6" x14ac:dyDescent="0.2">
      <c r="D31" s="5">
        <v>42241</v>
      </c>
      <c r="E31" s="4">
        <v>-3.3000000000000002E-2</v>
      </c>
      <c r="F31" s="4" t="e">
        <f t="shared" ca="1" si="0"/>
        <v>#NAME?</v>
      </c>
    </row>
    <row r="32" spans="4:6" x14ac:dyDescent="0.2">
      <c r="D32" s="5">
        <v>42240</v>
      </c>
      <c r="E32" s="4">
        <v>-3.2000000000000001E-2</v>
      </c>
      <c r="F32" s="4" t="e">
        <f t="shared" ca="1" si="0"/>
        <v>#NAME?</v>
      </c>
    </row>
    <row r="33" spans="4:6" x14ac:dyDescent="0.2">
      <c r="D33" s="5">
        <v>42237</v>
      </c>
      <c r="E33" s="4">
        <v>-3.1E-2</v>
      </c>
      <c r="F33" s="4" t="e">
        <f t="shared" ca="1" si="0"/>
        <v>#NAME?</v>
      </c>
    </row>
    <row r="34" spans="4:6" x14ac:dyDescent="0.2">
      <c r="D34" s="5">
        <v>42236</v>
      </c>
      <c r="E34" s="4">
        <v>-0.03</v>
      </c>
      <c r="F34" s="4" t="e">
        <f t="shared" ca="1" si="0"/>
        <v>#NAME?</v>
      </c>
    </row>
    <row r="35" spans="4:6" x14ac:dyDescent="0.2">
      <c r="D35" s="5">
        <v>42235</v>
      </c>
      <c r="E35" s="4">
        <v>-2.9000000000000001E-2</v>
      </c>
      <c r="F35" s="4" t="e">
        <f t="shared" ca="1" si="0"/>
        <v>#NAME?</v>
      </c>
    </row>
    <row r="36" spans="4:6" x14ac:dyDescent="0.2">
      <c r="D36" s="5">
        <v>42234</v>
      </c>
      <c r="E36" s="4">
        <v>-2.8000000000000001E-2</v>
      </c>
      <c r="F36" s="4" t="e">
        <f t="shared" ca="1" si="0"/>
        <v>#NAME?</v>
      </c>
    </row>
    <row r="37" spans="4:6" x14ac:dyDescent="0.2">
      <c r="D37" s="5">
        <v>42233</v>
      </c>
      <c r="E37" s="4">
        <v>-2.7E-2</v>
      </c>
      <c r="F37" s="4" t="e">
        <f t="shared" ca="1" si="0"/>
        <v>#NAME?</v>
      </c>
    </row>
    <row r="38" spans="4:6" x14ac:dyDescent="0.2">
      <c r="D38" s="5">
        <v>42230</v>
      </c>
      <c r="E38" s="4">
        <v>-2.5000000000000001E-2</v>
      </c>
      <c r="F38" s="4" t="e">
        <f t="shared" ca="1" si="0"/>
        <v>#NAME?</v>
      </c>
    </row>
    <row r="39" spans="4:6" x14ac:dyDescent="0.2">
      <c r="D39" s="5">
        <v>42229</v>
      </c>
      <c r="E39" s="4">
        <v>-2.4E-2</v>
      </c>
      <c r="F39" s="4" t="e">
        <f t="shared" ca="1" si="0"/>
        <v>#NAME?</v>
      </c>
    </row>
    <row r="40" spans="4:6" x14ac:dyDescent="0.2">
      <c r="D40" s="5">
        <v>42228</v>
      </c>
      <c r="E40" s="4">
        <v>-2.4E-2</v>
      </c>
      <c r="F40" s="4" t="e">
        <f t="shared" ca="1" si="0"/>
        <v>#NAME?</v>
      </c>
    </row>
    <row r="41" spans="4:6" x14ac:dyDescent="0.2">
      <c r="D41" s="5">
        <v>42227</v>
      </c>
      <c r="E41" s="4">
        <v>-2.4E-2</v>
      </c>
      <c r="F41" s="4" t="e">
        <f t="shared" ca="1" si="0"/>
        <v>#NAME?</v>
      </c>
    </row>
    <row r="42" spans="4:6" x14ac:dyDescent="0.2">
      <c r="D42" s="5">
        <v>42226</v>
      </c>
      <c r="E42" s="4">
        <v>-2.4E-2</v>
      </c>
      <c r="F42" s="4" t="e">
        <f t="shared" ca="1" si="0"/>
        <v>#NAME?</v>
      </c>
    </row>
    <row r="43" spans="4:6" x14ac:dyDescent="0.2">
      <c r="D43" s="5">
        <v>42223</v>
      </c>
      <c r="E43" s="4">
        <v>-2.4E-2</v>
      </c>
      <c r="F43" s="4" t="e">
        <f t="shared" ca="1" si="0"/>
        <v>#NAME?</v>
      </c>
    </row>
    <row r="44" spans="4:6" x14ac:dyDescent="0.2">
      <c r="D44" s="5">
        <v>42222</v>
      </c>
      <c r="E44" s="4">
        <v>-2.4E-2</v>
      </c>
      <c r="F44" s="4" t="e">
        <f t="shared" ca="1" si="0"/>
        <v>#NAME?</v>
      </c>
    </row>
    <row r="45" spans="4:6" x14ac:dyDescent="0.2">
      <c r="D45" s="5">
        <v>42221</v>
      </c>
      <c r="E45" s="4">
        <v>-2.4E-2</v>
      </c>
      <c r="F45" s="4" t="e">
        <f t="shared" ca="1" si="0"/>
        <v>#NAME?</v>
      </c>
    </row>
    <row r="46" spans="4:6" x14ac:dyDescent="0.2">
      <c r="D46" s="5">
        <v>42220</v>
      </c>
      <c r="E46" s="4">
        <v>-2.3E-2</v>
      </c>
      <c r="F46" s="4" t="e">
        <f t="shared" ca="1" si="0"/>
        <v>#NAME?</v>
      </c>
    </row>
    <row r="47" spans="4:6" x14ac:dyDescent="0.2">
      <c r="D47" s="5">
        <v>42219</v>
      </c>
      <c r="E47" s="4">
        <v>-2.3E-2</v>
      </c>
      <c r="F47" s="4" t="e">
        <f t="shared" ca="1" si="0"/>
        <v>#NAME?</v>
      </c>
    </row>
    <row r="48" spans="4:6" x14ac:dyDescent="0.2">
      <c r="D48" s="5">
        <v>42216</v>
      </c>
      <c r="E48" s="4">
        <v>-2.3E-2</v>
      </c>
      <c r="F48" s="4" t="e">
        <f t="shared" ca="1" si="0"/>
        <v>#NAME?</v>
      </c>
    </row>
    <row r="49" spans="4:6" x14ac:dyDescent="0.2">
      <c r="D49" s="5">
        <v>42215</v>
      </c>
      <c r="E49" s="4">
        <v>-2.3E-2</v>
      </c>
      <c r="F49" s="4" t="e">
        <f t="shared" ca="1" si="0"/>
        <v>#NAME?</v>
      </c>
    </row>
    <row r="50" spans="4:6" x14ac:dyDescent="0.2">
      <c r="D50" s="5">
        <v>42214</v>
      </c>
      <c r="E50" s="4">
        <v>-2.1999999999999999E-2</v>
      </c>
      <c r="F50" s="4" t="e">
        <f t="shared" ca="1" si="0"/>
        <v>#NAME?</v>
      </c>
    </row>
    <row r="51" spans="4:6" x14ac:dyDescent="0.2">
      <c r="D51" s="5">
        <v>42213</v>
      </c>
      <c r="E51" s="4">
        <v>-2.1000000000000001E-2</v>
      </c>
      <c r="F51" s="4" t="e">
        <f t="shared" ca="1" si="0"/>
        <v>#NAME?</v>
      </c>
    </row>
    <row r="52" spans="4:6" x14ac:dyDescent="0.2">
      <c r="D52" s="5">
        <v>42212</v>
      </c>
      <c r="E52" s="4">
        <v>-0.02</v>
      </c>
      <c r="F52" s="4" t="e">
        <f t="shared" ca="1" si="0"/>
        <v>#NAME?</v>
      </c>
    </row>
    <row r="53" spans="4:6" x14ac:dyDescent="0.2">
      <c r="D53" s="5">
        <v>42209</v>
      </c>
      <c r="E53" s="4">
        <v>-1.9E-2</v>
      </c>
      <c r="F53" s="4" t="e">
        <f t="shared" ca="1" si="0"/>
        <v>#NAME?</v>
      </c>
    </row>
    <row r="54" spans="4:6" x14ac:dyDescent="0.2">
      <c r="D54" s="5">
        <v>42208</v>
      </c>
      <c r="E54" s="4">
        <v>-1.9E-2</v>
      </c>
      <c r="F54" s="4" t="e">
        <f t="shared" ca="1" si="0"/>
        <v>#NAME?</v>
      </c>
    </row>
    <row r="55" spans="4:6" x14ac:dyDescent="0.2">
      <c r="D55" s="5">
        <v>42207</v>
      </c>
      <c r="E55" s="4">
        <v>-1.9E-2</v>
      </c>
      <c r="F55" s="4" t="e">
        <f t="shared" ca="1" si="0"/>
        <v>#NAME?</v>
      </c>
    </row>
    <row r="56" spans="4:6" x14ac:dyDescent="0.2">
      <c r="D56" s="5">
        <v>42206</v>
      </c>
      <c r="E56" s="4">
        <v>-1.9E-2</v>
      </c>
      <c r="F56" s="4" t="e">
        <f t="shared" ca="1" si="0"/>
        <v>#NAME?</v>
      </c>
    </row>
    <row r="57" spans="4:6" x14ac:dyDescent="0.2">
      <c r="D57" s="5">
        <v>42205</v>
      </c>
      <c r="E57" s="4">
        <v>-1.9E-2</v>
      </c>
      <c r="F57" s="4" t="e">
        <f t="shared" ca="1" si="0"/>
        <v>#NAME?</v>
      </c>
    </row>
    <row r="58" spans="4:6" x14ac:dyDescent="0.2">
      <c r="D58" s="5">
        <v>42202</v>
      </c>
      <c r="E58" s="4">
        <v>-1.9E-2</v>
      </c>
      <c r="F58" s="4" t="e">
        <f t="shared" ca="1" si="0"/>
        <v>#NAME?</v>
      </c>
    </row>
    <row r="59" spans="4:6" x14ac:dyDescent="0.2">
      <c r="D59" s="5">
        <v>42201</v>
      </c>
      <c r="E59" s="4">
        <v>-1.9E-2</v>
      </c>
      <c r="F59" s="4" t="e">
        <f t="shared" ca="1" si="0"/>
        <v>#NAME?</v>
      </c>
    </row>
    <row r="60" spans="4:6" x14ac:dyDescent="0.2">
      <c r="D60" s="5">
        <v>42200</v>
      </c>
      <c r="E60" s="4">
        <v>-1.9E-2</v>
      </c>
      <c r="F60" s="4" t="e">
        <f t="shared" ca="1" si="0"/>
        <v>#NAME?</v>
      </c>
    </row>
    <row r="61" spans="4:6" x14ac:dyDescent="0.2">
      <c r="D61" s="5">
        <v>42199</v>
      </c>
      <c r="E61" s="4">
        <v>-1.9E-2</v>
      </c>
      <c r="F61" s="4" t="e">
        <f t="shared" ca="1" si="0"/>
        <v>#NAME?</v>
      </c>
    </row>
    <row r="62" spans="4:6" x14ac:dyDescent="0.2">
      <c r="D62" s="5">
        <v>42198</v>
      </c>
      <c r="E62" s="4">
        <v>-1.9E-2</v>
      </c>
      <c r="F62" s="4" t="e">
        <f t="shared" ca="1" si="0"/>
        <v>#NAME?</v>
      </c>
    </row>
    <row r="63" spans="4:6" x14ac:dyDescent="0.2">
      <c r="D63" s="5">
        <v>42195</v>
      </c>
      <c r="E63" s="4">
        <v>-1.7999999999999999E-2</v>
      </c>
      <c r="F63" s="4" t="e">
        <f t="shared" ca="1" si="0"/>
        <v>#NAME?</v>
      </c>
    </row>
    <row r="64" spans="4:6" x14ac:dyDescent="0.2">
      <c r="D64" s="5">
        <v>42194</v>
      </c>
      <c r="E64" s="4">
        <v>-1.7999999999999999E-2</v>
      </c>
      <c r="F64" s="4" t="e">
        <f t="shared" ca="1" si="0"/>
        <v>#NAME?</v>
      </c>
    </row>
    <row r="65" spans="4:6" x14ac:dyDescent="0.2">
      <c r="D65" s="5">
        <v>42193</v>
      </c>
      <c r="E65" s="4">
        <v>-1.7999999999999999E-2</v>
      </c>
      <c r="F65" s="4" t="e">
        <f t="shared" ca="1" si="0"/>
        <v>#NAME?</v>
      </c>
    </row>
    <row r="66" spans="4:6" x14ac:dyDescent="0.2">
      <c r="D66" s="5">
        <v>42192</v>
      </c>
      <c r="E66" s="4">
        <v>-1.7999999999999999E-2</v>
      </c>
      <c r="F66" s="4" t="e">
        <f t="shared" ca="1" si="0"/>
        <v>#NAME?</v>
      </c>
    </row>
    <row r="67" spans="4:6" x14ac:dyDescent="0.2">
      <c r="D67" s="5">
        <v>42191</v>
      </c>
      <c r="E67" s="4">
        <v>-1.6E-2</v>
      </c>
      <c r="F67" s="4" t="e">
        <f t="shared" ca="1" si="0"/>
        <v>#NAME?</v>
      </c>
    </row>
    <row r="68" spans="4:6" x14ac:dyDescent="0.2">
      <c r="D68" s="5">
        <v>42188</v>
      </c>
      <c r="E68" s="4">
        <v>-1.4999999999999999E-2</v>
      </c>
      <c r="F68" s="4" t="e">
        <f t="shared" ca="1" si="0"/>
        <v>#NAME?</v>
      </c>
    </row>
    <row r="69" spans="4:6" x14ac:dyDescent="0.2">
      <c r="D69" s="5">
        <v>42187</v>
      </c>
      <c r="E69" s="4">
        <v>-1.4999999999999999E-2</v>
      </c>
      <c r="F69" s="4" t="e">
        <f t="shared" ref="F69:F132" ca="1" si="1">_xll.qlIndexAddFixings($B$1,D69,E69/100,TRUE,Trigger)</f>
        <v>#NAME?</v>
      </c>
    </row>
    <row r="70" spans="4:6" x14ac:dyDescent="0.2">
      <c r="D70" s="5">
        <v>42186</v>
      </c>
      <c r="E70" s="4">
        <v>-1.4E-2</v>
      </c>
      <c r="F70" s="4" t="e">
        <f t="shared" ca="1" si="1"/>
        <v>#NAME?</v>
      </c>
    </row>
    <row r="71" spans="4:6" x14ac:dyDescent="0.2">
      <c r="D71" s="5">
        <v>42185</v>
      </c>
      <c r="E71" s="4">
        <v>-1.4E-2</v>
      </c>
      <c r="F71" s="4" t="e">
        <f t="shared" ca="1" si="1"/>
        <v>#NAME?</v>
      </c>
    </row>
    <row r="72" spans="4:6" x14ac:dyDescent="0.2">
      <c r="D72" s="5">
        <v>42184</v>
      </c>
      <c r="E72" s="4">
        <v>-1.6E-2</v>
      </c>
      <c r="F72" s="4" t="e">
        <f t="shared" ca="1" si="1"/>
        <v>#NAME?</v>
      </c>
    </row>
    <row r="73" spans="4:6" x14ac:dyDescent="0.2">
      <c r="D73" s="5">
        <v>42181</v>
      </c>
      <c r="E73" s="4">
        <v>-1.4999999999999999E-2</v>
      </c>
      <c r="F73" s="4" t="e">
        <f t="shared" ca="1" si="1"/>
        <v>#NAME?</v>
      </c>
    </row>
    <row r="74" spans="4:6" x14ac:dyDescent="0.2">
      <c r="D74" s="5">
        <v>42180</v>
      </c>
      <c r="E74" s="4">
        <v>-1.4999999999999999E-2</v>
      </c>
      <c r="F74" s="4" t="e">
        <f t="shared" ca="1" si="1"/>
        <v>#NAME?</v>
      </c>
    </row>
    <row r="75" spans="4:6" x14ac:dyDescent="0.2">
      <c r="D75" s="5">
        <v>42179</v>
      </c>
      <c r="E75" s="4">
        <v>-1.4E-2</v>
      </c>
      <c r="F75" s="4" t="e">
        <f t="shared" ca="1" si="1"/>
        <v>#NAME?</v>
      </c>
    </row>
    <row r="76" spans="4:6" x14ac:dyDescent="0.2">
      <c r="D76" s="5">
        <v>42178</v>
      </c>
      <c r="E76" s="4">
        <v>-1.4E-2</v>
      </c>
      <c r="F76" s="4" t="e">
        <f t="shared" ca="1" si="1"/>
        <v>#NAME?</v>
      </c>
    </row>
    <row r="77" spans="4:6" x14ac:dyDescent="0.2">
      <c r="D77" s="5">
        <v>42177</v>
      </c>
      <c r="E77" s="4">
        <v>-1.4E-2</v>
      </c>
      <c r="F77" s="4" t="e">
        <f t="shared" ca="1" si="1"/>
        <v>#NAME?</v>
      </c>
    </row>
    <row r="78" spans="4:6" x14ac:dyDescent="0.2">
      <c r="D78" s="5">
        <v>42174</v>
      </c>
      <c r="E78" s="4">
        <v>-1.4E-2</v>
      </c>
      <c r="F78" s="4" t="e">
        <f t="shared" ca="1" si="1"/>
        <v>#NAME?</v>
      </c>
    </row>
    <row r="79" spans="4:6" x14ac:dyDescent="0.2">
      <c r="D79" s="5">
        <v>42173</v>
      </c>
      <c r="E79" s="4">
        <v>-1.4E-2</v>
      </c>
      <c r="F79" s="4" t="e">
        <f t="shared" ca="1" si="1"/>
        <v>#NAME?</v>
      </c>
    </row>
    <row r="80" spans="4:6" x14ac:dyDescent="0.2">
      <c r="D80" s="5">
        <v>42172</v>
      </c>
      <c r="E80" s="4">
        <v>-1.4E-2</v>
      </c>
      <c r="F80" s="4" t="e">
        <f t="shared" ca="1" si="1"/>
        <v>#NAME?</v>
      </c>
    </row>
    <row r="81" spans="4:6" x14ac:dyDescent="0.2">
      <c r="D81" s="5">
        <v>42171</v>
      </c>
      <c r="E81" s="4">
        <v>-1.4E-2</v>
      </c>
      <c r="F81" s="4" t="e">
        <f t="shared" ca="1" si="1"/>
        <v>#NAME?</v>
      </c>
    </row>
    <row r="82" spans="4:6" x14ac:dyDescent="0.2">
      <c r="D82" s="5">
        <v>42170</v>
      </c>
      <c r="E82" s="4">
        <v>-1.4E-2</v>
      </c>
      <c r="F82" s="4" t="e">
        <f t="shared" ca="1" si="1"/>
        <v>#NAME?</v>
      </c>
    </row>
    <row r="83" spans="4:6" x14ac:dyDescent="0.2">
      <c r="D83" s="5">
        <v>42167</v>
      </c>
      <c r="E83" s="4">
        <v>-1.4E-2</v>
      </c>
      <c r="F83" s="4" t="e">
        <f t="shared" ca="1" si="1"/>
        <v>#NAME?</v>
      </c>
    </row>
    <row r="84" spans="4:6" x14ac:dyDescent="0.2">
      <c r="D84" s="5">
        <v>42166</v>
      </c>
      <c r="E84" s="4">
        <v>-1.4E-2</v>
      </c>
      <c r="F84" s="4" t="e">
        <f t="shared" ca="1" si="1"/>
        <v>#NAME?</v>
      </c>
    </row>
    <row r="85" spans="4:6" x14ac:dyDescent="0.2">
      <c r="D85" s="5">
        <v>42165</v>
      </c>
      <c r="E85" s="4">
        <v>-1.4E-2</v>
      </c>
      <c r="F85" s="4" t="e">
        <f t="shared" ca="1" si="1"/>
        <v>#NAME?</v>
      </c>
    </row>
    <row r="86" spans="4:6" x14ac:dyDescent="0.2">
      <c r="D86" s="5">
        <v>42164</v>
      </c>
      <c r="E86" s="4">
        <v>-1.2999999999999999E-2</v>
      </c>
      <c r="F86" s="4" t="e">
        <f t="shared" ca="1" si="1"/>
        <v>#NAME?</v>
      </c>
    </row>
    <row r="87" spans="4:6" x14ac:dyDescent="0.2">
      <c r="D87" s="5">
        <v>42163</v>
      </c>
      <c r="E87" s="4">
        <v>-1.2999999999999999E-2</v>
      </c>
      <c r="F87" s="4" t="e">
        <f t="shared" ca="1" si="1"/>
        <v>#NAME?</v>
      </c>
    </row>
    <row r="88" spans="4:6" x14ac:dyDescent="0.2">
      <c r="D88" s="5">
        <v>42160</v>
      </c>
      <c r="E88" s="4">
        <v>-1.2999999999999999E-2</v>
      </c>
      <c r="F88" s="4" t="e">
        <f t="shared" ca="1" si="1"/>
        <v>#NAME?</v>
      </c>
    </row>
    <row r="89" spans="4:6" x14ac:dyDescent="0.2">
      <c r="D89" s="5">
        <v>42159</v>
      </c>
      <c r="E89" s="4">
        <v>-1.2999999999999999E-2</v>
      </c>
      <c r="F89" s="4" t="e">
        <f t="shared" ca="1" si="1"/>
        <v>#NAME?</v>
      </c>
    </row>
    <row r="90" spans="4:6" x14ac:dyDescent="0.2">
      <c r="D90" s="5">
        <v>42158</v>
      </c>
      <c r="E90" s="4">
        <v>-1.4E-2</v>
      </c>
      <c r="F90" s="4" t="e">
        <f t="shared" ca="1" si="1"/>
        <v>#NAME?</v>
      </c>
    </row>
    <row r="91" spans="4:6" x14ac:dyDescent="0.2">
      <c r="D91" s="5">
        <v>42157</v>
      </c>
      <c r="E91" s="4">
        <v>-1.2999999999999999E-2</v>
      </c>
      <c r="F91" s="4" t="e">
        <f t="shared" ca="1" si="1"/>
        <v>#NAME?</v>
      </c>
    </row>
    <row r="92" spans="4:6" x14ac:dyDescent="0.2">
      <c r="D92" s="5">
        <v>42156</v>
      </c>
      <c r="E92" s="4">
        <v>-1.2999999999999999E-2</v>
      </c>
      <c r="F92" s="4" t="e">
        <f t="shared" ca="1" si="1"/>
        <v>#NAME?</v>
      </c>
    </row>
    <row r="93" spans="4:6" x14ac:dyDescent="0.2">
      <c r="D93" s="5">
        <v>41841</v>
      </c>
      <c r="E93" s="4">
        <v>0.20399999999999999</v>
      </c>
      <c r="F93" s="4" t="e">
        <f t="shared" ca="1" si="1"/>
        <v>#NAME?</v>
      </c>
    </row>
    <row r="94" spans="4:6" x14ac:dyDescent="0.2">
      <c r="D94" s="5"/>
      <c r="E94" s="4"/>
      <c r="F94" s="4" t="e">
        <f t="shared" ca="1" si="1"/>
        <v>#NAME?</v>
      </c>
    </row>
    <row r="95" spans="4:6" x14ac:dyDescent="0.2">
      <c r="D95" s="5"/>
      <c r="E95" s="4"/>
      <c r="F95" s="4" t="e">
        <f t="shared" ca="1" si="1"/>
        <v>#NAME?</v>
      </c>
    </row>
    <row r="96" spans="4:6" x14ac:dyDescent="0.2">
      <c r="D96" s="5"/>
      <c r="E96" s="4"/>
      <c r="F96" s="4" t="e">
        <f t="shared" ca="1" si="1"/>
        <v>#NAME?</v>
      </c>
    </row>
    <row r="97" spans="4:6" x14ac:dyDescent="0.2">
      <c r="D97" s="5"/>
      <c r="E97" s="4"/>
      <c r="F97" s="4" t="e">
        <f t="shared" ca="1" si="1"/>
        <v>#NAME?</v>
      </c>
    </row>
    <row r="98" spans="4:6" x14ac:dyDescent="0.2">
      <c r="D98" s="5"/>
      <c r="E98" s="4"/>
      <c r="F98" s="4" t="e">
        <f t="shared" ca="1" si="1"/>
        <v>#NAME?</v>
      </c>
    </row>
    <row r="99" spans="4:6" x14ac:dyDescent="0.2">
      <c r="D99" s="5"/>
      <c r="E99" s="4"/>
      <c r="F99" s="4" t="e">
        <f t="shared" ca="1" si="1"/>
        <v>#NAME?</v>
      </c>
    </row>
    <row r="100" spans="4:6" x14ac:dyDescent="0.2">
      <c r="D100" s="5"/>
      <c r="E100" s="4"/>
      <c r="F100" s="4" t="e">
        <f t="shared" ca="1" si="1"/>
        <v>#NAME?</v>
      </c>
    </row>
    <row r="101" spans="4:6" x14ac:dyDescent="0.2">
      <c r="D101" s="5"/>
      <c r="E101" s="4"/>
      <c r="F101" s="4" t="e">
        <f t="shared" ca="1" si="1"/>
        <v>#NAME?</v>
      </c>
    </row>
    <row r="102" spans="4:6" x14ac:dyDescent="0.2">
      <c r="D102" s="5"/>
      <c r="E102" s="4"/>
      <c r="F102" s="4" t="e">
        <f t="shared" ca="1" si="1"/>
        <v>#NAME?</v>
      </c>
    </row>
    <row r="103" spans="4:6" x14ac:dyDescent="0.2">
      <c r="D103" s="5"/>
      <c r="E103" s="4"/>
      <c r="F103" s="4" t="e">
        <f t="shared" ca="1" si="1"/>
        <v>#NAME?</v>
      </c>
    </row>
    <row r="104" spans="4:6" x14ac:dyDescent="0.2">
      <c r="D104" s="5"/>
      <c r="E104" s="4"/>
      <c r="F104" s="4" t="e">
        <f t="shared" ca="1" si="1"/>
        <v>#NAME?</v>
      </c>
    </row>
    <row r="105" spans="4:6" x14ac:dyDescent="0.2">
      <c r="D105" s="5"/>
      <c r="E105" s="4"/>
      <c r="F105" s="4" t="e">
        <f t="shared" ca="1" si="1"/>
        <v>#NAME?</v>
      </c>
    </row>
    <row r="106" spans="4:6" x14ac:dyDescent="0.2">
      <c r="D106" s="5"/>
      <c r="E106" s="4"/>
      <c r="F106" s="4" t="e">
        <f t="shared" ca="1" si="1"/>
        <v>#NAME?</v>
      </c>
    </row>
    <row r="107" spans="4:6" x14ac:dyDescent="0.2">
      <c r="D107" s="5"/>
      <c r="E107" s="4"/>
      <c r="F107" s="4" t="e">
        <f t="shared" ca="1" si="1"/>
        <v>#NAME?</v>
      </c>
    </row>
    <row r="108" spans="4:6" x14ac:dyDescent="0.2">
      <c r="D108" s="5"/>
      <c r="E108" s="4"/>
      <c r="F108" s="4" t="e">
        <f t="shared" ca="1" si="1"/>
        <v>#NAME?</v>
      </c>
    </row>
    <row r="109" spans="4:6" x14ac:dyDescent="0.2">
      <c r="D109" s="5"/>
      <c r="E109" s="4"/>
      <c r="F109" s="4" t="e">
        <f t="shared" ca="1" si="1"/>
        <v>#NAME?</v>
      </c>
    </row>
    <row r="110" spans="4:6" x14ac:dyDescent="0.2">
      <c r="D110" s="5"/>
      <c r="E110" s="4"/>
      <c r="F110" s="4" t="e">
        <f t="shared" ca="1" si="1"/>
        <v>#NAME?</v>
      </c>
    </row>
    <row r="111" spans="4:6" x14ac:dyDescent="0.2">
      <c r="D111" s="5"/>
      <c r="E111" s="4"/>
      <c r="F111" s="4" t="e">
        <f t="shared" ca="1" si="1"/>
        <v>#NAME?</v>
      </c>
    </row>
    <row r="112" spans="4:6" x14ac:dyDescent="0.2">
      <c r="D112" s="5"/>
      <c r="E112" s="4"/>
      <c r="F112" s="4" t="e">
        <f t="shared" ca="1" si="1"/>
        <v>#NAME?</v>
      </c>
    </row>
    <row r="113" spans="4:6" x14ac:dyDescent="0.2">
      <c r="D113" s="5"/>
      <c r="E113" s="4"/>
      <c r="F113" s="4" t="e">
        <f t="shared" ca="1" si="1"/>
        <v>#NAME?</v>
      </c>
    </row>
    <row r="114" spans="4:6" x14ac:dyDescent="0.2">
      <c r="D114" s="5"/>
      <c r="E114" s="4"/>
      <c r="F114" s="4" t="e">
        <f t="shared" ca="1" si="1"/>
        <v>#NAME?</v>
      </c>
    </row>
    <row r="115" spans="4:6" x14ac:dyDescent="0.2">
      <c r="D115" s="5"/>
      <c r="E115" s="4"/>
      <c r="F115" s="4" t="e">
        <f t="shared" ca="1" si="1"/>
        <v>#NAME?</v>
      </c>
    </row>
    <row r="116" spans="4:6" x14ac:dyDescent="0.2">
      <c r="D116" s="5"/>
      <c r="E116" s="4"/>
      <c r="F116" s="4" t="e">
        <f t="shared" ca="1" si="1"/>
        <v>#NAME?</v>
      </c>
    </row>
    <row r="117" spans="4:6" x14ac:dyDescent="0.2">
      <c r="D117" s="5"/>
      <c r="E117" s="4"/>
      <c r="F117" s="4" t="e">
        <f t="shared" ca="1" si="1"/>
        <v>#NAME?</v>
      </c>
    </row>
    <row r="118" spans="4:6" x14ac:dyDescent="0.2">
      <c r="D118" s="5"/>
      <c r="E118" s="4"/>
      <c r="F118" s="4" t="e">
        <f t="shared" ca="1" si="1"/>
        <v>#NAME?</v>
      </c>
    </row>
    <row r="119" spans="4:6" x14ac:dyDescent="0.2">
      <c r="D119" s="5"/>
      <c r="E119" s="4"/>
      <c r="F119" s="4" t="e">
        <f t="shared" ca="1" si="1"/>
        <v>#NAME?</v>
      </c>
    </row>
    <row r="120" spans="4:6" x14ac:dyDescent="0.2">
      <c r="D120" s="5"/>
      <c r="E120" s="4"/>
      <c r="F120" s="4" t="e">
        <f t="shared" ca="1" si="1"/>
        <v>#NAME?</v>
      </c>
    </row>
    <row r="121" spans="4:6" x14ac:dyDescent="0.2">
      <c r="D121" s="5"/>
      <c r="E121" s="4"/>
      <c r="F121" s="4" t="e">
        <f t="shared" ca="1" si="1"/>
        <v>#NAME?</v>
      </c>
    </row>
    <row r="122" spans="4:6" x14ac:dyDescent="0.2">
      <c r="D122" s="5"/>
      <c r="E122" s="4"/>
      <c r="F122" s="4" t="e">
        <f t="shared" ca="1" si="1"/>
        <v>#NAME?</v>
      </c>
    </row>
    <row r="123" spans="4:6" x14ac:dyDescent="0.2">
      <c r="D123" s="5"/>
      <c r="E123" s="4"/>
      <c r="F123" s="4" t="e">
        <f t="shared" ca="1" si="1"/>
        <v>#NAME?</v>
      </c>
    </row>
    <row r="124" spans="4:6" x14ac:dyDescent="0.2">
      <c r="D124" s="5"/>
      <c r="E124" s="4"/>
      <c r="F124" s="4" t="e">
        <f t="shared" ca="1" si="1"/>
        <v>#NAME?</v>
      </c>
    </row>
    <row r="125" spans="4:6" x14ac:dyDescent="0.2">
      <c r="D125" s="5"/>
      <c r="E125" s="4"/>
      <c r="F125" s="4" t="e">
        <f t="shared" ca="1" si="1"/>
        <v>#NAME?</v>
      </c>
    </row>
    <row r="126" spans="4:6" x14ac:dyDescent="0.2">
      <c r="D126" s="5"/>
      <c r="E126" s="4"/>
      <c r="F126" s="4" t="e">
        <f t="shared" ca="1" si="1"/>
        <v>#NAME?</v>
      </c>
    </row>
    <row r="127" spans="4:6" x14ac:dyDescent="0.2">
      <c r="D127" s="5"/>
      <c r="E127" s="4"/>
      <c r="F127" s="4" t="e">
        <f t="shared" ca="1" si="1"/>
        <v>#NAME?</v>
      </c>
    </row>
    <row r="128" spans="4:6" x14ac:dyDescent="0.2">
      <c r="D128" s="5"/>
      <c r="E128" s="4"/>
      <c r="F128" s="4" t="e">
        <f t="shared" ca="1" si="1"/>
        <v>#NAME?</v>
      </c>
    </row>
    <row r="129" spans="4:6" x14ac:dyDescent="0.2">
      <c r="D129" s="5"/>
      <c r="E129" s="4"/>
      <c r="F129" s="4" t="e">
        <f t="shared" ca="1" si="1"/>
        <v>#NAME?</v>
      </c>
    </row>
    <row r="130" spans="4:6" x14ac:dyDescent="0.2">
      <c r="D130" s="5"/>
      <c r="E130" s="4"/>
      <c r="F130" s="4" t="e">
        <f t="shared" ca="1" si="1"/>
        <v>#NAME?</v>
      </c>
    </row>
    <row r="131" spans="4:6" x14ac:dyDescent="0.2">
      <c r="D131" s="5"/>
      <c r="E131" s="4"/>
      <c r="F131" s="4" t="e">
        <f t="shared" ca="1" si="1"/>
        <v>#NAME?</v>
      </c>
    </row>
    <row r="132" spans="4:6" x14ac:dyDescent="0.2">
      <c r="D132" s="5"/>
      <c r="E132" s="4"/>
      <c r="F132" s="4" t="e">
        <f t="shared" ca="1" si="1"/>
        <v>#NAME?</v>
      </c>
    </row>
    <row r="133" spans="4:6" x14ac:dyDescent="0.2">
      <c r="D133" s="5"/>
      <c r="E133" s="4"/>
      <c r="F133" s="4" t="e">
        <f t="shared" ref="F133:F196" ca="1" si="2">_xll.qlIndexAddFixings($B$1,D133,E133/100,TRUE,Trigger)</f>
        <v>#NAME?</v>
      </c>
    </row>
    <row r="134" spans="4:6" x14ac:dyDescent="0.2">
      <c r="D134" s="5"/>
      <c r="E134" s="4"/>
      <c r="F134" s="4" t="e">
        <f t="shared" ca="1" si="2"/>
        <v>#NAME?</v>
      </c>
    </row>
    <row r="135" spans="4:6" x14ac:dyDescent="0.2">
      <c r="D135" s="5"/>
      <c r="E135" s="4"/>
      <c r="F135" s="4" t="e">
        <f t="shared" ca="1" si="2"/>
        <v>#NAME?</v>
      </c>
    </row>
    <row r="136" spans="4:6" x14ac:dyDescent="0.2">
      <c r="D136" s="5"/>
      <c r="E136" s="4"/>
      <c r="F136" s="4" t="e">
        <f t="shared" ca="1" si="2"/>
        <v>#NAME?</v>
      </c>
    </row>
    <row r="137" spans="4:6" x14ac:dyDescent="0.2">
      <c r="D137" s="5"/>
      <c r="E137" s="4"/>
      <c r="F137" s="4" t="e">
        <f t="shared" ca="1" si="2"/>
        <v>#NAME?</v>
      </c>
    </row>
    <row r="138" spans="4:6" x14ac:dyDescent="0.2">
      <c r="D138" s="5"/>
      <c r="E138" s="4"/>
      <c r="F138" s="4" t="e">
        <f t="shared" ca="1" si="2"/>
        <v>#NAME?</v>
      </c>
    </row>
    <row r="139" spans="4:6" x14ac:dyDescent="0.2">
      <c r="D139" s="5"/>
      <c r="E139" s="4"/>
      <c r="F139" s="4" t="e">
        <f t="shared" ca="1" si="2"/>
        <v>#NAME?</v>
      </c>
    </row>
    <row r="140" spans="4:6" x14ac:dyDescent="0.2">
      <c r="D140" s="5"/>
      <c r="E140" s="4"/>
      <c r="F140" s="4" t="e">
        <f t="shared" ca="1" si="2"/>
        <v>#NAME?</v>
      </c>
    </row>
    <row r="141" spans="4:6" x14ac:dyDescent="0.2">
      <c r="D141" s="5"/>
      <c r="E141" s="4"/>
      <c r="F141" s="4" t="e">
        <f t="shared" ca="1" si="2"/>
        <v>#NAME?</v>
      </c>
    </row>
    <row r="142" spans="4:6" x14ac:dyDescent="0.2">
      <c r="D142" s="5"/>
      <c r="E142" s="4"/>
      <c r="F142" s="4" t="e">
        <f t="shared" ca="1" si="2"/>
        <v>#NAME?</v>
      </c>
    </row>
    <row r="143" spans="4:6" x14ac:dyDescent="0.2">
      <c r="D143" s="5"/>
      <c r="E143" s="4"/>
      <c r="F143" s="4" t="e">
        <f t="shared" ca="1" si="2"/>
        <v>#NAME?</v>
      </c>
    </row>
    <row r="144" spans="4:6" x14ac:dyDescent="0.2">
      <c r="D144" s="5"/>
      <c r="E144" s="4"/>
      <c r="F144" s="4" t="e">
        <f t="shared" ca="1" si="2"/>
        <v>#NAME?</v>
      </c>
    </row>
    <row r="145" spans="4:6" x14ac:dyDescent="0.2">
      <c r="D145" s="5"/>
      <c r="E145" s="4"/>
      <c r="F145" s="4" t="e">
        <f t="shared" ca="1" si="2"/>
        <v>#NAME?</v>
      </c>
    </row>
    <row r="146" spans="4:6" x14ac:dyDescent="0.2">
      <c r="D146" s="5"/>
      <c r="E146" s="4"/>
      <c r="F146" s="4" t="e">
        <f t="shared" ca="1" si="2"/>
        <v>#NAME?</v>
      </c>
    </row>
    <row r="147" spans="4:6" x14ac:dyDescent="0.2">
      <c r="D147" s="5"/>
      <c r="E147" s="4"/>
      <c r="F147" s="4" t="e">
        <f t="shared" ca="1" si="2"/>
        <v>#NAME?</v>
      </c>
    </row>
    <row r="148" spans="4:6" x14ac:dyDescent="0.2">
      <c r="D148" s="5"/>
      <c r="E148" s="4"/>
      <c r="F148" s="4" t="e">
        <f t="shared" ca="1" si="2"/>
        <v>#NAME?</v>
      </c>
    </row>
    <row r="149" spans="4:6" x14ac:dyDescent="0.2">
      <c r="D149" s="5"/>
      <c r="E149" s="4"/>
      <c r="F149" s="4" t="e">
        <f t="shared" ca="1" si="2"/>
        <v>#NAME?</v>
      </c>
    </row>
    <row r="150" spans="4:6" x14ac:dyDescent="0.2">
      <c r="D150" s="5"/>
      <c r="E150" s="4"/>
      <c r="F150" s="4" t="e">
        <f t="shared" ca="1" si="2"/>
        <v>#NAME?</v>
      </c>
    </row>
    <row r="151" spans="4:6" x14ac:dyDescent="0.2">
      <c r="D151" s="5"/>
      <c r="E151" s="4"/>
      <c r="F151" s="4" t="e">
        <f t="shared" ca="1" si="2"/>
        <v>#NAME?</v>
      </c>
    </row>
    <row r="152" spans="4:6" x14ac:dyDescent="0.2">
      <c r="D152" s="5"/>
      <c r="E152" s="4"/>
      <c r="F152" s="4" t="e">
        <f t="shared" ca="1" si="2"/>
        <v>#NAME?</v>
      </c>
    </row>
    <row r="153" spans="4:6" x14ac:dyDescent="0.2">
      <c r="D153" s="5"/>
      <c r="E153" s="4"/>
      <c r="F153" s="4" t="e">
        <f t="shared" ca="1" si="2"/>
        <v>#NAME?</v>
      </c>
    </row>
    <row r="154" spans="4:6" x14ac:dyDescent="0.2">
      <c r="D154" s="5"/>
      <c r="E154" s="4"/>
      <c r="F154" s="4" t="e">
        <f t="shared" ca="1" si="2"/>
        <v>#NAME?</v>
      </c>
    </row>
    <row r="155" spans="4:6" x14ac:dyDescent="0.2">
      <c r="D155" s="5"/>
      <c r="E155" s="4"/>
      <c r="F155" s="4" t="e">
        <f t="shared" ca="1" si="2"/>
        <v>#NAME?</v>
      </c>
    </row>
    <row r="156" spans="4:6" x14ac:dyDescent="0.2">
      <c r="D156" s="5"/>
      <c r="E156" s="4"/>
      <c r="F156" s="4" t="e">
        <f t="shared" ca="1" si="2"/>
        <v>#NAME?</v>
      </c>
    </row>
    <row r="157" spans="4:6" x14ac:dyDescent="0.2">
      <c r="D157" s="5"/>
      <c r="E157" s="4"/>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I260"/>
  <sheetViews>
    <sheetView showGridLines="0" workbookViewId="0">
      <selection activeCell="I2" sqref="I2:I3"/>
    </sheetView>
  </sheetViews>
  <sheetFormatPr defaultRowHeight="11.25" x14ac:dyDescent="0.2"/>
  <cols>
    <col min="1" max="1" width="23.7109375" style="1" bestFit="1" customWidth="1"/>
    <col min="2" max="2" width="22.42578125" style="1" customWidth="1"/>
    <col min="3" max="3" width="9.140625" style="1"/>
    <col min="4" max="4" width="19.28515625" style="23" bestFit="1" customWidth="1"/>
    <col min="5" max="5" width="12" style="23" bestFit="1" customWidth="1"/>
    <col min="6" max="6" width="9.140625" style="23"/>
    <col min="7" max="16384" width="9.140625" style="1"/>
  </cols>
  <sheetData>
    <row r="1" spans="1:9" ht="12" thickBot="1" x14ac:dyDescent="0.25">
      <c r="A1" s="16" t="s">
        <v>14</v>
      </c>
      <c r="B1" s="27" t="s">
        <v>16</v>
      </c>
      <c r="D1" s="1"/>
      <c r="E1" s="1"/>
      <c r="F1" s="1"/>
    </row>
    <row r="2" spans="1:9" ht="15" x14ac:dyDescent="0.25">
      <c r="A2" s="16" t="s">
        <v>11</v>
      </c>
      <c r="B2" s="29" t="e">
        <f ca="1">_xll.qlCalendarAdvance("TARGET",B3,"-7M","f",FALSE,Trigger)</f>
        <v>#NAME?</v>
      </c>
      <c r="D2" s="21" t="e">
        <f ca="1">_xll.RHistory("EURIBOR6MD=",B6:B7,B4,,"CH:In;Fd TSREPEAT:N SORT:"&amp;B5,D3)</f>
        <v>#NAME?</v>
      </c>
      <c r="E2" s="21"/>
      <c r="F2" s="1"/>
      <c r="H2" s="1361" t="s">
        <v>529</v>
      </c>
      <c r="I2" s="1364" t="e">
        <f ca="1">_xll.ohTrigger('General Settings'!Trigger,Euribor!Trigger2)</f>
        <v>#NAME?</v>
      </c>
    </row>
    <row r="3" spans="1:9" ht="15.75" thickBot="1" x14ac:dyDescent="0.3">
      <c r="A3" s="16" t="s">
        <v>10</v>
      </c>
      <c r="B3" s="27" t="e">
        <f ca="1">_xll.qlSettingsEvaluationDate(Trigger)</f>
        <v>#NAME?</v>
      </c>
      <c r="D3" s="20" t="s">
        <v>15</v>
      </c>
      <c r="E3" s="20" t="s">
        <v>15</v>
      </c>
      <c r="F3" s="1"/>
      <c r="H3" s="1362" t="s">
        <v>530</v>
      </c>
      <c r="I3" s="1365" t="e">
        <f ca="1">_xll.ohTrigger(F5:F259)</f>
        <v>#NAME?</v>
      </c>
    </row>
    <row r="4" spans="1:9" ht="24" customHeight="1" x14ac:dyDescent="0.2">
      <c r="A4" s="16" t="s">
        <v>8</v>
      </c>
      <c r="B4" s="28" t="e">
        <f ca="1">"START:"&amp;B2&amp; " END:"&amp;B3&amp;" INTERVAL:1D"</f>
        <v>#NAME?</v>
      </c>
      <c r="D4" s="18" t="s">
        <v>7</v>
      </c>
      <c r="E4" s="18" t="s">
        <v>6</v>
      </c>
      <c r="F4" s="17" t="s">
        <v>5</v>
      </c>
    </row>
    <row r="5" spans="1:9" x14ac:dyDescent="0.2">
      <c r="A5" s="16" t="s">
        <v>4</v>
      </c>
      <c r="B5" s="27" t="s">
        <v>3</v>
      </c>
      <c r="D5" s="14">
        <v>42277</v>
      </c>
      <c r="E5" s="12">
        <v>2.9000000000000001E-2</v>
      </c>
      <c r="F5" s="12" t="e">
        <f t="shared" ref="F5:F68" ca="1" si="0">_xll.qlIndexAddFixings($B$1,D5,E5/100,TRUE,Trigger)</f>
        <v>#NAME?</v>
      </c>
    </row>
    <row r="6" spans="1:9" x14ac:dyDescent="0.2">
      <c r="A6" s="10" t="s">
        <v>2</v>
      </c>
      <c r="B6" s="26" t="s">
        <v>1</v>
      </c>
      <c r="D6" s="5">
        <v>42276</v>
      </c>
      <c r="E6" s="4">
        <v>2.9000000000000001E-2</v>
      </c>
      <c r="F6" s="4" t="e">
        <f t="shared" ca="1" si="0"/>
        <v>#NAME?</v>
      </c>
    </row>
    <row r="7" spans="1:9" x14ac:dyDescent="0.2">
      <c r="A7" s="8"/>
      <c r="B7" s="25" t="s">
        <v>0</v>
      </c>
      <c r="D7" s="5">
        <v>42275</v>
      </c>
      <c r="E7" s="4">
        <v>2.9000000000000001E-2</v>
      </c>
      <c r="F7" s="4" t="e">
        <f t="shared" ca="1" si="0"/>
        <v>#NAME?</v>
      </c>
    </row>
    <row r="8" spans="1:9" x14ac:dyDescent="0.2">
      <c r="D8" s="5">
        <v>42272</v>
      </c>
      <c r="E8" s="4">
        <v>0.03</v>
      </c>
      <c r="F8" s="4" t="e">
        <f t="shared" ca="1" si="0"/>
        <v>#NAME?</v>
      </c>
    </row>
    <row r="9" spans="1:9" x14ac:dyDescent="0.2">
      <c r="D9" s="5">
        <v>42271</v>
      </c>
      <c r="E9" s="4">
        <v>3.2000000000000001E-2</v>
      </c>
      <c r="F9" s="4" t="e">
        <f t="shared" ca="1" si="0"/>
        <v>#NAME?</v>
      </c>
    </row>
    <row r="10" spans="1:9" x14ac:dyDescent="0.2">
      <c r="D10" s="5">
        <v>42270</v>
      </c>
      <c r="E10" s="4">
        <v>3.3000000000000002E-2</v>
      </c>
      <c r="F10" s="4" t="e">
        <f t="shared" ca="1" si="0"/>
        <v>#NAME?</v>
      </c>
    </row>
    <row r="11" spans="1:9" x14ac:dyDescent="0.2">
      <c r="D11" s="5">
        <v>42269</v>
      </c>
      <c r="E11" s="4">
        <v>3.4000000000000002E-2</v>
      </c>
      <c r="F11" s="4" t="e">
        <f t="shared" ca="1" si="0"/>
        <v>#NAME?</v>
      </c>
    </row>
    <row r="12" spans="1:9" x14ac:dyDescent="0.2">
      <c r="D12" s="5">
        <v>42268</v>
      </c>
      <c r="E12" s="4">
        <v>3.5999999999999997E-2</v>
      </c>
      <c r="F12" s="4" t="e">
        <f t="shared" ca="1" si="0"/>
        <v>#NAME?</v>
      </c>
    </row>
    <row r="13" spans="1:9" x14ac:dyDescent="0.2">
      <c r="D13" s="5">
        <v>42265</v>
      </c>
      <c r="E13" s="4">
        <v>3.5999999999999997E-2</v>
      </c>
      <c r="F13" s="4" t="e">
        <f t="shared" ca="1" si="0"/>
        <v>#NAME?</v>
      </c>
    </row>
    <row r="14" spans="1:9" x14ac:dyDescent="0.2">
      <c r="D14" s="5">
        <v>42264</v>
      </c>
      <c r="E14" s="4">
        <v>3.5999999999999997E-2</v>
      </c>
      <c r="F14" s="4" t="e">
        <f t="shared" ca="1" si="0"/>
        <v>#NAME?</v>
      </c>
    </row>
    <row r="15" spans="1:9" x14ac:dyDescent="0.2">
      <c r="D15" s="5">
        <v>42263</v>
      </c>
      <c r="E15" s="4">
        <v>3.5999999999999997E-2</v>
      </c>
      <c r="F15" s="4" t="e">
        <f t="shared" ca="1" si="0"/>
        <v>#NAME?</v>
      </c>
    </row>
    <row r="16" spans="1:9" x14ac:dyDescent="0.2">
      <c r="D16" s="5">
        <v>42262</v>
      </c>
      <c r="E16" s="4">
        <v>3.5999999999999997E-2</v>
      </c>
      <c r="F16" s="4" t="e">
        <f t="shared" ca="1" si="0"/>
        <v>#NAME?</v>
      </c>
    </row>
    <row r="17" spans="4:6" x14ac:dyDescent="0.2">
      <c r="D17" s="5">
        <v>42261</v>
      </c>
      <c r="E17" s="4">
        <v>3.6999999999999998E-2</v>
      </c>
      <c r="F17" s="4" t="e">
        <f t="shared" ca="1" si="0"/>
        <v>#NAME?</v>
      </c>
    </row>
    <row r="18" spans="4:6" x14ac:dyDescent="0.2">
      <c r="D18" s="5">
        <v>42258</v>
      </c>
      <c r="E18" s="4">
        <v>3.6999999999999998E-2</v>
      </c>
      <c r="F18" s="4" t="e">
        <f t="shared" ca="1" si="0"/>
        <v>#NAME?</v>
      </c>
    </row>
    <row r="19" spans="4:6" x14ac:dyDescent="0.2">
      <c r="D19" s="5">
        <v>42257</v>
      </c>
      <c r="E19" s="4">
        <v>3.7999999999999999E-2</v>
      </c>
      <c r="F19" s="4" t="e">
        <f t="shared" ca="1" si="0"/>
        <v>#NAME?</v>
      </c>
    </row>
    <row r="20" spans="4:6" x14ac:dyDescent="0.2">
      <c r="D20" s="5">
        <v>42256</v>
      </c>
      <c r="E20" s="4">
        <v>3.7999999999999999E-2</v>
      </c>
      <c r="F20" s="4" t="e">
        <f t="shared" ca="1" si="0"/>
        <v>#NAME?</v>
      </c>
    </row>
    <row r="21" spans="4:6" x14ac:dyDescent="0.2">
      <c r="D21" s="5">
        <v>42255</v>
      </c>
      <c r="E21" s="4">
        <v>3.7999999999999999E-2</v>
      </c>
      <c r="F21" s="4" t="e">
        <f t="shared" ca="1" si="0"/>
        <v>#NAME?</v>
      </c>
    </row>
    <row r="22" spans="4:6" x14ac:dyDescent="0.2">
      <c r="D22" s="5">
        <v>42254</v>
      </c>
      <c r="E22" s="4">
        <v>3.7999999999999999E-2</v>
      </c>
      <c r="F22" s="4" t="e">
        <f t="shared" ca="1" si="0"/>
        <v>#NAME?</v>
      </c>
    </row>
    <row r="23" spans="4:6" x14ac:dyDescent="0.2">
      <c r="D23" s="5">
        <v>42251</v>
      </c>
      <c r="E23" s="4">
        <v>3.7999999999999999E-2</v>
      </c>
      <c r="F23" s="4" t="e">
        <f t="shared" ca="1" si="0"/>
        <v>#NAME?</v>
      </c>
    </row>
    <row r="24" spans="4:6" x14ac:dyDescent="0.2">
      <c r="D24" s="5">
        <v>42250</v>
      </c>
      <c r="E24" s="4">
        <v>3.7999999999999999E-2</v>
      </c>
      <c r="F24" s="4" t="e">
        <f t="shared" ca="1" si="0"/>
        <v>#NAME?</v>
      </c>
    </row>
    <row r="25" spans="4:6" x14ac:dyDescent="0.2">
      <c r="D25" s="5">
        <v>42249</v>
      </c>
      <c r="E25" s="4">
        <v>3.9E-2</v>
      </c>
      <c r="F25" s="4" t="e">
        <f t="shared" ca="1" si="0"/>
        <v>#NAME?</v>
      </c>
    </row>
    <row r="26" spans="4:6" x14ac:dyDescent="0.2">
      <c r="D26" s="5">
        <v>42248</v>
      </c>
      <c r="E26" s="4">
        <v>3.9E-2</v>
      </c>
      <c r="F26" s="4" t="e">
        <f t="shared" ca="1" si="0"/>
        <v>#NAME?</v>
      </c>
    </row>
    <row r="27" spans="4:6" x14ac:dyDescent="0.2">
      <c r="D27" s="5">
        <v>42247</v>
      </c>
      <c r="E27" s="4">
        <v>3.9E-2</v>
      </c>
      <c r="F27" s="4" t="e">
        <f t="shared" ca="1" si="0"/>
        <v>#NAME?</v>
      </c>
    </row>
    <row r="28" spans="4:6" x14ac:dyDescent="0.2">
      <c r="D28" s="5">
        <v>42244</v>
      </c>
      <c r="E28" s="4">
        <v>0.04</v>
      </c>
      <c r="F28" s="4" t="e">
        <f t="shared" ca="1" si="0"/>
        <v>#NAME?</v>
      </c>
    </row>
    <row r="29" spans="4:6" x14ac:dyDescent="0.2">
      <c r="D29" s="5">
        <v>42243</v>
      </c>
      <c r="E29" s="4">
        <v>3.9E-2</v>
      </c>
      <c r="F29" s="4" t="e">
        <f t="shared" ca="1" si="0"/>
        <v>#NAME?</v>
      </c>
    </row>
    <row r="30" spans="4:6" x14ac:dyDescent="0.2">
      <c r="D30" s="5">
        <v>42242</v>
      </c>
      <c r="E30" s="4">
        <v>3.9E-2</v>
      </c>
      <c r="F30" s="4" t="e">
        <f t="shared" ca="1" si="0"/>
        <v>#NAME?</v>
      </c>
    </row>
    <row r="31" spans="4:6" x14ac:dyDescent="0.2">
      <c r="D31" s="5">
        <v>42241</v>
      </c>
      <c r="E31" s="4">
        <v>4.1000000000000002E-2</v>
      </c>
      <c r="F31" s="4" t="e">
        <f t="shared" ca="1" si="0"/>
        <v>#NAME?</v>
      </c>
    </row>
    <row r="32" spans="4:6" x14ac:dyDescent="0.2">
      <c r="D32" s="5">
        <v>42240</v>
      </c>
      <c r="E32" s="4">
        <v>4.1000000000000002E-2</v>
      </c>
      <c r="F32" s="4" t="e">
        <f t="shared" ca="1" si="0"/>
        <v>#NAME?</v>
      </c>
    </row>
    <row r="33" spans="4:6" x14ac:dyDescent="0.2">
      <c r="D33" s="5">
        <v>42237</v>
      </c>
      <c r="E33" s="4">
        <v>4.2000000000000003E-2</v>
      </c>
      <c r="F33" s="4" t="e">
        <f t="shared" ca="1" si="0"/>
        <v>#NAME?</v>
      </c>
    </row>
    <row r="34" spans="4:6" x14ac:dyDescent="0.2">
      <c r="D34" s="5">
        <v>42236</v>
      </c>
      <c r="E34" s="4">
        <v>4.2000000000000003E-2</v>
      </c>
      <c r="F34" s="4" t="e">
        <f t="shared" ca="1" si="0"/>
        <v>#NAME?</v>
      </c>
    </row>
    <row r="35" spans="4:6" x14ac:dyDescent="0.2">
      <c r="D35" s="5">
        <v>42235</v>
      </c>
      <c r="E35" s="4">
        <v>4.2000000000000003E-2</v>
      </c>
      <c r="F35" s="4" t="e">
        <f t="shared" ca="1" si="0"/>
        <v>#NAME?</v>
      </c>
    </row>
    <row r="36" spans="4:6" x14ac:dyDescent="0.2">
      <c r="D36" s="5">
        <v>42234</v>
      </c>
      <c r="E36" s="4">
        <v>4.2999999999999997E-2</v>
      </c>
      <c r="F36" s="4" t="e">
        <f t="shared" ca="1" si="0"/>
        <v>#NAME?</v>
      </c>
    </row>
    <row r="37" spans="4:6" x14ac:dyDescent="0.2">
      <c r="D37" s="5">
        <v>42233</v>
      </c>
      <c r="E37" s="4">
        <v>4.3999999999999997E-2</v>
      </c>
      <c r="F37" s="4" t="e">
        <f t="shared" ca="1" si="0"/>
        <v>#NAME?</v>
      </c>
    </row>
    <row r="38" spans="4:6" x14ac:dyDescent="0.2">
      <c r="D38" s="5">
        <v>42230</v>
      </c>
      <c r="E38" s="4">
        <v>4.5999999999999999E-2</v>
      </c>
      <c r="F38" s="4" t="e">
        <f t="shared" ca="1" si="0"/>
        <v>#NAME?</v>
      </c>
    </row>
    <row r="39" spans="4:6" x14ac:dyDescent="0.2">
      <c r="D39" s="5">
        <v>42229</v>
      </c>
      <c r="E39" s="4">
        <v>4.5999999999999999E-2</v>
      </c>
      <c r="F39" s="4" t="e">
        <f t="shared" ca="1" si="0"/>
        <v>#NAME?</v>
      </c>
    </row>
    <row r="40" spans="4:6" x14ac:dyDescent="0.2">
      <c r="D40" s="5">
        <v>42228</v>
      </c>
      <c r="E40" s="4">
        <v>4.5999999999999999E-2</v>
      </c>
      <c r="F40" s="4" t="e">
        <f t="shared" ca="1" si="0"/>
        <v>#NAME?</v>
      </c>
    </row>
    <row r="41" spans="4:6" x14ac:dyDescent="0.2">
      <c r="D41" s="5">
        <v>42227</v>
      </c>
      <c r="E41" s="4">
        <v>4.5999999999999999E-2</v>
      </c>
      <c r="F41" s="4" t="e">
        <f t="shared" ca="1" si="0"/>
        <v>#NAME?</v>
      </c>
    </row>
    <row r="42" spans="4:6" x14ac:dyDescent="0.2">
      <c r="D42" s="5">
        <v>42226</v>
      </c>
      <c r="E42" s="4">
        <v>4.8000000000000001E-2</v>
      </c>
      <c r="F42" s="4" t="e">
        <f t="shared" ca="1" si="0"/>
        <v>#NAME?</v>
      </c>
    </row>
    <row r="43" spans="4:6" x14ac:dyDescent="0.2">
      <c r="D43" s="5">
        <v>42223</v>
      </c>
      <c r="E43" s="4">
        <v>4.5999999999999999E-2</v>
      </c>
      <c r="F43" s="4" t="e">
        <f t="shared" ca="1" si="0"/>
        <v>#NAME?</v>
      </c>
    </row>
    <row r="44" spans="4:6" x14ac:dyDescent="0.2">
      <c r="D44" s="5">
        <v>42222</v>
      </c>
      <c r="E44" s="4">
        <v>4.7E-2</v>
      </c>
      <c r="F44" s="4" t="e">
        <f t="shared" ca="1" si="0"/>
        <v>#NAME?</v>
      </c>
    </row>
    <row r="45" spans="4:6" x14ac:dyDescent="0.2">
      <c r="D45" s="5">
        <v>42221</v>
      </c>
      <c r="E45" s="4">
        <v>4.8000000000000001E-2</v>
      </c>
      <c r="F45" s="4" t="e">
        <f t="shared" ca="1" si="0"/>
        <v>#NAME?</v>
      </c>
    </row>
    <row r="46" spans="4:6" x14ac:dyDescent="0.2">
      <c r="D46" s="5">
        <v>42220</v>
      </c>
      <c r="E46" s="4">
        <v>4.8000000000000001E-2</v>
      </c>
      <c r="F46" s="4" t="e">
        <f t="shared" ca="1" si="0"/>
        <v>#NAME?</v>
      </c>
    </row>
    <row r="47" spans="4:6" x14ac:dyDescent="0.2">
      <c r="D47" s="5">
        <v>42219</v>
      </c>
      <c r="E47" s="4">
        <v>4.9000000000000002E-2</v>
      </c>
      <c r="F47" s="4" t="e">
        <f t="shared" ca="1" si="0"/>
        <v>#NAME?</v>
      </c>
    </row>
    <row r="48" spans="4:6" x14ac:dyDescent="0.2">
      <c r="D48" s="5">
        <v>42216</v>
      </c>
      <c r="E48" s="4">
        <v>4.8000000000000001E-2</v>
      </c>
      <c r="F48" s="4" t="e">
        <f t="shared" ca="1" si="0"/>
        <v>#NAME?</v>
      </c>
    </row>
    <row r="49" spans="4:6" x14ac:dyDescent="0.2">
      <c r="D49" s="5">
        <v>42215</v>
      </c>
      <c r="E49" s="4">
        <v>4.8000000000000001E-2</v>
      </c>
      <c r="F49" s="4" t="e">
        <f t="shared" ca="1" si="0"/>
        <v>#NAME?</v>
      </c>
    </row>
    <row r="50" spans="4:6" x14ac:dyDescent="0.2">
      <c r="D50" s="5">
        <v>42214</v>
      </c>
      <c r="E50" s="4">
        <v>4.8000000000000001E-2</v>
      </c>
      <c r="F50" s="4" t="e">
        <f t="shared" ca="1" si="0"/>
        <v>#NAME?</v>
      </c>
    </row>
    <row r="51" spans="4:6" x14ac:dyDescent="0.2">
      <c r="D51" s="5">
        <v>42213</v>
      </c>
      <c r="E51" s="4">
        <v>4.8000000000000001E-2</v>
      </c>
      <c r="F51" s="4" t="e">
        <f t="shared" ca="1" si="0"/>
        <v>#NAME?</v>
      </c>
    </row>
    <row r="52" spans="4:6" x14ac:dyDescent="0.2">
      <c r="D52" s="5">
        <v>42212</v>
      </c>
      <c r="E52" s="4">
        <v>4.9000000000000002E-2</v>
      </c>
      <c r="F52" s="4" t="e">
        <f t="shared" ca="1" si="0"/>
        <v>#NAME?</v>
      </c>
    </row>
    <row r="53" spans="4:6" x14ac:dyDescent="0.2">
      <c r="D53" s="5">
        <v>42209</v>
      </c>
      <c r="E53" s="4">
        <v>4.8000000000000001E-2</v>
      </c>
      <c r="F53" s="4" t="e">
        <f t="shared" ca="1" si="0"/>
        <v>#NAME?</v>
      </c>
    </row>
    <row r="54" spans="4:6" x14ac:dyDescent="0.2">
      <c r="D54" s="5">
        <v>42208</v>
      </c>
      <c r="E54" s="4">
        <v>4.9000000000000002E-2</v>
      </c>
      <c r="F54" s="4" t="e">
        <f t="shared" ca="1" si="0"/>
        <v>#NAME?</v>
      </c>
    </row>
    <row r="55" spans="4:6" x14ac:dyDescent="0.2">
      <c r="D55" s="5">
        <v>42207</v>
      </c>
      <c r="E55" s="4">
        <v>4.9000000000000002E-2</v>
      </c>
      <c r="F55" s="4" t="e">
        <f t="shared" ca="1" si="0"/>
        <v>#NAME?</v>
      </c>
    </row>
    <row r="56" spans="4:6" x14ac:dyDescent="0.2">
      <c r="D56" s="5">
        <v>42206</v>
      </c>
      <c r="E56" s="4">
        <v>4.9000000000000002E-2</v>
      </c>
      <c r="F56" s="4" t="e">
        <f t="shared" ca="1" si="0"/>
        <v>#NAME?</v>
      </c>
    </row>
    <row r="57" spans="4:6" x14ac:dyDescent="0.2">
      <c r="D57" s="5">
        <v>42205</v>
      </c>
      <c r="E57" s="4">
        <v>4.9000000000000002E-2</v>
      </c>
      <c r="F57" s="4" t="e">
        <f t="shared" ca="1" si="0"/>
        <v>#NAME?</v>
      </c>
    </row>
    <row r="58" spans="4:6" x14ac:dyDescent="0.2">
      <c r="D58" s="5">
        <v>42202</v>
      </c>
      <c r="E58" s="4">
        <v>4.9000000000000002E-2</v>
      </c>
      <c r="F58" s="4" t="e">
        <f t="shared" ca="1" si="0"/>
        <v>#NAME?</v>
      </c>
    </row>
    <row r="59" spans="4:6" x14ac:dyDescent="0.2">
      <c r="D59" s="5">
        <v>42201</v>
      </c>
      <c r="E59" s="4">
        <v>4.9000000000000002E-2</v>
      </c>
      <c r="F59" s="4" t="e">
        <f t="shared" ca="1" si="0"/>
        <v>#NAME?</v>
      </c>
    </row>
    <row r="60" spans="4:6" x14ac:dyDescent="0.2">
      <c r="D60" s="5">
        <v>42200</v>
      </c>
      <c r="E60" s="4">
        <v>4.9000000000000002E-2</v>
      </c>
      <c r="F60" s="4" t="e">
        <f t="shared" ca="1" si="0"/>
        <v>#NAME?</v>
      </c>
    </row>
    <row r="61" spans="4:6" x14ac:dyDescent="0.2">
      <c r="D61" s="5">
        <v>42199</v>
      </c>
      <c r="E61" s="4">
        <v>4.9000000000000002E-2</v>
      </c>
      <c r="F61" s="4" t="e">
        <f t="shared" ca="1" si="0"/>
        <v>#NAME?</v>
      </c>
    </row>
    <row r="62" spans="4:6" x14ac:dyDescent="0.2">
      <c r="D62" s="5">
        <v>42198</v>
      </c>
      <c r="E62" s="4">
        <v>4.9000000000000002E-2</v>
      </c>
      <c r="F62" s="4" t="e">
        <f t="shared" ca="1" si="0"/>
        <v>#NAME?</v>
      </c>
    </row>
    <row r="63" spans="4:6" x14ac:dyDescent="0.2">
      <c r="D63" s="5">
        <v>42195</v>
      </c>
      <c r="E63" s="4">
        <v>4.9000000000000002E-2</v>
      </c>
      <c r="F63" s="4" t="e">
        <f t="shared" ca="1" si="0"/>
        <v>#NAME?</v>
      </c>
    </row>
    <row r="64" spans="4:6" x14ac:dyDescent="0.2">
      <c r="D64" s="5">
        <v>42194</v>
      </c>
      <c r="E64" s="4">
        <v>4.9000000000000002E-2</v>
      </c>
      <c r="F64" s="4" t="e">
        <f t="shared" ca="1" si="0"/>
        <v>#NAME?</v>
      </c>
    </row>
    <row r="65" spans="4:6" x14ac:dyDescent="0.2">
      <c r="D65" s="5">
        <v>42193</v>
      </c>
      <c r="E65" s="4">
        <v>4.9000000000000002E-2</v>
      </c>
      <c r="F65" s="4" t="e">
        <f t="shared" ca="1" si="0"/>
        <v>#NAME?</v>
      </c>
    </row>
    <row r="66" spans="4:6" x14ac:dyDescent="0.2">
      <c r="D66" s="5">
        <v>42192</v>
      </c>
      <c r="E66" s="4">
        <v>4.9000000000000002E-2</v>
      </c>
      <c r="F66" s="4" t="e">
        <f t="shared" ca="1" si="0"/>
        <v>#NAME?</v>
      </c>
    </row>
    <row r="67" spans="4:6" x14ac:dyDescent="0.2">
      <c r="D67" s="5">
        <v>42191</v>
      </c>
      <c r="E67" s="4">
        <v>4.9000000000000002E-2</v>
      </c>
      <c r="F67" s="4" t="e">
        <f t="shared" ca="1" si="0"/>
        <v>#NAME?</v>
      </c>
    </row>
    <row r="68" spans="4:6" x14ac:dyDescent="0.2">
      <c r="D68" s="5">
        <v>42188</v>
      </c>
      <c r="E68" s="4">
        <v>4.9000000000000002E-2</v>
      </c>
      <c r="F68" s="4" t="e">
        <f t="shared" ca="1" si="0"/>
        <v>#NAME?</v>
      </c>
    </row>
    <row r="69" spans="4:6" x14ac:dyDescent="0.2">
      <c r="D69" s="5">
        <v>42187</v>
      </c>
      <c r="E69" s="4">
        <v>4.8000000000000001E-2</v>
      </c>
      <c r="F69" s="4" t="e">
        <f t="shared" ref="F69:F132" ca="1" si="1">_xll.qlIndexAddFixings($B$1,D69,E69/100,TRUE,Trigger)</f>
        <v>#NAME?</v>
      </c>
    </row>
    <row r="70" spans="4:6" x14ac:dyDescent="0.2">
      <c r="D70" s="5">
        <v>42186</v>
      </c>
      <c r="E70" s="4">
        <v>4.9000000000000002E-2</v>
      </c>
      <c r="F70" s="4" t="e">
        <f t="shared" ca="1" si="1"/>
        <v>#NAME?</v>
      </c>
    </row>
    <row r="71" spans="4:6" x14ac:dyDescent="0.2">
      <c r="D71" s="5">
        <v>42185</v>
      </c>
      <c r="E71" s="4">
        <v>0.05</v>
      </c>
      <c r="F71" s="4" t="e">
        <f t="shared" ca="1" si="1"/>
        <v>#NAME?</v>
      </c>
    </row>
    <row r="72" spans="4:6" x14ac:dyDescent="0.2">
      <c r="D72" s="5">
        <v>42184</v>
      </c>
      <c r="E72" s="4">
        <v>0.05</v>
      </c>
      <c r="F72" s="4" t="e">
        <f t="shared" ca="1" si="1"/>
        <v>#NAME?</v>
      </c>
    </row>
    <row r="73" spans="4:6" x14ac:dyDescent="0.2">
      <c r="D73" s="5">
        <v>42181</v>
      </c>
      <c r="E73" s="4">
        <v>0.05</v>
      </c>
      <c r="F73" s="4" t="e">
        <f t="shared" ca="1" si="1"/>
        <v>#NAME?</v>
      </c>
    </row>
    <row r="74" spans="4:6" x14ac:dyDescent="0.2">
      <c r="D74" s="5">
        <v>42180</v>
      </c>
      <c r="E74" s="4">
        <v>4.9000000000000002E-2</v>
      </c>
      <c r="F74" s="4" t="e">
        <f t="shared" ca="1" si="1"/>
        <v>#NAME?</v>
      </c>
    </row>
    <row r="75" spans="4:6" x14ac:dyDescent="0.2">
      <c r="D75" s="5">
        <v>42179</v>
      </c>
      <c r="E75" s="4">
        <v>4.9000000000000002E-2</v>
      </c>
      <c r="F75" s="4" t="e">
        <f t="shared" ca="1" si="1"/>
        <v>#NAME?</v>
      </c>
    </row>
    <row r="76" spans="4:6" x14ac:dyDescent="0.2">
      <c r="D76" s="5">
        <v>42178</v>
      </c>
      <c r="E76" s="4">
        <v>4.8000000000000001E-2</v>
      </c>
      <c r="F76" s="4" t="e">
        <f t="shared" ca="1" si="1"/>
        <v>#NAME?</v>
      </c>
    </row>
    <row r="77" spans="4:6" x14ac:dyDescent="0.2">
      <c r="D77" s="5">
        <v>42177</v>
      </c>
      <c r="E77" s="4">
        <v>4.8000000000000001E-2</v>
      </c>
      <c r="F77" s="4" t="e">
        <f t="shared" ca="1" si="1"/>
        <v>#NAME?</v>
      </c>
    </row>
    <row r="78" spans="4:6" x14ac:dyDescent="0.2">
      <c r="D78" s="5">
        <v>42174</v>
      </c>
      <c r="E78" s="4">
        <v>0.05</v>
      </c>
      <c r="F78" s="4" t="e">
        <f t="shared" ca="1" si="1"/>
        <v>#NAME?</v>
      </c>
    </row>
    <row r="79" spans="4:6" x14ac:dyDescent="0.2">
      <c r="D79" s="5">
        <v>42173</v>
      </c>
      <c r="E79" s="4">
        <v>4.9000000000000002E-2</v>
      </c>
      <c r="F79" s="4" t="e">
        <f t="shared" ca="1" si="1"/>
        <v>#NAME?</v>
      </c>
    </row>
    <row r="80" spans="4:6" x14ac:dyDescent="0.2">
      <c r="D80" s="5">
        <v>42172</v>
      </c>
      <c r="E80" s="4">
        <v>4.9000000000000002E-2</v>
      </c>
      <c r="F80" s="4" t="e">
        <f t="shared" ca="1" si="1"/>
        <v>#NAME?</v>
      </c>
    </row>
    <row r="81" spans="4:6" x14ac:dyDescent="0.2">
      <c r="D81" s="5">
        <v>42171</v>
      </c>
      <c r="E81" s="4">
        <v>5.0999999999999997E-2</v>
      </c>
      <c r="F81" s="4" t="e">
        <f t="shared" ca="1" si="1"/>
        <v>#NAME?</v>
      </c>
    </row>
    <row r="82" spans="4:6" x14ac:dyDescent="0.2">
      <c r="D82" s="5">
        <v>42170</v>
      </c>
      <c r="E82" s="4">
        <v>4.9000000000000002E-2</v>
      </c>
      <c r="F82" s="4" t="e">
        <f t="shared" ca="1" si="1"/>
        <v>#NAME?</v>
      </c>
    </row>
    <row r="83" spans="4:6" x14ac:dyDescent="0.2">
      <c r="D83" s="5">
        <v>42167</v>
      </c>
      <c r="E83" s="4">
        <v>0.05</v>
      </c>
      <c r="F83" s="4" t="e">
        <f t="shared" ca="1" si="1"/>
        <v>#NAME?</v>
      </c>
    </row>
    <row r="84" spans="4:6" x14ac:dyDescent="0.2">
      <c r="D84" s="5">
        <v>42166</v>
      </c>
      <c r="E84" s="4">
        <v>4.9000000000000002E-2</v>
      </c>
      <c r="F84" s="4" t="e">
        <f t="shared" ca="1" si="1"/>
        <v>#NAME?</v>
      </c>
    </row>
    <row r="85" spans="4:6" x14ac:dyDescent="0.2">
      <c r="D85" s="5">
        <v>42165</v>
      </c>
      <c r="E85" s="4">
        <v>4.9000000000000002E-2</v>
      </c>
      <c r="F85" s="4" t="e">
        <f t="shared" ca="1" si="1"/>
        <v>#NAME?</v>
      </c>
    </row>
    <row r="86" spans="4:6" x14ac:dyDescent="0.2">
      <c r="D86" s="5">
        <v>42164</v>
      </c>
      <c r="E86" s="4">
        <v>4.9000000000000002E-2</v>
      </c>
      <c r="F86" s="4" t="e">
        <f t="shared" ca="1" si="1"/>
        <v>#NAME?</v>
      </c>
    </row>
    <row r="87" spans="4:6" x14ac:dyDescent="0.2">
      <c r="D87" s="5">
        <v>42163</v>
      </c>
      <c r="E87" s="4">
        <v>4.9000000000000002E-2</v>
      </c>
      <c r="F87" s="4" t="e">
        <f t="shared" ca="1" si="1"/>
        <v>#NAME?</v>
      </c>
    </row>
    <row r="88" spans="4:6" x14ac:dyDescent="0.2">
      <c r="D88" s="5">
        <v>42160</v>
      </c>
      <c r="E88" s="4">
        <v>0.05</v>
      </c>
      <c r="F88" s="4" t="e">
        <f t="shared" ca="1" si="1"/>
        <v>#NAME?</v>
      </c>
    </row>
    <row r="89" spans="4:6" x14ac:dyDescent="0.2">
      <c r="D89" s="5">
        <v>42159</v>
      </c>
      <c r="E89" s="4">
        <v>4.9000000000000002E-2</v>
      </c>
      <c r="F89" s="4" t="e">
        <f t="shared" ca="1" si="1"/>
        <v>#NAME?</v>
      </c>
    </row>
    <row r="90" spans="4:6" x14ac:dyDescent="0.2">
      <c r="D90" s="5">
        <v>42158</v>
      </c>
      <c r="E90" s="4">
        <v>4.8000000000000001E-2</v>
      </c>
      <c r="F90" s="4" t="e">
        <f t="shared" ca="1" si="1"/>
        <v>#NAME?</v>
      </c>
    </row>
    <row r="91" spans="4:6" x14ac:dyDescent="0.2">
      <c r="D91" s="5">
        <v>42157</v>
      </c>
      <c r="E91" s="4">
        <v>4.8000000000000001E-2</v>
      </c>
      <c r="F91" s="4" t="e">
        <f t="shared" ca="1" si="1"/>
        <v>#NAME?</v>
      </c>
    </row>
    <row r="92" spans="4:6" x14ac:dyDescent="0.2">
      <c r="D92" s="5">
        <v>42156</v>
      </c>
      <c r="E92" s="4">
        <v>4.9000000000000002E-2</v>
      </c>
      <c r="F92" s="4" t="e">
        <f t="shared" ca="1" si="1"/>
        <v>#NAME?</v>
      </c>
    </row>
    <row r="93" spans="4:6" x14ac:dyDescent="0.2">
      <c r="D93" s="5">
        <v>42153</v>
      </c>
      <c r="E93" s="4">
        <v>4.9000000000000002E-2</v>
      </c>
      <c r="F93" s="4" t="e">
        <f t="shared" ca="1" si="1"/>
        <v>#NAME?</v>
      </c>
    </row>
    <row r="94" spans="4:6" x14ac:dyDescent="0.2">
      <c r="D94" s="5">
        <v>42152</v>
      </c>
      <c r="E94" s="4">
        <v>4.9000000000000002E-2</v>
      </c>
      <c r="F94" s="4" t="e">
        <f t="shared" ca="1" si="1"/>
        <v>#NAME?</v>
      </c>
    </row>
    <row r="95" spans="4:6" x14ac:dyDescent="0.2">
      <c r="D95" s="5">
        <v>42151</v>
      </c>
      <c r="E95" s="4">
        <v>0.05</v>
      </c>
      <c r="F95" s="4" t="e">
        <f t="shared" ca="1" si="1"/>
        <v>#NAME?</v>
      </c>
    </row>
    <row r="96" spans="4:6" x14ac:dyDescent="0.2">
      <c r="D96" s="5">
        <v>42150</v>
      </c>
      <c r="E96" s="4">
        <v>5.1999999999999998E-2</v>
      </c>
      <c r="F96" s="4" t="e">
        <f t="shared" ca="1" si="1"/>
        <v>#NAME?</v>
      </c>
    </row>
    <row r="97" spans="4:6" x14ac:dyDescent="0.2">
      <c r="D97" s="5">
        <v>42149</v>
      </c>
      <c r="E97" s="4">
        <v>5.3999999999999999E-2</v>
      </c>
      <c r="F97" s="4" t="e">
        <f t="shared" ca="1" si="1"/>
        <v>#NAME?</v>
      </c>
    </row>
    <row r="98" spans="4:6" x14ac:dyDescent="0.2">
      <c r="D98" s="5">
        <v>42146</v>
      </c>
      <c r="E98" s="4">
        <v>5.3999999999999999E-2</v>
      </c>
      <c r="F98" s="4" t="e">
        <f t="shared" ca="1" si="1"/>
        <v>#NAME?</v>
      </c>
    </row>
    <row r="99" spans="4:6" x14ac:dyDescent="0.2">
      <c r="D99" s="5">
        <v>42145</v>
      </c>
      <c r="E99" s="4">
        <v>5.3999999999999999E-2</v>
      </c>
      <c r="F99" s="4" t="e">
        <f t="shared" ca="1" si="1"/>
        <v>#NAME?</v>
      </c>
    </row>
    <row r="100" spans="4:6" x14ac:dyDescent="0.2">
      <c r="D100" s="5">
        <v>42144</v>
      </c>
      <c r="E100" s="4">
        <v>5.5E-2</v>
      </c>
      <c r="F100" s="4" t="e">
        <f t="shared" ca="1" si="1"/>
        <v>#NAME?</v>
      </c>
    </row>
    <row r="101" spans="4:6" x14ac:dyDescent="0.2">
      <c r="D101" s="5">
        <v>42143</v>
      </c>
      <c r="E101" s="4">
        <v>5.7000000000000002E-2</v>
      </c>
      <c r="F101" s="4" t="e">
        <f t="shared" ca="1" si="1"/>
        <v>#NAME?</v>
      </c>
    </row>
    <row r="102" spans="4:6" x14ac:dyDescent="0.2">
      <c r="D102" s="5">
        <v>42142</v>
      </c>
      <c r="E102" s="4">
        <v>5.6000000000000001E-2</v>
      </c>
      <c r="F102" s="4" t="e">
        <f t="shared" ca="1" si="1"/>
        <v>#NAME?</v>
      </c>
    </row>
    <row r="103" spans="4:6" x14ac:dyDescent="0.2">
      <c r="D103" s="5">
        <v>42139</v>
      </c>
      <c r="E103" s="4">
        <v>5.8000000000000003E-2</v>
      </c>
      <c r="F103" s="4" t="e">
        <f t="shared" ca="1" si="1"/>
        <v>#NAME?</v>
      </c>
    </row>
    <row r="104" spans="4:6" x14ac:dyDescent="0.2">
      <c r="D104" s="5">
        <v>42138</v>
      </c>
      <c r="E104" s="4">
        <v>5.8999999999999997E-2</v>
      </c>
      <c r="F104" s="4" t="e">
        <f t="shared" ca="1" si="1"/>
        <v>#NAME?</v>
      </c>
    </row>
    <row r="105" spans="4:6" x14ac:dyDescent="0.2">
      <c r="D105" s="5">
        <v>42137</v>
      </c>
      <c r="E105" s="4">
        <v>0.06</v>
      </c>
      <c r="F105" s="4" t="e">
        <f t="shared" ca="1" si="1"/>
        <v>#NAME?</v>
      </c>
    </row>
    <row r="106" spans="4:6" x14ac:dyDescent="0.2">
      <c r="D106" s="5">
        <v>42136</v>
      </c>
      <c r="E106" s="4">
        <v>6.0999999999999999E-2</v>
      </c>
      <c r="F106" s="4" t="e">
        <f t="shared" ca="1" si="1"/>
        <v>#NAME?</v>
      </c>
    </row>
    <row r="107" spans="4:6" x14ac:dyDescent="0.2">
      <c r="D107" s="5">
        <v>42135</v>
      </c>
      <c r="E107" s="4">
        <v>6.0999999999999999E-2</v>
      </c>
      <c r="F107" s="4" t="e">
        <f t="shared" ca="1" si="1"/>
        <v>#NAME?</v>
      </c>
    </row>
    <row r="108" spans="4:6" x14ac:dyDescent="0.2">
      <c r="D108" s="5">
        <v>42132</v>
      </c>
      <c r="E108" s="4">
        <v>6.0999999999999999E-2</v>
      </c>
      <c r="F108" s="4" t="e">
        <f t="shared" ca="1" si="1"/>
        <v>#NAME?</v>
      </c>
    </row>
    <row r="109" spans="4:6" x14ac:dyDescent="0.2">
      <c r="D109" s="5">
        <v>42131</v>
      </c>
      <c r="E109" s="4">
        <v>6.0999999999999999E-2</v>
      </c>
      <c r="F109" s="4" t="e">
        <f t="shared" ca="1" si="1"/>
        <v>#NAME?</v>
      </c>
    </row>
    <row r="110" spans="4:6" x14ac:dyDescent="0.2">
      <c r="D110" s="5">
        <v>42130</v>
      </c>
      <c r="E110" s="4">
        <v>6.2E-2</v>
      </c>
      <c r="F110" s="4" t="e">
        <f t="shared" ca="1" si="1"/>
        <v>#NAME?</v>
      </c>
    </row>
    <row r="111" spans="4:6" x14ac:dyDescent="0.2">
      <c r="D111" s="5">
        <v>42129</v>
      </c>
      <c r="E111" s="4">
        <v>6.0999999999999999E-2</v>
      </c>
      <c r="F111" s="4" t="e">
        <f t="shared" ca="1" si="1"/>
        <v>#NAME?</v>
      </c>
    </row>
    <row r="112" spans="4:6" x14ac:dyDescent="0.2">
      <c r="D112" s="5">
        <v>42128</v>
      </c>
      <c r="E112" s="4">
        <v>6.4000000000000001E-2</v>
      </c>
      <c r="F112" s="4" t="e">
        <f t="shared" ca="1" si="1"/>
        <v>#NAME?</v>
      </c>
    </row>
    <row r="113" spans="4:6" x14ac:dyDescent="0.2">
      <c r="D113" s="5">
        <v>42124</v>
      </c>
      <c r="E113" s="4">
        <v>6.4000000000000001E-2</v>
      </c>
      <c r="F113" s="4" t="e">
        <f t="shared" ca="1" si="1"/>
        <v>#NAME?</v>
      </c>
    </row>
    <row r="114" spans="4:6" x14ac:dyDescent="0.2">
      <c r="D114" s="5">
        <v>42123</v>
      </c>
      <c r="E114" s="4">
        <v>6.0999999999999999E-2</v>
      </c>
      <c r="F114" s="4" t="e">
        <f t="shared" ca="1" si="1"/>
        <v>#NAME?</v>
      </c>
    </row>
    <row r="115" spans="4:6" x14ac:dyDescent="0.2">
      <c r="D115" s="5">
        <v>42122</v>
      </c>
      <c r="E115" s="4">
        <v>6.2E-2</v>
      </c>
      <c r="F115" s="4" t="e">
        <f t="shared" ca="1" si="1"/>
        <v>#NAME?</v>
      </c>
    </row>
    <row r="116" spans="4:6" x14ac:dyDescent="0.2">
      <c r="D116" s="5">
        <v>42121</v>
      </c>
      <c r="E116" s="4">
        <v>6.7000000000000004E-2</v>
      </c>
      <c r="F116" s="4" t="e">
        <f t="shared" ca="1" si="1"/>
        <v>#NAME?</v>
      </c>
    </row>
    <row r="117" spans="4:6" x14ac:dyDescent="0.2">
      <c r="D117" s="5">
        <v>42118</v>
      </c>
      <c r="E117" s="4">
        <v>6.6000000000000003E-2</v>
      </c>
      <c r="F117" s="4" t="e">
        <f t="shared" ca="1" si="1"/>
        <v>#NAME?</v>
      </c>
    </row>
    <row r="118" spans="4:6" x14ac:dyDescent="0.2">
      <c r="D118" s="5">
        <v>42117</v>
      </c>
      <c r="E118" s="4">
        <v>6.6000000000000003E-2</v>
      </c>
      <c r="F118" s="4" t="e">
        <f t="shared" ca="1" si="1"/>
        <v>#NAME?</v>
      </c>
    </row>
    <row r="119" spans="4:6" x14ac:dyDescent="0.2">
      <c r="D119" s="5">
        <v>42116</v>
      </c>
      <c r="E119" s="4">
        <v>6.8000000000000005E-2</v>
      </c>
      <c r="F119" s="4" t="e">
        <f t="shared" ca="1" si="1"/>
        <v>#NAME?</v>
      </c>
    </row>
    <row r="120" spans="4:6" x14ac:dyDescent="0.2">
      <c r="D120" s="5">
        <v>42115</v>
      </c>
      <c r="E120" s="4">
        <v>6.9000000000000006E-2</v>
      </c>
      <c r="F120" s="4" t="e">
        <f t="shared" ca="1" si="1"/>
        <v>#NAME?</v>
      </c>
    </row>
    <row r="121" spans="4:6" x14ac:dyDescent="0.2">
      <c r="D121" s="5">
        <v>42114</v>
      </c>
      <c r="E121" s="4">
        <v>6.9000000000000006E-2</v>
      </c>
      <c r="F121" s="4" t="e">
        <f t="shared" ca="1" si="1"/>
        <v>#NAME?</v>
      </c>
    </row>
    <row r="122" spans="4:6" x14ac:dyDescent="0.2">
      <c r="D122" s="5">
        <v>42111</v>
      </c>
      <c r="E122" s="4">
        <v>6.8000000000000005E-2</v>
      </c>
      <c r="F122" s="4" t="e">
        <f t="shared" ca="1" si="1"/>
        <v>#NAME?</v>
      </c>
    </row>
    <row r="123" spans="4:6" x14ac:dyDescent="0.2">
      <c r="D123" s="5">
        <v>42110</v>
      </c>
      <c r="E123" s="4">
        <v>7.0000000000000007E-2</v>
      </c>
      <c r="F123" s="4" t="e">
        <f t="shared" ca="1" si="1"/>
        <v>#NAME?</v>
      </c>
    </row>
    <row r="124" spans="4:6" x14ac:dyDescent="0.2">
      <c r="D124" s="5">
        <v>42109</v>
      </c>
      <c r="E124" s="4">
        <v>7.1999999999999995E-2</v>
      </c>
      <c r="F124" s="4" t="e">
        <f t="shared" ca="1" si="1"/>
        <v>#NAME?</v>
      </c>
    </row>
    <row r="125" spans="4:6" x14ac:dyDescent="0.2">
      <c r="D125" s="5">
        <v>42108</v>
      </c>
      <c r="E125" s="4">
        <v>7.5999999999999998E-2</v>
      </c>
      <c r="F125" s="4" t="e">
        <f t="shared" ca="1" si="1"/>
        <v>#NAME?</v>
      </c>
    </row>
    <row r="126" spans="4:6" x14ac:dyDescent="0.2">
      <c r="D126" s="5">
        <v>42107</v>
      </c>
      <c r="E126" s="4">
        <v>7.8E-2</v>
      </c>
      <c r="F126" s="4" t="e">
        <f t="shared" ca="1" si="1"/>
        <v>#NAME?</v>
      </c>
    </row>
    <row r="127" spans="4:6" x14ac:dyDescent="0.2">
      <c r="D127" s="5">
        <v>42104</v>
      </c>
      <c r="E127" s="4">
        <v>7.9000000000000001E-2</v>
      </c>
      <c r="F127" s="4" t="e">
        <f t="shared" ca="1" si="1"/>
        <v>#NAME?</v>
      </c>
    </row>
    <row r="128" spans="4:6" x14ac:dyDescent="0.2">
      <c r="D128" s="5">
        <v>42103</v>
      </c>
      <c r="E128" s="4">
        <v>8.1000000000000003E-2</v>
      </c>
      <c r="F128" s="4" t="e">
        <f t="shared" ca="1" si="1"/>
        <v>#NAME?</v>
      </c>
    </row>
    <row r="129" spans="4:6" x14ac:dyDescent="0.2">
      <c r="D129" s="5">
        <v>42102</v>
      </c>
      <c r="E129" s="4">
        <v>8.1000000000000003E-2</v>
      </c>
      <c r="F129" s="4" t="e">
        <f t="shared" ca="1" si="1"/>
        <v>#NAME?</v>
      </c>
    </row>
    <row r="130" spans="4:6" x14ac:dyDescent="0.2">
      <c r="D130" s="5">
        <v>42101</v>
      </c>
      <c r="E130" s="4">
        <v>8.5000000000000006E-2</v>
      </c>
      <c r="F130" s="4" t="e">
        <f t="shared" ca="1" si="1"/>
        <v>#NAME?</v>
      </c>
    </row>
    <row r="131" spans="4:6" x14ac:dyDescent="0.2">
      <c r="D131" s="5">
        <v>42096</v>
      </c>
      <c r="E131" s="4">
        <v>8.5999999999999993E-2</v>
      </c>
      <c r="F131" s="4" t="e">
        <f t="shared" ca="1" si="1"/>
        <v>#NAME?</v>
      </c>
    </row>
    <row r="132" spans="4:6" x14ac:dyDescent="0.2">
      <c r="D132" s="5">
        <v>42095</v>
      </c>
      <c r="E132" s="4">
        <v>8.7999999999999995E-2</v>
      </c>
      <c r="F132" s="4" t="e">
        <f t="shared" ca="1" si="1"/>
        <v>#NAME?</v>
      </c>
    </row>
    <row r="133" spans="4:6" x14ac:dyDescent="0.2">
      <c r="D133" s="5">
        <v>42094</v>
      </c>
      <c r="E133" s="4">
        <v>8.6999999999999994E-2</v>
      </c>
      <c r="F133" s="4" t="e">
        <f t="shared" ref="F133:F196" ca="1" si="2">_xll.qlIndexAddFixings($B$1,D133,E133/100,TRUE,Trigger)</f>
        <v>#NAME?</v>
      </c>
    </row>
    <row r="134" spans="4:6" x14ac:dyDescent="0.2">
      <c r="D134" s="5">
        <v>42093</v>
      </c>
      <c r="E134" s="4">
        <v>8.6999999999999994E-2</v>
      </c>
      <c r="F134" s="4" t="e">
        <f t="shared" ca="1" si="2"/>
        <v>#NAME?</v>
      </c>
    </row>
    <row r="135" spans="4:6" x14ac:dyDescent="0.2">
      <c r="D135" s="5">
        <v>42090</v>
      </c>
      <c r="E135" s="4">
        <v>8.7999999999999995E-2</v>
      </c>
      <c r="F135" s="4" t="e">
        <f t="shared" ca="1" si="2"/>
        <v>#NAME?</v>
      </c>
    </row>
    <row r="136" spans="4:6" x14ac:dyDescent="0.2">
      <c r="D136" s="5">
        <v>42089</v>
      </c>
      <c r="E136" s="4">
        <v>8.8999999999999996E-2</v>
      </c>
      <c r="F136" s="4" t="e">
        <f t="shared" ca="1" si="2"/>
        <v>#NAME?</v>
      </c>
    </row>
    <row r="137" spans="4:6" x14ac:dyDescent="0.2">
      <c r="D137" s="5">
        <v>42088</v>
      </c>
      <c r="E137" s="4">
        <v>8.7999999999999995E-2</v>
      </c>
      <c r="F137" s="4" t="e">
        <f t="shared" ca="1" si="2"/>
        <v>#NAME?</v>
      </c>
    </row>
    <row r="138" spans="4:6" x14ac:dyDescent="0.2">
      <c r="D138" s="5">
        <v>42087</v>
      </c>
      <c r="E138" s="4">
        <v>8.8999999999999996E-2</v>
      </c>
      <c r="F138" s="4" t="e">
        <f t="shared" ca="1" si="2"/>
        <v>#NAME?</v>
      </c>
    </row>
    <row r="139" spans="4:6" x14ac:dyDescent="0.2">
      <c r="D139" s="5">
        <v>42086</v>
      </c>
      <c r="E139" s="4">
        <v>8.8999999999999996E-2</v>
      </c>
      <c r="F139" s="4" t="e">
        <f t="shared" ca="1" si="2"/>
        <v>#NAME?</v>
      </c>
    </row>
    <row r="140" spans="4:6" x14ac:dyDescent="0.2">
      <c r="D140" s="5">
        <v>42083</v>
      </c>
      <c r="E140" s="4">
        <v>8.8999999999999996E-2</v>
      </c>
      <c r="F140" s="4" t="e">
        <f t="shared" ca="1" si="2"/>
        <v>#NAME?</v>
      </c>
    </row>
    <row r="141" spans="4:6" x14ac:dyDescent="0.2">
      <c r="D141" s="5">
        <v>42082</v>
      </c>
      <c r="E141" s="4">
        <v>9.4E-2</v>
      </c>
      <c r="F141" s="4" t="e">
        <f t="shared" ca="1" si="2"/>
        <v>#NAME?</v>
      </c>
    </row>
    <row r="142" spans="4:6" x14ac:dyDescent="0.2">
      <c r="D142" s="5">
        <v>42081</v>
      </c>
      <c r="E142" s="4">
        <v>9.6000000000000002E-2</v>
      </c>
      <c r="F142" s="4" t="e">
        <f t="shared" ca="1" si="2"/>
        <v>#NAME?</v>
      </c>
    </row>
    <row r="143" spans="4:6" x14ac:dyDescent="0.2">
      <c r="D143" s="5">
        <v>42080</v>
      </c>
      <c r="E143" s="4">
        <v>9.5000000000000001E-2</v>
      </c>
      <c r="F143" s="4" t="e">
        <f t="shared" ca="1" si="2"/>
        <v>#NAME?</v>
      </c>
    </row>
    <row r="144" spans="4:6" x14ac:dyDescent="0.2">
      <c r="D144" s="5">
        <v>42079</v>
      </c>
      <c r="E144" s="4">
        <v>9.6000000000000002E-2</v>
      </c>
      <c r="F144" s="4" t="e">
        <f t="shared" ca="1" si="2"/>
        <v>#NAME?</v>
      </c>
    </row>
    <row r="145" spans="4:6" x14ac:dyDescent="0.2">
      <c r="D145" s="5">
        <v>42076</v>
      </c>
      <c r="E145" s="4">
        <v>9.6000000000000002E-2</v>
      </c>
      <c r="F145" s="4" t="e">
        <f t="shared" ca="1" si="2"/>
        <v>#NAME?</v>
      </c>
    </row>
    <row r="146" spans="4:6" x14ac:dyDescent="0.2">
      <c r="D146" s="5">
        <v>42075</v>
      </c>
      <c r="E146" s="4">
        <v>9.8000000000000004E-2</v>
      </c>
      <c r="F146" s="4" t="e">
        <f t="shared" ca="1" si="2"/>
        <v>#NAME?</v>
      </c>
    </row>
    <row r="147" spans="4:6" x14ac:dyDescent="0.2">
      <c r="D147" s="5">
        <v>42074</v>
      </c>
      <c r="E147" s="4">
        <v>9.9000000000000005E-2</v>
      </c>
      <c r="F147" s="4" t="e">
        <f t="shared" ca="1" si="2"/>
        <v>#NAME?</v>
      </c>
    </row>
    <row r="148" spans="4:6" x14ac:dyDescent="0.2">
      <c r="D148" s="5">
        <v>42073</v>
      </c>
      <c r="E148" s="4">
        <v>0.10199999999999999</v>
      </c>
      <c r="F148" s="4" t="e">
        <f t="shared" ca="1" si="2"/>
        <v>#NAME?</v>
      </c>
    </row>
    <row r="149" spans="4:6" x14ac:dyDescent="0.2">
      <c r="D149" s="5">
        <v>42072</v>
      </c>
      <c r="E149" s="4">
        <v>0.105</v>
      </c>
      <c r="F149" s="4" t="e">
        <f t="shared" ca="1" si="2"/>
        <v>#NAME?</v>
      </c>
    </row>
    <row r="150" spans="4:6" x14ac:dyDescent="0.2">
      <c r="D150" s="5">
        <v>42069</v>
      </c>
      <c r="E150" s="4">
        <v>0.107</v>
      </c>
      <c r="F150" s="4" t="e">
        <f t="shared" ca="1" si="2"/>
        <v>#NAME?</v>
      </c>
    </row>
    <row r="151" spans="4:6" x14ac:dyDescent="0.2">
      <c r="D151" s="5">
        <v>42068</v>
      </c>
      <c r="E151" s="4">
        <v>0.108</v>
      </c>
      <c r="F151" s="4" t="e">
        <f t="shared" ca="1" si="2"/>
        <v>#NAME?</v>
      </c>
    </row>
    <row r="152" spans="4:6" x14ac:dyDescent="0.2">
      <c r="D152" s="5">
        <v>42067</v>
      </c>
      <c r="E152" s="4">
        <v>0.11</v>
      </c>
      <c r="F152" s="4" t="e">
        <f t="shared" ca="1" si="2"/>
        <v>#NAME?</v>
      </c>
    </row>
    <row r="153" spans="4:6" x14ac:dyDescent="0.2">
      <c r="D153" s="5">
        <v>42066</v>
      </c>
      <c r="E153" s="4">
        <v>0.109</v>
      </c>
      <c r="F153" s="4" t="e">
        <f t="shared" ca="1" si="2"/>
        <v>#NAME?</v>
      </c>
    </row>
    <row r="154" spans="4:6" x14ac:dyDescent="0.2">
      <c r="D154" s="5">
        <v>42065</v>
      </c>
      <c r="E154" s="4">
        <v>0.11</v>
      </c>
      <c r="F154" s="4" t="e">
        <f t="shared" ca="1" si="2"/>
        <v>#NAME?</v>
      </c>
    </row>
    <row r="155" spans="4:6" x14ac:dyDescent="0.2">
      <c r="D155" s="5">
        <v>41789</v>
      </c>
      <c r="E155" s="4">
        <v>0.39700000000000002</v>
      </c>
      <c r="F155" s="4" t="e">
        <f t="shared" ca="1" si="2"/>
        <v>#NAME?</v>
      </c>
    </row>
    <row r="156" spans="4:6" x14ac:dyDescent="0.2">
      <c r="D156" s="5">
        <v>41782</v>
      </c>
      <c r="E156" s="4">
        <v>0.40600000000000003</v>
      </c>
      <c r="F156" s="4" t="e">
        <f t="shared" ca="1" si="2"/>
        <v>#NAME?</v>
      </c>
    </row>
    <row r="157" spans="4:6" x14ac:dyDescent="0.2">
      <c r="D157" s="5">
        <v>41781</v>
      </c>
      <c r="E157" s="4">
        <v>0.40699999999999997</v>
      </c>
      <c r="F157" s="4" t="e">
        <f t="shared" ca="1" si="2"/>
        <v>#NAME?</v>
      </c>
    </row>
    <row r="158" spans="4:6" x14ac:dyDescent="0.2">
      <c r="D158" s="5"/>
      <c r="E158" s="4"/>
      <c r="F158" s="4" t="e">
        <f t="shared" ca="1" si="2"/>
        <v>#NAME?</v>
      </c>
    </row>
    <row r="159" spans="4:6" x14ac:dyDescent="0.2">
      <c r="D159" s="5"/>
      <c r="E159" s="4"/>
      <c r="F159" s="4" t="e">
        <f t="shared" ca="1" si="2"/>
        <v>#NAME?</v>
      </c>
    </row>
    <row r="160" spans="4:6" x14ac:dyDescent="0.2">
      <c r="D160" s="5"/>
      <c r="E160" s="4"/>
      <c r="F160" s="4" t="e">
        <f t="shared" ca="1" si="2"/>
        <v>#NAME?</v>
      </c>
    </row>
    <row r="161" spans="4:6" x14ac:dyDescent="0.2">
      <c r="D161" s="5"/>
      <c r="E161" s="4"/>
      <c r="F161" s="4" t="e">
        <f t="shared" ca="1" si="2"/>
        <v>#NAME?</v>
      </c>
    </row>
    <row r="162" spans="4:6" x14ac:dyDescent="0.2">
      <c r="D162" s="5"/>
      <c r="E162" s="4"/>
      <c r="F162" s="4" t="e">
        <f t="shared" ca="1" si="2"/>
        <v>#NAME?</v>
      </c>
    </row>
    <row r="163" spans="4:6" x14ac:dyDescent="0.2">
      <c r="D163" s="5"/>
      <c r="E163" s="4"/>
      <c r="F163" s="4" t="e">
        <f t="shared" ca="1" si="2"/>
        <v>#NAME?</v>
      </c>
    </row>
    <row r="164" spans="4:6" x14ac:dyDescent="0.2">
      <c r="D164" s="5"/>
      <c r="E164" s="4"/>
      <c r="F164" s="4" t="e">
        <f t="shared" ca="1" si="2"/>
        <v>#NAME?</v>
      </c>
    </row>
    <row r="165" spans="4:6" x14ac:dyDescent="0.2">
      <c r="D165" s="5"/>
      <c r="E165" s="4"/>
      <c r="F165" s="4" t="e">
        <f t="shared" ca="1" si="2"/>
        <v>#NAME?</v>
      </c>
    </row>
    <row r="166" spans="4:6" x14ac:dyDescent="0.2">
      <c r="D166" s="5"/>
      <c r="E166" s="4"/>
      <c r="F166" s="4" t="e">
        <f t="shared" ca="1" si="2"/>
        <v>#NAME?</v>
      </c>
    </row>
    <row r="167" spans="4:6" x14ac:dyDescent="0.2">
      <c r="D167" s="5"/>
      <c r="E167" s="4"/>
      <c r="F167" s="4" t="e">
        <f t="shared" ca="1" si="2"/>
        <v>#NAME?</v>
      </c>
    </row>
    <row r="168" spans="4:6" x14ac:dyDescent="0.2">
      <c r="D168" s="5"/>
      <c r="E168" s="4"/>
      <c r="F168" s="4" t="e">
        <f t="shared" ca="1" si="2"/>
        <v>#NAME?</v>
      </c>
    </row>
    <row r="169" spans="4:6" x14ac:dyDescent="0.2">
      <c r="D169" s="5"/>
      <c r="E169" s="4"/>
      <c r="F169" s="4" t="e">
        <f t="shared" ca="1" si="2"/>
        <v>#NAME?</v>
      </c>
    </row>
    <row r="170" spans="4:6" x14ac:dyDescent="0.2">
      <c r="D170" s="5"/>
      <c r="E170" s="4"/>
      <c r="F170" s="4" t="e">
        <f t="shared" ca="1" si="2"/>
        <v>#NAME?</v>
      </c>
    </row>
    <row r="171" spans="4:6" x14ac:dyDescent="0.2">
      <c r="D171" s="5"/>
      <c r="E171" s="4"/>
      <c r="F171" s="4" t="e">
        <f t="shared" ca="1" si="2"/>
        <v>#NAME?</v>
      </c>
    </row>
    <row r="172" spans="4:6" x14ac:dyDescent="0.2">
      <c r="D172" s="5"/>
      <c r="E172" s="4"/>
      <c r="F172" s="4" t="e">
        <f t="shared" ca="1" si="2"/>
        <v>#NAME?</v>
      </c>
    </row>
    <row r="173" spans="4:6" x14ac:dyDescent="0.2">
      <c r="D173" s="5"/>
      <c r="E173" s="4"/>
      <c r="F173" s="4" t="e">
        <f t="shared" ca="1" si="2"/>
        <v>#NAME?</v>
      </c>
    </row>
    <row r="174" spans="4:6" x14ac:dyDescent="0.2">
      <c r="D174" s="5"/>
      <c r="E174" s="4"/>
      <c r="F174" s="4" t="e">
        <f t="shared" ca="1" si="2"/>
        <v>#NAME?</v>
      </c>
    </row>
    <row r="175" spans="4:6" x14ac:dyDescent="0.2">
      <c r="D175" s="5"/>
      <c r="E175" s="4"/>
      <c r="F175" s="4" t="e">
        <f t="shared" ca="1" si="2"/>
        <v>#NAME?</v>
      </c>
    </row>
    <row r="176" spans="4:6" x14ac:dyDescent="0.2">
      <c r="D176" s="5"/>
      <c r="E176" s="4"/>
      <c r="F176" s="4" t="e">
        <f t="shared" ca="1" si="2"/>
        <v>#NAME?</v>
      </c>
    </row>
    <row r="177" spans="4:6" x14ac:dyDescent="0.2">
      <c r="D177" s="5"/>
      <c r="E177" s="4"/>
      <c r="F177" s="4" t="e">
        <f t="shared" ca="1" si="2"/>
        <v>#NAME?</v>
      </c>
    </row>
    <row r="178" spans="4:6" x14ac:dyDescent="0.2">
      <c r="D178" s="5"/>
      <c r="E178" s="4"/>
      <c r="F178" s="4" t="e">
        <f t="shared" ca="1" si="2"/>
        <v>#NAME?</v>
      </c>
    </row>
    <row r="179" spans="4:6" x14ac:dyDescent="0.2">
      <c r="D179" s="5"/>
      <c r="E179" s="4"/>
      <c r="F179" s="4" t="e">
        <f t="shared" ca="1" si="2"/>
        <v>#NAME?</v>
      </c>
    </row>
    <row r="180" spans="4:6" x14ac:dyDescent="0.2">
      <c r="D180" s="5"/>
      <c r="E180" s="4"/>
      <c r="F180" s="4" t="e">
        <f t="shared" ca="1" si="2"/>
        <v>#NAME?</v>
      </c>
    </row>
    <row r="181" spans="4:6" x14ac:dyDescent="0.2">
      <c r="D181" s="5"/>
      <c r="E181" s="4"/>
      <c r="F181" s="4" t="e">
        <f t="shared" ca="1" si="2"/>
        <v>#NAME?</v>
      </c>
    </row>
    <row r="182" spans="4:6" x14ac:dyDescent="0.2">
      <c r="D182" s="5"/>
      <c r="E182" s="4"/>
      <c r="F182" s="4" t="e">
        <f t="shared" ca="1" si="2"/>
        <v>#NAME?</v>
      </c>
    </row>
    <row r="183" spans="4:6" x14ac:dyDescent="0.2">
      <c r="D183" s="5"/>
      <c r="E183" s="4"/>
      <c r="F183" s="4" t="e">
        <f t="shared" ca="1" si="2"/>
        <v>#NAME?</v>
      </c>
    </row>
    <row r="184" spans="4:6" x14ac:dyDescent="0.2">
      <c r="D184" s="5"/>
      <c r="E184" s="4"/>
      <c r="F184" s="4" t="e">
        <f t="shared" ca="1" si="2"/>
        <v>#NAME?</v>
      </c>
    </row>
    <row r="185" spans="4:6" x14ac:dyDescent="0.2">
      <c r="D185" s="5"/>
      <c r="E185" s="4"/>
      <c r="F185" s="4" t="e">
        <f t="shared" ca="1" si="2"/>
        <v>#NAME?</v>
      </c>
    </row>
    <row r="186" spans="4:6" x14ac:dyDescent="0.2">
      <c r="D186" s="5"/>
      <c r="E186" s="4"/>
      <c r="F186" s="4" t="e">
        <f t="shared" ca="1" si="2"/>
        <v>#NAME?</v>
      </c>
    </row>
    <row r="187" spans="4:6" x14ac:dyDescent="0.2">
      <c r="D187" s="5"/>
      <c r="E187" s="4"/>
      <c r="F187" s="4" t="e">
        <f t="shared" ca="1" si="2"/>
        <v>#NAME?</v>
      </c>
    </row>
    <row r="188" spans="4:6" x14ac:dyDescent="0.2">
      <c r="D188" s="5"/>
      <c r="E188" s="4"/>
      <c r="F188" s="4" t="e">
        <f t="shared" ca="1" si="2"/>
        <v>#NAME?</v>
      </c>
    </row>
    <row r="189" spans="4:6" x14ac:dyDescent="0.2">
      <c r="D189" s="5"/>
      <c r="E189" s="4"/>
      <c r="F189" s="4" t="e">
        <f t="shared" ca="1" si="2"/>
        <v>#NAME?</v>
      </c>
    </row>
    <row r="190" spans="4:6" x14ac:dyDescent="0.2">
      <c r="D190" s="5"/>
      <c r="E190" s="4"/>
      <c r="F190" s="4" t="e">
        <f t="shared" ca="1" si="2"/>
        <v>#NAME?</v>
      </c>
    </row>
    <row r="191" spans="4:6" x14ac:dyDescent="0.2">
      <c r="D191" s="5"/>
      <c r="E191" s="4"/>
      <c r="F191" s="4" t="e">
        <f t="shared" ca="1" si="2"/>
        <v>#NAME?</v>
      </c>
    </row>
    <row r="192" spans="4:6" x14ac:dyDescent="0.2">
      <c r="D192" s="5"/>
      <c r="E192" s="4"/>
      <c r="F192" s="4" t="e">
        <f t="shared" ca="1" si="2"/>
        <v>#NAME?</v>
      </c>
    </row>
    <row r="193" spans="4:6" x14ac:dyDescent="0.2">
      <c r="D193" s="5"/>
      <c r="E193" s="4"/>
      <c r="F193" s="4" t="e">
        <f t="shared" ca="1" si="2"/>
        <v>#NAME?</v>
      </c>
    </row>
    <row r="194" spans="4:6" x14ac:dyDescent="0.2">
      <c r="D194" s="5"/>
      <c r="E194" s="4"/>
      <c r="F194" s="4" t="e">
        <f t="shared" ca="1" si="2"/>
        <v>#NAME?</v>
      </c>
    </row>
    <row r="195" spans="4:6" x14ac:dyDescent="0.2">
      <c r="D195" s="5"/>
      <c r="E195" s="4"/>
      <c r="F195" s="4" t="e">
        <f t="shared" ca="1" si="2"/>
        <v>#NAME?</v>
      </c>
    </row>
    <row r="196" spans="4:6" x14ac:dyDescent="0.2">
      <c r="D196" s="5"/>
      <c r="E196" s="4"/>
      <c r="F196" s="4" t="e">
        <f t="shared" ca="1" si="2"/>
        <v>#NAME?</v>
      </c>
    </row>
    <row r="197" spans="4:6" x14ac:dyDescent="0.2">
      <c r="D197" s="5"/>
      <c r="E197" s="4"/>
      <c r="F197" s="4" t="e">
        <f t="shared" ref="F197:F259" ca="1" si="3">_xll.qlIndexAddFixings($B$1,D197,E197/100,TRUE,Trigger)</f>
        <v>#NAME?</v>
      </c>
    </row>
    <row r="198" spans="4:6" x14ac:dyDescent="0.2">
      <c r="D198" s="5"/>
      <c r="E198" s="4"/>
      <c r="F198" s="4" t="e">
        <f t="shared" ca="1" si="3"/>
        <v>#NAME?</v>
      </c>
    </row>
    <row r="199" spans="4:6" x14ac:dyDescent="0.2">
      <c r="D199" s="5"/>
      <c r="E199" s="4"/>
      <c r="F199" s="4" t="e">
        <f t="shared" ca="1" si="3"/>
        <v>#NAME?</v>
      </c>
    </row>
    <row r="200" spans="4:6" x14ac:dyDescent="0.2">
      <c r="D200" s="5"/>
      <c r="E200" s="4"/>
      <c r="F200" s="4" t="e">
        <f t="shared" ca="1" si="3"/>
        <v>#NAME?</v>
      </c>
    </row>
    <row r="201" spans="4:6" x14ac:dyDescent="0.2">
      <c r="D201" s="5"/>
      <c r="E201" s="4"/>
      <c r="F201" s="4" t="e">
        <f t="shared" ca="1" si="3"/>
        <v>#NAME?</v>
      </c>
    </row>
    <row r="202" spans="4:6" x14ac:dyDescent="0.2">
      <c r="D202" s="5"/>
      <c r="E202" s="4"/>
      <c r="F202" s="4" t="e">
        <f t="shared" ca="1" si="3"/>
        <v>#NAME?</v>
      </c>
    </row>
    <row r="203" spans="4:6" x14ac:dyDescent="0.2">
      <c r="D203" s="5"/>
      <c r="E203" s="4"/>
      <c r="F203" s="4" t="e">
        <f t="shared" ca="1" si="3"/>
        <v>#NAME?</v>
      </c>
    </row>
    <row r="204" spans="4:6" x14ac:dyDescent="0.2">
      <c r="D204" s="5"/>
      <c r="E204" s="4"/>
      <c r="F204" s="4" t="e">
        <f t="shared" ca="1" si="3"/>
        <v>#NAME?</v>
      </c>
    </row>
    <row r="205" spans="4:6" x14ac:dyDescent="0.2">
      <c r="D205" s="5"/>
      <c r="E205" s="4"/>
      <c r="F205" s="4" t="e">
        <f t="shared" ca="1" si="3"/>
        <v>#NAME?</v>
      </c>
    </row>
    <row r="206" spans="4:6" x14ac:dyDescent="0.2">
      <c r="D206" s="5"/>
      <c r="E206" s="4"/>
      <c r="F206" s="4" t="e">
        <f t="shared" ca="1" si="3"/>
        <v>#NAME?</v>
      </c>
    </row>
    <row r="207" spans="4:6" x14ac:dyDescent="0.2">
      <c r="D207" s="5"/>
      <c r="E207" s="4"/>
      <c r="F207" s="4" t="e">
        <f t="shared" ca="1" si="3"/>
        <v>#NAME?</v>
      </c>
    </row>
    <row r="208" spans="4:6" x14ac:dyDescent="0.2">
      <c r="D208" s="5"/>
      <c r="E208" s="4"/>
      <c r="F208" s="4" t="e">
        <f t="shared" ca="1" si="3"/>
        <v>#NAME?</v>
      </c>
    </row>
    <row r="209" spans="4:6" x14ac:dyDescent="0.2">
      <c r="D209" s="5"/>
      <c r="E209" s="4"/>
      <c r="F209" s="4" t="e">
        <f t="shared" ca="1" si="3"/>
        <v>#NAME?</v>
      </c>
    </row>
    <row r="210" spans="4:6" x14ac:dyDescent="0.2">
      <c r="D210" s="5"/>
      <c r="E210" s="4"/>
      <c r="F210" s="4" t="e">
        <f t="shared" ca="1" si="3"/>
        <v>#NAME?</v>
      </c>
    </row>
    <row r="211" spans="4:6" x14ac:dyDescent="0.2">
      <c r="D211" s="5"/>
      <c r="E211" s="4"/>
      <c r="F211" s="4" t="e">
        <f t="shared" ca="1" si="3"/>
        <v>#NAME?</v>
      </c>
    </row>
    <row r="212" spans="4:6" x14ac:dyDescent="0.2">
      <c r="D212" s="5"/>
      <c r="E212" s="4"/>
      <c r="F212" s="4" t="e">
        <f t="shared" ca="1" si="3"/>
        <v>#NAME?</v>
      </c>
    </row>
    <row r="213" spans="4:6" x14ac:dyDescent="0.2">
      <c r="D213" s="5"/>
      <c r="E213" s="4"/>
      <c r="F213" s="4" t="e">
        <f t="shared" ca="1" si="3"/>
        <v>#NAME?</v>
      </c>
    </row>
    <row r="214" spans="4:6" x14ac:dyDescent="0.2">
      <c r="D214" s="5"/>
      <c r="E214" s="4"/>
      <c r="F214" s="4" t="e">
        <f t="shared" ca="1" si="3"/>
        <v>#NAME?</v>
      </c>
    </row>
    <row r="215" spans="4:6" x14ac:dyDescent="0.2">
      <c r="D215" s="5"/>
      <c r="E215" s="4"/>
      <c r="F215" s="4" t="e">
        <f t="shared" ca="1" si="3"/>
        <v>#NAME?</v>
      </c>
    </row>
    <row r="216" spans="4:6" x14ac:dyDescent="0.2">
      <c r="D216" s="5"/>
      <c r="E216" s="4"/>
      <c r="F216" s="4" t="e">
        <f t="shared" ca="1" si="3"/>
        <v>#NAME?</v>
      </c>
    </row>
    <row r="217" spans="4:6" x14ac:dyDescent="0.2">
      <c r="D217" s="5"/>
      <c r="E217" s="4"/>
      <c r="F217" s="4" t="e">
        <f t="shared" ca="1" si="3"/>
        <v>#NAME?</v>
      </c>
    </row>
    <row r="218" spans="4:6" x14ac:dyDescent="0.2">
      <c r="D218" s="5"/>
      <c r="E218" s="4"/>
      <c r="F218" s="4" t="e">
        <f t="shared" ca="1" si="3"/>
        <v>#NAME?</v>
      </c>
    </row>
    <row r="219" spans="4:6" x14ac:dyDescent="0.2">
      <c r="D219" s="5"/>
      <c r="E219" s="4"/>
      <c r="F219" s="4" t="e">
        <f t="shared" ca="1" si="3"/>
        <v>#NAME?</v>
      </c>
    </row>
    <row r="220" spans="4:6" x14ac:dyDescent="0.2">
      <c r="D220" s="5"/>
      <c r="E220" s="4"/>
      <c r="F220" s="4" t="e">
        <f t="shared" ca="1" si="3"/>
        <v>#NAME?</v>
      </c>
    </row>
    <row r="221" spans="4:6" x14ac:dyDescent="0.2">
      <c r="D221" s="5"/>
      <c r="E221" s="4"/>
      <c r="F221" s="4" t="e">
        <f t="shared" ca="1" si="3"/>
        <v>#NAME?</v>
      </c>
    </row>
    <row r="222" spans="4:6" x14ac:dyDescent="0.2">
      <c r="D222" s="5"/>
      <c r="E222" s="4"/>
      <c r="F222" s="4" t="e">
        <f t="shared" ca="1" si="3"/>
        <v>#NAME?</v>
      </c>
    </row>
    <row r="223" spans="4:6" x14ac:dyDescent="0.2">
      <c r="D223" s="5"/>
      <c r="E223" s="4"/>
      <c r="F223" s="4" t="e">
        <f t="shared" ca="1" si="3"/>
        <v>#NAME?</v>
      </c>
    </row>
    <row r="224" spans="4:6" x14ac:dyDescent="0.2">
      <c r="D224" s="5"/>
      <c r="E224" s="4"/>
      <c r="F224" s="4" t="e">
        <f t="shared" ca="1" si="3"/>
        <v>#NAME?</v>
      </c>
    </row>
    <row r="225" spans="4:6" x14ac:dyDescent="0.2">
      <c r="D225" s="5"/>
      <c r="E225" s="4"/>
      <c r="F225" s="4" t="e">
        <f t="shared" ca="1" si="3"/>
        <v>#NAME?</v>
      </c>
    </row>
    <row r="226" spans="4:6" x14ac:dyDescent="0.2">
      <c r="D226" s="5"/>
      <c r="E226" s="4"/>
      <c r="F226" s="4" t="e">
        <f t="shared" ca="1" si="3"/>
        <v>#NAME?</v>
      </c>
    </row>
    <row r="227" spans="4:6" x14ac:dyDescent="0.2">
      <c r="D227" s="5"/>
      <c r="E227" s="4"/>
      <c r="F227" s="4" t="e">
        <f t="shared" ca="1" si="3"/>
        <v>#NAME?</v>
      </c>
    </row>
    <row r="228" spans="4:6" x14ac:dyDescent="0.2">
      <c r="D228" s="5"/>
      <c r="E228" s="4"/>
      <c r="F228" s="4" t="e">
        <f t="shared" ca="1" si="3"/>
        <v>#NAME?</v>
      </c>
    </row>
    <row r="229" spans="4:6" x14ac:dyDescent="0.2">
      <c r="D229" s="5"/>
      <c r="E229" s="4"/>
      <c r="F229" s="4" t="e">
        <f t="shared" ca="1" si="3"/>
        <v>#NAME?</v>
      </c>
    </row>
    <row r="230" spans="4:6" x14ac:dyDescent="0.2">
      <c r="D230" s="5"/>
      <c r="E230" s="4"/>
      <c r="F230" s="4" t="e">
        <f t="shared" ca="1" si="3"/>
        <v>#NAME?</v>
      </c>
    </row>
    <row r="231" spans="4:6" x14ac:dyDescent="0.2">
      <c r="D231" s="5"/>
      <c r="E231" s="4"/>
      <c r="F231" s="4" t="e">
        <f t="shared" ca="1" si="3"/>
        <v>#NAME?</v>
      </c>
    </row>
    <row r="232" spans="4:6" x14ac:dyDescent="0.2">
      <c r="D232" s="5"/>
      <c r="E232" s="4"/>
      <c r="F232" s="4" t="e">
        <f t="shared" ca="1" si="3"/>
        <v>#NAME?</v>
      </c>
    </row>
    <row r="233" spans="4:6" x14ac:dyDescent="0.2">
      <c r="D233" s="5"/>
      <c r="E233" s="4"/>
      <c r="F233" s="4" t="e">
        <f t="shared" ca="1" si="3"/>
        <v>#NAME?</v>
      </c>
    </row>
    <row r="234" spans="4:6" x14ac:dyDescent="0.2">
      <c r="D234" s="5"/>
      <c r="E234" s="4"/>
      <c r="F234" s="4" t="e">
        <f t="shared" ca="1" si="3"/>
        <v>#NAME?</v>
      </c>
    </row>
    <row r="235" spans="4:6" x14ac:dyDescent="0.2">
      <c r="D235" s="5"/>
      <c r="E235" s="4"/>
      <c r="F235" s="4" t="e">
        <f t="shared" ca="1" si="3"/>
        <v>#NAME?</v>
      </c>
    </row>
    <row r="236" spans="4:6" x14ac:dyDescent="0.2">
      <c r="D236" s="5"/>
      <c r="E236" s="4"/>
      <c r="F236" s="4" t="e">
        <f t="shared" ca="1" si="3"/>
        <v>#NAME?</v>
      </c>
    </row>
    <row r="237" spans="4:6" x14ac:dyDescent="0.2">
      <c r="D237" s="5"/>
      <c r="E237" s="4"/>
      <c r="F237" s="4" t="e">
        <f t="shared" ca="1" si="3"/>
        <v>#NAME?</v>
      </c>
    </row>
    <row r="238" spans="4:6" x14ac:dyDescent="0.2">
      <c r="D238" s="5"/>
      <c r="E238" s="4"/>
      <c r="F238" s="4" t="e">
        <f t="shared" ca="1" si="3"/>
        <v>#NAME?</v>
      </c>
    </row>
    <row r="239" spans="4:6" x14ac:dyDescent="0.2">
      <c r="D239" s="5"/>
      <c r="E239" s="4"/>
      <c r="F239" s="4" t="e">
        <f t="shared" ca="1" si="3"/>
        <v>#NAME?</v>
      </c>
    </row>
    <row r="240" spans="4:6" x14ac:dyDescent="0.2">
      <c r="D240" s="5"/>
      <c r="E240" s="4"/>
      <c r="F240" s="4" t="e">
        <f t="shared" ca="1" si="3"/>
        <v>#NAME?</v>
      </c>
    </row>
    <row r="241" spans="4:6" x14ac:dyDescent="0.2">
      <c r="D241" s="5"/>
      <c r="E241" s="4"/>
      <c r="F241" s="4" t="e">
        <f t="shared" ca="1" si="3"/>
        <v>#NAME?</v>
      </c>
    </row>
    <row r="242" spans="4:6" x14ac:dyDescent="0.2">
      <c r="D242" s="5"/>
      <c r="E242" s="4"/>
      <c r="F242" s="4" t="e">
        <f t="shared" ca="1" si="3"/>
        <v>#NAME?</v>
      </c>
    </row>
    <row r="243" spans="4:6" x14ac:dyDescent="0.2">
      <c r="D243" s="5"/>
      <c r="E243" s="4"/>
      <c r="F243" s="4" t="e">
        <f t="shared" ca="1" si="3"/>
        <v>#NAME?</v>
      </c>
    </row>
    <row r="244" spans="4:6" x14ac:dyDescent="0.2">
      <c r="D244" s="5"/>
      <c r="E244" s="4"/>
      <c r="F244" s="4" t="e">
        <f t="shared" ca="1" si="3"/>
        <v>#NAME?</v>
      </c>
    </row>
    <row r="245" spans="4:6" x14ac:dyDescent="0.2">
      <c r="D245" s="5"/>
      <c r="E245" s="4"/>
      <c r="F245" s="4" t="e">
        <f t="shared" ca="1" si="3"/>
        <v>#NAME?</v>
      </c>
    </row>
    <row r="246" spans="4:6" x14ac:dyDescent="0.2">
      <c r="D246" s="5"/>
      <c r="E246" s="4"/>
      <c r="F246" s="4" t="e">
        <f t="shared" ca="1" si="3"/>
        <v>#NAME?</v>
      </c>
    </row>
    <row r="247" spans="4:6" x14ac:dyDescent="0.2">
      <c r="D247" s="5"/>
      <c r="E247" s="4"/>
      <c r="F247" s="4" t="e">
        <f t="shared" ca="1" si="3"/>
        <v>#NAME?</v>
      </c>
    </row>
    <row r="248" spans="4:6" x14ac:dyDescent="0.2">
      <c r="D248" s="5"/>
      <c r="E248" s="4"/>
      <c r="F248" s="4" t="e">
        <f t="shared" ca="1" si="3"/>
        <v>#NAME?</v>
      </c>
    </row>
    <row r="249" spans="4:6" x14ac:dyDescent="0.2">
      <c r="D249" s="5"/>
      <c r="E249" s="4"/>
      <c r="F249" s="4" t="e">
        <f t="shared" ca="1" si="3"/>
        <v>#NAME?</v>
      </c>
    </row>
    <row r="250" spans="4:6" x14ac:dyDescent="0.2">
      <c r="D250" s="5"/>
      <c r="E250" s="4"/>
      <c r="F250" s="4" t="e">
        <f t="shared" ca="1" si="3"/>
        <v>#NAME?</v>
      </c>
    </row>
    <row r="251" spans="4:6" x14ac:dyDescent="0.2">
      <c r="D251" s="5"/>
      <c r="E251" s="4"/>
      <c r="F251" s="4" t="e">
        <f t="shared" ca="1" si="3"/>
        <v>#NAME?</v>
      </c>
    </row>
    <row r="252" spans="4:6" x14ac:dyDescent="0.2">
      <c r="D252" s="5"/>
      <c r="E252" s="4"/>
      <c r="F252" s="4" t="e">
        <f t="shared" ca="1" si="3"/>
        <v>#NAME?</v>
      </c>
    </row>
    <row r="253" spans="4:6" x14ac:dyDescent="0.2">
      <c r="D253" s="5"/>
      <c r="E253" s="4"/>
      <c r="F253" s="4" t="e">
        <f t="shared" ca="1" si="3"/>
        <v>#NAME?</v>
      </c>
    </row>
    <row r="254" spans="4:6" x14ac:dyDescent="0.2">
      <c r="D254" s="5"/>
      <c r="E254" s="4"/>
      <c r="F254" s="4" t="e">
        <f t="shared" ca="1" si="3"/>
        <v>#NAME?</v>
      </c>
    </row>
    <row r="255" spans="4:6" x14ac:dyDescent="0.2">
      <c r="D255" s="5"/>
      <c r="E255" s="4"/>
      <c r="F255" s="4" t="e">
        <f t="shared" ca="1" si="3"/>
        <v>#NAME?</v>
      </c>
    </row>
    <row r="256" spans="4:6" x14ac:dyDescent="0.2">
      <c r="D256" s="5"/>
      <c r="E256" s="4"/>
      <c r="F256" s="4" t="e">
        <f t="shared" ca="1" si="3"/>
        <v>#NAME?</v>
      </c>
    </row>
    <row r="257" spans="4:6" x14ac:dyDescent="0.2">
      <c r="D257" s="5"/>
      <c r="E257" s="4"/>
      <c r="F257" s="4" t="e">
        <f t="shared" ca="1" si="3"/>
        <v>#NAME?</v>
      </c>
    </row>
    <row r="258" spans="4:6" x14ac:dyDescent="0.2">
      <c r="D258" s="5"/>
      <c r="E258" s="4"/>
      <c r="F258" s="4" t="e">
        <f t="shared" ca="1" si="3"/>
        <v>#NAME?</v>
      </c>
    </row>
    <row r="259" spans="4:6" x14ac:dyDescent="0.2">
      <c r="D259" s="5"/>
      <c r="E259" s="4"/>
      <c r="F259" s="4" t="e">
        <f t="shared" ca="1" si="3"/>
        <v>#NAME?</v>
      </c>
    </row>
    <row r="260" spans="4:6" x14ac:dyDescent="0.2">
      <c r="D260" s="24"/>
      <c r="E260" s="24"/>
      <c r="F260" s="24"/>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O280"/>
  <sheetViews>
    <sheetView showGridLines="0" tabSelected="1" workbookViewId="0">
      <selection activeCell="B5" sqref="B5"/>
    </sheetView>
  </sheetViews>
  <sheetFormatPr defaultRowHeight="11.25" x14ac:dyDescent="0.2"/>
  <cols>
    <col min="1" max="1" width="23.7109375" style="1" bestFit="1" customWidth="1"/>
    <col min="2" max="2" width="22.42578125" style="1" customWidth="1"/>
    <col min="3" max="3" width="9.140625" style="1"/>
    <col min="4" max="4" width="19.28515625" style="1" bestFit="1" customWidth="1"/>
    <col min="5" max="5" width="12" style="1" bestFit="1" customWidth="1"/>
    <col min="6" max="16384" width="9.140625" style="1"/>
  </cols>
  <sheetData>
    <row r="1" spans="1:15" ht="12" thickBot="1" x14ac:dyDescent="0.25">
      <c r="A1" s="16" t="s">
        <v>14</v>
      </c>
      <c r="B1" s="15" t="s">
        <v>13</v>
      </c>
    </row>
    <row r="2" spans="1:15" ht="15" x14ac:dyDescent="0.25">
      <c r="A2" s="16" t="s">
        <v>12</v>
      </c>
      <c r="B2" s="15" t="s">
        <v>9</v>
      </c>
      <c r="H2" s="1361" t="s">
        <v>529</v>
      </c>
      <c r="I2" s="1366"/>
    </row>
    <row r="3" spans="1:15" ht="15.75" thickBot="1" x14ac:dyDescent="0.3">
      <c r="A3" s="16" t="s">
        <v>11</v>
      </c>
      <c r="B3" s="22">
        <f>_xll.cfyql_CalendarAdvance("TARGET",B4,"-13M","f",FALSE,Trigger)</f>
        <v>41883</v>
      </c>
      <c r="D3" s="21" t="e">
        <f ca="1">_xll.RHistory(B2,B7:B8,B5,,"CH:In;Fd TSREPEAT:N SORT:"&amp;B6,D4)</f>
        <v>#NAME?</v>
      </c>
      <c r="E3" s="21"/>
      <c r="H3" s="1362" t="s">
        <v>530</v>
      </c>
      <c r="I3" s="1365" t="e">
        <f ca="1">_xll.ohTrigger(F6:F280)</f>
        <v>#NAME?</v>
      </c>
    </row>
    <row r="4" spans="1:15" x14ac:dyDescent="0.2">
      <c r="A4" s="16" t="s">
        <v>10</v>
      </c>
      <c r="B4" s="15">
        <f>_xll.cfyql_SettingsEvaluationDate()</f>
        <v>42277</v>
      </c>
      <c r="D4" s="20" t="s">
        <v>9</v>
      </c>
      <c r="E4" s="20" t="s">
        <v>9</v>
      </c>
    </row>
    <row r="5" spans="1:15" ht="24" customHeight="1" x14ac:dyDescent="0.2">
      <c r="A5" s="16" t="s">
        <v>8</v>
      </c>
      <c r="B5" s="19" t="str">
        <f>"START:"&amp;B3&amp; " END:"&amp;B4&amp;" INTERVAL:1D"</f>
        <v>START:41883 END:42277 INTERVAL:1D</v>
      </c>
      <c r="D5" s="18" t="s">
        <v>7</v>
      </c>
      <c r="E5" s="18" t="s">
        <v>6</v>
      </c>
      <c r="F5" s="17" t="s">
        <v>5</v>
      </c>
    </row>
    <row r="6" spans="1:15" ht="15" x14ac:dyDescent="0.25">
      <c r="A6" s="16" t="s">
        <v>4</v>
      </c>
      <c r="B6" s="15" t="s">
        <v>3</v>
      </c>
      <c r="D6" s="14">
        <v>42277</v>
      </c>
      <c r="E6" s="13">
        <v>-5.6000000000000001E-2</v>
      </c>
      <c r="F6" s="12" t="e">
        <f t="shared" ref="F6:F69" ca="1" si="0">_xll.qlIndexAddFixings($B$1,D6,E6/100,TRUE,Trigger)</f>
        <v>#NAME?</v>
      </c>
      <c r="O6" s="11"/>
    </row>
    <row r="7" spans="1:15" x14ac:dyDescent="0.2">
      <c r="A7" s="10" t="s">
        <v>2</v>
      </c>
      <c r="B7" s="9" t="s">
        <v>1</v>
      </c>
      <c r="D7" s="5">
        <v>42276</v>
      </c>
      <c r="E7" s="6">
        <v>-5.8000000000000003E-2</v>
      </c>
      <c r="F7" s="4" t="e">
        <f t="shared" ca="1" si="0"/>
        <v>#NAME?</v>
      </c>
    </row>
    <row r="8" spans="1:15" x14ac:dyDescent="0.2">
      <c r="A8" s="8"/>
      <c r="B8" s="7" t="s">
        <v>0</v>
      </c>
      <c r="D8" s="5">
        <v>42275</v>
      </c>
      <c r="E8" s="6">
        <v>-0.05</v>
      </c>
      <c r="F8" s="4" t="e">
        <f t="shared" ca="1" si="0"/>
        <v>#NAME?</v>
      </c>
    </row>
    <row r="9" spans="1:15" x14ac:dyDescent="0.2">
      <c r="D9" s="5">
        <v>42272</v>
      </c>
      <c r="E9" s="6">
        <v>-4.5999999999999999E-2</v>
      </c>
      <c r="F9" s="4" t="e">
        <f t="shared" ca="1" si="0"/>
        <v>#NAME?</v>
      </c>
    </row>
    <row r="10" spans="1:15" x14ac:dyDescent="0.2">
      <c r="D10" s="5">
        <v>42271</v>
      </c>
      <c r="E10" s="6">
        <v>-4.9000000000000002E-2</v>
      </c>
      <c r="F10" s="4" t="e">
        <f t="shared" ca="1" si="0"/>
        <v>#NAME?</v>
      </c>
    </row>
    <row r="11" spans="1:15" x14ac:dyDescent="0.2">
      <c r="D11" s="5">
        <v>42270</v>
      </c>
      <c r="E11" s="6">
        <v>-5.7000000000000002E-2</v>
      </c>
      <c r="F11" s="4" t="e">
        <f t="shared" ca="1" si="0"/>
        <v>#NAME?</v>
      </c>
    </row>
    <row r="12" spans="1:15" x14ac:dyDescent="0.2">
      <c r="D12" s="5">
        <v>42269</v>
      </c>
      <c r="E12" s="6">
        <v>-4.7E-2</v>
      </c>
      <c r="F12" s="4" t="e">
        <f t="shared" ca="1" si="0"/>
        <v>#NAME?</v>
      </c>
    </row>
    <row r="13" spans="1:15" x14ac:dyDescent="0.2">
      <c r="D13" s="5">
        <v>42268</v>
      </c>
      <c r="E13" s="6">
        <v>-0.04</v>
      </c>
      <c r="F13" s="4" t="e">
        <f t="shared" ca="1" si="0"/>
        <v>#NAME?</v>
      </c>
    </row>
    <row r="14" spans="1:15" x14ac:dyDescent="0.2">
      <c r="D14" s="5">
        <v>42265</v>
      </c>
      <c r="E14" s="6">
        <v>-3.9E-2</v>
      </c>
      <c r="F14" s="4" t="e">
        <f t="shared" ca="1" si="0"/>
        <v>#NAME?</v>
      </c>
    </row>
    <row r="15" spans="1:15" x14ac:dyDescent="0.2">
      <c r="D15" s="5">
        <v>42264</v>
      </c>
      <c r="E15" s="6">
        <v>-3.3000000000000002E-2</v>
      </c>
      <c r="F15" s="4" t="e">
        <f t="shared" ca="1" si="0"/>
        <v>#NAME?</v>
      </c>
    </row>
    <row r="16" spans="1:15" x14ac:dyDescent="0.2">
      <c r="D16" s="5">
        <v>42263</v>
      </c>
      <c r="E16" s="6">
        <v>-3.7999999999999999E-2</v>
      </c>
      <c r="F16" s="4" t="e">
        <f t="shared" ca="1" si="0"/>
        <v>#NAME?</v>
      </c>
    </row>
    <row r="17" spans="4:6" x14ac:dyDescent="0.2">
      <c r="D17" s="5">
        <v>42262</v>
      </c>
      <c r="E17" s="6">
        <v>-4.1000000000000002E-2</v>
      </c>
      <c r="F17" s="4" t="e">
        <f t="shared" ca="1" si="0"/>
        <v>#NAME?</v>
      </c>
    </row>
    <row r="18" spans="4:6" x14ac:dyDescent="0.2">
      <c r="D18" s="5">
        <v>42261</v>
      </c>
      <c r="E18" s="6">
        <v>-3.7999999999999999E-2</v>
      </c>
      <c r="F18" s="4" t="e">
        <f t="shared" ca="1" si="0"/>
        <v>#NAME?</v>
      </c>
    </row>
    <row r="19" spans="4:6" x14ac:dyDescent="0.2">
      <c r="D19" s="5">
        <v>42258</v>
      </c>
      <c r="E19" s="6">
        <v>-3.5999999999999997E-2</v>
      </c>
      <c r="F19" s="4" t="e">
        <f t="shared" ca="1" si="0"/>
        <v>#NAME?</v>
      </c>
    </row>
    <row r="20" spans="4:6" x14ac:dyDescent="0.2">
      <c r="D20" s="5">
        <v>42257</v>
      </c>
      <c r="E20" s="6">
        <v>-3.6999999999999998E-2</v>
      </c>
      <c r="F20" s="4" t="e">
        <f t="shared" ca="1" si="0"/>
        <v>#NAME?</v>
      </c>
    </row>
    <row r="21" spans="4:6" x14ac:dyDescent="0.2">
      <c r="D21" s="5">
        <v>42256</v>
      </c>
      <c r="E21" s="6">
        <v>-3.6999999999999998E-2</v>
      </c>
      <c r="F21" s="4" t="e">
        <f t="shared" ca="1" si="0"/>
        <v>#NAME?</v>
      </c>
    </row>
    <row r="22" spans="4:6" x14ac:dyDescent="0.2">
      <c r="D22" s="5">
        <v>42255</v>
      </c>
      <c r="E22" s="6">
        <v>-3.5999999999999997E-2</v>
      </c>
      <c r="F22" s="4" t="e">
        <f t="shared" ca="1" si="0"/>
        <v>#NAME?</v>
      </c>
    </row>
    <row r="23" spans="4:6" x14ac:dyDescent="0.2">
      <c r="D23" s="5">
        <v>42254</v>
      </c>
      <c r="E23" s="6">
        <v>-3.6999999999999998E-2</v>
      </c>
      <c r="F23" s="4" t="e">
        <f t="shared" ca="1" si="0"/>
        <v>#NAME?</v>
      </c>
    </row>
    <row r="24" spans="4:6" x14ac:dyDescent="0.2">
      <c r="D24" s="5">
        <v>42251</v>
      </c>
      <c r="E24" s="6">
        <v>-0.04</v>
      </c>
      <c r="F24" s="4" t="e">
        <f t="shared" ca="1" si="0"/>
        <v>#NAME?</v>
      </c>
    </row>
    <row r="25" spans="4:6" x14ac:dyDescent="0.2">
      <c r="D25" s="5">
        <v>42250</v>
      </c>
      <c r="E25" s="6">
        <v>-3.3000000000000002E-2</v>
      </c>
      <c r="F25" s="4" t="e">
        <f t="shared" ca="1" si="0"/>
        <v>#NAME?</v>
      </c>
    </row>
    <row r="26" spans="4:6" x14ac:dyDescent="0.2">
      <c r="D26" s="5">
        <v>42249</v>
      </c>
      <c r="E26" s="6">
        <v>-3.3000000000000002E-2</v>
      </c>
      <c r="F26" s="4" t="e">
        <f t="shared" ca="1" si="0"/>
        <v>#NAME?</v>
      </c>
    </row>
    <row r="27" spans="4:6" x14ac:dyDescent="0.2">
      <c r="D27" s="5">
        <v>42248</v>
      </c>
      <c r="E27" s="6">
        <v>-0.03</v>
      </c>
      <c r="F27" s="4" t="e">
        <f t="shared" ca="1" si="0"/>
        <v>#NAME?</v>
      </c>
    </row>
    <row r="28" spans="4:6" x14ac:dyDescent="0.2">
      <c r="D28" s="5">
        <v>42247</v>
      </c>
      <c r="E28" s="6">
        <v>-0.03</v>
      </c>
      <c r="F28" s="4" t="e">
        <f t="shared" ca="1" si="0"/>
        <v>#NAME?</v>
      </c>
    </row>
    <row r="29" spans="4:6" x14ac:dyDescent="0.2">
      <c r="D29" s="5">
        <v>42244</v>
      </c>
      <c r="E29" s="6">
        <v>-3.1E-2</v>
      </c>
      <c r="F29" s="4" t="e">
        <f t="shared" ca="1" si="0"/>
        <v>#NAME?</v>
      </c>
    </row>
    <row r="30" spans="4:6" x14ac:dyDescent="0.2">
      <c r="D30" s="5">
        <v>42243</v>
      </c>
      <c r="E30" s="6">
        <v>-3.1E-2</v>
      </c>
      <c r="F30" s="4" t="e">
        <f t="shared" ca="1" si="0"/>
        <v>#NAME?</v>
      </c>
    </row>
    <row r="31" spans="4:6" x14ac:dyDescent="0.2">
      <c r="D31" s="5">
        <v>42242</v>
      </c>
      <c r="E31" s="6">
        <v>-0.03</v>
      </c>
      <c r="F31" s="4" t="e">
        <f t="shared" ca="1" si="0"/>
        <v>#NAME?</v>
      </c>
    </row>
    <row r="32" spans="4:6" x14ac:dyDescent="0.2">
      <c r="D32" s="5">
        <v>42241</v>
      </c>
      <c r="E32" s="6">
        <v>-2.8000000000000001E-2</v>
      </c>
      <c r="F32" s="4" t="e">
        <f t="shared" ca="1" si="0"/>
        <v>#NAME?</v>
      </c>
    </row>
    <row r="33" spans="4:6" x14ac:dyDescent="0.2">
      <c r="D33" s="5">
        <v>42240</v>
      </c>
      <c r="E33" s="6">
        <v>-0.03</v>
      </c>
      <c r="F33" s="4" t="e">
        <f t="shared" ca="1" si="0"/>
        <v>#NAME?</v>
      </c>
    </row>
    <row r="34" spans="4:6" x14ac:dyDescent="0.2">
      <c r="D34" s="5">
        <v>42237</v>
      </c>
      <c r="E34" s="6">
        <v>-3.3000000000000002E-2</v>
      </c>
      <c r="F34" s="4" t="e">
        <f t="shared" ca="1" si="0"/>
        <v>#NAME?</v>
      </c>
    </row>
    <row r="35" spans="4:6" x14ac:dyDescent="0.2">
      <c r="D35" s="5">
        <v>42236</v>
      </c>
      <c r="E35" s="6">
        <v>-0.03</v>
      </c>
      <c r="F35" s="4" t="e">
        <f t="shared" ca="1" si="0"/>
        <v>#NAME?</v>
      </c>
    </row>
    <row r="36" spans="4:6" x14ac:dyDescent="0.2">
      <c r="D36" s="5">
        <v>42235</v>
      </c>
      <c r="E36" s="6">
        <v>-0.03</v>
      </c>
      <c r="F36" s="4" t="e">
        <f t="shared" ca="1" si="0"/>
        <v>#NAME?</v>
      </c>
    </row>
    <row r="37" spans="4:6" x14ac:dyDescent="0.2">
      <c r="D37" s="5">
        <v>42234</v>
      </c>
      <c r="E37" s="6">
        <v>-0.03</v>
      </c>
      <c r="F37" s="4" t="e">
        <f t="shared" ca="1" si="0"/>
        <v>#NAME?</v>
      </c>
    </row>
    <row r="38" spans="4:6" x14ac:dyDescent="0.2">
      <c r="D38" s="5">
        <v>42233</v>
      </c>
      <c r="E38" s="6">
        <v>-2.8000000000000001E-2</v>
      </c>
      <c r="F38" s="4" t="e">
        <f t="shared" ca="1" si="0"/>
        <v>#NAME?</v>
      </c>
    </row>
    <row r="39" spans="4:6" x14ac:dyDescent="0.2">
      <c r="D39" s="5">
        <v>42230</v>
      </c>
      <c r="E39" s="6">
        <v>-2.8000000000000001E-2</v>
      </c>
      <c r="F39" s="4" t="e">
        <f t="shared" ca="1" si="0"/>
        <v>#NAME?</v>
      </c>
    </row>
    <row r="40" spans="4:6" x14ac:dyDescent="0.2">
      <c r="D40" s="5">
        <v>42229</v>
      </c>
      <c r="E40" s="6">
        <v>-2.9000000000000001E-2</v>
      </c>
      <c r="F40" s="4" t="e">
        <f t="shared" ca="1" si="0"/>
        <v>#NAME?</v>
      </c>
    </row>
    <row r="41" spans="4:6" x14ac:dyDescent="0.2">
      <c r="D41" s="5">
        <v>42228</v>
      </c>
      <c r="E41" s="6">
        <v>-2.9000000000000001E-2</v>
      </c>
      <c r="F41" s="4" t="e">
        <f t="shared" ca="1" si="0"/>
        <v>#NAME?</v>
      </c>
    </row>
    <row r="42" spans="4:6" x14ac:dyDescent="0.2">
      <c r="D42" s="5">
        <v>42227</v>
      </c>
      <c r="E42" s="6">
        <v>-2.7E-2</v>
      </c>
      <c r="F42" s="4" t="e">
        <f t="shared" ca="1" si="0"/>
        <v>#NAME?</v>
      </c>
    </row>
    <row r="43" spans="4:6" x14ac:dyDescent="0.2">
      <c r="D43" s="5">
        <v>42226</v>
      </c>
      <c r="E43" s="6">
        <v>-2.5999999999999999E-2</v>
      </c>
      <c r="F43" s="4" t="e">
        <f t="shared" ca="1" si="0"/>
        <v>#NAME?</v>
      </c>
    </row>
    <row r="44" spans="4:6" x14ac:dyDescent="0.2">
      <c r="D44" s="5">
        <v>42223</v>
      </c>
      <c r="E44" s="6">
        <v>-2.1999999999999999E-2</v>
      </c>
      <c r="F44" s="4" t="e">
        <f t="shared" ca="1" si="0"/>
        <v>#NAME?</v>
      </c>
    </row>
    <row r="45" spans="4:6" x14ac:dyDescent="0.2">
      <c r="D45" s="5">
        <v>42222</v>
      </c>
      <c r="E45" s="6">
        <v>-2.3E-2</v>
      </c>
      <c r="F45" s="4" t="e">
        <f t="shared" ca="1" si="0"/>
        <v>#NAME?</v>
      </c>
    </row>
    <row r="46" spans="4:6" x14ac:dyDescent="0.2">
      <c r="D46" s="5">
        <v>42221</v>
      </c>
      <c r="E46" s="6">
        <v>-2.4E-2</v>
      </c>
      <c r="F46" s="4" t="e">
        <f t="shared" ca="1" si="0"/>
        <v>#NAME?</v>
      </c>
    </row>
    <row r="47" spans="4:6" x14ac:dyDescent="0.2">
      <c r="D47" s="5">
        <v>42220</v>
      </c>
      <c r="E47" s="6">
        <v>-2.4E-2</v>
      </c>
      <c r="F47" s="4" t="e">
        <f t="shared" ca="1" si="0"/>
        <v>#NAME?</v>
      </c>
    </row>
    <row r="48" spans="4:6" x14ac:dyDescent="0.2">
      <c r="D48" s="5">
        <v>42219</v>
      </c>
      <c r="E48" s="6">
        <v>-2.1999999999999999E-2</v>
      </c>
      <c r="F48" s="4" t="e">
        <f t="shared" ca="1" si="0"/>
        <v>#NAME?</v>
      </c>
    </row>
    <row r="49" spans="4:6" x14ac:dyDescent="0.2">
      <c r="D49" s="5">
        <v>42216</v>
      </c>
      <c r="E49" s="6">
        <v>-2.1999999999999999E-2</v>
      </c>
      <c r="F49" s="4" t="e">
        <f t="shared" ca="1" si="0"/>
        <v>#NAME?</v>
      </c>
    </row>
    <row r="50" spans="4:6" x14ac:dyDescent="0.2">
      <c r="D50" s="5">
        <v>42215</v>
      </c>
      <c r="E50" s="6">
        <v>-1.9E-2</v>
      </c>
      <c r="F50" s="4" t="e">
        <f t="shared" ca="1" si="0"/>
        <v>#NAME?</v>
      </c>
    </row>
    <row r="51" spans="4:6" x14ac:dyDescent="0.2">
      <c r="D51" s="5">
        <v>42214</v>
      </c>
      <c r="E51" s="6">
        <v>-1.4E-2</v>
      </c>
      <c r="F51" s="4" t="e">
        <f t="shared" ca="1" si="0"/>
        <v>#NAME?</v>
      </c>
    </row>
    <row r="52" spans="4:6" x14ac:dyDescent="0.2">
      <c r="D52" s="5">
        <v>42213</v>
      </c>
      <c r="E52" s="6">
        <v>-0.01</v>
      </c>
      <c r="F52" s="4" t="e">
        <f t="shared" ca="1" si="0"/>
        <v>#NAME?</v>
      </c>
    </row>
    <row r="53" spans="4:6" x14ac:dyDescent="0.2">
      <c r="D53" s="5">
        <v>42212</v>
      </c>
      <c r="E53" s="6">
        <v>-8.0000000000000002E-3</v>
      </c>
      <c r="F53" s="4" t="e">
        <f t="shared" ca="1" si="0"/>
        <v>#NAME?</v>
      </c>
    </row>
    <row r="54" spans="4:6" x14ac:dyDescent="0.2">
      <c r="D54" s="5">
        <v>42209</v>
      </c>
      <c r="E54" s="6">
        <v>-1.0999999999999999E-2</v>
      </c>
      <c r="F54" s="4" t="e">
        <f t="shared" ca="1" si="0"/>
        <v>#NAME?</v>
      </c>
    </row>
    <row r="55" spans="4:6" x14ac:dyDescent="0.2">
      <c r="D55" s="5">
        <v>42208</v>
      </c>
      <c r="E55" s="6">
        <v>-0.01</v>
      </c>
      <c r="F55" s="4" t="e">
        <f t="shared" ca="1" si="0"/>
        <v>#NAME?</v>
      </c>
    </row>
    <row r="56" spans="4:6" x14ac:dyDescent="0.2">
      <c r="D56" s="5">
        <v>42207</v>
      </c>
      <c r="E56" s="6">
        <v>-1.2E-2</v>
      </c>
      <c r="F56" s="4" t="e">
        <f t="shared" ca="1" si="0"/>
        <v>#NAME?</v>
      </c>
    </row>
    <row r="57" spans="4:6" x14ac:dyDescent="0.2">
      <c r="D57" s="5">
        <v>42206</v>
      </c>
      <c r="E57" s="6">
        <v>-1.4E-2</v>
      </c>
      <c r="F57" s="4" t="e">
        <f t="shared" ca="1" si="0"/>
        <v>#NAME?</v>
      </c>
    </row>
    <row r="58" spans="4:6" x14ac:dyDescent="0.2">
      <c r="D58" s="5">
        <v>42205</v>
      </c>
      <c r="E58" s="6">
        <v>-1.4999999999999999E-2</v>
      </c>
      <c r="F58" s="4" t="e">
        <f t="shared" ca="1" si="0"/>
        <v>#NAME?</v>
      </c>
    </row>
    <row r="59" spans="4:6" x14ac:dyDescent="0.2">
      <c r="D59" s="5">
        <v>42202</v>
      </c>
      <c r="E59" s="6">
        <v>-1.7999999999999999E-2</v>
      </c>
      <c r="F59" s="4" t="e">
        <f t="shared" ca="1" si="0"/>
        <v>#NAME?</v>
      </c>
    </row>
    <row r="60" spans="4:6" x14ac:dyDescent="0.2">
      <c r="D60" s="5">
        <v>42201</v>
      </c>
      <c r="E60" s="6">
        <v>-1.7999999999999999E-2</v>
      </c>
      <c r="F60" s="4" t="e">
        <f t="shared" ca="1" si="0"/>
        <v>#NAME?</v>
      </c>
    </row>
    <row r="61" spans="4:6" x14ac:dyDescent="0.2">
      <c r="D61" s="5">
        <v>42200</v>
      </c>
      <c r="E61" s="6">
        <v>-1.7999999999999999E-2</v>
      </c>
      <c r="F61" s="4" t="e">
        <f t="shared" ca="1" si="0"/>
        <v>#NAME?</v>
      </c>
    </row>
    <row r="62" spans="4:6" x14ac:dyDescent="0.2">
      <c r="D62" s="5">
        <v>42199</v>
      </c>
      <c r="E62" s="6">
        <v>-1.4999999999999999E-2</v>
      </c>
      <c r="F62" s="4" t="e">
        <f t="shared" ca="1" si="0"/>
        <v>#NAME?</v>
      </c>
    </row>
    <row r="63" spans="4:6" x14ac:dyDescent="0.2">
      <c r="D63" s="5">
        <v>42198</v>
      </c>
      <c r="E63" s="6">
        <v>-8.9999999999999993E-3</v>
      </c>
      <c r="F63" s="4" t="e">
        <f t="shared" ca="1" si="0"/>
        <v>#NAME?</v>
      </c>
    </row>
    <row r="64" spans="4:6" x14ac:dyDescent="0.2">
      <c r="D64" s="5">
        <v>42195</v>
      </c>
      <c r="E64" s="6">
        <v>-3.0000000000000001E-3</v>
      </c>
      <c r="F64" s="4" t="e">
        <f t="shared" ca="1" si="0"/>
        <v>#NAME?</v>
      </c>
    </row>
    <row r="65" spans="4:6" x14ac:dyDescent="0.2">
      <c r="D65" s="5">
        <v>42194</v>
      </c>
      <c r="E65" s="6">
        <v>0</v>
      </c>
      <c r="F65" s="4" t="e">
        <f t="shared" ca="1" si="0"/>
        <v>#NAME?</v>
      </c>
    </row>
    <row r="66" spans="4:6" x14ac:dyDescent="0.2">
      <c r="D66" s="5">
        <v>42193</v>
      </c>
      <c r="E66" s="6">
        <v>7.0000000000000001E-3</v>
      </c>
      <c r="F66" s="4" t="e">
        <f t="shared" ca="1" si="0"/>
        <v>#NAME?</v>
      </c>
    </row>
    <row r="67" spans="4:6" x14ac:dyDescent="0.2">
      <c r="D67" s="5">
        <v>42192</v>
      </c>
      <c r="E67" s="6">
        <v>0.01</v>
      </c>
      <c r="F67" s="4" t="e">
        <f t="shared" ca="1" si="0"/>
        <v>#NAME?</v>
      </c>
    </row>
    <row r="68" spans="4:6" x14ac:dyDescent="0.2">
      <c r="D68" s="5">
        <v>42191</v>
      </c>
      <c r="E68" s="6">
        <v>1.0999999999999999E-2</v>
      </c>
      <c r="F68" s="4" t="e">
        <f t="shared" ca="1" si="0"/>
        <v>#NAME?</v>
      </c>
    </row>
    <row r="69" spans="4:6" x14ac:dyDescent="0.2">
      <c r="D69" s="5">
        <v>42188</v>
      </c>
      <c r="E69" s="6">
        <v>6.0000000000000001E-3</v>
      </c>
      <c r="F69" s="4" t="e">
        <f t="shared" ca="1" si="0"/>
        <v>#NAME?</v>
      </c>
    </row>
    <row r="70" spans="4:6" x14ac:dyDescent="0.2">
      <c r="D70" s="5">
        <v>42187</v>
      </c>
      <c r="E70" s="6">
        <v>6.0000000000000001E-3</v>
      </c>
      <c r="F70" s="4" t="e">
        <f t="shared" ref="F70:F133" ca="1" si="1">_xll.qlIndexAddFixings($B$1,D70,E70/100,TRUE,Trigger)</f>
        <v>#NAME?</v>
      </c>
    </row>
    <row r="71" spans="4:6" x14ac:dyDescent="0.2">
      <c r="D71" s="5">
        <v>42186</v>
      </c>
      <c r="E71" s="6">
        <v>8.9999999999999993E-3</v>
      </c>
      <c r="F71" s="4" t="e">
        <f t="shared" ca="1" si="1"/>
        <v>#NAME?</v>
      </c>
    </row>
    <row r="72" spans="4:6" x14ac:dyDescent="0.2">
      <c r="D72" s="5">
        <v>42185</v>
      </c>
      <c r="E72" s="6">
        <v>1.2999999999999999E-2</v>
      </c>
      <c r="F72" s="4" t="e">
        <f t="shared" ca="1" si="1"/>
        <v>#NAME?</v>
      </c>
    </row>
    <row r="73" spans="4:6" x14ac:dyDescent="0.2">
      <c r="D73" s="5">
        <v>42184</v>
      </c>
      <c r="E73" s="6">
        <v>1.9E-2</v>
      </c>
      <c r="F73" s="4" t="e">
        <f t="shared" ca="1" si="1"/>
        <v>#NAME?</v>
      </c>
    </row>
    <row r="74" spans="4:6" x14ac:dyDescent="0.2">
      <c r="D74" s="5">
        <v>42181</v>
      </c>
      <c r="E74" s="6">
        <v>6.0000000000000001E-3</v>
      </c>
      <c r="F74" s="4" t="e">
        <f t="shared" ca="1" si="1"/>
        <v>#NAME?</v>
      </c>
    </row>
    <row r="75" spans="4:6" x14ac:dyDescent="0.2">
      <c r="D75" s="5">
        <v>42180</v>
      </c>
      <c r="E75" s="6">
        <v>0.01</v>
      </c>
      <c r="F75" s="4" t="e">
        <f t="shared" ca="1" si="1"/>
        <v>#NAME?</v>
      </c>
    </row>
    <row r="76" spans="4:6" x14ac:dyDescent="0.2">
      <c r="D76" s="5">
        <v>42179</v>
      </c>
      <c r="E76" s="6">
        <v>5.0000000000000001E-3</v>
      </c>
      <c r="F76" s="4" t="e">
        <f t="shared" ca="1" si="1"/>
        <v>#NAME?</v>
      </c>
    </row>
    <row r="77" spans="4:6" x14ac:dyDescent="0.2">
      <c r="D77" s="5">
        <v>42178</v>
      </c>
      <c r="E77" s="6">
        <v>5.0000000000000001E-3</v>
      </c>
      <c r="F77" s="4" t="e">
        <f t="shared" ca="1" si="1"/>
        <v>#NAME?</v>
      </c>
    </row>
    <row r="78" spans="4:6" x14ac:dyDescent="0.2">
      <c r="D78" s="5">
        <v>42177</v>
      </c>
      <c r="E78" s="6">
        <v>1.0999999999999999E-2</v>
      </c>
      <c r="F78" s="4" t="e">
        <f t="shared" ca="1" si="1"/>
        <v>#NAME?</v>
      </c>
    </row>
    <row r="79" spans="4:6" x14ac:dyDescent="0.2">
      <c r="D79" s="5">
        <v>42174</v>
      </c>
      <c r="E79" s="6">
        <v>2.1000000000000001E-2</v>
      </c>
      <c r="F79" s="4" t="e">
        <f t="shared" ca="1" si="1"/>
        <v>#NAME?</v>
      </c>
    </row>
    <row r="80" spans="4:6" x14ac:dyDescent="0.2">
      <c r="D80" s="5">
        <v>42173</v>
      </c>
      <c r="E80" s="6">
        <v>3.1E-2</v>
      </c>
      <c r="F80" s="4" t="e">
        <f t="shared" ca="1" si="1"/>
        <v>#NAME?</v>
      </c>
    </row>
    <row r="81" spans="4:6" x14ac:dyDescent="0.2">
      <c r="D81" s="5">
        <v>42172</v>
      </c>
      <c r="E81" s="6">
        <v>3.9E-2</v>
      </c>
      <c r="F81" s="4" t="e">
        <f t="shared" ca="1" si="1"/>
        <v>#NAME?</v>
      </c>
    </row>
    <row r="82" spans="4:6" x14ac:dyDescent="0.2">
      <c r="D82" s="5">
        <v>42171</v>
      </c>
      <c r="E82" s="6">
        <v>4.2999999999999997E-2</v>
      </c>
      <c r="F82" s="4" t="e">
        <f t="shared" ca="1" si="1"/>
        <v>#NAME?</v>
      </c>
    </row>
    <row r="83" spans="4:6" x14ac:dyDescent="0.2">
      <c r="D83" s="5">
        <v>42170</v>
      </c>
      <c r="E83" s="6">
        <v>4.3999999999999997E-2</v>
      </c>
      <c r="F83" s="4" t="e">
        <f t="shared" ca="1" si="1"/>
        <v>#NAME?</v>
      </c>
    </row>
    <row r="84" spans="4:6" x14ac:dyDescent="0.2">
      <c r="D84" s="5">
        <v>42167</v>
      </c>
      <c r="E84" s="6">
        <v>2.8000000000000001E-2</v>
      </c>
      <c r="F84" s="4" t="e">
        <f t="shared" ca="1" si="1"/>
        <v>#NAME?</v>
      </c>
    </row>
    <row r="85" spans="4:6" x14ac:dyDescent="0.2">
      <c r="D85" s="5">
        <v>42166</v>
      </c>
      <c r="E85" s="6">
        <v>1.4999999999999999E-2</v>
      </c>
      <c r="F85" s="4" t="e">
        <f t="shared" ca="1" si="1"/>
        <v>#NAME?</v>
      </c>
    </row>
    <row r="86" spans="4:6" x14ac:dyDescent="0.2">
      <c r="D86" s="5">
        <v>42165</v>
      </c>
      <c r="E86" s="6">
        <v>2.1999999999999999E-2</v>
      </c>
      <c r="F86" s="4" t="e">
        <f t="shared" ca="1" si="1"/>
        <v>#NAME?</v>
      </c>
    </row>
    <row r="87" spans="4:6" x14ac:dyDescent="0.2">
      <c r="D87" s="5">
        <v>42164</v>
      </c>
      <c r="E87" s="6">
        <v>1.7999999999999999E-2</v>
      </c>
      <c r="F87" s="4" t="e">
        <f t="shared" ca="1" si="1"/>
        <v>#NAME?</v>
      </c>
    </row>
    <row r="88" spans="4:6" x14ac:dyDescent="0.2">
      <c r="D88" s="5">
        <v>42163</v>
      </c>
      <c r="E88" s="6">
        <v>0.01</v>
      </c>
      <c r="F88" s="4" t="e">
        <f t="shared" ca="1" si="1"/>
        <v>#NAME?</v>
      </c>
    </row>
    <row r="89" spans="4:6" x14ac:dyDescent="0.2">
      <c r="D89" s="5">
        <v>42160</v>
      </c>
      <c r="E89" s="6">
        <v>8.9999999999999993E-3</v>
      </c>
      <c r="F89" s="4" t="e">
        <f t="shared" ca="1" si="1"/>
        <v>#NAME?</v>
      </c>
    </row>
    <row r="90" spans="4:6" x14ac:dyDescent="0.2">
      <c r="D90" s="5">
        <v>42159</v>
      </c>
      <c r="E90" s="6">
        <v>8.9999999999999993E-3</v>
      </c>
      <c r="F90" s="4" t="e">
        <f t="shared" ca="1" si="1"/>
        <v>#NAME?</v>
      </c>
    </row>
    <row r="91" spans="4:6" x14ac:dyDescent="0.2">
      <c r="D91" s="5">
        <v>42158</v>
      </c>
      <c r="E91" s="6">
        <v>3.0000000000000001E-3</v>
      </c>
      <c r="F91" s="4" t="e">
        <f t="shared" ca="1" si="1"/>
        <v>#NAME?</v>
      </c>
    </row>
    <row r="92" spans="4:6" x14ac:dyDescent="0.2">
      <c r="D92" s="5">
        <v>42157</v>
      </c>
      <c r="E92" s="6">
        <v>6.0000000000000001E-3</v>
      </c>
      <c r="F92" s="4" t="e">
        <f t="shared" ca="1" si="1"/>
        <v>#NAME?</v>
      </c>
    </row>
    <row r="93" spans="4:6" x14ac:dyDescent="0.2">
      <c r="D93" s="5">
        <v>42156</v>
      </c>
      <c r="E93" s="6">
        <v>7.0000000000000001E-3</v>
      </c>
      <c r="F93" s="4" t="e">
        <f t="shared" ca="1" si="1"/>
        <v>#NAME?</v>
      </c>
    </row>
    <row r="94" spans="4:6" x14ac:dyDescent="0.2">
      <c r="D94" s="5">
        <v>42153</v>
      </c>
      <c r="E94" s="6">
        <v>4.0000000000000001E-3</v>
      </c>
      <c r="F94" s="4" t="e">
        <f t="shared" ca="1" si="1"/>
        <v>#NAME?</v>
      </c>
    </row>
    <row r="95" spans="4:6" x14ac:dyDescent="0.2">
      <c r="D95" s="5">
        <v>42152</v>
      </c>
      <c r="E95" s="6">
        <v>-3.0000000000000001E-3</v>
      </c>
      <c r="F95" s="4" t="e">
        <f t="shared" ca="1" si="1"/>
        <v>#NAME?</v>
      </c>
    </row>
    <row r="96" spans="4:6" x14ac:dyDescent="0.2">
      <c r="D96" s="5">
        <v>42151</v>
      </c>
      <c r="E96" s="6">
        <v>1E-3</v>
      </c>
      <c r="F96" s="4" t="e">
        <f t="shared" ca="1" si="1"/>
        <v>#NAME?</v>
      </c>
    </row>
    <row r="97" spans="4:6" x14ac:dyDescent="0.2">
      <c r="D97" s="5">
        <v>42150</v>
      </c>
      <c r="E97" s="6">
        <v>6.0000000000000001E-3</v>
      </c>
      <c r="F97" s="4" t="e">
        <f t="shared" ca="1" si="1"/>
        <v>#NAME?</v>
      </c>
    </row>
    <row r="98" spans="4:6" x14ac:dyDescent="0.2">
      <c r="D98" s="5">
        <v>42146</v>
      </c>
      <c r="E98" s="6">
        <v>-1E-3</v>
      </c>
      <c r="F98" s="4" t="e">
        <f t="shared" ca="1" si="1"/>
        <v>#NAME?</v>
      </c>
    </row>
    <row r="99" spans="4:6" x14ac:dyDescent="0.2">
      <c r="D99" s="5">
        <v>42145</v>
      </c>
      <c r="E99" s="6">
        <v>-3.0000000000000001E-3</v>
      </c>
      <c r="F99" s="4" t="e">
        <f t="shared" ca="1" si="1"/>
        <v>#NAME?</v>
      </c>
    </row>
    <row r="100" spans="4:6" x14ac:dyDescent="0.2">
      <c r="D100" s="5">
        <v>42144</v>
      </c>
      <c r="E100" s="6">
        <v>-4.0000000000000001E-3</v>
      </c>
      <c r="F100" s="4" t="e">
        <f t="shared" ca="1" si="1"/>
        <v>#NAME?</v>
      </c>
    </row>
    <row r="101" spans="4:6" x14ac:dyDescent="0.2">
      <c r="D101" s="5">
        <v>42143</v>
      </c>
      <c r="E101" s="6">
        <v>-3.0000000000000001E-3</v>
      </c>
      <c r="F101" s="4" t="e">
        <f t="shared" ca="1" si="1"/>
        <v>#NAME?</v>
      </c>
    </row>
    <row r="102" spans="4:6" x14ac:dyDescent="0.2">
      <c r="D102" s="5">
        <v>42142</v>
      </c>
      <c r="E102" s="6">
        <v>4.0000000000000001E-3</v>
      </c>
      <c r="F102" s="4" t="e">
        <f t="shared" ca="1" si="1"/>
        <v>#NAME?</v>
      </c>
    </row>
    <row r="103" spans="4:6" x14ac:dyDescent="0.2">
      <c r="D103" s="5">
        <v>42139</v>
      </c>
      <c r="E103" s="6">
        <v>2E-3</v>
      </c>
      <c r="F103" s="4" t="e">
        <f t="shared" ca="1" si="1"/>
        <v>#NAME?</v>
      </c>
    </row>
    <row r="104" spans="4:6" x14ac:dyDescent="0.2">
      <c r="D104" s="5">
        <v>42138</v>
      </c>
      <c r="E104" s="6">
        <v>3.0000000000000001E-3</v>
      </c>
      <c r="F104" s="4" t="e">
        <f t="shared" ca="1" si="1"/>
        <v>#NAME?</v>
      </c>
    </row>
    <row r="105" spans="4:6" x14ac:dyDescent="0.2">
      <c r="D105" s="5">
        <v>42137</v>
      </c>
      <c r="E105" s="6">
        <v>-4.0000000000000001E-3</v>
      </c>
      <c r="F105" s="4" t="e">
        <f t="shared" ca="1" si="1"/>
        <v>#NAME?</v>
      </c>
    </row>
    <row r="106" spans="4:6" x14ac:dyDescent="0.2">
      <c r="D106" s="5">
        <v>42136</v>
      </c>
      <c r="E106" s="6">
        <v>-4.0000000000000001E-3</v>
      </c>
      <c r="F106" s="4" t="e">
        <f t="shared" ca="1" si="1"/>
        <v>#NAME?</v>
      </c>
    </row>
    <row r="107" spans="4:6" x14ac:dyDescent="0.2">
      <c r="D107" s="5">
        <v>42135</v>
      </c>
      <c r="E107" s="6">
        <v>-6.0000000000000001E-3</v>
      </c>
      <c r="F107" s="4" t="e">
        <f t="shared" ca="1" si="1"/>
        <v>#NAME?</v>
      </c>
    </row>
    <row r="108" spans="4:6" x14ac:dyDescent="0.2">
      <c r="D108" s="5">
        <v>42132</v>
      </c>
      <c r="E108" s="6">
        <v>-6.0000000000000001E-3</v>
      </c>
      <c r="F108" s="4" t="e">
        <f t="shared" ca="1" si="1"/>
        <v>#NAME?</v>
      </c>
    </row>
    <row r="109" spans="4:6" x14ac:dyDescent="0.2">
      <c r="D109" s="5">
        <v>42131</v>
      </c>
      <c r="E109" s="6">
        <v>-6.0000000000000001E-3</v>
      </c>
      <c r="F109" s="4" t="e">
        <f t="shared" ca="1" si="1"/>
        <v>#NAME?</v>
      </c>
    </row>
    <row r="110" spans="4:6" x14ac:dyDescent="0.2">
      <c r="D110" s="5">
        <v>42130</v>
      </c>
      <c r="E110" s="6">
        <v>-2E-3</v>
      </c>
      <c r="F110" s="4" t="e">
        <f t="shared" ca="1" si="1"/>
        <v>#NAME?</v>
      </c>
    </row>
    <row r="111" spans="4:6" x14ac:dyDescent="0.2">
      <c r="D111" s="5">
        <v>42129</v>
      </c>
      <c r="E111" s="6">
        <v>-1.2E-2</v>
      </c>
      <c r="F111" s="4" t="e">
        <f t="shared" ca="1" si="1"/>
        <v>#NAME?</v>
      </c>
    </row>
    <row r="112" spans="4:6" x14ac:dyDescent="0.2">
      <c r="D112" s="5">
        <v>42128</v>
      </c>
      <c r="E112" s="6">
        <v>-1E-3</v>
      </c>
      <c r="F112" s="4" t="e">
        <f t="shared" ca="1" si="1"/>
        <v>#NAME?</v>
      </c>
    </row>
    <row r="113" spans="4:6" x14ac:dyDescent="0.2">
      <c r="D113" s="5">
        <v>42124</v>
      </c>
      <c r="E113" s="6">
        <v>-6.0000000000000001E-3</v>
      </c>
      <c r="F113" s="4" t="e">
        <f t="shared" ca="1" si="1"/>
        <v>#NAME?</v>
      </c>
    </row>
    <row r="114" spans="4:6" x14ac:dyDescent="0.2">
      <c r="D114" s="5">
        <v>42123</v>
      </c>
      <c r="E114" s="6">
        <v>-1.4E-2</v>
      </c>
      <c r="F114" s="4" t="e">
        <f t="shared" ca="1" si="1"/>
        <v>#NAME?</v>
      </c>
    </row>
    <row r="115" spans="4:6" x14ac:dyDescent="0.2">
      <c r="D115" s="5">
        <v>42122</v>
      </c>
      <c r="E115" s="6">
        <v>-1.4E-2</v>
      </c>
      <c r="F115" s="4" t="e">
        <f t="shared" ca="1" si="1"/>
        <v>#NAME?</v>
      </c>
    </row>
    <row r="116" spans="4:6" x14ac:dyDescent="0.2">
      <c r="D116" s="5">
        <v>42121</v>
      </c>
      <c r="E116" s="6">
        <v>-2E-3</v>
      </c>
      <c r="F116" s="4" t="e">
        <f t="shared" ca="1" si="1"/>
        <v>#NAME?</v>
      </c>
    </row>
    <row r="117" spans="4:6" x14ac:dyDescent="0.2">
      <c r="D117" s="5">
        <v>42118</v>
      </c>
      <c r="E117" s="6">
        <v>-3.0000000000000001E-3</v>
      </c>
      <c r="F117" s="4" t="e">
        <f t="shared" ca="1" si="1"/>
        <v>#NAME?</v>
      </c>
    </row>
    <row r="118" spans="4:6" x14ac:dyDescent="0.2">
      <c r="D118" s="5">
        <v>42117</v>
      </c>
      <c r="E118" s="6">
        <v>-8.0000000000000002E-3</v>
      </c>
      <c r="F118" s="4" t="e">
        <f t="shared" ca="1" si="1"/>
        <v>#NAME?</v>
      </c>
    </row>
    <row r="119" spans="4:6" x14ac:dyDescent="0.2">
      <c r="D119" s="5">
        <v>42116</v>
      </c>
      <c r="E119" s="6">
        <v>-3.0000000000000001E-3</v>
      </c>
      <c r="F119" s="4" t="e">
        <f t="shared" ca="1" si="1"/>
        <v>#NAME?</v>
      </c>
    </row>
    <row r="120" spans="4:6" x14ac:dyDescent="0.2">
      <c r="D120" s="5">
        <v>42115</v>
      </c>
      <c r="E120" s="6">
        <v>1E-3</v>
      </c>
      <c r="F120" s="4" t="e">
        <f t="shared" ca="1" si="1"/>
        <v>#NAME?</v>
      </c>
    </row>
    <row r="121" spans="4:6" x14ac:dyDescent="0.2">
      <c r="D121" s="5">
        <v>42114</v>
      </c>
      <c r="E121" s="6">
        <v>-3.0000000000000001E-3</v>
      </c>
      <c r="F121" s="4" t="e">
        <f t="shared" ca="1" si="1"/>
        <v>#NAME?</v>
      </c>
    </row>
    <row r="122" spans="4:6" x14ac:dyDescent="0.2">
      <c r="D122" s="5">
        <v>42111</v>
      </c>
      <c r="E122" s="6">
        <v>-6.0000000000000001E-3</v>
      </c>
      <c r="F122" s="4" t="e">
        <f t="shared" ca="1" si="1"/>
        <v>#NAME?</v>
      </c>
    </row>
    <row r="123" spans="4:6" x14ac:dyDescent="0.2">
      <c r="D123" s="5">
        <v>42110</v>
      </c>
      <c r="E123" s="6">
        <v>-1.2E-2</v>
      </c>
      <c r="F123" s="4" t="e">
        <f t="shared" ca="1" si="1"/>
        <v>#NAME?</v>
      </c>
    </row>
    <row r="124" spans="4:6" x14ac:dyDescent="0.2">
      <c r="D124" s="5">
        <v>42109</v>
      </c>
      <c r="E124" s="6">
        <v>-1.2E-2</v>
      </c>
      <c r="F124" s="4" t="e">
        <f t="shared" ca="1" si="1"/>
        <v>#NAME?</v>
      </c>
    </row>
    <row r="125" spans="4:6" x14ac:dyDescent="0.2">
      <c r="D125" s="5">
        <v>42108</v>
      </c>
      <c r="E125" s="6">
        <v>-8.0000000000000002E-3</v>
      </c>
      <c r="F125" s="4" t="e">
        <f t="shared" ca="1" si="1"/>
        <v>#NAME?</v>
      </c>
    </row>
    <row r="126" spans="4:6" x14ac:dyDescent="0.2">
      <c r="D126" s="5">
        <v>42107</v>
      </c>
      <c r="E126" s="6">
        <v>1E-3</v>
      </c>
      <c r="F126" s="4" t="e">
        <f t="shared" ca="1" si="1"/>
        <v>#NAME?</v>
      </c>
    </row>
    <row r="127" spans="4:6" x14ac:dyDescent="0.2">
      <c r="D127" s="5">
        <v>42104</v>
      </c>
      <c r="E127" s="6">
        <v>-2E-3</v>
      </c>
      <c r="F127" s="4" t="e">
        <f t="shared" ca="1" si="1"/>
        <v>#NAME?</v>
      </c>
    </row>
    <row r="128" spans="4:6" x14ac:dyDescent="0.2">
      <c r="D128" s="5">
        <v>42103</v>
      </c>
      <c r="E128" s="6">
        <v>0</v>
      </c>
      <c r="F128" s="4" t="e">
        <f t="shared" ca="1" si="1"/>
        <v>#NAME?</v>
      </c>
    </row>
    <row r="129" spans="4:6" x14ac:dyDescent="0.2">
      <c r="D129" s="5">
        <v>42102</v>
      </c>
      <c r="E129" s="6">
        <v>4.0000000000000001E-3</v>
      </c>
      <c r="F129" s="4" t="e">
        <f t="shared" ca="1" si="1"/>
        <v>#NAME?</v>
      </c>
    </row>
    <row r="130" spans="4:6" x14ac:dyDescent="0.2">
      <c r="D130" s="5">
        <v>42101</v>
      </c>
      <c r="E130" s="6">
        <v>1.0999999999999999E-2</v>
      </c>
      <c r="F130" s="4" t="e">
        <f t="shared" ca="1" si="1"/>
        <v>#NAME?</v>
      </c>
    </row>
    <row r="131" spans="4:6" x14ac:dyDescent="0.2">
      <c r="D131" s="5">
        <v>42096</v>
      </c>
      <c r="E131" s="6">
        <v>7.0000000000000001E-3</v>
      </c>
      <c r="F131" s="4" t="e">
        <f t="shared" ca="1" si="1"/>
        <v>#NAME?</v>
      </c>
    </row>
    <row r="132" spans="4:6" x14ac:dyDescent="0.2">
      <c r="D132" s="5">
        <v>42095</v>
      </c>
      <c r="E132" s="6">
        <v>6.0000000000000001E-3</v>
      </c>
      <c r="F132" s="4" t="e">
        <f t="shared" ca="1" si="1"/>
        <v>#NAME?</v>
      </c>
    </row>
    <row r="133" spans="4:6" x14ac:dyDescent="0.2">
      <c r="D133" s="5">
        <v>42094</v>
      </c>
      <c r="E133" s="6">
        <v>6.0000000000000001E-3</v>
      </c>
      <c r="F133" s="4" t="e">
        <f t="shared" ca="1" si="1"/>
        <v>#NAME?</v>
      </c>
    </row>
    <row r="134" spans="4:6" x14ac:dyDescent="0.2">
      <c r="D134" s="5">
        <v>42093</v>
      </c>
      <c r="E134" s="6">
        <v>8.0000000000000002E-3</v>
      </c>
      <c r="F134" s="4" t="e">
        <f t="shared" ref="F134:F197" ca="1" si="2">_xll.qlIndexAddFixings($B$1,D134,E134/100,TRUE,Trigger)</f>
        <v>#NAME?</v>
      </c>
    </row>
    <row r="135" spans="4:6" x14ac:dyDescent="0.2">
      <c r="D135" s="5">
        <v>42090</v>
      </c>
      <c r="E135" s="6">
        <v>6.0000000000000001E-3</v>
      </c>
      <c r="F135" s="4" t="e">
        <f t="shared" ca="1" si="2"/>
        <v>#NAME?</v>
      </c>
    </row>
    <row r="136" spans="4:6" x14ac:dyDescent="0.2">
      <c r="D136" s="5">
        <v>42089</v>
      </c>
      <c r="E136" s="6">
        <v>8.9999999999999993E-3</v>
      </c>
      <c r="F136" s="4" t="e">
        <f t="shared" ca="1" si="2"/>
        <v>#NAME?</v>
      </c>
    </row>
    <row r="137" spans="4:6" x14ac:dyDescent="0.2">
      <c r="D137" s="5">
        <v>42088</v>
      </c>
      <c r="E137" s="6">
        <v>0.01</v>
      </c>
      <c r="F137" s="4" t="e">
        <f t="shared" ca="1" si="2"/>
        <v>#NAME?</v>
      </c>
    </row>
    <row r="138" spans="4:6" x14ac:dyDescent="0.2">
      <c r="D138" s="5">
        <v>42087</v>
      </c>
      <c r="E138" s="6">
        <v>1.0999999999999999E-2</v>
      </c>
      <c r="F138" s="4" t="e">
        <f t="shared" ca="1" si="2"/>
        <v>#NAME?</v>
      </c>
    </row>
    <row r="139" spans="4:6" x14ac:dyDescent="0.2">
      <c r="D139" s="5">
        <v>42086</v>
      </c>
      <c r="E139" s="6">
        <v>8.0000000000000002E-3</v>
      </c>
      <c r="F139" s="4" t="e">
        <f t="shared" ca="1" si="2"/>
        <v>#NAME?</v>
      </c>
    </row>
    <row r="140" spans="4:6" x14ac:dyDescent="0.2">
      <c r="D140" s="5">
        <v>42083</v>
      </c>
      <c r="E140" s="6">
        <v>8.9999999999999993E-3</v>
      </c>
      <c r="F140" s="4" t="e">
        <f t="shared" ca="1" si="2"/>
        <v>#NAME?</v>
      </c>
    </row>
    <row r="141" spans="4:6" x14ac:dyDescent="0.2">
      <c r="D141" s="5">
        <v>42082</v>
      </c>
      <c r="E141" s="6">
        <v>1.2999999999999999E-2</v>
      </c>
      <c r="F141" s="4" t="e">
        <f t="shared" ca="1" si="2"/>
        <v>#NAME?</v>
      </c>
    </row>
    <row r="142" spans="4:6" x14ac:dyDescent="0.2">
      <c r="D142" s="5">
        <v>42081</v>
      </c>
      <c r="E142" s="6">
        <v>2.1000000000000001E-2</v>
      </c>
      <c r="F142" s="4" t="e">
        <f t="shared" ca="1" si="2"/>
        <v>#NAME?</v>
      </c>
    </row>
    <row r="143" spans="4:6" x14ac:dyDescent="0.2">
      <c r="D143" s="5">
        <v>42080</v>
      </c>
      <c r="E143" s="6">
        <v>4.0000000000000001E-3</v>
      </c>
      <c r="F143" s="4" t="e">
        <f t="shared" ca="1" si="2"/>
        <v>#NAME?</v>
      </c>
    </row>
    <row r="144" spans="4:6" x14ac:dyDescent="0.2">
      <c r="D144" s="5">
        <v>42079</v>
      </c>
      <c r="E144" s="6">
        <v>2E-3</v>
      </c>
      <c r="F144" s="4" t="e">
        <f t="shared" ca="1" si="2"/>
        <v>#NAME?</v>
      </c>
    </row>
    <row r="145" spans="4:6" x14ac:dyDescent="0.2">
      <c r="D145" s="5">
        <v>42076</v>
      </c>
      <c r="E145" s="6">
        <v>5.0000000000000001E-3</v>
      </c>
      <c r="F145" s="4" t="e">
        <f t="shared" ca="1" si="2"/>
        <v>#NAME?</v>
      </c>
    </row>
    <row r="146" spans="4:6" x14ac:dyDescent="0.2">
      <c r="D146" s="5">
        <v>42075</v>
      </c>
      <c r="E146" s="6">
        <v>4.0000000000000001E-3</v>
      </c>
      <c r="F146" s="4" t="e">
        <f t="shared" ca="1" si="2"/>
        <v>#NAME?</v>
      </c>
    </row>
    <row r="147" spans="4:6" x14ac:dyDescent="0.2">
      <c r="D147" s="5">
        <v>42074</v>
      </c>
      <c r="E147" s="6">
        <v>7.0000000000000001E-3</v>
      </c>
      <c r="F147" s="4" t="e">
        <f t="shared" ca="1" si="2"/>
        <v>#NAME?</v>
      </c>
    </row>
    <row r="148" spans="4:6" x14ac:dyDescent="0.2">
      <c r="D148" s="5">
        <v>42073</v>
      </c>
      <c r="E148" s="6">
        <v>0.01</v>
      </c>
      <c r="F148" s="4" t="e">
        <f t="shared" ca="1" si="2"/>
        <v>#NAME?</v>
      </c>
    </row>
    <row r="149" spans="4:6" x14ac:dyDescent="0.2">
      <c r="D149" s="5">
        <v>42072</v>
      </c>
      <c r="E149" s="6">
        <v>1.2999999999999999E-2</v>
      </c>
      <c r="F149" s="4" t="e">
        <f t="shared" ca="1" si="2"/>
        <v>#NAME?</v>
      </c>
    </row>
    <row r="150" spans="4:6" x14ac:dyDescent="0.2">
      <c r="D150" s="5">
        <v>42069</v>
      </c>
      <c r="E150" s="6">
        <v>1.4E-2</v>
      </c>
      <c r="F150" s="4" t="e">
        <f t="shared" ca="1" si="2"/>
        <v>#NAME?</v>
      </c>
    </row>
    <row r="151" spans="4:6" x14ac:dyDescent="0.2">
      <c r="D151" s="5">
        <v>42068</v>
      </c>
      <c r="E151" s="6">
        <v>1.7000000000000001E-2</v>
      </c>
      <c r="F151" s="4" t="e">
        <f t="shared" ca="1" si="2"/>
        <v>#NAME?</v>
      </c>
    </row>
    <row r="152" spans="4:6" x14ac:dyDescent="0.2">
      <c r="D152" s="5">
        <v>42067</v>
      </c>
      <c r="E152" s="6">
        <v>1.7000000000000001E-2</v>
      </c>
      <c r="F152" s="4" t="e">
        <f t="shared" ca="1" si="2"/>
        <v>#NAME?</v>
      </c>
    </row>
    <row r="153" spans="4:6" x14ac:dyDescent="0.2">
      <c r="D153" s="5">
        <v>42066</v>
      </c>
      <c r="E153" s="6">
        <v>1.7000000000000001E-2</v>
      </c>
      <c r="F153" s="4" t="e">
        <f t="shared" ca="1" si="2"/>
        <v>#NAME?</v>
      </c>
    </row>
    <row r="154" spans="4:6" x14ac:dyDescent="0.2">
      <c r="D154" s="5">
        <v>42065</v>
      </c>
      <c r="E154" s="6">
        <v>1.4999999999999999E-2</v>
      </c>
      <c r="F154" s="4" t="e">
        <f t="shared" ca="1" si="2"/>
        <v>#NAME?</v>
      </c>
    </row>
    <row r="155" spans="4:6" x14ac:dyDescent="0.2">
      <c r="D155" s="5">
        <v>42062</v>
      </c>
      <c r="E155" s="6">
        <v>1.2E-2</v>
      </c>
      <c r="F155" s="4" t="e">
        <f t="shared" ca="1" si="2"/>
        <v>#NAME?</v>
      </c>
    </row>
    <row r="156" spans="4:6" x14ac:dyDescent="0.2">
      <c r="D156" s="5">
        <v>42061</v>
      </c>
      <c r="E156" s="4">
        <v>1.4999999999999999E-2</v>
      </c>
      <c r="F156" s="4" t="e">
        <f t="shared" ca="1" si="2"/>
        <v>#NAME?</v>
      </c>
    </row>
    <row r="157" spans="4:6" x14ac:dyDescent="0.2">
      <c r="D157" s="5">
        <v>42060</v>
      </c>
      <c r="E157" s="4">
        <v>2.5000000000000001E-2</v>
      </c>
      <c r="F157" s="4" t="e">
        <f t="shared" ca="1" si="2"/>
        <v>#NAME?</v>
      </c>
    </row>
    <row r="158" spans="4:6" x14ac:dyDescent="0.2">
      <c r="D158" s="5">
        <v>42059</v>
      </c>
      <c r="E158" s="4">
        <v>3.5000000000000003E-2</v>
      </c>
      <c r="F158" s="4" t="e">
        <f t="shared" ca="1" si="2"/>
        <v>#NAME?</v>
      </c>
    </row>
    <row r="159" spans="4:6" x14ac:dyDescent="0.2">
      <c r="D159" s="5">
        <v>42058</v>
      </c>
      <c r="E159" s="4">
        <v>3.6999999999999998E-2</v>
      </c>
      <c r="F159" s="4" t="e">
        <f t="shared" ca="1" si="2"/>
        <v>#NAME?</v>
      </c>
    </row>
    <row r="160" spans="4:6" x14ac:dyDescent="0.2">
      <c r="D160" s="5">
        <v>42055</v>
      </c>
      <c r="E160" s="4">
        <v>0.05</v>
      </c>
      <c r="F160" s="4" t="e">
        <f t="shared" ca="1" si="2"/>
        <v>#NAME?</v>
      </c>
    </row>
    <row r="161" spans="4:6" x14ac:dyDescent="0.2">
      <c r="D161" s="5">
        <v>42054</v>
      </c>
      <c r="E161" s="4">
        <v>4.1000000000000002E-2</v>
      </c>
      <c r="F161" s="4" t="e">
        <f t="shared" ca="1" si="2"/>
        <v>#NAME?</v>
      </c>
    </row>
    <row r="162" spans="4:6" x14ac:dyDescent="0.2">
      <c r="D162" s="5">
        <v>42053</v>
      </c>
      <c r="E162" s="4">
        <v>4.1000000000000002E-2</v>
      </c>
      <c r="F162" s="4" t="e">
        <f t="shared" ca="1" si="2"/>
        <v>#NAME?</v>
      </c>
    </row>
    <row r="163" spans="4:6" x14ac:dyDescent="0.2">
      <c r="D163" s="5">
        <v>42052</v>
      </c>
      <c r="E163" s="4">
        <v>4.5999999999999999E-2</v>
      </c>
      <c r="F163" s="4" t="e">
        <f t="shared" ca="1" si="2"/>
        <v>#NAME?</v>
      </c>
    </row>
    <row r="164" spans="4:6" x14ac:dyDescent="0.2">
      <c r="D164" s="5">
        <v>42051</v>
      </c>
      <c r="E164" s="4">
        <v>4.2000000000000003E-2</v>
      </c>
      <c r="F164" s="4" t="e">
        <f t="shared" ca="1" si="2"/>
        <v>#NAME?</v>
      </c>
    </row>
    <row r="165" spans="4:6" x14ac:dyDescent="0.2">
      <c r="D165" s="5">
        <v>42048</v>
      </c>
      <c r="E165" s="4">
        <v>4.2000000000000003E-2</v>
      </c>
      <c r="F165" s="4" t="e">
        <f t="shared" ca="1" si="2"/>
        <v>#NAME?</v>
      </c>
    </row>
    <row r="166" spans="4:6" x14ac:dyDescent="0.2">
      <c r="D166" s="5">
        <v>42047</v>
      </c>
      <c r="E166" s="4">
        <v>4.2999999999999997E-2</v>
      </c>
      <c r="F166" s="4" t="e">
        <f t="shared" ca="1" si="2"/>
        <v>#NAME?</v>
      </c>
    </row>
    <row r="167" spans="4:6" x14ac:dyDescent="0.2">
      <c r="D167" s="5">
        <v>42046</v>
      </c>
      <c r="E167" s="4">
        <v>4.9000000000000002E-2</v>
      </c>
      <c r="F167" s="4" t="e">
        <f t="shared" ca="1" si="2"/>
        <v>#NAME?</v>
      </c>
    </row>
    <row r="168" spans="4:6" x14ac:dyDescent="0.2">
      <c r="D168" s="5">
        <v>42045</v>
      </c>
      <c r="E168" s="4">
        <v>5.6000000000000001E-2</v>
      </c>
      <c r="F168" s="4" t="e">
        <f t="shared" ca="1" si="2"/>
        <v>#NAME?</v>
      </c>
    </row>
    <row r="169" spans="4:6" x14ac:dyDescent="0.2">
      <c r="D169" s="5">
        <v>42044</v>
      </c>
      <c r="E169" s="4">
        <v>5.2999999999999999E-2</v>
      </c>
      <c r="F169" s="4" t="e">
        <f t="shared" ca="1" si="2"/>
        <v>#NAME?</v>
      </c>
    </row>
    <row r="170" spans="4:6" x14ac:dyDescent="0.2">
      <c r="D170" s="5">
        <v>42041</v>
      </c>
      <c r="E170" s="4">
        <v>4.7E-2</v>
      </c>
      <c r="F170" s="4" t="e">
        <f t="shared" ca="1" si="2"/>
        <v>#NAME?</v>
      </c>
    </row>
    <row r="171" spans="4:6" x14ac:dyDescent="0.2">
      <c r="D171" s="5">
        <v>42040</v>
      </c>
      <c r="E171" s="4">
        <v>0.05</v>
      </c>
      <c r="F171" s="4" t="e">
        <f t="shared" ca="1" si="2"/>
        <v>#NAME?</v>
      </c>
    </row>
    <row r="172" spans="4:6" x14ac:dyDescent="0.2">
      <c r="D172" s="5">
        <v>42039</v>
      </c>
      <c r="E172" s="4">
        <v>4.2000000000000003E-2</v>
      </c>
      <c r="F172" s="4" t="e">
        <f t="shared" ca="1" si="2"/>
        <v>#NAME?</v>
      </c>
    </row>
    <row r="173" spans="4:6" x14ac:dyDescent="0.2">
      <c r="D173" s="5">
        <v>42038</v>
      </c>
      <c r="E173" s="4">
        <v>4.2999999999999997E-2</v>
      </c>
      <c r="F173" s="4" t="e">
        <f t="shared" ca="1" si="2"/>
        <v>#NAME?</v>
      </c>
    </row>
    <row r="174" spans="4:6" x14ac:dyDescent="0.2">
      <c r="D174" s="5">
        <v>42037</v>
      </c>
      <c r="E174" s="4">
        <v>5.5E-2</v>
      </c>
      <c r="F174" s="4" t="e">
        <f t="shared" ca="1" si="2"/>
        <v>#NAME?</v>
      </c>
    </row>
    <row r="175" spans="4:6" x14ac:dyDescent="0.2">
      <c r="D175" s="5">
        <v>42034</v>
      </c>
      <c r="E175" s="4">
        <v>3.9E-2</v>
      </c>
      <c r="F175" s="4" t="e">
        <f t="shared" ca="1" si="2"/>
        <v>#NAME?</v>
      </c>
    </row>
    <row r="176" spans="4:6" x14ac:dyDescent="0.2">
      <c r="D176" s="5">
        <v>42033</v>
      </c>
      <c r="E176" s="4">
        <v>3.6999999999999998E-2</v>
      </c>
      <c r="F176" s="4" t="e">
        <f t="shared" ca="1" si="2"/>
        <v>#NAME?</v>
      </c>
    </row>
    <row r="177" spans="4:6" x14ac:dyDescent="0.2">
      <c r="D177" s="5">
        <v>42032</v>
      </c>
      <c r="E177" s="4">
        <v>0.03</v>
      </c>
      <c r="F177" s="4" t="e">
        <f t="shared" ca="1" si="2"/>
        <v>#NAME?</v>
      </c>
    </row>
    <row r="178" spans="4:6" x14ac:dyDescent="0.2">
      <c r="D178" s="5">
        <v>42031</v>
      </c>
      <c r="E178" s="4">
        <v>3.5000000000000003E-2</v>
      </c>
      <c r="F178" s="4" t="e">
        <f t="shared" ca="1" si="2"/>
        <v>#NAME?</v>
      </c>
    </row>
    <row r="179" spans="4:6" x14ac:dyDescent="0.2">
      <c r="D179" s="5">
        <v>42030</v>
      </c>
      <c r="E179" s="4">
        <v>0.03</v>
      </c>
      <c r="F179" s="4" t="e">
        <f t="shared" ca="1" si="2"/>
        <v>#NAME?</v>
      </c>
    </row>
    <row r="180" spans="4:6" x14ac:dyDescent="0.2">
      <c r="D180" s="5">
        <v>42027</v>
      </c>
      <c r="E180" s="4">
        <v>0.02</v>
      </c>
      <c r="F180" s="4" t="e">
        <f t="shared" ca="1" si="2"/>
        <v>#NAME?</v>
      </c>
    </row>
    <row r="181" spans="4:6" x14ac:dyDescent="0.2">
      <c r="D181" s="5">
        <v>42026</v>
      </c>
      <c r="E181" s="4">
        <v>3.4000000000000002E-2</v>
      </c>
      <c r="F181" s="4" t="e">
        <f t="shared" ca="1" si="2"/>
        <v>#NAME?</v>
      </c>
    </row>
    <row r="182" spans="4:6" x14ac:dyDescent="0.2">
      <c r="D182" s="5">
        <v>42025</v>
      </c>
      <c r="E182" s="4">
        <v>2.7E-2</v>
      </c>
      <c r="F182" s="4" t="e">
        <f t="shared" ca="1" si="2"/>
        <v>#NAME?</v>
      </c>
    </row>
    <row r="183" spans="4:6" x14ac:dyDescent="0.2">
      <c r="D183" s="5">
        <v>42024</v>
      </c>
      <c r="E183" s="4">
        <v>2.1999999999999999E-2</v>
      </c>
      <c r="F183" s="4" t="e">
        <f t="shared" ca="1" si="2"/>
        <v>#NAME?</v>
      </c>
    </row>
    <row r="184" spans="4:6" x14ac:dyDescent="0.2">
      <c r="D184" s="5">
        <v>42023</v>
      </c>
      <c r="E184" s="4">
        <v>0.02</v>
      </c>
      <c r="F184" s="4" t="e">
        <f t="shared" ca="1" si="2"/>
        <v>#NAME?</v>
      </c>
    </row>
    <row r="185" spans="4:6" x14ac:dyDescent="0.2">
      <c r="D185" s="5">
        <v>42020</v>
      </c>
      <c r="E185" s="4">
        <v>2.1000000000000001E-2</v>
      </c>
      <c r="F185" s="4" t="e">
        <f t="shared" ca="1" si="2"/>
        <v>#NAME?</v>
      </c>
    </row>
    <row r="186" spans="4:6" x14ac:dyDescent="0.2">
      <c r="D186" s="5">
        <v>42019</v>
      </c>
      <c r="E186" s="4">
        <v>2.7E-2</v>
      </c>
      <c r="F186" s="4" t="e">
        <f t="shared" ca="1" si="2"/>
        <v>#NAME?</v>
      </c>
    </row>
    <row r="187" spans="4:6" x14ac:dyDescent="0.2">
      <c r="D187" s="5">
        <v>42018</v>
      </c>
      <c r="E187" s="4">
        <v>5.1999999999999998E-2</v>
      </c>
      <c r="F187" s="4" t="e">
        <f t="shared" ca="1" si="2"/>
        <v>#NAME?</v>
      </c>
    </row>
    <row r="188" spans="4:6" x14ac:dyDescent="0.2">
      <c r="D188" s="5">
        <v>42017</v>
      </c>
      <c r="E188" s="4">
        <v>5.1999999999999998E-2</v>
      </c>
      <c r="F188" s="4" t="e">
        <f t="shared" ca="1" si="2"/>
        <v>#NAME?</v>
      </c>
    </row>
    <row r="189" spans="4:6" x14ac:dyDescent="0.2">
      <c r="D189" s="5">
        <v>42016</v>
      </c>
      <c r="E189" s="4">
        <v>5.5E-2</v>
      </c>
      <c r="F189" s="4" t="e">
        <f t="shared" ca="1" si="2"/>
        <v>#NAME?</v>
      </c>
    </row>
    <row r="190" spans="4:6" x14ac:dyDescent="0.2">
      <c r="D190" s="5">
        <v>42013</v>
      </c>
      <c r="E190" s="4">
        <v>5.7000000000000002E-2</v>
      </c>
      <c r="F190" s="4" t="e">
        <f t="shared" ca="1" si="2"/>
        <v>#NAME?</v>
      </c>
    </row>
    <row r="191" spans="4:6" x14ac:dyDescent="0.2">
      <c r="D191" s="5">
        <v>42012</v>
      </c>
      <c r="E191" s="4">
        <v>5.7000000000000002E-2</v>
      </c>
      <c r="F191" s="4" t="e">
        <f t="shared" ca="1" si="2"/>
        <v>#NAME?</v>
      </c>
    </row>
    <row r="192" spans="4:6" x14ac:dyDescent="0.2">
      <c r="D192" s="5">
        <v>42011</v>
      </c>
      <c r="E192" s="4">
        <v>5.3999999999999999E-2</v>
      </c>
      <c r="F192" s="4" t="e">
        <f t="shared" ca="1" si="2"/>
        <v>#NAME?</v>
      </c>
    </row>
    <row r="193" spans="4:6" x14ac:dyDescent="0.2">
      <c r="D193" s="5">
        <v>42010</v>
      </c>
      <c r="E193" s="4">
        <v>5.5E-2</v>
      </c>
      <c r="F193" s="4" t="e">
        <f t="shared" ca="1" si="2"/>
        <v>#NAME?</v>
      </c>
    </row>
    <row r="194" spans="4:6" x14ac:dyDescent="0.2">
      <c r="D194" s="5">
        <v>42009</v>
      </c>
      <c r="E194" s="4">
        <v>5.6000000000000001E-2</v>
      </c>
      <c r="F194" s="4" t="e">
        <f t="shared" ca="1" si="2"/>
        <v>#NAME?</v>
      </c>
    </row>
    <row r="195" spans="4:6" x14ac:dyDescent="0.2">
      <c r="D195" s="5">
        <v>42006</v>
      </c>
      <c r="E195" s="4">
        <v>5.8000000000000003E-2</v>
      </c>
      <c r="F195" s="4" t="e">
        <f t="shared" ca="1" si="2"/>
        <v>#NAME?</v>
      </c>
    </row>
    <row r="196" spans="4:6" x14ac:dyDescent="0.2">
      <c r="D196" s="5">
        <v>42003</v>
      </c>
      <c r="E196" s="4">
        <v>6.9000000000000006E-2</v>
      </c>
      <c r="F196" s="4" t="e">
        <f t="shared" ca="1" si="2"/>
        <v>#NAME?</v>
      </c>
    </row>
    <row r="197" spans="4:6" x14ac:dyDescent="0.2">
      <c r="D197" s="5">
        <v>42002</v>
      </c>
      <c r="E197" s="4">
        <v>7.0000000000000007E-2</v>
      </c>
      <c r="F197" s="4" t="e">
        <f t="shared" ca="1" si="2"/>
        <v>#NAME?</v>
      </c>
    </row>
    <row r="198" spans="4:6" x14ac:dyDescent="0.2">
      <c r="D198" s="5">
        <v>41996</v>
      </c>
      <c r="E198" s="4">
        <v>7.3999999999999996E-2</v>
      </c>
      <c r="F198" s="4" t="e">
        <f t="shared" ref="F198:F261" ca="1" si="3">_xll.qlIndexAddFixings($B$1,D198,E198/100,TRUE,Trigger)</f>
        <v>#NAME?</v>
      </c>
    </row>
    <row r="199" spans="4:6" x14ac:dyDescent="0.2">
      <c r="D199" s="5">
        <v>41995</v>
      </c>
      <c r="E199" s="4">
        <v>7.8E-2</v>
      </c>
      <c r="F199" s="4" t="e">
        <f t="shared" ca="1" si="3"/>
        <v>#NAME?</v>
      </c>
    </row>
    <row r="200" spans="4:6" x14ac:dyDescent="0.2">
      <c r="D200" s="5">
        <v>41992</v>
      </c>
      <c r="E200" s="4">
        <v>7.9000000000000001E-2</v>
      </c>
      <c r="F200" s="4" t="e">
        <f t="shared" ca="1" si="3"/>
        <v>#NAME?</v>
      </c>
    </row>
    <row r="201" spans="4:6" x14ac:dyDescent="0.2">
      <c r="D201" s="5">
        <v>41991</v>
      </c>
      <c r="E201" s="4">
        <v>0.08</v>
      </c>
      <c r="F201" s="4" t="e">
        <f t="shared" ca="1" si="3"/>
        <v>#NAME?</v>
      </c>
    </row>
    <row r="202" spans="4:6" x14ac:dyDescent="0.2">
      <c r="D202" s="5">
        <v>41990</v>
      </c>
      <c r="E202" s="4">
        <v>0.09</v>
      </c>
      <c r="F202" s="4" t="e">
        <f t="shared" ca="1" si="3"/>
        <v>#NAME?</v>
      </c>
    </row>
    <row r="203" spans="4:6" x14ac:dyDescent="0.2">
      <c r="D203" s="5">
        <v>41989</v>
      </c>
      <c r="E203" s="4">
        <v>8.5000000000000006E-2</v>
      </c>
      <c r="F203" s="4" t="e">
        <f t="shared" ca="1" si="3"/>
        <v>#NAME?</v>
      </c>
    </row>
    <row r="204" spans="4:6" x14ac:dyDescent="0.2">
      <c r="D204" s="5">
        <v>41988</v>
      </c>
      <c r="E204" s="4">
        <v>8.4000000000000005E-2</v>
      </c>
      <c r="F204" s="4" t="e">
        <f t="shared" ca="1" si="3"/>
        <v>#NAME?</v>
      </c>
    </row>
    <row r="205" spans="4:6" x14ac:dyDescent="0.2">
      <c r="D205" s="5">
        <v>41985</v>
      </c>
      <c r="E205" s="4">
        <v>8.7999999999999995E-2</v>
      </c>
      <c r="F205" s="4" t="e">
        <f t="shared" ca="1" si="3"/>
        <v>#NAME?</v>
      </c>
    </row>
    <row r="206" spans="4:6" x14ac:dyDescent="0.2">
      <c r="D206" s="5">
        <v>41984</v>
      </c>
      <c r="E206" s="4">
        <v>8.8999999999999996E-2</v>
      </c>
      <c r="F206" s="4" t="e">
        <f t="shared" ca="1" si="3"/>
        <v>#NAME?</v>
      </c>
    </row>
    <row r="207" spans="4:6" x14ac:dyDescent="0.2">
      <c r="D207" s="5">
        <v>41983</v>
      </c>
      <c r="E207" s="4">
        <v>8.8999999999999996E-2</v>
      </c>
      <c r="F207" s="4" t="e">
        <f t="shared" ca="1" si="3"/>
        <v>#NAME?</v>
      </c>
    </row>
    <row r="208" spans="4:6" x14ac:dyDescent="0.2">
      <c r="D208" s="5">
        <v>41982</v>
      </c>
      <c r="E208" s="4">
        <v>8.2000000000000003E-2</v>
      </c>
      <c r="F208" s="4" t="e">
        <f t="shared" ca="1" si="3"/>
        <v>#NAME?</v>
      </c>
    </row>
    <row r="209" spans="4:6" x14ac:dyDescent="0.2">
      <c r="D209" s="5">
        <v>41981</v>
      </c>
      <c r="E209" s="4">
        <v>8.5000000000000006E-2</v>
      </c>
      <c r="F209" s="4" t="e">
        <f t="shared" ca="1" si="3"/>
        <v>#NAME?</v>
      </c>
    </row>
    <row r="210" spans="4:6" x14ac:dyDescent="0.2">
      <c r="D210" s="5">
        <v>41978</v>
      </c>
      <c r="E210" s="4">
        <v>8.5999999999999993E-2</v>
      </c>
      <c r="F210" s="4" t="e">
        <f t="shared" ca="1" si="3"/>
        <v>#NAME?</v>
      </c>
    </row>
    <row r="211" spans="4:6" x14ac:dyDescent="0.2">
      <c r="D211" s="5">
        <v>41977</v>
      </c>
      <c r="E211" s="4">
        <v>7.2999999999999995E-2</v>
      </c>
      <c r="F211" s="4" t="e">
        <f t="shared" ca="1" si="3"/>
        <v>#NAME?</v>
      </c>
    </row>
    <row r="212" spans="4:6" x14ac:dyDescent="0.2">
      <c r="D212" s="5">
        <v>41976</v>
      </c>
      <c r="E212" s="4">
        <v>7.6999999999999999E-2</v>
      </c>
      <c r="F212" s="4" t="e">
        <f t="shared" ca="1" si="3"/>
        <v>#NAME?</v>
      </c>
    </row>
    <row r="213" spans="4:6" x14ac:dyDescent="0.2">
      <c r="D213" s="5">
        <v>41975</v>
      </c>
      <c r="E213" s="4">
        <v>8.4000000000000005E-2</v>
      </c>
      <c r="F213" s="4" t="e">
        <f t="shared" ca="1" si="3"/>
        <v>#NAME?</v>
      </c>
    </row>
    <row r="214" spans="4:6" x14ac:dyDescent="0.2">
      <c r="D214" s="5">
        <v>41974</v>
      </c>
      <c r="E214" s="4">
        <v>0.08</v>
      </c>
      <c r="F214" s="4" t="e">
        <f t="shared" ca="1" si="3"/>
        <v>#NAME?</v>
      </c>
    </row>
    <row r="215" spans="4:6" x14ac:dyDescent="0.2">
      <c r="D215" s="5">
        <v>41971</v>
      </c>
      <c r="E215" s="4">
        <v>0.08</v>
      </c>
      <c r="F215" s="4" t="e">
        <f t="shared" ca="1" si="3"/>
        <v>#NAME?</v>
      </c>
    </row>
    <row r="216" spans="4:6" x14ac:dyDescent="0.2">
      <c r="D216" s="5">
        <v>41970</v>
      </c>
      <c r="E216" s="4">
        <v>0.08</v>
      </c>
      <c r="F216" s="4" t="e">
        <f t="shared" ca="1" si="3"/>
        <v>#NAME?</v>
      </c>
    </row>
    <row r="217" spans="4:6" x14ac:dyDescent="0.2">
      <c r="D217" s="5">
        <v>41969</v>
      </c>
      <c r="E217" s="4">
        <v>8.1000000000000003E-2</v>
      </c>
      <c r="F217" s="4" t="e">
        <f t="shared" ca="1" si="3"/>
        <v>#NAME?</v>
      </c>
    </row>
    <row r="218" spans="4:6" x14ac:dyDescent="0.2">
      <c r="D218" s="5">
        <v>41968</v>
      </c>
      <c r="E218" s="4">
        <v>7.8E-2</v>
      </c>
      <c r="F218" s="4" t="e">
        <f t="shared" ca="1" si="3"/>
        <v>#NAME?</v>
      </c>
    </row>
    <row r="219" spans="4:6" x14ac:dyDescent="0.2">
      <c r="D219" s="5">
        <v>41967</v>
      </c>
      <c r="E219" s="4">
        <v>7.5999999999999998E-2</v>
      </c>
      <c r="F219" s="4" t="e">
        <f t="shared" ca="1" si="3"/>
        <v>#NAME?</v>
      </c>
    </row>
    <row r="220" spans="4:6" x14ac:dyDescent="0.2">
      <c r="D220" s="5">
        <v>41964</v>
      </c>
      <c r="E220" s="4">
        <v>0.08</v>
      </c>
      <c r="F220" s="4" t="e">
        <f t="shared" ca="1" si="3"/>
        <v>#NAME?</v>
      </c>
    </row>
    <row r="221" spans="4:6" x14ac:dyDescent="0.2">
      <c r="D221" s="5">
        <v>41963</v>
      </c>
      <c r="E221" s="4">
        <v>8.7999999999999995E-2</v>
      </c>
      <c r="F221" s="4" t="e">
        <f t="shared" ca="1" si="3"/>
        <v>#NAME?</v>
      </c>
    </row>
    <row r="222" spans="4:6" x14ac:dyDescent="0.2">
      <c r="D222" s="5">
        <v>41962</v>
      </c>
      <c r="E222" s="4">
        <v>9.2999999999999999E-2</v>
      </c>
      <c r="F222" s="4" t="e">
        <f t="shared" ca="1" si="3"/>
        <v>#NAME?</v>
      </c>
    </row>
    <row r="223" spans="4:6" x14ac:dyDescent="0.2">
      <c r="D223" s="5">
        <v>41961</v>
      </c>
      <c r="E223" s="4">
        <v>8.5000000000000006E-2</v>
      </c>
      <c r="F223" s="4" t="e">
        <f t="shared" ca="1" si="3"/>
        <v>#NAME?</v>
      </c>
    </row>
    <row r="224" spans="4:6" x14ac:dyDescent="0.2">
      <c r="D224" s="5">
        <v>41960</v>
      </c>
      <c r="E224" s="4">
        <v>8.3000000000000004E-2</v>
      </c>
      <c r="F224" s="4" t="e">
        <f t="shared" ca="1" si="3"/>
        <v>#NAME?</v>
      </c>
    </row>
    <row r="225" spans="4:6" x14ac:dyDescent="0.2">
      <c r="D225" s="5">
        <v>41957</v>
      </c>
      <c r="E225" s="4">
        <v>8.1000000000000003E-2</v>
      </c>
      <c r="F225" s="4" t="e">
        <f t="shared" ca="1" si="3"/>
        <v>#NAME?</v>
      </c>
    </row>
    <row r="226" spans="4:6" x14ac:dyDescent="0.2">
      <c r="D226" s="5">
        <v>41956</v>
      </c>
      <c r="E226" s="4">
        <v>8.1000000000000003E-2</v>
      </c>
      <c r="F226" s="4" t="e">
        <f t="shared" ca="1" si="3"/>
        <v>#NAME?</v>
      </c>
    </row>
    <row r="227" spans="4:6" x14ac:dyDescent="0.2">
      <c r="D227" s="5">
        <v>41955</v>
      </c>
      <c r="E227" s="4">
        <v>8.1000000000000003E-2</v>
      </c>
      <c r="F227" s="4" t="e">
        <f t="shared" ca="1" si="3"/>
        <v>#NAME?</v>
      </c>
    </row>
    <row r="228" spans="4:6" x14ac:dyDescent="0.2">
      <c r="D228" s="5">
        <v>41954</v>
      </c>
      <c r="E228" s="4">
        <v>8.3000000000000004E-2</v>
      </c>
      <c r="F228" s="4" t="e">
        <f t="shared" ca="1" si="3"/>
        <v>#NAME?</v>
      </c>
    </row>
    <row r="229" spans="4:6" x14ac:dyDescent="0.2">
      <c r="D229" s="5">
        <v>41953</v>
      </c>
      <c r="E229" s="4">
        <v>7.9000000000000001E-2</v>
      </c>
      <c r="F229" s="4" t="e">
        <f t="shared" ca="1" si="3"/>
        <v>#NAME?</v>
      </c>
    </row>
    <row r="230" spans="4:6" x14ac:dyDescent="0.2">
      <c r="D230" s="5">
        <v>41950</v>
      </c>
      <c r="E230" s="4">
        <v>8.1000000000000003E-2</v>
      </c>
      <c r="F230" s="4" t="e">
        <f t="shared" ca="1" si="3"/>
        <v>#NAME?</v>
      </c>
    </row>
    <row r="231" spans="4:6" x14ac:dyDescent="0.2">
      <c r="D231" s="5">
        <v>41949</v>
      </c>
      <c r="E231" s="4">
        <v>8.3000000000000004E-2</v>
      </c>
      <c r="F231" s="4" t="e">
        <f t="shared" ca="1" si="3"/>
        <v>#NAME?</v>
      </c>
    </row>
    <row r="232" spans="4:6" x14ac:dyDescent="0.2">
      <c r="D232" s="5">
        <v>41948</v>
      </c>
      <c r="E232" s="4">
        <v>8.6999999999999994E-2</v>
      </c>
      <c r="F232" s="4" t="e">
        <f t="shared" ca="1" si="3"/>
        <v>#NAME?</v>
      </c>
    </row>
    <row r="233" spans="4:6" x14ac:dyDescent="0.2">
      <c r="D233" s="5">
        <v>41947</v>
      </c>
      <c r="E233" s="4">
        <v>8.5999999999999993E-2</v>
      </c>
      <c r="F233" s="4" t="e">
        <f t="shared" ca="1" si="3"/>
        <v>#NAME?</v>
      </c>
    </row>
    <row r="234" spans="4:6" x14ac:dyDescent="0.2">
      <c r="D234" s="5">
        <v>41946</v>
      </c>
      <c r="E234" s="4">
        <v>8.8999999999999996E-2</v>
      </c>
      <c r="F234" s="4" t="e">
        <f t="shared" ca="1" si="3"/>
        <v>#NAME?</v>
      </c>
    </row>
    <row r="235" spans="4:6" x14ac:dyDescent="0.2">
      <c r="D235" s="5">
        <v>41943</v>
      </c>
      <c r="E235" s="4">
        <v>9.5000000000000001E-2</v>
      </c>
      <c r="F235" s="4" t="e">
        <f t="shared" ca="1" si="3"/>
        <v>#NAME?</v>
      </c>
    </row>
    <row r="236" spans="4:6" x14ac:dyDescent="0.2">
      <c r="D236" s="5">
        <v>41942</v>
      </c>
      <c r="E236" s="4">
        <v>9.6000000000000002E-2</v>
      </c>
      <c r="F236" s="4" t="e">
        <f t="shared" ca="1" si="3"/>
        <v>#NAME?</v>
      </c>
    </row>
    <row r="237" spans="4:6" x14ac:dyDescent="0.2">
      <c r="D237" s="5">
        <v>41941</v>
      </c>
      <c r="E237" s="4">
        <v>0.10100000000000001</v>
      </c>
      <c r="F237" s="4" t="e">
        <f t="shared" ca="1" si="3"/>
        <v>#NAME?</v>
      </c>
    </row>
    <row r="238" spans="4:6" x14ac:dyDescent="0.2">
      <c r="D238" s="5">
        <v>41940</v>
      </c>
      <c r="E238" s="4">
        <v>0.10199999999999999</v>
      </c>
      <c r="F238" s="4" t="e">
        <f t="shared" ca="1" si="3"/>
        <v>#NAME?</v>
      </c>
    </row>
    <row r="239" spans="4:6" x14ac:dyDescent="0.2">
      <c r="D239" s="5">
        <v>41939</v>
      </c>
      <c r="E239" s="4">
        <v>9.8000000000000004E-2</v>
      </c>
      <c r="F239" s="4" t="e">
        <f t="shared" ca="1" si="3"/>
        <v>#NAME?</v>
      </c>
    </row>
    <row r="240" spans="4:6" x14ac:dyDescent="0.2">
      <c r="D240" s="5">
        <v>41936</v>
      </c>
      <c r="E240" s="4">
        <v>9.8000000000000004E-2</v>
      </c>
      <c r="F240" s="4" t="e">
        <f t="shared" ca="1" si="3"/>
        <v>#NAME?</v>
      </c>
    </row>
    <row r="241" spans="4:6" x14ac:dyDescent="0.2">
      <c r="D241" s="5">
        <v>41935</v>
      </c>
      <c r="E241" s="4">
        <v>0.10100000000000001</v>
      </c>
      <c r="F241" s="4" t="e">
        <f t="shared" ca="1" si="3"/>
        <v>#NAME?</v>
      </c>
    </row>
    <row r="242" spans="4:6" x14ac:dyDescent="0.2">
      <c r="D242" s="5">
        <v>41934</v>
      </c>
      <c r="E242" s="4">
        <v>0.10299999999999999</v>
      </c>
      <c r="F242" s="4" t="e">
        <f t="shared" ca="1" si="3"/>
        <v>#NAME?</v>
      </c>
    </row>
    <row r="243" spans="4:6" x14ac:dyDescent="0.2">
      <c r="D243" s="5">
        <v>41933</v>
      </c>
      <c r="E243" s="4">
        <v>0.10199999999999999</v>
      </c>
      <c r="F243" s="4" t="e">
        <f t="shared" ca="1" si="3"/>
        <v>#NAME?</v>
      </c>
    </row>
    <row r="244" spans="4:6" x14ac:dyDescent="0.2">
      <c r="D244" s="5">
        <v>41932</v>
      </c>
      <c r="E244" s="4">
        <v>9.0999999999999998E-2</v>
      </c>
      <c r="F244" s="4" t="e">
        <f t="shared" ca="1" si="3"/>
        <v>#NAME?</v>
      </c>
    </row>
    <row r="245" spans="4:6" x14ac:dyDescent="0.2">
      <c r="D245" s="5">
        <v>41929</v>
      </c>
      <c r="E245" s="4">
        <v>0.107</v>
      </c>
      <c r="F245" s="4" t="e">
        <f t="shared" ca="1" si="3"/>
        <v>#NAME?</v>
      </c>
    </row>
    <row r="246" spans="4:6" x14ac:dyDescent="0.2">
      <c r="D246" s="5">
        <v>41928</v>
      </c>
      <c r="E246" s="4">
        <v>9.4E-2</v>
      </c>
      <c r="F246" s="4" t="e">
        <f t="shared" ca="1" si="3"/>
        <v>#NAME?</v>
      </c>
    </row>
    <row r="247" spans="4:6" x14ac:dyDescent="0.2">
      <c r="D247" s="5">
        <v>41927</v>
      </c>
      <c r="E247" s="4">
        <v>8.3000000000000004E-2</v>
      </c>
      <c r="F247" s="4" t="e">
        <f t="shared" ca="1" si="3"/>
        <v>#NAME?</v>
      </c>
    </row>
    <row r="248" spans="4:6" x14ac:dyDescent="0.2">
      <c r="D248" s="5">
        <v>41926</v>
      </c>
      <c r="E248" s="4">
        <v>9.4E-2</v>
      </c>
      <c r="F248" s="4" t="e">
        <f t="shared" ca="1" si="3"/>
        <v>#NAME?</v>
      </c>
    </row>
    <row r="249" spans="4:6" x14ac:dyDescent="0.2">
      <c r="D249" s="5">
        <v>41925</v>
      </c>
      <c r="E249" s="4">
        <v>0.09</v>
      </c>
      <c r="F249" s="4" t="e">
        <f t="shared" ca="1" si="3"/>
        <v>#NAME?</v>
      </c>
    </row>
    <row r="250" spans="4:6" x14ac:dyDescent="0.2">
      <c r="D250" s="5">
        <v>41922</v>
      </c>
      <c r="E250" s="4">
        <v>8.2000000000000003E-2</v>
      </c>
      <c r="F250" s="4" t="e">
        <f t="shared" ca="1" si="3"/>
        <v>#NAME?</v>
      </c>
    </row>
    <row r="251" spans="4:6" x14ac:dyDescent="0.2">
      <c r="D251" s="5">
        <v>41921</v>
      </c>
      <c r="E251" s="4">
        <v>7.5999999999999998E-2</v>
      </c>
      <c r="F251" s="4" t="e">
        <f t="shared" ca="1" si="3"/>
        <v>#NAME?</v>
      </c>
    </row>
    <row r="252" spans="4:6" x14ac:dyDescent="0.2">
      <c r="D252" s="5">
        <v>41920</v>
      </c>
      <c r="E252" s="4">
        <v>7.3999999999999996E-2</v>
      </c>
      <c r="F252" s="4" t="e">
        <f t="shared" ca="1" si="3"/>
        <v>#NAME?</v>
      </c>
    </row>
    <row r="253" spans="4:6" x14ac:dyDescent="0.2">
      <c r="D253" s="5">
        <v>41919</v>
      </c>
      <c r="E253" s="4">
        <v>7.4999999999999997E-2</v>
      </c>
      <c r="F253" s="4" t="e">
        <f t="shared" ca="1" si="3"/>
        <v>#NAME?</v>
      </c>
    </row>
    <row r="254" spans="4:6" x14ac:dyDescent="0.2">
      <c r="D254" s="5">
        <v>41918</v>
      </c>
      <c r="E254" s="4">
        <v>7.3999999999999996E-2</v>
      </c>
      <c r="F254" s="4" t="e">
        <f t="shared" ca="1" si="3"/>
        <v>#NAME?</v>
      </c>
    </row>
    <row r="255" spans="4:6" x14ac:dyDescent="0.2">
      <c r="D255" s="5">
        <v>41915</v>
      </c>
      <c r="E255" s="4">
        <v>7.5999999999999998E-2</v>
      </c>
      <c r="F255" s="4" t="e">
        <f t="shared" ca="1" si="3"/>
        <v>#NAME?</v>
      </c>
    </row>
    <row r="256" spans="4:6" x14ac:dyDescent="0.2">
      <c r="D256" s="5">
        <v>41914</v>
      </c>
      <c r="E256" s="4">
        <v>6.8000000000000005E-2</v>
      </c>
      <c r="F256" s="4" t="e">
        <f t="shared" ca="1" si="3"/>
        <v>#NAME?</v>
      </c>
    </row>
    <row r="257" spans="4:6" x14ac:dyDescent="0.2">
      <c r="D257" s="5">
        <v>41913</v>
      </c>
      <c r="E257" s="4">
        <v>7.0000000000000007E-2</v>
      </c>
      <c r="F257" s="4" t="e">
        <f t="shared" ca="1" si="3"/>
        <v>#NAME?</v>
      </c>
    </row>
    <row r="258" spans="4:6" x14ac:dyDescent="0.2">
      <c r="D258" s="5">
        <v>41912</v>
      </c>
      <c r="E258" s="4">
        <v>7.5999999999999998E-2</v>
      </c>
      <c r="F258" s="4" t="e">
        <f t="shared" ca="1" si="3"/>
        <v>#NAME?</v>
      </c>
    </row>
    <row r="259" spans="4:6" x14ac:dyDescent="0.2">
      <c r="D259" s="5">
        <v>41911</v>
      </c>
      <c r="E259" s="4">
        <v>7.4999999999999997E-2</v>
      </c>
      <c r="F259" s="4" t="e">
        <f t="shared" ca="1" si="3"/>
        <v>#NAME?</v>
      </c>
    </row>
    <row r="260" spans="4:6" x14ac:dyDescent="0.2">
      <c r="D260" s="5">
        <v>41908</v>
      </c>
      <c r="E260" s="4">
        <v>7.6999999999999999E-2</v>
      </c>
      <c r="F260" s="4" t="e">
        <f t="shared" ca="1" si="3"/>
        <v>#NAME?</v>
      </c>
    </row>
    <row r="261" spans="4:6" x14ac:dyDescent="0.2">
      <c r="D261" s="5">
        <v>41907</v>
      </c>
      <c r="E261" s="4">
        <v>7.9000000000000001E-2</v>
      </c>
      <c r="F261" s="4" t="e">
        <f t="shared" ca="1" si="3"/>
        <v>#NAME?</v>
      </c>
    </row>
    <row r="262" spans="4:6" x14ac:dyDescent="0.2">
      <c r="D262" s="5">
        <v>41906</v>
      </c>
      <c r="E262" s="4">
        <v>8.5999999999999993E-2</v>
      </c>
      <c r="F262" s="4" t="e">
        <f t="shared" ref="F262:F280" ca="1" si="4">_xll.qlIndexAddFixings($B$1,D262,E262/100,TRUE,Trigger)</f>
        <v>#NAME?</v>
      </c>
    </row>
    <row r="263" spans="4:6" x14ac:dyDescent="0.2">
      <c r="D263" s="5">
        <v>41905</v>
      </c>
      <c r="E263" s="4">
        <v>7.4999999999999997E-2</v>
      </c>
      <c r="F263" s="4" t="e">
        <f t="shared" ca="1" si="4"/>
        <v>#NAME?</v>
      </c>
    </row>
    <row r="264" spans="4:6" x14ac:dyDescent="0.2">
      <c r="D264" s="5">
        <v>41904</v>
      </c>
      <c r="E264" s="4">
        <v>7.5999999999999998E-2</v>
      </c>
      <c r="F264" s="4" t="e">
        <f t="shared" ca="1" si="4"/>
        <v>#NAME?</v>
      </c>
    </row>
    <row r="265" spans="4:6" x14ac:dyDescent="0.2">
      <c r="D265" s="5">
        <v>41901</v>
      </c>
      <c r="E265" s="4">
        <v>8.2000000000000003E-2</v>
      </c>
      <c r="F265" s="4" t="e">
        <f t="shared" ca="1" si="4"/>
        <v>#NAME?</v>
      </c>
    </row>
    <row r="266" spans="4:6" x14ac:dyDescent="0.2">
      <c r="D266" s="5">
        <v>41900</v>
      </c>
      <c r="E266" s="4">
        <v>8.1000000000000003E-2</v>
      </c>
      <c r="F266" s="4" t="e">
        <f t="shared" ca="1" si="4"/>
        <v>#NAME?</v>
      </c>
    </row>
    <row r="267" spans="4:6" x14ac:dyDescent="0.2">
      <c r="D267" s="5">
        <v>41899</v>
      </c>
      <c r="E267" s="4">
        <v>0.08</v>
      </c>
      <c r="F267" s="4" t="e">
        <f t="shared" ca="1" si="4"/>
        <v>#NAME?</v>
      </c>
    </row>
    <row r="268" spans="4:6" x14ac:dyDescent="0.2">
      <c r="D268" s="5">
        <v>41898</v>
      </c>
      <c r="E268" s="4">
        <v>7.4999999999999997E-2</v>
      </c>
      <c r="F268" s="4" t="e">
        <f t="shared" ca="1" si="4"/>
        <v>#NAME?</v>
      </c>
    </row>
    <row r="269" spans="4:6" x14ac:dyDescent="0.2">
      <c r="D269" s="5">
        <v>41897</v>
      </c>
      <c r="E269" s="4">
        <v>7.4999999999999997E-2</v>
      </c>
      <c r="F269" s="4" t="e">
        <f t="shared" ca="1" si="4"/>
        <v>#NAME?</v>
      </c>
    </row>
    <row r="270" spans="4:6" x14ac:dyDescent="0.2">
      <c r="D270" s="5">
        <v>41894</v>
      </c>
      <c r="E270" s="4">
        <v>7.5999999999999998E-2</v>
      </c>
      <c r="F270" s="4" t="e">
        <f t="shared" ca="1" si="4"/>
        <v>#NAME?</v>
      </c>
    </row>
    <row r="271" spans="4:6" x14ac:dyDescent="0.2">
      <c r="D271" s="5">
        <v>41893</v>
      </c>
      <c r="E271" s="4">
        <v>7.4999999999999997E-2</v>
      </c>
      <c r="F271" s="4" t="e">
        <f t="shared" ca="1" si="4"/>
        <v>#NAME?</v>
      </c>
    </row>
    <row r="272" spans="4:6" x14ac:dyDescent="0.2">
      <c r="D272" s="5">
        <v>41892</v>
      </c>
      <c r="E272" s="4">
        <v>8.1000000000000003E-2</v>
      </c>
      <c r="F272" s="4" t="e">
        <f t="shared" ca="1" si="4"/>
        <v>#NAME?</v>
      </c>
    </row>
    <row r="273" spans="4:6" x14ac:dyDescent="0.2">
      <c r="D273" s="5">
        <v>41891</v>
      </c>
      <c r="E273" s="4">
        <v>7.9000000000000001E-2</v>
      </c>
      <c r="F273" s="4" t="e">
        <f t="shared" ca="1" si="4"/>
        <v>#NAME?</v>
      </c>
    </row>
    <row r="274" spans="4:6" x14ac:dyDescent="0.2">
      <c r="D274" s="5">
        <v>41890</v>
      </c>
      <c r="E274" s="4">
        <v>7.8E-2</v>
      </c>
      <c r="F274" s="4" t="e">
        <f t="shared" ca="1" si="4"/>
        <v>#NAME?</v>
      </c>
    </row>
    <row r="275" spans="4:6" x14ac:dyDescent="0.2">
      <c r="D275" s="5">
        <v>41887</v>
      </c>
      <c r="E275" s="4">
        <v>8.2000000000000003E-2</v>
      </c>
      <c r="F275" s="4" t="e">
        <f t="shared" ca="1" si="4"/>
        <v>#NAME?</v>
      </c>
    </row>
    <row r="276" spans="4:6" x14ac:dyDescent="0.2">
      <c r="D276" s="5">
        <v>41886</v>
      </c>
      <c r="E276" s="4">
        <v>0.13</v>
      </c>
      <c r="F276" s="4" t="e">
        <f t="shared" ca="1" si="4"/>
        <v>#NAME?</v>
      </c>
    </row>
    <row r="277" spans="4:6" x14ac:dyDescent="0.2">
      <c r="D277" s="5">
        <v>41885</v>
      </c>
      <c r="E277" s="4">
        <v>0.126</v>
      </c>
      <c r="F277" s="4" t="e">
        <f t="shared" ca="1" si="4"/>
        <v>#NAME?</v>
      </c>
    </row>
    <row r="278" spans="4:6" x14ac:dyDescent="0.2">
      <c r="D278" s="5">
        <v>41884</v>
      </c>
      <c r="E278" s="4">
        <v>0.128</v>
      </c>
      <c r="F278" s="4" t="e">
        <f t="shared" ca="1" si="4"/>
        <v>#NAME?</v>
      </c>
    </row>
    <row r="279" spans="4:6" x14ac:dyDescent="0.2">
      <c r="D279" s="5">
        <v>41883</v>
      </c>
      <c r="E279" s="4">
        <v>0.13</v>
      </c>
      <c r="F279" s="4" t="e">
        <f t="shared" ca="1" si="4"/>
        <v>#NAME?</v>
      </c>
    </row>
    <row r="280" spans="4:6" x14ac:dyDescent="0.2">
      <c r="D280" s="3">
        <v>41568</v>
      </c>
      <c r="E280" s="2">
        <v>0.312</v>
      </c>
      <c r="F280" s="2" t="e">
        <f t="shared" ca="1" si="4"/>
        <v>#NAME?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58</vt:i4>
      </vt:variant>
      <vt:variant>
        <vt:lpstr>Named Ranges</vt:lpstr>
      </vt:variant>
      <vt:variant>
        <vt:i4>666</vt:i4>
      </vt:variant>
    </vt:vector>
  </HeadingPairs>
  <TitlesOfParts>
    <vt:vector size="724" baseType="lpstr">
      <vt:lpstr>Triggers</vt:lpstr>
      <vt:lpstr>Pricing</vt:lpstr>
      <vt:lpstr>FirstLegAdmortization</vt:lpstr>
      <vt:lpstr>FirstLegAnalysis</vt:lpstr>
      <vt:lpstr>SecondLegAdmortization</vt:lpstr>
      <vt:lpstr>SecondLegAnalysis</vt:lpstr>
      <vt:lpstr>MainChecks</vt:lpstr>
      <vt:lpstr>GeneralSettings_4</vt:lpstr>
      <vt:lpstr>EURSTD</vt:lpstr>
      <vt:lpstr>GeneralSettings</vt:lpstr>
      <vt:lpstr>EURON</vt:lpstr>
      <vt:lpstr>EUR3M</vt:lpstr>
      <vt:lpstr>EUR6M</vt:lpstr>
      <vt:lpstr>EUR1M</vt:lpstr>
      <vt:lpstr>EUR1Y</vt:lpstr>
      <vt:lpstr>General Settings_3</vt:lpstr>
      <vt:lpstr>1MSynthDepo</vt:lpstr>
      <vt:lpstr>3MSynthDepo</vt:lpstr>
      <vt:lpstr>6MSynthDepo</vt:lpstr>
      <vt:lpstr>12MSynthDepo</vt:lpstr>
      <vt:lpstr>Contribution_2</vt:lpstr>
      <vt:lpstr>Delta 1M</vt:lpstr>
      <vt:lpstr>Delta 3M</vt:lpstr>
      <vt:lpstr>Delta 6M </vt:lpstr>
      <vt:lpstr>Delta 12M</vt:lpstr>
      <vt:lpstr>General Settings_2</vt:lpstr>
      <vt:lpstr>RateHelpers</vt:lpstr>
      <vt:lpstr>Calculation</vt:lpstr>
      <vt:lpstr>Contribution</vt:lpstr>
      <vt:lpstr>General Settings</vt:lpstr>
      <vt:lpstr>Euribor</vt:lpstr>
      <vt:lpstr>EuriborSwapIsdaFixA</vt:lpstr>
      <vt:lpstr>Deposits</vt:lpstr>
      <vt:lpstr>FRA</vt:lpstr>
      <vt:lpstr>OIS</vt:lpstr>
      <vt:lpstr>ECB OIS</vt:lpstr>
      <vt:lpstr>IMM OIS</vt:lpstr>
      <vt:lpstr>Futures3M</vt:lpstr>
      <vt:lpstr>FuturesHWConvAdj</vt:lpstr>
      <vt:lpstr>BasisSwapEON3M</vt:lpstr>
      <vt:lpstr>BasisSwap1MxM</vt:lpstr>
      <vt:lpstr>BasisSwap3M6M</vt:lpstr>
      <vt:lpstr>BasisSwapxM12M</vt:lpstr>
      <vt:lpstr>Swaps1M_1Y</vt:lpstr>
      <vt:lpstr>Swap1M</vt:lpstr>
      <vt:lpstr>Swap3M</vt:lpstr>
      <vt:lpstr>Swap6M</vt:lpstr>
      <vt:lpstr>ForwardSwap6M</vt:lpstr>
      <vt:lpstr>SwapsIMMDated</vt:lpstr>
      <vt:lpstr>ImmFra6M </vt:lpstr>
      <vt:lpstr>ON Basis Swap</vt:lpstr>
      <vt:lpstr>1M Basis Swap</vt:lpstr>
      <vt:lpstr>3M Basis Swap</vt:lpstr>
      <vt:lpstr>6M Basis Swap</vt:lpstr>
      <vt:lpstr>1Y Basis Swap</vt:lpstr>
      <vt:lpstr>Euribor 3M Time Series</vt:lpstr>
      <vt:lpstr>Euribor 6M Time Series</vt:lpstr>
      <vt:lpstr>EuriborSwapIsdaFixA1Y</vt:lpstr>
      <vt:lpstr>Accuracy</vt:lpstr>
      <vt:lpstr>AdditionalCF</vt:lpstr>
      <vt:lpstr>FirstLegAdmortization!AllTriggers</vt:lpstr>
      <vt:lpstr>FirstLegAnalysis!AllTriggers</vt:lpstr>
      <vt:lpstr>Pricing!AllTriggers</vt:lpstr>
      <vt:lpstr>SecondLegAdmortization!AllTriggers</vt:lpstr>
      <vt:lpstr>SecondLegAnalysis!AllTriggers</vt:lpstr>
      <vt:lpstr>Triggers!AllTriggers</vt:lpstr>
      <vt:lpstr>AllTriggers</vt:lpstr>
      <vt:lpstr>AreaTable</vt:lpstr>
      <vt:lpstr>B12Minterpolation</vt:lpstr>
      <vt:lpstr>B3Minterpolation</vt:lpstr>
      <vt:lpstr>B6Minterpolation</vt:lpstr>
      <vt:lpstr>'12MSynthDepo'!Calendar</vt:lpstr>
      <vt:lpstr>'1MSynthDepo'!Calendar</vt:lpstr>
      <vt:lpstr>'3MSynthDepo'!Calendar</vt:lpstr>
      <vt:lpstr>'6MSynthDepo'!Calendar</vt:lpstr>
      <vt:lpstr>Calculation!Calendar</vt:lpstr>
      <vt:lpstr>Contribution!Calendar</vt:lpstr>
      <vt:lpstr>Contribution_2!Calendar</vt:lpstr>
      <vt:lpstr>'Delta 12M'!Calendar</vt:lpstr>
      <vt:lpstr>'Delta 1M'!Calendar</vt:lpstr>
      <vt:lpstr>'Delta 3M'!Calendar</vt:lpstr>
      <vt:lpstr>'Delta 6M '!Calendar</vt:lpstr>
      <vt:lpstr>EUR1M!Calendar</vt:lpstr>
      <vt:lpstr>EUR1Y!Calendar</vt:lpstr>
      <vt:lpstr>EUR3M!Calendar</vt:lpstr>
      <vt:lpstr>EUR6M!Calendar</vt:lpstr>
      <vt:lpstr>EURON!Calendar</vt:lpstr>
      <vt:lpstr>EURSTD!Calendar</vt:lpstr>
      <vt:lpstr>'General Settings_2'!Calendar</vt:lpstr>
      <vt:lpstr>'General Settings_3'!Calendar</vt:lpstr>
      <vt:lpstr>GeneralSettings!Calendar</vt:lpstr>
      <vt:lpstr>GeneralSettings_4!Calendar</vt:lpstr>
      <vt:lpstr>RateHelpers!Calendar</vt:lpstr>
      <vt:lpstr>Calendar</vt:lpstr>
      <vt:lpstr>BasisSwap1MxM!Contributor</vt:lpstr>
      <vt:lpstr>BasisSwap3M6M!Contributor</vt:lpstr>
      <vt:lpstr>BasisSwapEON3M!Contributor</vt:lpstr>
      <vt:lpstr>BasisSwapxM12M!Contributor</vt:lpstr>
      <vt:lpstr>Deposits!Contributor</vt:lpstr>
      <vt:lpstr>ForwardSwap6M!Contributor</vt:lpstr>
      <vt:lpstr>FRA!Contributor</vt:lpstr>
      <vt:lpstr>FuturesHWConvAdj!Contributor</vt:lpstr>
      <vt:lpstr>'ImmFra6M '!Contributor</vt:lpstr>
      <vt:lpstr>Swap1M!Contributor</vt:lpstr>
      <vt:lpstr>Swap3M!Contributor</vt:lpstr>
      <vt:lpstr>Swap6M!Contributor</vt:lpstr>
      <vt:lpstr>Swaps1M_1Y!Contributor</vt:lpstr>
      <vt:lpstr>SwapsIMMDated!Contributor</vt:lpstr>
      <vt:lpstr>Contributor</vt:lpstr>
      <vt:lpstr>Contributors</vt:lpstr>
      <vt:lpstr>ContributorTable</vt:lpstr>
      <vt:lpstr>'Delta 1M'!Conventions</vt:lpstr>
      <vt:lpstr>'12MSynthDepo'!Currency</vt:lpstr>
      <vt:lpstr>'1MSynthDepo'!Currency</vt:lpstr>
      <vt:lpstr>'3MSynthDepo'!Currency</vt:lpstr>
      <vt:lpstr>'6MSynthDepo'!Currency</vt:lpstr>
      <vt:lpstr>Calculation!Currency</vt:lpstr>
      <vt:lpstr>Contribution!Currency</vt:lpstr>
      <vt:lpstr>Contribution_2!Currency</vt:lpstr>
      <vt:lpstr>'Delta 12M'!Currency</vt:lpstr>
      <vt:lpstr>'Delta 1M'!Currency</vt:lpstr>
      <vt:lpstr>'Delta 3M'!Currency</vt:lpstr>
      <vt:lpstr>'Delta 6M '!Currency</vt:lpstr>
      <vt:lpstr>EUR1M!Currency</vt:lpstr>
      <vt:lpstr>EUR1Y!Currency</vt:lpstr>
      <vt:lpstr>EUR3M!Currency</vt:lpstr>
      <vt:lpstr>EUR6M!Currency</vt:lpstr>
      <vt:lpstr>EURON!Currency</vt:lpstr>
      <vt:lpstr>EURSTD!Currency</vt:lpstr>
      <vt:lpstr>FirstLegAdmortization!Currency</vt:lpstr>
      <vt:lpstr>FirstLegAnalysis!Currency</vt:lpstr>
      <vt:lpstr>'General Settings_2'!Currency</vt:lpstr>
      <vt:lpstr>'General Settings_3'!Currency</vt:lpstr>
      <vt:lpstr>GeneralSettings!Currency</vt:lpstr>
      <vt:lpstr>GeneralSettings_4!Currency</vt:lpstr>
      <vt:lpstr>MainChecks!Currency</vt:lpstr>
      <vt:lpstr>Pricing!Currency</vt:lpstr>
      <vt:lpstr>RateHelpers!Currency</vt:lpstr>
      <vt:lpstr>SecondLegAdmortization!Currency</vt:lpstr>
      <vt:lpstr>SecondLegAnalysis!Currency</vt:lpstr>
      <vt:lpstr>Triggers!Currency</vt:lpstr>
      <vt:lpstr>Currency</vt:lpstr>
      <vt:lpstr>FirstLegAdmortization!Custom</vt:lpstr>
      <vt:lpstr>SecondLegAdmortization!Custom</vt:lpstr>
      <vt:lpstr>FirstLegAdmortization!Dates</vt:lpstr>
      <vt:lpstr>SecondLegAdmortization!Dates</vt:lpstr>
      <vt:lpstr>'12MSynthDepo'!DayCounter</vt:lpstr>
      <vt:lpstr>'1MSynthDepo'!DayCounter</vt:lpstr>
      <vt:lpstr>'3MSynthDepo'!DayCounter</vt:lpstr>
      <vt:lpstr>'6MSynthDepo'!DayCounter</vt:lpstr>
      <vt:lpstr>Contribution_2!DayCounter</vt:lpstr>
      <vt:lpstr>'Delta 12M'!DayCounter</vt:lpstr>
      <vt:lpstr>'Delta 1M'!DayCounter</vt:lpstr>
      <vt:lpstr>'Delta 3M'!DayCounter</vt:lpstr>
      <vt:lpstr>'Delta 6M '!DayCounter</vt:lpstr>
      <vt:lpstr>'General Settings_3'!DayCounter</vt:lpstr>
      <vt:lpstr>DayCounter</vt:lpstr>
      <vt:lpstr>Delta1M</vt:lpstr>
      <vt:lpstr>DiscountCurve</vt:lpstr>
      <vt:lpstr>EUR1M!Discounting</vt:lpstr>
      <vt:lpstr>EUR1Y!Discounting</vt:lpstr>
      <vt:lpstr>EUR3M!Discounting</vt:lpstr>
      <vt:lpstr>EUR6M!Discounting</vt:lpstr>
      <vt:lpstr>EURON!Discounting</vt:lpstr>
      <vt:lpstr>EURSTD!Discounting</vt:lpstr>
      <vt:lpstr>GeneralSettings!Discounting</vt:lpstr>
      <vt:lpstr>GeneralSettings_4!Discounting</vt:lpstr>
      <vt:lpstr>Discounting</vt:lpstr>
      <vt:lpstr>FirstLegAdmortization!Effective</vt:lpstr>
      <vt:lpstr>SecondLegAdmortization!Effective</vt:lpstr>
      <vt:lpstr>Effective</vt:lpstr>
      <vt:lpstr>'12MSynthDepo'!EvaluationDate</vt:lpstr>
      <vt:lpstr>'1MSynthDepo'!EvaluationDate</vt:lpstr>
      <vt:lpstr>'3MSynthDepo'!EvaluationDate</vt:lpstr>
      <vt:lpstr>'6MSynthDepo'!EvaluationDate</vt:lpstr>
      <vt:lpstr>Calculation!EvaluationDate</vt:lpstr>
      <vt:lpstr>Contribution!EvaluationDate</vt:lpstr>
      <vt:lpstr>Contribution_2!EvaluationDate</vt:lpstr>
      <vt:lpstr>'Delta 12M'!EvaluationDate</vt:lpstr>
      <vt:lpstr>'Delta 1M'!EvaluationDate</vt:lpstr>
      <vt:lpstr>'Delta 3M'!EvaluationDate</vt:lpstr>
      <vt:lpstr>'Delta 6M '!EvaluationDate</vt:lpstr>
      <vt:lpstr>EUR1M!Evaluationdate</vt:lpstr>
      <vt:lpstr>EUR1Y!Evaluationdate</vt:lpstr>
      <vt:lpstr>EUR3M!Evaluationdate</vt:lpstr>
      <vt:lpstr>EUR6M!Evaluationdate</vt:lpstr>
      <vt:lpstr>EURON!Evaluationdate</vt:lpstr>
      <vt:lpstr>EURSTD!Evaluationdate</vt:lpstr>
      <vt:lpstr>FirstLegAdmortization!EvaluationDate</vt:lpstr>
      <vt:lpstr>FirstLegAnalysis!EvaluationDate</vt:lpstr>
      <vt:lpstr>'General Settings_2'!EvaluationDate</vt:lpstr>
      <vt:lpstr>'General Settings_3'!EvaluationDate</vt:lpstr>
      <vt:lpstr>GeneralSettings!Evaluationdate</vt:lpstr>
      <vt:lpstr>GeneralSettings_4!Evaluationdate</vt:lpstr>
      <vt:lpstr>Pricing!EvaluationDate</vt:lpstr>
      <vt:lpstr>RateHelpers!EvaluationDate</vt:lpstr>
      <vt:lpstr>SecondLegAdmortization!EvaluationDate</vt:lpstr>
      <vt:lpstr>SecondLegAnalysis!EvaluationDate</vt:lpstr>
      <vt:lpstr>Triggers!EvaluationDate</vt:lpstr>
      <vt:lpstr>EvaluationDate</vt:lpstr>
      <vt:lpstr>EUR1M!FamilyName</vt:lpstr>
      <vt:lpstr>EUR1Y!FamilyName</vt:lpstr>
      <vt:lpstr>EUR3M!FamilyName</vt:lpstr>
      <vt:lpstr>EUR6M!FamilyName</vt:lpstr>
      <vt:lpstr>EURON!FamilyName</vt:lpstr>
      <vt:lpstr>EURSTD!FamilyName</vt:lpstr>
      <vt:lpstr>GeneralSettings!FamilyName</vt:lpstr>
      <vt:lpstr>GeneralSettings_4!FamilyName</vt:lpstr>
      <vt:lpstr>FamilyName</vt:lpstr>
      <vt:lpstr>FirstIndex</vt:lpstr>
      <vt:lpstr>FirstLegCF</vt:lpstr>
      <vt:lpstr>FirstLegAdmortization!FirstNominal</vt:lpstr>
      <vt:lpstr>SecondLegAdmortization!FirstNominal</vt:lpstr>
      <vt:lpstr>FixingType</vt:lpstr>
      <vt:lpstr>FirstLegAdmortization!French</vt:lpstr>
      <vt:lpstr>SecondLegAdmortization!French</vt:lpstr>
      <vt:lpstr>Futures3M!FuturesCodes</vt:lpstr>
      <vt:lpstr>'ImmFra6M '!FuturesCodes</vt:lpstr>
      <vt:lpstr>Futures3M!FuturesDates</vt:lpstr>
      <vt:lpstr>'ImmFra6M '!FuturesDates</vt:lpstr>
      <vt:lpstr>FuturesDates</vt:lpstr>
      <vt:lpstr>FuturesTable</vt:lpstr>
      <vt:lpstr>FwdInterpolation</vt:lpstr>
      <vt:lpstr>GENERAL_SETTINGS</vt:lpstr>
      <vt:lpstr>Futures3M!IborIndex</vt:lpstr>
      <vt:lpstr>iborindex1M</vt:lpstr>
      <vt:lpstr>IborTenor1M</vt:lpstr>
      <vt:lpstr>'12MSynthDepo'!IborType</vt:lpstr>
      <vt:lpstr>'1MSynthDepo'!IborType</vt:lpstr>
      <vt:lpstr>'3MSynthDepo'!IborType</vt:lpstr>
      <vt:lpstr>'6MSynthDepo'!IborType</vt:lpstr>
      <vt:lpstr>Contribution_2!IborType</vt:lpstr>
      <vt:lpstr>'Delta 12M'!IborType</vt:lpstr>
      <vt:lpstr>'Delta 1M'!IborType</vt:lpstr>
      <vt:lpstr>'Delta 3M'!IborType</vt:lpstr>
      <vt:lpstr>'Delta 6M '!IborType</vt:lpstr>
      <vt:lpstr>'General Settings_3'!IborType</vt:lpstr>
      <vt:lpstr>IborType</vt:lpstr>
      <vt:lpstr>IMMFutures</vt:lpstr>
      <vt:lpstr>EUR1M!IncludeFlag</vt:lpstr>
      <vt:lpstr>EUR1Y!IncludeFlag</vt:lpstr>
      <vt:lpstr>EUR3M!IncludeFlag</vt:lpstr>
      <vt:lpstr>EUR6M!IncludeFlag</vt:lpstr>
      <vt:lpstr>EURON!IncludeFlag</vt:lpstr>
      <vt:lpstr>EURSTD!IncludeFlag</vt:lpstr>
      <vt:lpstr>IncludeSettlementDate</vt:lpstr>
      <vt:lpstr>Index</vt:lpstr>
      <vt:lpstr>IndexCalendar</vt:lpstr>
      <vt:lpstr>BasisSwap1MxM!Instruments</vt:lpstr>
      <vt:lpstr>BasisSwap3M6M!Instruments</vt:lpstr>
      <vt:lpstr>BasisSwapEON3M!Instruments</vt:lpstr>
      <vt:lpstr>BasisSwapxM12M!Instruments</vt:lpstr>
      <vt:lpstr>ForwardSwap6M!Instruments</vt:lpstr>
      <vt:lpstr>FRA!Instruments</vt:lpstr>
      <vt:lpstr>'IMM OIS'!Instruments</vt:lpstr>
      <vt:lpstr>Swap1M!Instruments</vt:lpstr>
      <vt:lpstr>Swap3M!Instruments</vt:lpstr>
      <vt:lpstr>Swap6M!Instruments</vt:lpstr>
      <vt:lpstr>Swaps1M_1Y!Instruments</vt:lpstr>
      <vt:lpstr>SwapsIMMDated!Instruments</vt:lpstr>
      <vt:lpstr>Instruments</vt:lpstr>
      <vt:lpstr>Instruments14F</vt:lpstr>
      <vt:lpstr>Instruments8F</vt:lpstr>
      <vt:lpstr>Instruments9F</vt:lpstr>
      <vt:lpstr>'12MSynthDepo'!InterestRatesTrigger</vt:lpstr>
      <vt:lpstr>'1MSynthDepo'!InterestRatesTrigger</vt:lpstr>
      <vt:lpstr>'3MSynthDepo'!InterestRatesTrigger</vt:lpstr>
      <vt:lpstr>'6MSynthDepo'!InterestRatesTrigger</vt:lpstr>
      <vt:lpstr>Contribution_2!InterestRatesTrigger</vt:lpstr>
      <vt:lpstr>'Delta 12M'!InterestRatesTrigger</vt:lpstr>
      <vt:lpstr>'Delta 1M'!InterestRatesTrigger</vt:lpstr>
      <vt:lpstr>'Delta 3M'!InterestRatesTrigger</vt:lpstr>
      <vt:lpstr>'Delta 6M '!InterestRatesTrigger</vt:lpstr>
      <vt:lpstr>'General Settings_3'!InterestRatesTrigger</vt:lpstr>
      <vt:lpstr>Triggers!InterestRatesTrigger</vt:lpstr>
      <vt:lpstr>InterestRatesTrigger</vt:lpstr>
      <vt:lpstr>interpolatedbasis3M</vt:lpstr>
      <vt:lpstr>'Delta 12M'!interpolatedbasis6M</vt:lpstr>
      <vt:lpstr>interpolatedbasis6M</vt:lpstr>
      <vt:lpstr>interpolator12M</vt:lpstr>
      <vt:lpstr>'1MSynthDepo'!interpolator1M</vt:lpstr>
      <vt:lpstr>interpolator3M</vt:lpstr>
      <vt:lpstr>interpolator6M</vt:lpstr>
      <vt:lpstr>InterpolatorID</vt:lpstr>
      <vt:lpstr>JumpDate1</vt:lpstr>
      <vt:lpstr>JumpDate10</vt:lpstr>
      <vt:lpstr>JumpDate11</vt:lpstr>
      <vt:lpstr>JumpDate12</vt:lpstr>
      <vt:lpstr>JumpDate13</vt:lpstr>
      <vt:lpstr>JumpDate2</vt:lpstr>
      <vt:lpstr>JumpDate3</vt:lpstr>
      <vt:lpstr>JumpDate4</vt:lpstr>
      <vt:lpstr>JumpDate5</vt:lpstr>
      <vt:lpstr>JumpDate6</vt:lpstr>
      <vt:lpstr>JumpDate7</vt:lpstr>
      <vt:lpstr>JumpDate8</vt:lpstr>
      <vt:lpstr>JumpDate9</vt:lpstr>
      <vt:lpstr>JumpDates</vt:lpstr>
      <vt:lpstr>JumpDates_1M</vt:lpstr>
      <vt:lpstr>JumpDates_3M</vt:lpstr>
      <vt:lpstr>JumpDates_6M</vt:lpstr>
      <vt:lpstr>JumpDates_ON</vt:lpstr>
      <vt:lpstr>Jumpoverwrite1</vt:lpstr>
      <vt:lpstr>Jumpoverwrite10</vt:lpstr>
      <vt:lpstr>Jumpoverwrite11</vt:lpstr>
      <vt:lpstr>Jumpoverwrite12</vt:lpstr>
      <vt:lpstr>jumpoverwrite13</vt:lpstr>
      <vt:lpstr>Jumpoverwrite2</vt:lpstr>
      <vt:lpstr>Jumpoverwrite3</vt:lpstr>
      <vt:lpstr>Jumpoverwrite4</vt:lpstr>
      <vt:lpstr>Jumpoverwrite5</vt:lpstr>
      <vt:lpstr>Jumpoverwrite6</vt:lpstr>
      <vt:lpstr>Jumpoverwrite7</vt:lpstr>
      <vt:lpstr>Jumpoverwrite8</vt:lpstr>
      <vt:lpstr>Jumpoverwrite9</vt:lpstr>
      <vt:lpstr>JumpQuotes</vt:lpstr>
      <vt:lpstr>JumpQuotes_1M</vt:lpstr>
      <vt:lpstr>JumpQuotes_3M</vt:lpstr>
      <vt:lpstr>JumpQuotes_6M</vt:lpstr>
      <vt:lpstr>JumpQuotes_ON</vt:lpstr>
      <vt:lpstr>JumpSize1</vt:lpstr>
      <vt:lpstr>JumpSize10</vt:lpstr>
      <vt:lpstr>JumpSize11</vt:lpstr>
      <vt:lpstr>JumpSize12</vt:lpstr>
      <vt:lpstr>JumpSize13</vt:lpstr>
      <vt:lpstr>JumpSize2</vt:lpstr>
      <vt:lpstr>JumpSize3</vt:lpstr>
      <vt:lpstr>JumpSize4</vt:lpstr>
      <vt:lpstr>JumpSize5</vt:lpstr>
      <vt:lpstr>JumpSize6</vt:lpstr>
      <vt:lpstr>JumpSize7</vt:lpstr>
      <vt:lpstr>JumpSize8</vt:lpstr>
      <vt:lpstr>JumpSize9</vt:lpstr>
      <vt:lpstr>JumpSuffix</vt:lpstr>
      <vt:lpstr>JumpValue1</vt:lpstr>
      <vt:lpstr>JumpValue10</vt:lpstr>
      <vt:lpstr>JumpValue11</vt:lpstr>
      <vt:lpstr>JumpValue12</vt:lpstr>
      <vt:lpstr>JumpValue13</vt:lpstr>
      <vt:lpstr>JumpValue2</vt:lpstr>
      <vt:lpstr>JumpValue3</vt:lpstr>
      <vt:lpstr>JumpValue4</vt:lpstr>
      <vt:lpstr>JumpValue5</vt:lpstr>
      <vt:lpstr>JumpValue6</vt:lpstr>
      <vt:lpstr>JumpValue7</vt:lpstr>
      <vt:lpstr>JumpValue8</vt:lpstr>
      <vt:lpstr>JumpValue9</vt:lpstr>
      <vt:lpstr>'12MSynthDepo'!LastFixingsTrigger</vt:lpstr>
      <vt:lpstr>'1MSynthDepo'!LastFixingsTrigger</vt:lpstr>
      <vt:lpstr>'3MSynthDepo'!LastFixingsTrigger</vt:lpstr>
      <vt:lpstr>'6MSynthDepo'!LastFixingsTrigger</vt:lpstr>
      <vt:lpstr>Contribution_2!LastFixingsTrigger</vt:lpstr>
      <vt:lpstr>'Delta 12M'!LastFixingsTrigger</vt:lpstr>
      <vt:lpstr>'Delta 1M'!LastFixingsTrigger</vt:lpstr>
      <vt:lpstr>'Delta 3M'!LastFixingsTrigger</vt:lpstr>
      <vt:lpstr>'Delta 6M '!LastFixingsTrigger</vt:lpstr>
      <vt:lpstr>'General Settings_3'!LastFixingsTrigger</vt:lpstr>
      <vt:lpstr>LastFixingsTrigger</vt:lpstr>
      <vt:lpstr>'General Settings_2'!LastUpdate</vt:lpstr>
      <vt:lpstr>'General Settings_3'!LastUpdate</vt:lpstr>
      <vt:lpstr>LastUpdate</vt:lpstr>
      <vt:lpstr>'General Settings_2'!LiveDataFeed</vt:lpstr>
      <vt:lpstr>'General Settings_3'!LiveDataFeed</vt:lpstr>
      <vt:lpstr>LiveDataFeed</vt:lpstr>
      <vt:lpstr>Futures3M!MeanReversion</vt:lpstr>
      <vt:lpstr>EUR1M!MinDistance</vt:lpstr>
      <vt:lpstr>EUR1Y!MinDistance</vt:lpstr>
      <vt:lpstr>EUR3M!MinDistance</vt:lpstr>
      <vt:lpstr>EUR6M!MinDistance</vt:lpstr>
      <vt:lpstr>EURON!MinDistance</vt:lpstr>
      <vt:lpstr>EURSTD!MinDistance</vt:lpstr>
      <vt:lpstr>MinDistance</vt:lpstr>
      <vt:lpstr>Contribution_2!Months12M</vt:lpstr>
      <vt:lpstr>Contribution_2!Months1M</vt:lpstr>
      <vt:lpstr>Contribution_2!Months3M</vt:lpstr>
      <vt:lpstr>Contribution_2!Months6M</vt:lpstr>
      <vt:lpstr>NDays</vt:lpstr>
      <vt:lpstr>FirstLegAdmortization!None</vt:lpstr>
      <vt:lpstr>SecondLegAdmortization!None</vt:lpstr>
      <vt:lpstr>NPV</vt:lpstr>
      <vt:lpstr>NPVDate</vt:lpstr>
      <vt:lpstr>'12MSynthDepo'!ObjectOverwrite</vt:lpstr>
      <vt:lpstr>'1MSynthDepo'!ObjectOverwrite</vt:lpstr>
      <vt:lpstr>'3MSynthDepo'!ObjectOverwrite</vt:lpstr>
      <vt:lpstr>'6MSynthDepo'!ObjectOverwrite</vt:lpstr>
      <vt:lpstr>Contribution_2!ObjectOverwrite</vt:lpstr>
      <vt:lpstr>'Delta 12M'!ObjectOverwrite</vt:lpstr>
      <vt:lpstr>'Delta 1M'!ObjectOverwrite</vt:lpstr>
      <vt:lpstr>'Delta 3M'!ObjectOverwrite</vt:lpstr>
      <vt:lpstr>'Delta 6M '!ObjectOverwrite</vt:lpstr>
      <vt:lpstr>EUR1M!ObjectOverwrite</vt:lpstr>
      <vt:lpstr>EUR1Y!ObjectOverwrite</vt:lpstr>
      <vt:lpstr>EUR3M!ObjectOverwrite</vt:lpstr>
      <vt:lpstr>EUR6M!ObjectOverwrite</vt:lpstr>
      <vt:lpstr>EURON!ObjectOverwrite</vt:lpstr>
      <vt:lpstr>EURSTD!ObjectOverwrite</vt:lpstr>
      <vt:lpstr>'General Settings_3'!ObjectOverwrite</vt:lpstr>
      <vt:lpstr>GeneralSettings!ObjectOverwrite</vt:lpstr>
      <vt:lpstr>GeneralSettings_4!ObjectOverwrite</vt:lpstr>
      <vt:lpstr>ObjectOverwrite</vt:lpstr>
      <vt:lpstr>OisCurve</vt:lpstr>
      <vt:lpstr>'General Settings_3'!OvernightIndex</vt:lpstr>
      <vt:lpstr>OvernightIndex</vt:lpstr>
      <vt:lpstr>FirstLegAdmortization!Payments</vt:lpstr>
      <vt:lpstr>SecondLegAdmortization!Payments</vt:lpstr>
      <vt:lpstr>'12MSynthDepo'!Permanent</vt:lpstr>
      <vt:lpstr>'1MSynthDepo'!Permanent</vt:lpstr>
      <vt:lpstr>'3MSynthDepo'!Permanent</vt:lpstr>
      <vt:lpstr>'6MSynthDepo'!Permanent</vt:lpstr>
      <vt:lpstr>Contribution_2!Permanent</vt:lpstr>
      <vt:lpstr>'Delta 12M'!Permanent</vt:lpstr>
      <vt:lpstr>'Delta 1M'!Permanent</vt:lpstr>
      <vt:lpstr>'Delta 3M'!Permanent</vt:lpstr>
      <vt:lpstr>'Delta 6M '!Permanent</vt:lpstr>
      <vt:lpstr>EUR1M!Permanent</vt:lpstr>
      <vt:lpstr>EUR1Y!Permanent</vt:lpstr>
      <vt:lpstr>EUR3M!Permanent</vt:lpstr>
      <vt:lpstr>EUR6M!Permanent</vt:lpstr>
      <vt:lpstr>EURON!Permanent</vt:lpstr>
      <vt:lpstr>EURSTD!Permanent</vt:lpstr>
      <vt:lpstr>'General Settings_3'!Permanent</vt:lpstr>
      <vt:lpstr>GeneralSettings!Permanent</vt:lpstr>
      <vt:lpstr>GeneralSettings_4!Permanent</vt:lpstr>
      <vt:lpstr>Permanent</vt:lpstr>
      <vt:lpstr>EURSTD!PillarDate</vt:lpstr>
      <vt:lpstr>GeneralSettings_4!PillarDate</vt:lpstr>
      <vt:lpstr>PillarDate</vt:lpstr>
      <vt:lpstr>'General Settings_3'!PriceTickValue</vt:lpstr>
      <vt:lpstr>PriceTickValue</vt:lpstr>
      <vt:lpstr>Calculation!Print_Area</vt:lpstr>
      <vt:lpstr>EUR1M!Priority</vt:lpstr>
      <vt:lpstr>EUR1Y!Priority</vt:lpstr>
      <vt:lpstr>EUR3M!Priority</vt:lpstr>
      <vt:lpstr>EUR6M!Priority</vt:lpstr>
      <vt:lpstr>EURON!Priority</vt:lpstr>
      <vt:lpstr>EURSTD!Priority</vt:lpstr>
      <vt:lpstr>BasisSwap1MxM!Quote</vt:lpstr>
      <vt:lpstr>BasisSwap3M6M!Quote</vt:lpstr>
      <vt:lpstr>BasisSwapEON3M!Quote</vt:lpstr>
      <vt:lpstr>BasisSwapxM12M!Quote</vt:lpstr>
      <vt:lpstr>Contribution!Quote</vt:lpstr>
      <vt:lpstr>Contribution_2!Quote</vt:lpstr>
      <vt:lpstr>Deposits!Quote</vt:lpstr>
      <vt:lpstr>'ECB OIS'!Quote</vt:lpstr>
      <vt:lpstr>ForwardSwap6M!Quote</vt:lpstr>
      <vt:lpstr>FRA!Quote</vt:lpstr>
      <vt:lpstr>Futures3M!Quote</vt:lpstr>
      <vt:lpstr>FuturesHWConvAdj!Quote</vt:lpstr>
      <vt:lpstr>'IMM OIS'!Quote</vt:lpstr>
      <vt:lpstr>'ImmFra6M '!Quote</vt:lpstr>
      <vt:lpstr>OIS!Quote</vt:lpstr>
      <vt:lpstr>Swap1M!Quote</vt:lpstr>
      <vt:lpstr>Swap3M!Quote</vt:lpstr>
      <vt:lpstr>Swap6M!Quote</vt:lpstr>
      <vt:lpstr>Swaps1M_1Y!Quote</vt:lpstr>
      <vt:lpstr>SwapsIMMDated!Quote</vt:lpstr>
      <vt:lpstr>BasisSwap1MxM!QuoteLive</vt:lpstr>
      <vt:lpstr>BasisSwap3M6M!QuoteLive</vt:lpstr>
      <vt:lpstr>BasisSwapEON3M!QuoteLive</vt:lpstr>
      <vt:lpstr>BasisSwapxM12M!QuoteLive</vt:lpstr>
      <vt:lpstr>Contribution!QuoteLive</vt:lpstr>
      <vt:lpstr>Contribution_2!QuoteLive</vt:lpstr>
      <vt:lpstr>Deposits!QuoteLive</vt:lpstr>
      <vt:lpstr>'ECB OIS'!QuoteLive</vt:lpstr>
      <vt:lpstr>ForwardSwap6M!QuoteLive</vt:lpstr>
      <vt:lpstr>FRA!QuoteLive</vt:lpstr>
      <vt:lpstr>Futures3M!QuoteLive</vt:lpstr>
      <vt:lpstr>FuturesHWConvAdj!QuoteLive</vt:lpstr>
      <vt:lpstr>'IMM OIS'!QuoteLive</vt:lpstr>
      <vt:lpstr>'ImmFra6M '!QuoteLive</vt:lpstr>
      <vt:lpstr>OIS!QuoteLive</vt:lpstr>
      <vt:lpstr>Swap1M!QuoteLive</vt:lpstr>
      <vt:lpstr>Swap3M!QuoteLive</vt:lpstr>
      <vt:lpstr>Swap6M!QuoteLive</vt:lpstr>
      <vt:lpstr>Swaps1M_1Y!QuoteLive</vt:lpstr>
      <vt:lpstr>SwapsIMMDated!QuoteLive</vt:lpstr>
      <vt:lpstr>BasisSwap1MxM!QuoteStatic</vt:lpstr>
      <vt:lpstr>BasisSwap3M6M!QuoteStatic</vt:lpstr>
      <vt:lpstr>BasisSwapEON3M!QuoteStatic</vt:lpstr>
      <vt:lpstr>BasisSwapxM12M!QuoteStatic</vt:lpstr>
      <vt:lpstr>Contribution!QuoteStatic</vt:lpstr>
      <vt:lpstr>Contribution_2!QuoteStatic</vt:lpstr>
      <vt:lpstr>Deposits!QuoteStatic</vt:lpstr>
      <vt:lpstr>'ECB OIS'!QuoteStatic</vt:lpstr>
      <vt:lpstr>ForwardSwap6M!QuoteStatic</vt:lpstr>
      <vt:lpstr>FRA!QuoteStatic</vt:lpstr>
      <vt:lpstr>Futures3M!QuoteStatic</vt:lpstr>
      <vt:lpstr>FuturesHWConvAdj!QuoteStatic</vt:lpstr>
      <vt:lpstr>'IMM OIS'!QuoteStatic</vt:lpstr>
      <vt:lpstr>'ImmFra6M '!QuoteStatic</vt:lpstr>
      <vt:lpstr>OIS!QuoteStatic</vt:lpstr>
      <vt:lpstr>Swap1M!QuoteStatic</vt:lpstr>
      <vt:lpstr>Swap3M!QuoteStatic</vt:lpstr>
      <vt:lpstr>Swap6M!QuoteStatic</vt:lpstr>
      <vt:lpstr>Swaps1M_1Y!QuoteStatic</vt:lpstr>
      <vt:lpstr>SwapsIMMDated!QuoteStatic</vt:lpstr>
      <vt:lpstr>'12MSynthDepo'!QuoteSuffix</vt:lpstr>
      <vt:lpstr>'1MSynthDepo'!QuoteSuffix</vt:lpstr>
      <vt:lpstr>'3MSynthDepo'!QuoteSuffix</vt:lpstr>
      <vt:lpstr>'6MSynthDepo'!QuoteSuffix</vt:lpstr>
      <vt:lpstr>Calculation!QuoteSuffix</vt:lpstr>
      <vt:lpstr>Contribution!QuoteSuffix</vt:lpstr>
      <vt:lpstr>Contribution_2!QuoteSuffix</vt:lpstr>
      <vt:lpstr>'Delta 12M'!QuoteSuffix</vt:lpstr>
      <vt:lpstr>'Delta 1M'!QuoteSuffix</vt:lpstr>
      <vt:lpstr>'Delta 3M'!QuoteSuffix</vt:lpstr>
      <vt:lpstr>'Delta 6M '!QuoteSuffix</vt:lpstr>
      <vt:lpstr>EUR1M!QuoteSuffix</vt:lpstr>
      <vt:lpstr>EUR1Y!QuoteSuffix</vt:lpstr>
      <vt:lpstr>EUR3M!QuoteSuffix</vt:lpstr>
      <vt:lpstr>EUR6M!QuoteSuffix</vt:lpstr>
      <vt:lpstr>EURON!QuoteSuffix</vt:lpstr>
      <vt:lpstr>EURSTD!QuoteSuffix</vt:lpstr>
      <vt:lpstr>'General Settings_2'!QuoteSuffix</vt:lpstr>
      <vt:lpstr>'General Settings_3'!QuoteSuffix</vt:lpstr>
      <vt:lpstr>GeneralSettings!QuoteSuffix</vt:lpstr>
      <vt:lpstr>GeneralSettings_4!QuoteSuffix</vt:lpstr>
      <vt:lpstr>RateHelpers!QuoteSuffix</vt:lpstr>
      <vt:lpstr>QuoteSuffix</vt:lpstr>
      <vt:lpstr>FirstLegAdmortization!Rate</vt:lpstr>
      <vt:lpstr>SecondLegAdmortization!Rate</vt:lpstr>
      <vt:lpstr>EUR1M!RateHelpers</vt:lpstr>
      <vt:lpstr>EUR1Y!RateHelpers</vt:lpstr>
      <vt:lpstr>EUR3M!RateHelpers</vt:lpstr>
      <vt:lpstr>EUR6M!RateHelpers</vt:lpstr>
      <vt:lpstr>EURON!RateHelpers</vt:lpstr>
      <vt:lpstr>EURSTD!RateHelpers</vt:lpstr>
      <vt:lpstr>RateHelpers</vt:lpstr>
      <vt:lpstr>RateHelpers1M</vt:lpstr>
      <vt:lpstr>RateHelpers1Y</vt:lpstr>
      <vt:lpstr>RateHelpers3M</vt:lpstr>
      <vt:lpstr>RateHelpers6M</vt:lpstr>
      <vt:lpstr>RateHelpersIncluded</vt:lpstr>
      <vt:lpstr>RateHelpersON</vt:lpstr>
      <vt:lpstr>RateHelpersPriority</vt:lpstr>
      <vt:lpstr>RateHelpersSTD</vt:lpstr>
      <vt:lpstr>'12MSynthDepo'!RateTickValue</vt:lpstr>
      <vt:lpstr>'1MSynthDepo'!RateTickValue</vt:lpstr>
      <vt:lpstr>'3MSynthDepo'!RateTickValue</vt:lpstr>
      <vt:lpstr>'6MSynthDepo'!RateTickValue</vt:lpstr>
      <vt:lpstr>Contribution_2!RateTickValue</vt:lpstr>
      <vt:lpstr>'Delta 12M'!RateTickValue</vt:lpstr>
      <vt:lpstr>'Delta 1M'!RateTickValue</vt:lpstr>
      <vt:lpstr>'Delta 3M'!RateTickValue</vt:lpstr>
      <vt:lpstr>'Delta 6M '!RateTickValue</vt:lpstr>
      <vt:lpstr>'General Settings_3'!RateTickValue</vt:lpstr>
      <vt:lpstr>RateTickValue</vt:lpstr>
      <vt:lpstr>ReutersRtMode</vt:lpstr>
      <vt:lpstr>FirstLegAdmortization!Schedule</vt:lpstr>
      <vt:lpstr>SecondLegAdmortization!Schedule</vt:lpstr>
      <vt:lpstr>SecondLegCF</vt:lpstr>
      <vt:lpstr>'12MSynthDepo'!SettlementDate</vt:lpstr>
      <vt:lpstr>'1MSynthDepo'!SettlementDate</vt:lpstr>
      <vt:lpstr>'3MSynthDepo'!SettlementDate</vt:lpstr>
      <vt:lpstr>'6MSynthDepo'!SettlementDate</vt:lpstr>
      <vt:lpstr>Contribution_2!SettlementDate</vt:lpstr>
      <vt:lpstr>'Delta 12M'!SettlementDate</vt:lpstr>
      <vt:lpstr>'Delta 1M'!SettlementDate</vt:lpstr>
      <vt:lpstr>'Delta 3M'!SettlementDate</vt:lpstr>
      <vt:lpstr>'Delta 6M '!SettlementDate</vt:lpstr>
      <vt:lpstr>EUR1M!Settlementdate</vt:lpstr>
      <vt:lpstr>EUR1Y!Settlementdate</vt:lpstr>
      <vt:lpstr>EUR3M!Settlementdate</vt:lpstr>
      <vt:lpstr>EUR6M!Settlementdate</vt:lpstr>
      <vt:lpstr>EURON!Settlementdate</vt:lpstr>
      <vt:lpstr>FirstLegAdmortization!SettlementDate</vt:lpstr>
      <vt:lpstr>FirstLegAnalysis!SettlementDate</vt:lpstr>
      <vt:lpstr>'General Settings_3'!SettlementDate</vt:lpstr>
      <vt:lpstr>GeneralSettings!Settlementdate</vt:lpstr>
      <vt:lpstr>GeneralSettings_4!Settlementdate</vt:lpstr>
      <vt:lpstr>Pricing!SettlementDate</vt:lpstr>
      <vt:lpstr>SecondLegAdmortization!SettlementDate</vt:lpstr>
      <vt:lpstr>SecondLegAnalysis!SettlementDate</vt:lpstr>
      <vt:lpstr>Triggers!SettlementDate</vt:lpstr>
      <vt:lpstr>SettlementDate</vt:lpstr>
      <vt:lpstr>FirstLegAdmortization!Step</vt:lpstr>
      <vt:lpstr>SecondLegAdmortization!Step</vt:lpstr>
      <vt:lpstr>FirstLegAdmortization!StepDecrement</vt:lpstr>
      <vt:lpstr>SecondLegAdmortization!StepDecrement</vt:lpstr>
      <vt:lpstr>Swap1M!Swap3M4Y</vt:lpstr>
      <vt:lpstr>Swap3M!Swap3M4Y</vt:lpstr>
      <vt:lpstr>ForwardSwap6M!Swap6M4Y</vt:lpstr>
      <vt:lpstr>Swap6M4Y</vt:lpstr>
      <vt:lpstr>SwapID</vt:lpstr>
      <vt:lpstr>EUR1M!Tenor</vt:lpstr>
      <vt:lpstr>EUR1Y!Tenor</vt:lpstr>
      <vt:lpstr>EUR3M!Tenor</vt:lpstr>
      <vt:lpstr>EUR6M!Tenor</vt:lpstr>
      <vt:lpstr>Contribution_2!Tenor12M</vt:lpstr>
      <vt:lpstr>Contribution_2!Tenor1M</vt:lpstr>
      <vt:lpstr>Contribution_2!Tenor3M</vt:lpstr>
      <vt:lpstr>Contribution_2!Tenor6M</vt:lpstr>
      <vt:lpstr>TenYearsBondFutures</vt:lpstr>
      <vt:lpstr>TraitsID</vt:lpstr>
      <vt:lpstr>'12MSynthDepo'!Trigger</vt:lpstr>
      <vt:lpstr>'1M Basis Swap'!Trigger</vt:lpstr>
      <vt:lpstr>'1MSynthDepo'!Trigger</vt:lpstr>
      <vt:lpstr>'1Y Basis Swap'!Trigger</vt:lpstr>
      <vt:lpstr>'3M Basis Swap'!Trigger</vt:lpstr>
      <vt:lpstr>'3MSynthDepo'!Trigger</vt:lpstr>
      <vt:lpstr>'6M Basis Swap'!Trigger</vt:lpstr>
      <vt:lpstr>'6MSynthDepo'!Trigger</vt:lpstr>
      <vt:lpstr>BasisSwap1MxM!Trigger</vt:lpstr>
      <vt:lpstr>BasisSwap3M6M!Trigger</vt:lpstr>
      <vt:lpstr>BasisSwapEON3M!Trigger</vt:lpstr>
      <vt:lpstr>BasisSwapxM12M!Trigger</vt:lpstr>
      <vt:lpstr>Calculation!Trigger</vt:lpstr>
      <vt:lpstr>Contribution!Trigger</vt:lpstr>
      <vt:lpstr>Contribution_2!Trigger</vt:lpstr>
      <vt:lpstr>'Delta 12M'!Trigger</vt:lpstr>
      <vt:lpstr>'Delta 1M'!Trigger</vt:lpstr>
      <vt:lpstr>'Delta 3M'!Trigger</vt:lpstr>
      <vt:lpstr>'Delta 6M '!Trigger</vt:lpstr>
      <vt:lpstr>Deposits!Trigger</vt:lpstr>
      <vt:lpstr>'ECB OIS'!Trigger</vt:lpstr>
      <vt:lpstr>EUR1M!Trigger</vt:lpstr>
      <vt:lpstr>EUR1Y!Trigger</vt:lpstr>
      <vt:lpstr>EUR3M!Trigger</vt:lpstr>
      <vt:lpstr>EUR6M!Trigger</vt:lpstr>
      <vt:lpstr>Euribor!Trigger</vt:lpstr>
      <vt:lpstr>'Euribor 3M Time Series'!Trigger</vt:lpstr>
      <vt:lpstr>'Euribor 6M Time Series'!Trigger</vt:lpstr>
      <vt:lpstr>EuriborSwapIsdaFixA!Trigger</vt:lpstr>
      <vt:lpstr>EuriborSwapIsdaFixA1Y!Trigger</vt:lpstr>
      <vt:lpstr>EURON!Trigger</vt:lpstr>
      <vt:lpstr>EURSTD!Trigger</vt:lpstr>
      <vt:lpstr>FirstLegAdmortization!Trigger</vt:lpstr>
      <vt:lpstr>FirstLegAnalysis!Trigger</vt:lpstr>
      <vt:lpstr>ForwardSwap6M!Trigger</vt:lpstr>
      <vt:lpstr>FRA!Trigger</vt:lpstr>
      <vt:lpstr>Futures3M!Trigger</vt:lpstr>
      <vt:lpstr>FuturesHWConvAdj!Trigger</vt:lpstr>
      <vt:lpstr>'General Settings'!Trigger</vt:lpstr>
      <vt:lpstr>'General Settings_2'!Trigger</vt:lpstr>
      <vt:lpstr>'General Settings_3'!Trigger</vt:lpstr>
      <vt:lpstr>GeneralSettings!Trigger</vt:lpstr>
      <vt:lpstr>GeneralSettings_4!Trigger</vt:lpstr>
      <vt:lpstr>'IMM OIS'!Trigger</vt:lpstr>
      <vt:lpstr>'ImmFra6M '!Trigger</vt:lpstr>
      <vt:lpstr>MainChecks!Trigger</vt:lpstr>
      <vt:lpstr>OIS!Trigger</vt:lpstr>
      <vt:lpstr>'ON Basis Swap'!Trigger</vt:lpstr>
      <vt:lpstr>Pricing!Trigger</vt:lpstr>
      <vt:lpstr>RateHelpers!Trigger</vt:lpstr>
      <vt:lpstr>SecondLegAdmortization!Trigger</vt:lpstr>
      <vt:lpstr>SecondLegAnalysis!Trigger</vt:lpstr>
      <vt:lpstr>Swap1M!Trigger</vt:lpstr>
      <vt:lpstr>Swap3M!Trigger</vt:lpstr>
      <vt:lpstr>Swap6M!Trigger</vt:lpstr>
      <vt:lpstr>Swaps1M_1Y!Trigger</vt:lpstr>
      <vt:lpstr>SwapsIMMDated!Trigger</vt:lpstr>
      <vt:lpstr>Triggers!Trigger</vt:lpstr>
      <vt:lpstr>Trigger</vt:lpstr>
      <vt:lpstr>'12MSynthDepo'!Trigger2</vt:lpstr>
      <vt:lpstr>'1M Basis Swap'!Trigger2</vt:lpstr>
      <vt:lpstr>'1MSynthDepo'!Trigger2</vt:lpstr>
      <vt:lpstr>'1Y Basis Swap'!Trigger2</vt:lpstr>
      <vt:lpstr>'3M Basis Swap'!Trigger2</vt:lpstr>
      <vt:lpstr>'3MSynthDepo'!Trigger2</vt:lpstr>
      <vt:lpstr>'6M Basis Swap'!Trigger2</vt:lpstr>
      <vt:lpstr>'6MSynthDepo'!Trigger2</vt:lpstr>
      <vt:lpstr>BasisSwap1MxM!Trigger2</vt:lpstr>
      <vt:lpstr>BasisSwap3M6M!Trigger2</vt:lpstr>
      <vt:lpstr>BasisSwapEON3M!Trigger2</vt:lpstr>
      <vt:lpstr>BasisSwapxM12M!Trigger2</vt:lpstr>
      <vt:lpstr>Calculation!Trigger2</vt:lpstr>
      <vt:lpstr>Contribution!Trigger2</vt:lpstr>
      <vt:lpstr>Contribution_2!Trigger2</vt:lpstr>
      <vt:lpstr>'Delta 12M'!Trigger2</vt:lpstr>
      <vt:lpstr>'Delta 1M'!Trigger2</vt:lpstr>
      <vt:lpstr>'Delta 3M'!Trigger2</vt:lpstr>
      <vt:lpstr>'Delta 6M '!Trigger2</vt:lpstr>
      <vt:lpstr>Deposits!Trigger2</vt:lpstr>
      <vt:lpstr>'ECB OIS'!Trigger2</vt:lpstr>
      <vt:lpstr>EUR1M!Trigger2</vt:lpstr>
      <vt:lpstr>EUR1Y!Trigger2</vt:lpstr>
      <vt:lpstr>EUR3M!Trigger2</vt:lpstr>
      <vt:lpstr>EUR6M!Trigger2</vt:lpstr>
      <vt:lpstr>Euribor!Trigger2</vt:lpstr>
      <vt:lpstr>'Euribor 3M Time Series'!Trigger2</vt:lpstr>
      <vt:lpstr>'Euribor 6M Time Series'!Trigger2</vt:lpstr>
      <vt:lpstr>EuriborSwapIsdaFixA!Trigger2</vt:lpstr>
      <vt:lpstr>EuriborSwapIsdaFixA1Y!Trigger2</vt:lpstr>
      <vt:lpstr>EURON!Trigger2</vt:lpstr>
      <vt:lpstr>EURSTD!Trigger2</vt:lpstr>
      <vt:lpstr>FirstLegAdmortization!Trigger2</vt:lpstr>
      <vt:lpstr>FirstLegAnalysis!Trigger2</vt:lpstr>
      <vt:lpstr>ForwardSwap6M!Trigger2</vt:lpstr>
      <vt:lpstr>FRA!Trigger2</vt:lpstr>
      <vt:lpstr>Futures3M!Trigger2</vt:lpstr>
      <vt:lpstr>FuturesHWConvAdj!Trigger2</vt:lpstr>
      <vt:lpstr>'General Settings'!Trigger2</vt:lpstr>
      <vt:lpstr>'General Settings_2'!Trigger2</vt:lpstr>
      <vt:lpstr>'General Settings_3'!Trigger2</vt:lpstr>
      <vt:lpstr>GeneralSettings!Trigger2</vt:lpstr>
      <vt:lpstr>GeneralSettings_4!Trigger2</vt:lpstr>
      <vt:lpstr>'IMM OIS'!Trigger2</vt:lpstr>
      <vt:lpstr>'ImmFra6M '!Trigger2</vt:lpstr>
      <vt:lpstr>MainChecks!Trigger2</vt:lpstr>
      <vt:lpstr>OIS!Trigger2</vt:lpstr>
      <vt:lpstr>'ON Basis Swap'!Trigger2</vt:lpstr>
      <vt:lpstr>Pricing!Trigger2</vt:lpstr>
      <vt:lpstr>RateHelpers!Trigger2</vt:lpstr>
      <vt:lpstr>SecondLegAdmortization!Trigger2</vt:lpstr>
      <vt:lpstr>SecondLegAnalysis!Trigger2</vt:lpstr>
      <vt:lpstr>Swap1M!Trigger2</vt:lpstr>
      <vt:lpstr>Swap3M!Trigger2</vt:lpstr>
      <vt:lpstr>Swap6M!Trigger2</vt:lpstr>
      <vt:lpstr>Swaps1M_1Y!Trigger2</vt:lpstr>
      <vt:lpstr>SwapsIMMDated!Trigger2</vt:lpstr>
      <vt:lpstr>Triggers!Trigger2</vt:lpstr>
      <vt:lpstr>'General Settings_2'!TriggerCounter</vt:lpstr>
      <vt:lpstr>'General Settings_3'!TriggerCounter</vt:lpstr>
      <vt:lpstr>TriggerCounter</vt:lpstr>
      <vt:lpstr>FirstLegAdmortization!Type</vt:lpstr>
      <vt:lpstr>SecondLegAdmortization!Type</vt:lpstr>
      <vt:lpstr>Futures3M!Volatility</vt:lpstr>
      <vt:lpstr>YieldCurve</vt:lpstr>
      <vt:lpstr>YieldCurve_1M</vt:lpstr>
      <vt:lpstr>YieldCurve_1Y</vt:lpstr>
      <vt:lpstr>YieldCurve_3M</vt:lpstr>
      <vt:lpstr>YieldCurve_6M</vt:lpstr>
      <vt:lpstr>YieldCurve_ON</vt:lpstr>
      <vt:lpstr>YieldCurve_STD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2015-12-19T20:17:10Z</dcterms:created>
  <dcterms:modified xsi:type="dcterms:W3CDTF">2015-12-28T21:47:25Z</dcterms:modified>
</cp:coreProperties>
</file>