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N24" i="1"/>
  <c r="N23"/>
  <c r="Q25"/>
  <c r="P25"/>
  <c r="Q24"/>
  <c r="P24"/>
  <c r="Q23"/>
  <c r="P23"/>
  <c r="Q22"/>
  <c r="P22"/>
  <c r="W5"/>
  <c r="M20"/>
  <c r="M19"/>
  <c r="M18"/>
  <c r="M17"/>
  <c r="M14"/>
  <c r="M13"/>
  <c r="M12"/>
  <c r="M11"/>
  <c r="N20"/>
  <c r="N19"/>
  <c r="N18"/>
  <c r="N17"/>
  <c r="N14"/>
  <c r="N13"/>
  <c r="N12"/>
  <c r="N11"/>
  <c r="G5"/>
  <c r="F5"/>
  <c r="F4"/>
  <c r="F3"/>
  <c r="E4"/>
  <c r="E3"/>
  <c r="C14"/>
  <c r="B14"/>
  <c r="C13"/>
  <c r="B13"/>
  <c r="C12"/>
  <c r="B12"/>
  <c r="C11"/>
  <c r="B11"/>
  <c r="C10"/>
  <c r="B10"/>
  <c r="C9"/>
  <c r="B9"/>
  <c r="T20"/>
  <c r="S20"/>
  <c r="T19"/>
  <c r="S19"/>
  <c r="T18"/>
  <c r="S18"/>
  <c r="T17"/>
  <c r="S17"/>
  <c r="V16"/>
  <c r="U16"/>
  <c r="T16"/>
  <c r="S16"/>
  <c r="V15"/>
  <c r="U15"/>
  <c r="T15"/>
  <c r="S15"/>
  <c r="T14"/>
  <c r="S14"/>
  <c r="V13"/>
  <c r="T13"/>
  <c r="S13"/>
  <c r="T12"/>
  <c r="S12"/>
  <c r="T11"/>
  <c r="S11"/>
  <c r="V10"/>
  <c r="U10"/>
  <c r="T10"/>
  <c r="S10"/>
  <c r="V9"/>
  <c r="U9"/>
  <c r="T9"/>
  <c r="S9"/>
  <c r="T8"/>
  <c r="S8"/>
  <c r="T7"/>
  <c r="S7"/>
  <c r="T6"/>
  <c r="S6"/>
  <c r="T5"/>
  <c r="S5"/>
  <c r="R8"/>
  <c r="V8" s="1"/>
  <c r="Q8"/>
  <c r="U8" s="1"/>
  <c r="R7"/>
  <c r="V7" s="1"/>
  <c r="Q7"/>
  <c r="U7" s="1"/>
  <c r="R6"/>
  <c r="V6" s="1"/>
  <c r="Q6"/>
  <c r="U6" s="1"/>
  <c r="R5"/>
  <c r="V5" s="1"/>
  <c r="Q5"/>
  <c r="U5" s="1"/>
  <c r="R20"/>
  <c r="V20" s="1"/>
  <c r="Q20"/>
  <c r="U20" s="1"/>
  <c r="R19"/>
  <c r="V19" s="1"/>
  <c r="Q19"/>
  <c r="U19" s="1"/>
  <c r="R18"/>
  <c r="V18" s="1"/>
  <c r="Q18"/>
  <c r="U18" s="1"/>
  <c r="R17"/>
  <c r="V17" s="1"/>
  <c r="W18" s="1"/>
  <c r="Q17"/>
  <c r="U17" s="1"/>
  <c r="R14"/>
  <c r="V14" s="1"/>
  <c r="R13"/>
  <c r="R12"/>
  <c r="V12" s="1"/>
  <c r="R11"/>
  <c r="V11" s="1"/>
  <c r="Q14"/>
  <c r="U14" s="1"/>
  <c r="Q13"/>
  <c r="U13" s="1"/>
  <c r="Q12"/>
  <c r="U12" s="1"/>
  <c r="Q11"/>
  <c r="U11" s="1"/>
  <c r="W12" l="1"/>
  <c r="W6"/>
  <c r="W11"/>
  <c r="X11" s="1"/>
  <c r="X5"/>
  <c r="W17"/>
  <c r="X17" s="1"/>
</calcChain>
</file>

<file path=xl/sharedStrings.xml><?xml version="1.0" encoding="utf-8"?>
<sst xmlns="http://schemas.openxmlformats.org/spreadsheetml/2006/main" count="23" uniqueCount="15">
  <si>
    <t>lambda=480</t>
  </si>
  <si>
    <t>C</t>
  </si>
  <si>
    <t>D</t>
  </si>
  <si>
    <t>y=0,0029</t>
  </si>
  <si>
    <t>y</t>
  </si>
  <si>
    <t>c</t>
  </si>
  <si>
    <t>J2</t>
  </si>
  <si>
    <t>HCl</t>
  </si>
  <si>
    <t>ацетон</t>
  </si>
  <si>
    <t>ln c</t>
  </si>
  <si>
    <t>ln y</t>
  </si>
  <si>
    <t>v</t>
  </si>
  <si>
    <t xml:space="preserve"> ln v</t>
  </si>
  <si>
    <t>ln v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</si>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</sst>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9.4792109319668388E-2"/>
          <c:y val="5.7987538791693591E-2"/>
          <c:w val="0.86236570428696402"/>
          <c:h val="0.832619568387284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8.2423447069116355E-3"/>
                  <c:y val="3.9671186934966469E-2"/>
                </c:manualLayout>
              </c:layout>
              <c:numFmt formatCode="General" sourceLinked="0"/>
            </c:trendlineLbl>
          </c:trendline>
          <c:xVal>
            <c:numRef>
              <c:f>Лист1!$B$3:$B$8</c:f>
              <c:numCache>
                <c:formatCode>General</c:formatCode>
                <c:ptCount val="6"/>
                <c:pt idx="0">
                  <c:v>200</c:v>
                </c:pt>
                <c:pt idx="1">
                  <c:v>500</c:v>
                </c:pt>
                <c:pt idx="2">
                  <c:v>800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</c:numCache>
            </c:numRef>
          </c:xVal>
          <c:yVal>
            <c:numRef>
              <c:f>Лист1!$C$3:$C$8</c:f>
              <c:numCache>
                <c:formatCode>General</c:formatCode>
                <c:ptCount val="6"/>
                <c:pt idx="0">
                  <c:v>0.63200000000000001</c:v>
                </c:pt>
                <c:pt idx="1">
                  <c:v>1.385</c:v>
                </c:pt>
                <c:pt idx="2">
                  <c:v>2.3860000000000001</c:v>
                </c:pt>
                <c:pt idx="3">
                  <c:v>2.5569999999999999</c:v>
                </c:pt>
                <c:pt idx="4">
                  <c:v>2.9279999999999999</c:v>
                </c:pt>
                <c:pt idx="5">
                  <c:v>3.5070000000000001</c:v>
                </c:pt>
              </c:numCache>
            </c:numRef>
          </c:yVal>
        </c:ser>
        <c:axId val="158123136"/>
        <c:axId val="158125056"/>
      </c:scatterChart>
      <c:valAx>
        <c:axId val="15812313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Объём</a:t>
                </a:r>
                <a:r>
                  <a:rPr lang="ru-RU" baseline="0"/>
                  <a:t> йода, мкл</a:t>
                </a:r>
              </a:p>
            </c:rich>
          </c:tx>
          <c:layout>
            <c:manualLayout>
              <c:xMode val="edge"/>
              <c:yMode val="edge"/>
              <c:x val="0.77998291880181669"/>
              <c:y val="0.93837876648397689"/>
            </c:manualLayout>
          </c:layout>
        </c:title>
        <c:numFmt formatCode="General" sourceLinked="1"/>
        <c:tickLblPos val="nextTo"/>
        <c:crossAx val="158125056"/>
        <c:crosses val="autoZero"/>
        <c:crossBetween val="midCat"/>
      </c:valAx>
      <c:valAx>
        <c:axId val="15812505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7.9670874474024087E-2"/>
              <c:y val="1.251716788029357E-2"/>
            </c:manualLayout>
          </c:layout>
        </c:title>
        <c:numFmt formatCode="General" sourceLinked="1"/>
        <c:tickLblPos val="nextTo"/>
        <c:crossAx val="15812313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5348206474190729E-2"/>
          <c:y val="6.9919072615923006E-2"/>
          <c:w val="0.7182213473315836"/>
          <c:h val="0.89719889180519097"/>
        </c:manualLayout>
      </c:layout>
      <c:scatterChart>
        <c:scatterStyle val="lineMarker"/>
        <c:ser>
          <c:idx val="0"/>
          <c:order val="0"/>
          <c:tx>
            <c:strRef>
              <c:f>Лист1!$O$9</c:f>
              <c:strCache>
                <c:ptCount val="1"/>
                <c:pt idx="0">
                  <c:v>HCl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0.18323097112860892"/>
                  <c:y val="-0.22020158938466025"/>
                </c:manualLayout>
              </c:layout>
              <c:numFmt formatCode="General" sourceLinked="0"/>
            </c:trendlineLbl>
          </c:trendline>
          <c:xVal>
            <c:numRef>
              <c:f>Лист1!$Q$11:$Q$14</c:f>
              <c:numCache>
                <c:formatCode>General</c:formatCode>
                <c:ptCount val="4"/>
                <c:pt idx="0">
                  <c:v>5.7037824746562009</c:v>
                </c:pt>
                <c:pt idx="1">
                  <c:v>6.3969296552161463</c:v>
                </c:pt>
                <c:pt idx="2">
                  <c:v>6.8023947633243109</c:v>
                </c:pt>
                <c:pt idx="3">
                  <c:v>7.0900768357760917</c:v>
                </c:pt>
              </c:numCache>
            </c:numRef>
          </c:xVal>
          <c:yVal>
            <c:numRef>
              <c:f>Лист1!$R$11:$R$14</c:f>
              <c:numCache>
                <c:formatCode>General</c:formatCode>
                <c:ptCount val="4"/>
                <c:pt idx="0">
                  <c:v>-6.6453910145146464</c:v>
                </c:pt>
                <c:pt idx="1">
                  <c:v>-5.952243833954701</c:v>
                </c:pt>
                <c:pt idx="2">
                  <c:v>-5.6268214335200728</c:v>
                </c:pt>
                <c:pt idx="3">
                  <c:v>-5.2590966533947556</c:v>
                </c:pt>
              </c:numCache>
            </c:numRef>
          </c:yVal>
        </c:ser>
        <c:ser>
          <c:idx val="1"/>
          <c:order val="1"/>
          <c:tx>
            <c:strRef>
              <c:f>Лист1!$O$15</c:f>
              <c:strCache>
                <c:ptCount val="1"/>
                <c:pt idx="0">
                  <c:v>ацетон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0.18600874890638672"/>
                  <c:y val="-0.11265492855059786"/>
                </c:manualLayout>
              </c:layout>
              <c:numFmt formatCode="General" sourceLinked="0"/>
            </c:trendlineLbl>
          </c:trendline>
          <c:xVal>
            <c:numRef>
              <c:f>Лист1!$Q$17:$Q$20</c:f>
              <c:numCache>
                <c:formatCode>General</c:formatCode>
                <c:ptCount val="4"/>
                <c:pt idx="0">
                  <c:v>5.7037824746562009</c:v>
                </c:pt>
                <c:pt idx="1">
                  <c:v>6.3969296552161463</c:v>
                </c:pt>
                <c:pt idx="2">
                  <c:v>6.8023947633243109</c:v>
                </c:pt>
                <c:pt idx="3">
                  <c:v>7.0900768357760917</c:v>
                </c:pt>
              </c:numCache>
            </c:numRef>
          </c:xVal>
          <c:yVal>
            <c:numRef>
              <c:f>Лист1!$R$17:$R$20</c:f>
              <c:numCache>
                <c:formatCode>General</c:formatCode>
                <c:ptCount val="4"/>
                <c:pt idx="0">
                  <c:v>-6.7254337221881828</c:v>
                </c:pt>
                <c:pt idx="1">
                  <c:v>-6.1658179342527601</c:v>
                </c:pt>
                <c:pt idx="2">
                  <c:v>-5.4967683052718748</c:v>
                </c:pt>
                <c:pt idx="3">
                  <c:v>-5.2983173665480363</c:v>
                </c:pt>
              </c:numCache>
            </c:numRef>
          </c:yVal>
        </c:ser>
        <c:ser>
          <c:idx val="2"/>
          <c:order val="2"/>
          <c:tx>
            <c:strRef>
              <c:f>Лист1!$O$3</c:f>
              <c:strCache>
                <c:ptCount val="1"/>
                <c:pt idx="0">
                  <c:v>J2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0.18323097112860892"/>
                  <c:y val="0.37302274715660555"/>
                </c:manualLayout>
              </c:layout>
              <c:numFmt formatCode="General" sourceLinked="0"/>
            </c:trendlineLbl>
          </c:trendline>
          <c:xVal>
            <c:numRef>
              <c:f>Лист1!$Q$5:$Q$8</c:f>
              <c:numCache>
                <c:formatCode>General</c:formatCode>
                <c:ptCount val="4"/>
                <c:pt idx="0">
                  <c:v>5.9914645471079817</c:v>
                </c:pt>
                <c:pt idx="1">
                  <c:v>6.4614681763537174</c:v>
                </c:pt>
                <c:pt idx="2">
                  <c:v>6.6846117276679271</c:v>
                </c:pt>
                <c:pt idx="3">
                  <c:v>7.0900768357760917</c:v>
                </c:pt>
              </c:numCache>
            </c:numRef>
          </c:xVal>
          <c:yVal>
            <c:numRef>
              <c:f>Лист1!$R$5:$R$8</c:f>
              <c:numCache>
                <c:formatCode>General</c:formatCode>
                <c:ptCount val="4"/>
                <c:pt idx="0">
                  <c:v>-3.5404594489956631</c:v>
                </c:pt>
                <c:pt idx="1">
                  <c:v>-3.5404594489956631</c:v>
                </c:pt>
                <c:pt idx="2">
                  <c:v>-3.6496587409606551</c:v>
                </c:pt>
                <c:pt idx="3">
                  <c:v>-3.5065578973199818</c:v>
                </c:pt>
              </c:numCache>
            </c:numRef>
          </c:yVal>
        </c:ser>
        <c:axId val="158173440"/>
        <c:axId val="158191616"/>
      </c:scatterChart>
      <c:valAx>
        <c:axId val="158173440"/>
        <c:scaling>
          <c:orientation val="minMax"/>
          <c:min val="5"/>
        </c:scaling>
        <c:axPos val="b"/>
        <c:majorGridlines/>
        <c:numFmt formatCode="General" sourceLinked="1"/>
        <c:minorTickMark val="in"/>
        <c:tickLblPos val="nextTo"/>
        <c:crossAx val="158191616"/>
        <c:crosses val="autoZero"/>
        <c:crossBetween val="midCat"/>
      </c:valAx>
      <c:valAx>
        <c:axId val="158191616"/>
        <c:scaling>
          <c:orientation val="minMax"/>
          <c:max val="-3"/>
          <c:min val="-7"/>
        </c:scaling>
        <c:axPos val="l"/>
        <c:majorGridlines/>
        <c:numFmt formatCode="General" sourceLinked="1"/>
        <c:tickLblPos val="nextTo"/>
        <c:crossAx val="158173440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Лист1!$O$9</c:f>
              <c:strCache>
                <c:ptCount val="1"/>
                <c:pt idx="0">
                  <c:v>HCl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5.2893919510061262E-2"/>
                  <c:y val="-0.48416557305336838"/>
                </c:manualLayout>
              </c:layout>
              <c:numFmt formatCode="General" sourceLinked="0"/>
            </c:trendlineLbl>
          </c:trendline>
          <c:xVal>
            <c:numRef>
              <c:f>Лист1!$N$11:$N$14</c:f>
              <c:numCache>
                <c:formatCode>General</c:formatCode>
                <c:ptCount val="4"/>
                <c:pt idx="0">
                  <c:v>5.6249999999999998E-3</c:v>
                </c:pt>
                <c:pt idx="1">
                  <c:v>1.125E-2</c:v>
                </c:pt>
                <c:pt idx="2">
                  <c:v>1.6875000000000001E-2</c:v>
                </c:pt>
                <c:pt idx="3">
                  <c:v>2.2499999999999999E-2</c:v>
                </c:pt>
              </c:numCache>
            </c:numRef>
          </c:xVal>
          <c:yVal>
            <c:numRef>
              <c:f>Лист1!$M$11:$M$14</c:f>
              <c:numCache>
                <c:formatCode>General</c:formatCode>
                <c:ptCount val="4"/>
                <c:pt idx="0">
                  <c:v>-3.8235294117647055E-6</c:v>
                </c:pt>
                <c:pt idx="1">
                  <c:v>-7.6470588235294111E-6</c:v>
                </c:pt>
                <c:pt idx="2">
                  <c:v>-1.0588235294117646E-5</c:v>
                </c:pt>
                <c:pt idx="3">
                  <c:v>-1.5294117647058822E-5</c:v>
                </c:pt>
              </c:numCache>
            </c:numRef>
          </c:yVal>
        </c:ser>
        <c:ser>
          <c:idx val="1"/>
          <c:order val="1"/>
          <c:tx>
            <c:strRef>
              <c:f>Лист1!$O$15</c:f>
              <c:strCache>
                <c:ptCount val="1"/>
                <c:pt idx="0">
                  <c:v>ацетон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10940791776027999"/>
                  <c:y val="-0.37754046369203853"/>
                </c:manualLayout>
              </c:layout>
              <c:numFmt formatCode="General" sourceLinked="0"/>
            </c:trendlineLbl>
          </c:trendline>
          <c:xVal>
            <c:numRef>
              <c:f>Лист1!$N$17:$N$20</c:f>
              <c:numCache>
                <c:formatCode>General</c:formatCode>
                <c:ptCount val="4"/>
                <c:pt idx="0">
                  <c:v>0.1875</c:v>
                </c:pt>
                <c:pt idx="1">
                  <c:v>0.375</c:v>
                </c:pt>
                <c:pt idx="2">
                  <c:v>0.5625</c:v>
                </c:pt>
                <c:pt idx="3">
                  <c:v>0.75</c:v>
                </c:pt>
              </c:numCache>
            </c:numRef>
          </c:xVal>
          <c:yVal>
            <c:numRef>
              <c:f>Лист1!$M$17:$M$20</c:f>
              <c:numCache>
                <c:formatCode>General</c:formatCode>
                <c:ptCount val="4"/>
                <c:pt idx="0">
                  <c:v>-3.529411764705882E-6</c:v>
                </c:pt>
                <c:pt idx="1">
                  <c:v>-6.1764705882352936E-6</c:v>
                </c:pt>
                <c:pt idx="2">
                  <c:v>-1.2058823529411765E-5</c:v>
                </c:pt>
                <c:pt idx="3">
                  <c:v>-1.4705882352941177E-5</c:v>
                </c:pt>
              </c:numCache>
            </c:numRef>
          </c:yVal>
        </c:ser>
        <c:axId val="139741824"/>
        <c:axId val="139751808"/>
      </c:scatterChart>
      <c:valAx>
        <c:axId val="139741824"/>
        <c:scaling>
          <c:orientation val="minMax"/>
        </c:scaling>
        <c:axPos val="b"/>
        <c:majorGridlines/>
        <c:numFmt formatCode="General" sourceLinked="1"/>
        <c:tickLblPos val="nextTo"/>
        <c:crossAx val="139751808"/>
        <c:crosses val="autoZero"/>
        <c:crossBetween val="midCat"/>
      </c:valAx>
      <c:valAx>
        <c:axId val="139751808"/>
        <c:scaling>
          <c:orientation val="minMax"/>
        </c:scaling>
        <c:axPos val="l"/>
        <c:majorGridlines/>
        <c:numFmt formatCode="General" sourceLinked="1"/>
        <c:tickLblPos val="nextTo"/>
        <c:crossAx val="139741824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5</xdr:row>
      <xdr:rowOff>142875</xdr:rowOff>
    </xdr:from>
    <xdr:to>
      <xdr:col>12</xdr:col>
      <xdr:colOff>28575</xdr:colOff>
      <xdr:row>23</xdr:row>
      <xdr:rowOff>85724</xdr:rowOff>
    </xdr:to>
    <xdr:graphicFrame macro="[0]!mkl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95250</xdr:colOff>
      <xdr:row>6</xdr:row>
      <xdr:rowOff>19050</xdr:rowOff>
    </xdr:from>
    <xdr:to>
      <xdr:col>10</xdr:col>
      <xdr:colOff>209550</xdr:colOff>
      <xdr:row>20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257175</xdr:colOff>
      <xdr:row>1</xdr:row>
      <xdr:rowOff>19050</xdr:rowOff>
    </xdr:from>
    <xdr:to>
      <xdr:col>11</xdr:col>
      <xdr:colOff>561975</xdr:colOff>
      <xdr:row>15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topLeftCell="F1" workbookViewId="0">
      <selection activeCell="N24" sqref="N24"/>
    </sheetView>
  </sheetViews>
  <sheetFormatPr defaultRowHeight="15"/>
  <cols>
    <col min="1" max="1" width="11.5703125" bestFit="1" customWidth="1"/>
    <col min="5" max="5" width="12" bestFit="1" customWidth="1"/>
    <col min="13" max="13" width="12.7109375" bestFit="1" customWidth="1"/>
    <col min="14" max="14" width="12" bestFit="1" customWidth="1"/>
    <col min="16" max="16" width="12" bestFit="1" customWidth="1"/>
    <col min="23" max="23" width="12" bestFit="1" customWidth="1"/>
  </cols>
  <sheetData>
    <row r="1" spans="1:24">
      <c r="A1" t="s">
        <v>0</v>
      </c>
    </row>
    <row r="2" spans="1:24">
      <c r="B2" t="s">
        <v>1</v>
      </c>
      <c r="C2" t="s">
        <v>2</v>
      </c>
    </row>
    <row r="3" spans="1:24">
      <c r="B3">
        <v>200</v>
      </c>
      <c r="C3">
        <v>0.63200000000000001</v>
      </c>
      <c r="E3">
        <f>0.6*(((AVERAGE(C9:C14)-AVERAGE(C3:C8)^2)/(AVERAGE(B9:B14)-AVERAGE(B3:B8)^2))-0.0029^2)^0.5</f>
        <v>1.1074114881475295E-4</v>
      </c>
      <c r="F3">
        <f>(E3^2+2*(0.05^2))^0.5</f>
        <v>7.0710764835363232E-2</v>
      </c>
      <c r="M3" t="s">
        <v>3</v>
      </c>
      <c r="O3" t="s">
        <v>6</v>
      </c>
    </row>
    <row r="4" spans="1:24">
      <c r="B4">
        <v>500</v>
      </c>
      <c r="C4">
        <v>1.385</v>
      </c>
      <c r="E4">
        <f>E3*0.0029</f>
        <v>3.2114933156278351E-7</v>
      </c>
      <c r="F4">
        <f>F3*0.0029</f>
        <v>2.0506121802255336E-4</v>
      </c>
      <c r="O4" t="s">
        <v>5</v>
      </c>
      <c r="P4" t="s">
        <v>4</v>
      </c>
      <c r="Q4" t="s">
        <v>9</v>
      </c>
      <c r="R4" t="s">
        <v>10</v>
      </c>
    </row>
    <row r="5" spans="1:24">
      <c r="B5">
        <v>800</v>
      </c>
      <c r="C5">
        <v>2.3860000000000001</v>
      </c>
      <c r="F5">
        <f>1/0.0029</f>
        <v>344.82758620689657</v>
      </c>
      <c r="G5">
        <f>F3*F5</f>
        <v>24.383022357021805</v>
      </c>
      <c r="O5">
        <v>400</v>
      </c>
      <c r="P5">
        <v>-2.9000000000000001E-2</v>
      </c>
      <c r="Q5">
        <f t="shared" ref="Q5:Q8" si="0">LN(O5)</f>
        <v>5.9914645471079817</v>
      </c>
      <c r="R5">
        <f t="shared" ref="R5:R8" si="1">LN(-P5)</f>
        <v>-3.5404594489956631</v>
      </c>
      <c r="S5">
        <f>O5^2</f>
        <v>160000</v>
      </c>
      <c r="T5">
        <f t="shared" ref="R5:T20" si="2">P5^2</f>
        <v>8.4100000000000006E-4</v>
      </c>
      <c r="U5">
        <f t="shared" ref="S5:U20" si="3">Q5^2</f>
        <v>35.897647419251854</v>
      </c>
      <c r="V5">
        <f t="shared" ref="T5:V20" si="4">R5^2</f>
        <v>12.534853109982674</v>
      </c>
      <c r="W5">
        <f>1.3/(2^0.5)*(((AVERAGE(V5:V8)-AVERAGE(R5:R8)^2)/(AVERAGE(U5:U8)-AVERAGE(Q5:Q8)^2))-0.0066^2)^0.5</f>
        <v>0.12494846204816798</v>
      </c>
      <c r="X5">
        <f>W5*0.0066</f>
        <v>8.2465984951790865E-4</v>
      </c>
    </row>
    <row r="6" spans="1:24">
      <c r="B6">
        <v>900</v>
      </c>
      <c r="C6">
        <v>2.5569999999999999</v>
      </c>
      <c r="O6">
        <v>640</v>
      </c>
      <c r="P6">
        <v>-2.9000000000000001E-2</v>
      </c>
      <c r="Q6">
        <f t="shared" si="0"/>
        <v>6.4614681763537174</v>
      </c>
      <c r="R6">
        <f t="shared" si="1"/>
        <v>-3.5404594489956631</v>
      </c>
      <c r="S6">
        <f t="shared" ref="Q6:S20" si="5">O6^2</f>
        <v>409600</v>
      </c>
      <c r="T6">
        <f t="shared" si="2"/>
        <v>8.4100000000000006E-4</v>
      </c>
      <c r="U6">
        <f t="shared" si="3"/>
        <v>41.750570994031833</v>
      </c>
      <c r="V6">
        <f t="shared" si="4"/>
        <v>12.534853109982674</v>
      </c>
      <c r="W6">
        <f>1.3/(2^0.5)*(((AVERAGE(T5:T8)-AVERAGE(P5:P8)^2)/(AVERAGE(S5:S8)-AVERAGE(O5:O8)^2))-(16*10^(-12)))^0.5</f>
        <v>2.9833539755441159E-6</v>
      </c>
    </row>
    <row r="7" spans="1:24">
      <c r="B7">
        <v>1000</v>
      </c>
      <c r="C7">
        <v>2.9279999999999999</v>
      </c>
      <c r="O7">
        <v>800</v>
      </c>
      <c r="P7">
        <v>-2.5999999999999999E-2</v>
      </c>
      <c r="Q7">
        <f t="shared" si="0"/>
        <v>6.6846117276679271</v>
      </c>
      <c r="R7">
        <f t="shared" si="1"/>
        <v>-3.6496587409606551</v>
      </c>
      <c r="S7">
        <f t="shared" si="5"/>
        <v>640000</v>
      </c>
      <c r="T7">
        <f t="shared" si="2"/>
        <v>6.7599999999999995E-4</v>
      </c>
      <c r="U7">
        <f t="shared" si="3"/>
        <v>44.684033949675587</v>
      </c>
      <c r="V7">
        <f t="shared" si="4"/>
        <v>13.320008925470514</v>
      </c>
    </row>
    <row r="8" spans="1:24">
      <c r="B8">
        <v>1200</v>
      </c>
      <c r="C8">
        <v>3.5070000000000001</v>
      </c>
      <c r="O8">
        <v>1200</v>
      </c>
      <c r="P8">
        <v>-0.03</v>
      </c>
      <c r="Q8">
        <f t="shared" si="0"/>
        <v>7.0900768357760917</v>
      </c>
      <c r="R8">
        <f t="shared" si="1"/>
        <v>-3.5065578973199818</v>
      </c>
      <c r="S8">
        <f t="shared" si="5"/>
        <v>1440000</v>
      </c>
      <c r="T8">
        <f t="shared" si="2"/>
        <v>8.9999999999999998E-4</v>
      </c>
      <c r="U8">
        <f t="shared" si="3"/>
        <v>50.269189537208717</v>
      </c>
      <c r="V8">
        <f t="shared" si="4"/>
        <v>12.295948287257133</v>
      </c>
    </row>
    <row r="9" spans="1:24">
      <c r="B9">
        <f>B3^2</f>
        <v>40000</v>
      </c>
      <c r="C9">
        <f t="shared" ref="C9:C14" si="6">C3^2</f>
        <v>0.399424</v>
      </c>
      <c r="O9" t="s">
        <v>7</v>
      </c>
      <c r="S9" t="e">
        <f t="shared" si="5"/>
        <v>#VALUE!</v>
      </c>
      <c r="T9">
        <f t="shared" si="2"/>
        <v>0</v>
      </c>
      <c r="U9">
        <f t="shared" si="3"/>
        <v>0</v>
      </c>
      <c r="V9">
        <f t="shared" si="4"/>
        <v>0</v>
      </c>
    </row>
    <row r="10" spans="1:24">
      <c r="B10">
        <f t="shared" ref="B10:C10" si="7">B4^2</f>
        <v>250000</v>
      </c>
      <c r="C10">
        <f t="shared" si="6"/>
        <v>1.9182250000000001</v>
      </c>
      <c r="M10" t="s">
        <v>14</v>
      </c>
      <c r="N10" t="s">
        <v>5</v>
      </c>
      <c r="O10" t="s">
        <v>11</v>
      </c>
      <c r="P10" t="s">
        <v>4</v>
      </c>
      <c r="Q10" t="s">
        <v>12</v>
      </c>
      <c r="R10" t="s">
        <v>10</v>
      </c>
      <c r="S10" t="e">
        <f t="shared" si="5"/>
        <v>#VALUE!</v>
      </c>
      <c r="T10" t="e">
        <f t="shared" si="2"/>
        <v>#VALUE!</v>
      </c>
      <c r="U10" t="e">
        <f t="shared" si="3"/>
        <v>#VALUE!</v>
      </c>
      <c r="V10" t="e">
        <f t="shared" si="4"/>
        <v>#VALUE!</v>
      </c>
    </row>
    <row r="11" spans="1:24">
      <c r="B11">
        <f t="shared" ref="B11:C11" si="8">B5^2</f>
        <v>640000</v>
      </c>
      <c r="C11">
        <f t="shared" si="6"/>
        <v>5.6929960000000008</v>
      </c>
      <c r="M11">
        <f>P11/340</f>
        <v>-3.8235294117647055E-6</v>
      </c>
      <c r="N11">
        <f>O11*0.075/4000</f>
        <v>5.6249999999999998E-3</v>
      </c>
      <c r="O11">
        <v>300</v>
      </c>
      <c r="P11">
        <v>-1.2999999999999999E-3</v>
      </c>
      <c r="Q11">
        <f>LN(O11)</f>
        <v>5.7037824746562009</v>
      </c>
      <c r="R11">
        <f>LN(-P11)</f>
        <v>-6.6453910145146464</v>
      </c>
      <c r="S11">
        <f t="shared" si="5"/>
        <v>90000</v>
      </c>
      <c r="T11">
        <f t="shared" si="2"/>
        <v>1.6899999999999999E-6</v>
      </c>
      <c r="U11">
        <f t="shared" si="3"/>
        <v>32.533134518195219</v>
      </c>
      <c r="V11">
        <f t="shared" si="4"/>
        <v>44.161221735792004</v>
      </c>
      <c r="W11">
        <f>1.3/(2^0.5)*(((AVERAGE(V11:V14)-AVERAGE(R11:R14)^2)/(AVERAGE(U11:U14)-AVERAGE(Q11:Q14)^2))-0.9775^2)^0.5</f>
        <v>5.831823348411426E-2</v>
      </c>
      <c r="X11">
        <f>W11*0.9775</f>
        <v>5.7006073230721689E-2</v>
      </c>
    </row>
    <row r="12" spans="1:24">
      <c r="B12">
        <f t="shared" ref="B12:C12" si="9">B6^2</f>
        <v>810000</v>
      </c>
      <c r="C12">
        <f t="shared" si="6"/>
        <v>6.5382489999999995</v>
      </c>
      <c r="M12">
        <f t="shared" ref="M12:M14" si="10">P12/340</f>
        <v>-7.6470588235294111E-6</v>
      </c>
      <c r="N12">
        <f t="shared" ref="N12:N14" si="11">O12*0.075/4000</f>
        <v>1.125E-2</v>
      </c>
      <c r="O12">
        <v>600</v>
      </c>
      <c r="P12">
        <v>-2.5999999999999999E-3</v>
      </c>
      <c r="Q12">
        <f t="shared" ref="Q12:Q14" si="12">LN(O12)</f>
        <v>6.3969296552161463</v>
      </c>
      <c r="R12">
        <f t="shared" ref="R12:R14" si="13">LN(-P12)</f>
        <v>-5.952243833954701</v>
      </c>
      <c r="S12">
        <f t="shared" si="5"/>
        <v>360000</v>
      </c>
      <c r="T12">
        <f t="shared" si="2"/>
        <v>6.7599999999999997E-6</v>
      </c>
      <c r="U12">
        <f t="shared" si="3"/>
        <v>40.920709013783764</v>
      </c>
      <c r="V12">
        <f t="shared" si="4"/>
        <v>35.429206658851761</v>
      </c>
      <c r="W12">
        <f>1.3/(2^0.5)*(((AVERAGE(T11:T14)-AVERAGE(P11:P14)^2)/(AVERAGE(S11:S14)-AVERAGE(O11:O14)^2))-(16*10^(-12)))^0.5</f>
        <v>1.3197116688462255E-6</v>
      </c>
    </row>
    <row r="13" spans="1:24">
      <c r="B13">
        <f t="shared" ref="B13:C13" si="14">B7^2</f>
        <v>1000000</v>
      </c>
      <c r="C13">
        <f t="shared" si="6"/>
        <v>8.5731839999999995</v>
      </c>
      <c r="M13">
        <f t="shared" si="10"/>
        <v>-1.0588235294117646E-5</v>
      </c>
      <c r="N13">
        <f t="shared" si="11"/>
        <v>1.6875000000000001E-2</v>
      </c>
      <c r="O13">
        <v>900</v>
      </c>
      <c r="P13">
        <v>-3.5999999999999999E-3</v>
      </c>
      <c r="Q13">
        <f t="shared" si="12"/>
        <v>6.8023947633243109</v>
      </c>
      <c r="R13">
        <f t="shared" si="13"/>
        <v>-5.6268214335200728</v>
      </c>
      <c r="S13">
        <f t="shared" si="5"/>
        <v>810000</v>
      </c>
      <c r="T13">
        <f t="shared" si="2"/>
        <v>1.296E-5</v>
      </c>
      <c r="U13">
        <f t="shared" si="3"/>
        <v>46.272574516102011</v>
      </c>
      <c r="V13">
        <f t="shared" si="4"/>
        <v>31.661119444720889</v>
      </c>
    </row>
    <row r="14" spans="1:24">
      <c r="B14">
        <f t="shared" ref="B14:C14" si="15">B8^2</f>
        <v>1440000</v>
      </c>
      <c r="C14">
        <f t="shared" si="6"/>
        <v>12.299049</v>
      </c>
      <c r="M14">
        <f t="shared" si="10"/>
        <v>-1.5294117647058822E-5</v>
      </c>
      <c r="N14">
        <f t="shared" si="11"/>
        <v>2.2499999999999999E-2</v>
      </c>
      <c r="O14">
        <v>1200</v>
      </c>
      <c r="P14">
        <v>-5.1999999999999998E-3</v>
      </c>
      <c r="Q14">
        <f t="shared" si="12"/>
        <v>7.0900768357760917</v>
      </c>
      <c r="R14">
        <f t="shared" si="13"/>
        <v>-5.2590966533947556</v>
      </c>
      <c r="S14">
        <f t="shared" si="5"/>
        <v>1440000</v>
      </c>
      <c r="T14">
        <f t="shared" si="2"/>
        <v>2.7039999999999999E-5</v>
      </c>
      <c r="U14">
        <f t="shared" si="3"/>
        <v>50.269189537208717</v>
      </c>
      <c r="V14">
        <f t="shared" si="4"/>
        <v>27.658097609747919</v>
      </c>
    </row>
    <row r="15" spans="1:24">
      <c r="O15" t="s">
        <v>8</v>
      </c>
      <c r="S15" t="e">
        <f>O15^2</f>
        <v>#VALUE!</v>
      </c>
      <c r="T15">
        <f>P15^2</f>
        <v>0</v>
      </c>
      <c r="U15">
        <f>Q15^2</f>
        <v>0</v>
      </c>
      <c r="V15">
        <f>R15^2</f>
        <v>0</v>
      </c>
    </row>
    <row r="16" spans="1:24">
      <c r="M16" t="s">
        <v>14</v>
      </c>
      <c r="N16" t="s">
        <v>5</v>
      </c>
      <c r="O16" t="s">
        <v>11</v>
      </c>
      <c r="P16" t="s">
        <v>4</v>
      </c>
      <c r="Q16" t="s">
        <v>13</v>
      </c>
      <c r="R16" t="s">
        <v>10</v>
      </c>
      <c r="S16" t="e">
        <f>O16^2</f>
        <v>#VALUE!</v>
      </c>
      <c r="T16" t="e">
        <f>P16^2</f>
        <v>#VALUE!</v>
      </c>
      <c r="U16" t="e">
        <f>Q16^2</f>
        <v>#VALUE!</v>
      </c>
      <c r="V16" t="e">
        <f>R16^2</f>
        <v>#VALUE!</v>
      </c>
    </row>
    <row r="17" spans="13:24">
      <c r="M17">
        <f t="shared" ref="M17:M20" si="16">P17/340</f>
        <v>-3.529411764705882E-6</v>
      </c>
      <c r="N17">
        <f>O17*2.5/4000</f>
        <v>0.1875</v>
      </c>
      <c r="O17">
        <v>300</v>
      </c>
      <c r="P17">
        <v>-1.1999999999999999E-3</v>
      </c>
      <c r="Q17">
        <f>LN(O17)</f>
        <v>5.7037824746562009</v>
      </c>
      <c r="R17">
        <f>LN(-P17)</f>
        <v>-6.7254337221881828</v>
      </c>
      <c r="S17">
        <f>O17^2</f>
        <v>90000</v>
      </c>
      <c r="T17">
        <f>P17^2</f>
        <v>1.4399999999999998E-6</v>
      </c>
      <c r="U17">
        <f>Q17^2</f>
        <v>32.533134518195219</v>
      </c>
      <c r="V17">
        <f>R17^2</f>
        <v>45.231458751545993</v>
      </c>
      <c r="W17">
        <f>1.3/(2^0.5)*(((AVERAGE(V17:V20)-AVERAGE(R17:R20)^2)/(AVERAGE(U17:U20)-AVERAGE(Q17:Q20)^2))-1.0712^2)^0.5</f>
        <v>0.15457997867854406</v>
      </c>
      <c r="X17">
        <f>W17*1.0712</f>
        <v>0.1655860731604564</v>
      </c>
    </row>
    <row r="18" spans="13:24">
      <c r="M18">
        <f t="shared" si="16"/>
        <v>-6.1764705882352936E-6</v>
      </c>
      <c r="N18">
        <f t="shared" ref="N18:N20" si="17">O18*2.5/4000</f>
        <v>0.375</v>
      </c>
      <c r="O18">
        <v>600</v>
      </c>
      <c r="P18">
        <v>-2.0999999999999999E-3</v>
      </c>
      <c r="Q18">
        <f t="shared" ref="O17:Q20" si="18">LN(O18)</f>
        <v>6.3969296552161463</v>
      </c>
      <c r="R18">
        <f t="shared" ref="P17:R20" si="19">LN(-P18)</f>
        <v>-6.1658179342527601</v>
      </c>
      <c r="S18">
        <f t="shared" si="5"/>
        <v>360000</v>
      </c>
      <c r="T18">
        <f t="shared" si="2"/>
        <v>4.4099999999999993E-6</v>
      </c>
      <c r="U18">
        <f t="shared" si="3"/>
        <v>40.920709013783764</v>
      </c>
      <c r="V18">
        <f t="shared" si="4"/>
        <v>38.017310798352973</v>
      </c>
      <c r="W18">
        <f>1.3/(2^0.5)*(((AVERAGE(T17:T20)-AVERAGE(P17:P20)^2)/(AVERAGE(S17:S20)-AVERAGE(O17:O20)^2))-(16*10^(-12)))^0.5</f>
        <v>1.9475911047011621E-6</v>
      </c>
    </row>
    <row r="19" spans="13:24">
      <c r="M19">
        <f t="shared" si="16"/>
        <v>-1.2058823529411765E-5</v>
      </c>
      <c r="N19">
        <f t="shared" si="17"/>
        <v>0.5625</v>
      </c>
      <c r="O19">
        <v>900</v>
      </c>
      <c r="P19">
        <v>-4.1000000000000003E-3</v>
      </c>
      <c r="Q19">
        <f t="shared" si="18"/>
        <v>6.8023947633243109</v>
      </c>
      <c r="R19">
        <f t="shared" si="19"/>
        <v>-5.4967683052718748</v>
      </c>
      <c r="S19">
        <f t="shared" si="5"/>
        <v>810000</v>
      </c>
      <c r="T19">
        <f t="shared" si="2"/>
        <v>1.6810000000000003E-5</v>
      </c>
      <c r="U19">
        <f t="shared" si="3"/>
        <v>46.272574516102011</v>
      </c>
      <c r="V19">
        <f t="shared" si="4"/>
        <v>30.214461801841438</v>
      </c>
    </row>
    <row r="20" spans="13:24">
      <c r="M20">
        <f t="shared" si="16"/>
        <v>-1.4705882352941177E-5</v>
      </c>
      <c r="N20">
        <f t="shared" si="17"/>
        <v>0.75</v>
      </c>
      <c r="O20">
        <v>1200</v>
      </c>
      <c r="P20">
        <v>-5.0000000000000001E-3</v>
      </c>
      <c r="Q20">
        <f t="shared" si="18"/>
        <v>7.0900768357760917</v>
      </c>
      <c r="R20">
        <f t="shared" si="19"/>
        <v>-5.2983173665480363</v>
      </c>
      <c r="S20">
        <f t="shared" si="5"/>
        <v>1440000</v>
      </c>
      <c r="T20">
        <f t="shared" si="2"/>
        <v>2.5000000000000001E-5</v>
      </c>
      <c r="U20">
        <f t="shared" si="3"/>
        <v>50.269189537208717</v>
      </c>
      <c r="V20">
        <f t="shared" si="4"/>
        <v>28.072166916664518</v>
      </c>
    </row>
    <row r="22" spans="13:24">
      <c r="P22">
        <f>M17^2</f>
        <v>1.2456747404844289E-11</v>
      </c>
      <c r="Q22">
        <f t="shared" ref="Q22:Q25" si="20">N17^2</f>
        <v>3.515625E-2</v>
      </c>
    </row>
    <row r="23" spans="13:24">
      <c r="N23">
        <f>1.3/(2^0.5)*(((AVERAGE(P22:P25)-AVERAGE(M17:M20)^2)/(AVERAGE(Q22:Q25)-AVERAGE(N17:N20)^2))-0.00002^2)^0.5</f>
        <v>6.7382888567237606E-6</v>
      </c>
      <c r="P23">
        <f t="shared" ref="P23:P25" si="21">M18^2</f>
        <v>3.8148788927335632E-11</v>
      </c>
      <c r="Q23">
        <f t="shared" si="20"/>
        <v>0.140625</v>
      </c>
    </row>
    <row r="24" spans="13:24">
      <c r="N24">
        <f>N23^2</f>
        <v>4.5404536716647602E-11</v>
      </c>
      <c r="P24">
        <f t="shared" si="21"/>
        <v>1.4541522491349482E-10</v>
      </c>
      <c r="Q24">
        <f t="shared" si="20"/>
        <v>0.31640625</v>
      </c>
    </row>
    <row r="25" spans="13:24">
      <c r="P25">
        <f t="shared" si="21"/>
        <v>2.1626297577854671E-10</v>
      </c>
      <c r="Q25">
        <f t="shared" si="20"/>
        <v>0.5625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2018-05-12T19:47:16Z</dcterms:modified>
</cp:coreProperties>
</file>