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2025\6. June\1. CBA Study\Final Documents\"/>
    </mc:Choice>
  </mc:AlternateContent>
  <xr:revisionPtr revIDLastSave="0" documentId="13_ncr:1_{0AF7ADB1-6509-4EC7-B24E-A258C7198882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Cover" sheetId="1" r:id="rId1"/>
    <sheet name="1. Union" sheetId="2" r:id="rId2"/>
    <sheet name="2. Upazilla" sheetId="10" r:id="rId3"/>
    <sheet name="3. Rural Screening" sheetId="3" r:id="rId4"/>
    <sheet name="4. Urban Screening" sheetId="4" r:id="rId5"/>
    <sheet name="5. Tertiary Facility" sheetId="11" r:id="rId6"/>
    <sheet name="6. Screenable Population" sheetId="8" r:id="rId7"/>
    <sheet name="7. National Cost" sheetId="5" r:id="rId8"/>
    <sheet name="8. Benefit-cost ratio" sheetId="9" r:id="rId9"/>
  </sheets>
  <externalReferences>
    <externalReference r:id="rId10"/>
  </externalReferences>
  <definedNames>
    <definedName name="Breast_Cancer_Source">Cover!#REF!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4" i="4"/>
  <c r="F13" i="11"/>
  <c r="D15" i="11"/>
  <c r="F23" i="4"/>
  <c r="F24" i="4"/>
  <c r="F25" i="4"/>
  <c r="F26" i="4"/>
  <c r="F27" i="4"/>
  <c r="F28" i="4"/>
  <c r="F29" i="4"/>
  <c r="F22" i="4"/>
  <c r="C10" i="5"/>
  <c r="D71" i="2"/>
  <c r="G71" i="2" s="1"/>
  <c r="B6" i="3"/>
  <c r="C71" i="2" s="1"/>
  <c r="C16" i="4"/>
  <c r="E13" i="11"/>
  <c r="G13" i="11" s="1"/>
  <c r="H13" i="11" s="1"/>
  <c r="C16" i="11"/>
  <c r="E16" i="11" s="1"/>
  <c r="G16" i="11" s="1"/>
  <c r="H16" i="11" s="1"/>
  <c r="F16" i="11" l="1"/>
  <c r="F16" i="4"/>
  <c r="B36" i="4" s="1"/>
  <c r="F30" i="4"/>
  <c r="B37" i="4" s="1"/>
  <c r="C2" i="11"/>
  <c r="C14" i="11"/>
  <c r="G56" i="10"/>
  <c r="H56" i="10" s="1"/>
  <c r="G55" i="10"/>
  <c r="H55" i="10" s="1"/>
  <c r="D69" i="2"/>
  <c r="G69" i="2" s="1"/>
  <c r="D70" i="2"/>
  <c r="G70" i="2" s="1"/>
  <c r="D68" i="2"/>
  <c r="G68" i="2" s="1"/>
  <c r="D63" i="2"/>
  <c r="C60" i="2"/>
  <c r="C30" i="4"/>
  <c r="H57" i="10" l="1"/>
  <c r="C7" i="10" s="1"/>
  <c r="D7" i="10" s="1"/>
  <c r="B38" i="4"/>
  <c r="C17" i="11" s="1"/>
  <c r="C15" i="11"/>
  <c r="E15" i="11" s="1"/>
  <c r="E14" i="11"/>
  <c r="D61" i="10"/>
  <c r="E32" i="10"/>
  <c r="G32" i="10" s="1"/>
  <c r="E33" i="10"/>
  <c r="G33" i="10" s="1"/>
  <c r="E34" i="10"/>
  <c r="G34" i="10" s="1"/>
  <c r="E31" i="10"/>
  <c r="G31" i="10" s="1"/>
  <c r="C47" i="10"/>
  <c r="F47" i="10" s="1"/>
  <c r="C46" i="10"/>
  <c r="F46" i="10" s="1"/>
  <c r="E26" i="10"/>
  <c r="G26" i="10" s="1"/>
  <c r="E18" i="10"/>
  <c r="G18" i="10" s="1"/>
  <c r="C42" i="10"/>
  <c r="F42" i="10" s="1"/>
  <c r="C43" i="10"/>
  <c r="F43" i="10" s="1"/>
  <c r="C44" i="10"/>
  <c r="F44" i="10" s="1"/>
  <c r="C45" i="10"/>
  <c r="F45" i="10" s="1"/>
  <c r="C48" i="10"/>
  <c r="F48" i="10" s="1"/>
  <c r="C41" i="10"/>
  <c r="F41" i="10" s="1"/>
  <c r="E19" i="10"/>
  <c r="G19" i="10" s="1"/>
  <c r="E20" i="10"/>
  <c r="G20" i="10" s="1"/>
  <c r="E21" i="10"/>
  <c r="G21" i="10" s="1"/>
  <c r="E22" i="10"/>
  <c r="G22" i="10" s="1"/>
  <c r="E23" i="10"/>
  <c r="G23" i="10" s="1"/>
  <c r="E24" i="10"/>
  <c r="G24" i="10" s="1"/>
  <c r="E25" i="10"/>
  <c r="G25" i="10" s="1"/>
  <c r="E17" i="10"/>
  <c r="G17" i="10" s="1"/>
  <c r="C41" i="2"/>
  <c r="F41" i="2" s="1"/>
  <c r="G41" i="2" s="1"/>
  <c r="C42" i="2"/>
  <c r="F42" i="2" s="1"/>
  <c r="G42" i="2" s="1"/>
  <c r="C43" i="2"/>
  <c r="F43" i="2" s="1"/>
  <c r="G43" i="2" s="1"/>
  <c r="C44" i="2"/>
  <c r="F44" i="2" s="1"/>
  <c r="G44" i="2" s="1"/>
  <c r="C45" i="2"/>
  <c r="F45" i="2" s="1"/>
  <c r="G45" i="2" s="1"/>
  <c r="C46" i="2"/>
  <c r="F46" i="2" s="1"/>
  <c r="G46" i="2" s="1"/>
  <c r="C40" i="2"/>
  <c r="F40" i="2" s="1"/>
  <c r="G40" i="2" s="1"/>
  <c r="D60" i="2"/>
  <c r="E60" i="2" s="1"/>
  <c r="D61" i="2"/>
  <c r="E61" i="2" s="1"/>
  <c r="D62" i="2"/>
  <c r="E62" i="2" s="1"/>
  <c r="D59" i="2"/>
  <c r="E59" i="2" s="1"/>
  <c r="C31" i="2"/>
  <c r="F31" i="2" s="1"/>
  <c r="H31" i="2" s="1"/>
  <c r="C32" i="2"/>
  <c r="F32" i="2" s="1"/>
  <c r="H32" i="2" s="1"/>
  <c r="C30" i="2"/>
  <c r="F30" i="2" s="1"/>
  <c r="H30" i="2" s="1"/>
  <c r="C21" i="2"/>
  <c r="F21" i="2" s="1"/>
  <c r="H21" i="2" s="1"/>
  <c r="C22" i="2"/>
  <c r="F22" i="2" s="1"/>
  <c r="H22" i="2" s="1"/>
  <c r="C23" i="2"/>
  <c r="F23" i="2" s="1"/>
  <c r="H23" i="2" s="1"/>
  <c r="C24" i="2"/>
  <c r="F24" i="2" s="1"/>
  <c r="H24" i="2" s="1"/>
  <c r="C20" i="2"/>
  <c r="F20" i="2" s="1"/>
  <c r="H20" i="2" s="1"/>
  <c r="G14" i="11" l="1"/>
  <c r="F14" i="11"/>
  <c r="G15" i="11"/>
  <c r="H15" i="11" s="1"/>
  <c r="F15" i="11"/>
  <c r="D62" i="10"/>
  <c r="C6" i="10" s="1"/>
  <c r="D6" i="10" s="1"/>
  <c r="G35" i="10"/>
  <c r="C4" i="10" s="1"/>
  <c r="D4" i="10" s="1"/>
  <c r="G27" i="10"/>
  <c r="C3" i="10" s="1"/>
  <c r="D3" i="10" s="1"/>
  <c r="F49" i="10"/>
  <c r="C8" i="10" s="1"/>
  <c r="D8" i="10" s="1"/>
  <c r="G47" i="2"/>
  <c r="C9" i="2" s="1"/>
  <c r="D9" i="2" s="1"/>
  <c r="H33" i="2"/>
  <c r="C4" i="2" s="1"/>
  <c r="D4" i="2" s="1"/>
  <c r="G8" i="8"/>
  <c r="G9" i="8"/>
  <c r="G10" i="8"/>
  <c r="G11" i="8"/>
  <c r="G12" i="8"/>
  <c r="G7" i="8"/>
  <c r="F8" i="8"/>
  <c r="F9" i="8"/>
  <c r="F10" i="8"/>
  <c r="F11" i="8"/>
  <c r="F12" i="8"/>
  <c r="F7" i="8"/>
  <c r="E8" i="8"/>
  <c r="E9" i="8"/>
  <c r="E10" i="8"/>
  <c r="E11" i="8"/>
  <c r="E12" i="8"/>
  <c r="E7" i="8"/>
  <c r="H14" i="11" l="1"/>
  <c r="C3" i="11"/>
  <c r="E13" i="8"/>
  <c r="B10" i="5" s="1"/>
  <c r="C9" i="10"/>
  <c r="D9" i="10" s="1"/>
  <c r="C5" i="10"/>
  <c r="D5" i="10" s="1"/>
  <c r="F13" i="8"/>
  <c r="G13" i="8"/>
  <c r="D52" i="2"/>
  <c r="E52" i="2" s="1"/>
  <c r="D53" i="2"/>
  <c r="E53" i="2" s="1"/>
  <c r="D54" i="2"/>
  <c r="E54" i="2" s="1"/>
  <c r="D51" i="2"/>
  <c r="E51" i="2" s="1"/>
  <c r="D10" i="10" l="1"/>
  <c r="C10" i="10"/>
  <c r="H25" i="2"/>
  <c r="G72" i="2"/>
  <c r="C8" i="2" s="1"/>
  <c r="D8" i="2" s="1"/>
  <c r="E55" i="2"/>
  <c r="C6" i="2" s="1"/>
  <c r="D6" i="2" s="1"/>
  <c r="B12" i="3" l="1"/>
  <c r="B13" i="3" s="1"/>
  <c r="B14" i="3" s="1"/>
  <c r="E10" i="10"/>
  <c r="C3" i="2"/>
  <c r="E17" i="11"/>
  <c r="F17" i="11" s="1"/>
  <c r="C18" i="11"/>
  <c r="E5" i="10"/>
  <c r="E9" i="10"/>
  <c r="E6" i="10"/>
  <c r="E7" i="10"/>
  <c r="E4" i="10"/>
  <c r="E8" i="10"/>
  <c r="E3" i="10"/>
  <c r="E63" i="2"/>
  <c r="E64" i="2" s="1"/>
  <c r="C7" i="2" s="1"/>
  <c r="C5" i="2" l="1"/>
  <c r="D5" i="2" s="1"/>
  <c r="D3" i="2"/>
  <c r="C10" i="2"/>
  <c r="D10" i="2" s="1"/>
  <c r="D7" i="2"/>
  <c r="E18" i="11"/>
  <c r="F18" i="11" s="1"/>
  <c r="G17" i="11"/>
  <c r="C11" i="2"/>
  <c r="G18" i="11" l="1"/>
  <c r="H18" i="11" s="1"/>
  <c r="C8" i="5" s="1"/>
  <c r="H17" i="11"/>
  <c r="B7" i="3"/>
  <c r="E7" i="2"/>
  <c r="D11" i="2"/>
  <c r="E3" i="2"/>
  <c r="E11" i="2"/>
  <c r="E9" i="2"/>
  <c r="E4" i="2"/>
  <c r="E8" i="2"/>
  <c r="E5" i="2"/>
  <c r="C12" i="2"/>
  <c r="D12" i="2" s="1"/>
  <c r="E6" i="2"/>
  <c r="E10" i="2"/>
  <c r="B9" i="3" l="1"/>
  <c r="B8" i="3"/>
  <c r="B8" i="5"/>
  <c r="C4" i="11"/>
  <c r="B15" i="3"/>
  <c r="B7" i="5" s="1"/>
  <c r="B10" i="3"/>
  <c r="G4" i="4"/>
  <c r="G22" i="4"/>
  <c r="B16" i="3" l="1"/>
  <c r="C7" i="5" s="1"/>
  <c r="H26" i="4"/>
  <c r="I26" i="4" s="1"/>
  <c r="H27" i="4"/>
  <c r="I27" i="4" s="1"/>
  <c r="H22" i="4"/>
  <c r="H23" i="4"/>
  <c r="I23" i="4" s="1"/>
  <c r="H28" i="4"/>
  <c r="I28" i="4" s="1"/>
  <c r="H29" i="4"/>
  <c r="I29" i="4" s="1"/>
  <c r="H24" i="4"/>
  <c r="I24" i="4" s="1"/>
  <c r="H25" i="4"/>
  <c r="I25" i="4" s="1"/>
  <c r="H11" i="4"/>
  <c r="I11" i="4" s="1"/>
  <c r="H6" i="4"/>
  <c r="I6" i="4" s="1"/>
  <c r="H12" i="4"/>
  <c r="I12" i="4" s="1"/>
  <c r="H7" i="4"/>
  <c r="I7" i="4" s="1"/>
  <c r="H13" i="4"/>
  <c r="I13" i="4" s="1"/>
  <c r="H4" i="4"/>
  <c r="I4" i="4" s="1"/>
  <c r="H8" i="4"/>
  <c r="I8" i="4" s="1"/>
  <c r="H14" i="4"/>
  <c r="I14" i="4" s="1"/>
  <c r="H9" i="4"/>
  <c r="I9" i="4" s="1"/>
  <c r="H15" i="4"/>
  <c r="I15" i="4" s="1"/>
  <c r="H10" i="4"/>
  <c r="I10" i="4" s="1"/>
  <c r="H5" i="4"/>
  <c r="I5" i="4" s="1"/>
  <c r="I16" i="4" l="1"/>
  <c r="D36" i="4" s="1"/>
  <c r="I22" i="4"/>
  <c r="I30" i="4" s="1"/>
  <c r="D37" i="4" s="1"/>
  <c r="H30" i="4"/>
  <c r="C37" i="4" s="1"/>
  <c r="H16" i="4"/>
  <c r="C36" i="4" s="1"/>
  <c r="D38" i="4" l="1"/>
  <c r="C6" i="5"/>
  <c r="C9" i="5" s="1"/>
  <c r="C38" i="4"/>
  <c r="B6" i="5" s="1"/>
  <c r="B9" i="5" s="1"/>
  <c r="B11" i="5" l="1"/>
  <c r="B3" i="9"/>
  <c r="B4" i="9" s="1"/>
  <c r="B5" i="9" s="1"/>
  <c r="B6" i="9" s="1"/>
  <c r="B7" i="9" s="1"/>
  <c r="B8" i="9" s="1"/>
  <c r="B9" i="9" s="1"/>
  <c r="B10" i="9" s="1"/>
  <c r="C11" i="5"/>
  <c r="C3" i="9"/>
  <c r="C4" i="9" s="1"/>
  <c r="C5" i="9" s="1"/>
  <c r="C6" i="9" s="1"/>
  <c r="C7" i="9" s="1"/>
  <c r="C8" i="9" s="1"/>
  <c r="C9" i="9" s="1"/>
  <c r="C10" i="9" s="1"/>
  <c r="D7" i="9" l="1"/>
  <c r="D9" i="9"/>
  <c r="D4" i="9"/>
  <c r="D5" i="9"/>
  <c r="D8" i="9"/>
  <c r="D10" i="9"/>
  <c r="F4" i="9" l="1"/>
  <c r="E4" i="9"/>
  <c r="F10" i="9"/>
  <c r="E10" i="9"/>
  <c r="F5" i="9"/>
  <c r="E5" i="9"/>
  <c r="F9" i="9"/>
  <c r="E9" i="9"/>
  <c r="F7" i="9"/>
  <c r="E7" i="9"/>
  <c r="F8" i="9"/>
  <c r="E8" i="9"/>
  <c r="D6" i="9" l="1"/>
  <c r="F6" i="9" l="1"/>
  <c r="E6" i="9"/>
  <c r="D3" i="9"/>
  <c r="F3" i="9" l="1"/>
  <c r="E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66" authorId="0" shapeId="0" xr:uid="{2273BA6E-7EFF-4BC5-85AC-AB983D8AE75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data in literature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61" authorId="0" shapeId="0" xr:uid="{F0FE7F18-AB50-49B5-96C2-4F86B307E1C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From assumption</t>
        </r>
      </text>
    </comment>
  </commentList>
</comments>
</file>

<file path=xl/sharedStrings.xml><?xml version="1.0" encoding="utf-8"?>
<sst xmlns="http://schemas.openxmlformats.org/spreadsheetml/2006/main" count="423" uniqueCount="294">
  <si>
    <t>Total</t>
  </si>
  <si>
    <t>Detail Items</t>
  </si>
  <si>
    <t>% of total cost</t>
  </si>
  <si>
    <t>Capital Cost</t>
  </si>
  <si>
    <t>Medical equipments</t>
  </si>
  <si>
    <t>Clinic equipments</t>
  </si>
  <si>
    <t>Total Capital Cost</t>
  </si>
  <si>
    <t>Recurrent Cost</t>
  </si>
  <si>
    <t>Staff Salary</t>
  </si>
  <si>
    <t>Supply</t>
  </si>
  <si>
    <t>Total Recurrent Cost</t>
  </si>
  <si>
    <t>Grant Total</t>
  </si>
  <si>
    <t>Salaries</t>
  </si>
  <si>
    <t>Position of staff</t>
  </si>
  <si>
    <t>Annual Cost</t>
  </si>
  <si>
    <t>Total Cost</t>
  </si>
  <si>
    <t xml:space="preserve"># </t>
  </si>
  <si>
    <t>Unit price</t>
  </si>
  <si>
    <t>Comments</t>
  </si>
  <si>
    <t>Operational Expenditure</t>
  </si>
  <si>
    <t>Cost item</t>
  </si>
  <si>
    <t>Maintenance</t>
  </si>
  <si>
    <t>Promotional / Awareness Expense</t>
  </si>
  <si>
    <t>Video graphy / video message</t>
  </si>
  <si>
    <t>Digital Colposcopy Machine</t>
  </si>
  <si>
    <t>Cuscos speculum</t>
  </si>
  <si>
    <t>Acetic acid</t>
  </si>
  <si>
    <t>lugols iodine</t>
  </si>
  <si>
    <t>volsellum</t>
  </si>
  <si>
    <t>Sample pot</t>
  </si>
  <si>
    <t>Formalin</t>
  </si>
  <si>
    <t>Koplin Jar</t>
  </si>
  <si>
    <t>5 CC syringe</t>
  </si>
  <si>
    <t>Punch Biopsy forceps</t>
  </si>
  <si>
    <t>Micropore tape</t>
  </si>
  <si>
    <t>type</t>
  </si>
  <si>
    <t>unit</t>
  </si>
  <si>
    <t>bottle</t>
  </si>
  <si>
    <t>piece</t>
  </si>
  <si>
    <t>Medical Equipments</t>
  </si>
  <si>
    <t>Clinic Equipments</t>
  </si>
  <si>
    <t>Barishal City Corporation</t>
  </si>
  <si>
    <t>Chattogram City Corporation</t>
  </si>
  <si>
    <t>Comilla City Corporation</t>
  </si>
  <si>
    <t>Dhaka North City Corporation</t>
  </si>
  <si>
    <t>Dhaka South City Corporation</t>
  </si>
  <si>
    <t>Gazipur City Corporation</t>
  </si>
  <si>
    <t>Narayanganj City Corporation</t>
  </si>
  <si>
    <t>Khulna City Corporation</t>
  </si>
  <si>
    <t>Mymensingh City Corporation</t>
  </si>
  <si>
    <t>Rajshahi City Corporation</t>
  </si>
  <si>
    <t>Rangpur City Corporation</t>
  </si>
  <si>
    <t>Sylhet City Corporation</t>
  </si>
  <si>
    <t>Name of City Corporation</t>
  </si>
  <si>
    <t>Population</t>
  </si>
  <si>
    <t>SN</t>
  </si>
  <si>
    <t>Comment</t>
  </si>
  <si>
    <t>Spot Cost</t>
  </si>
  <si>
    <t>Grand Total</t>
  </si>
  <si>
    <t>Name</t>
  </si>
  <si>
    <t>Gloves</t>
  </si>
  <si>
    <t>Total Screenable population</t>
  </si>
  <si>
    <t xml:space="preserve"> Male</t>
  </si>
  <si>
    <t xml:space="preserve"> Female</t>
  </si>
  <si>
    <t>Age Group</t>
  </si>
  <si>
    <t>30-34</t>
  </si>
  <si>
    <t>35-39</t>
  </si>
  <si>
    <t>40-44</t>
  </si>
  <si>
    <t>45-49</t>
  </si>
  <si>
    <t>50-54</t>
  </si>
  <si>
    <t>55-59</t>
  </si>
  <si>
    <t>National Percentage</t>
  </si>
  <si>
    <t>Total Population</t>
  </si>
  <si>
    <t>National Total</t>
  </si>
  <si>
    <t>Male</t>
  </si>
  <si>
    <t>Female</t>
  </si>
  <si>
    <t>Population of Bangladesh</t>
  </si>
  <si>
    <t>Screening</t>
  </si>
  <si>
    <t>Nation wide screening cost</t>
  </si>
  <si>
    <t>Referral card</t>
  </si>
  <si>
    <t>pack</t>
  </si>
  <si>
    <t>per card</t>
  </si>
  <si>
    <t>per month</t>
  </si>
  <si>
    <t>Spot Light / Focus Light</t>
  </si>
  <si>
    <t>set</t>
  </si>
  <si>
    <t>Sponge holding forceps</t>
  </si>
  <si>
    <t>Autoclave Machine</t>
  </si>
  <si>
    <t>Sterilize Drum: 9*9</t>
  </si>
  <si>
    <t>Cotton</t>
  </si>
  <si>
    <t>pounds</t>
  </si>
  <si>
    <t>Monthly Cost</t>
  </si>
  <si>
    <t>Annual</t>
  </si>
  <si>
    <t>Supplies</t>
  </si>
  <si>
    <t>Operational expense</t>
  </si>
  <si>
    <t>Promotional</t>
  </si>
  <si>
    <t>Total cost from urban screening</t>
  </si>
  <si>
    <t>Total cost from rural screeing</t>
  </si>
  <si>
    <t>Screenable Population</t>
  </si>
  <si>
    <t>Oral</t>
  </si>
  <si>
    <t>Breast</t>
  </si>
  <si>
    <t>Cervical</t>
  </si>
  <si>
    <t>Name of Cancer</t>
  </si>
  <si>
    <t>Men and Women over 30</t>
  </si>
  <si>
    <t>All women over 30</t>
  </si>
  <si>
    <t>Inclusion Criteria</t>
  </si>
  <si>
    <t>Annual cost of program per person</t>
  </si>
  <si>
    <t>Cost</t>
  </si>
  <si>
    <t>Benefit</t>
  </si>
  <si>
    <t>Benefit-cost ratio</t>
  </si>
  <si>
    <t>Union Cost</t>
  </si>
  <si>
    <t>Case</t>
  </si>
  <si>
    <t># per CC</t>
  </si>
  <si>
    <t># per union</t>
  </si>
  <si>
    <t>Total Cost - union</t>
  </si>
  <si>
    <t>Min Lifetime</t>
  </si>
  <si>
    <t>Galipot</t>
  </si>
  <si>
    <t>10 CC syringe</t>
  </si>
  <si>
    <t>Bucket</t>
  </si>
  <si>
    <t>Bowl</t>
  </si>
  <si>
    <t>Basket</t>
  </si>
  <si>
    <t>Bleaching powder</t>
  </si>
  <si>
    <t>kg</t>
  </si>
  <si>
    <t># in union</t>
  </si>
  <si>
    <t># in CC</t>
  </si>
  <si>
    <t>Annual cost per union</t>
  </si>
  <si>
    <t>Total Annual Capital Cost Per Union</t>
  </si>
  <si>
    <t>Total Annual Recurrent Cost Per Union</t>
  </si>
  <si>
    <t>Salary /Incentive</t>
  </si>
  <si>
    <t>Registration booth assistance (CHCP) per union</t>
  </si>
  <si>
    <t>Assistant per union</t>
  </si>
  <si>
    <t>Nurse per union</t>
  </si>
  <si>
    <t>Monthly Cost in Union</t>
  </si>
  <si>
    <t>Annual Operational Cost per Union</t>
  </si>
  <si>
    <t>Annual Staff Salary per union</t>
  </si>
  <si>
    <t>Monthly Cost per CC</t>
  </si>
  <si>
    <t>Annual promotional cost per union</t>
  </si>
  <si>
    <t>#  in CC per year</t>
  </si>
  <si>
    <t>#  in CC per quarter-year</t>
  </si>
  <si>
    <t># in union per year</t>
  </si>
  <si>
    <t>Annual  Cost</t>
  </si>
  <si>
    <t>Annual cost of supplies per union</t>
  </si>
  <si>
    <t>BDT - Annual</t>
  </si>
  <si>
    <t># in upazilla</t>
  </si>
  <si>
    <t># in upazilla per quarter-year</t>
  </si>
  <si>
    <t># in upazilla per year</t>
  </si>
  <si>
    <t>biopsy probe</t>
  </si>
  <si>
    <t>Training</t>
  </si>
  <si>
    <t>Maximum unit price</t>
  </si>
  <si>
    <t>Annual cost of supplies per upazilla</t>
  </si>
  <si>
    <t>Annual cost per upazilla</t>
  </si>
  <si>
    <t>Color Inkjet Printer</t>
  </si>
  <si>
    <t>Min Lifetime in years</t>
  </si>
  <si>
    <t>Cuscos speculum - medium</t>
  </si>
  <si>
    <t>Gloves surgical tape</t>
  </si>
  <si>
    <t>packs</t>
  </si>
  <si>
    <t>Total Annual Cost</t>
  </si>
  <si>
    <t>Duration (days)</t>
  </si>
  <si>
    <t>Designation of trainee</t>
  </si>
  <si>
    <t>Female medical officers</t>
  </si>
  <si>
    <t>Refreshment cost per day</t>
  </si>
  <si>
    <t>Annual training cost per upazilla</t>
  </si>
  <si>
    <t>Maintenance and Communication</t>
  </si>
  <si>
    <t>Monthly Cost  Lump Sum</t>
  </si>
  <si>
    <t>Annual Operational Cost per upazilla</t>
  </si>
  <si>
    <t>Number of union</t>
  </si>
  <si>
    <t>Grant Total Union</t>
  </si>
  <si>
    <t>Average annual cost per CC</t>
  </si>
  <si>
    <t>Upazilla Annual cost</t>
  </si>
  <si>
    <t>Total Annual Capital Cost</t>
  </si>
  <si>
    <t>Total Annual Recurrent Cost</t>
  </si>
  <si>
    <t>END OF WORKSHEET</t>
  </si>
  <si>
    <t>National Cost</t>
  </si>
  <si>
    <t>dedicated paid volunteer per union</t>
  </si>
  <si>
    <t>Resource Persion</t>
  </si>
  <si>
    <t>TA Alowance</t>
  </si>
  <si>
    <t>Paurashava/Municipality</t>
  </si>
  <si>
    <t>Barishal</t>
  </si>
  <si>
    <t>Chattogram</t>
  </si>
  <si>
    <t>Dhaka</t>
  </si>
  <si>
    <t>Khulna</t>
  </si>
  <si>
    <t>Mymensingh</t>
  </si>
  <si>
    <t>Rajshahi</t>
  </si>
  <si>
    <t>Rangpur</t>
  </si>
  <si>
    <t>Sylhet</t>
  </si>
  <si>
    <t>Municipality</t>
  </si>
  <si>
    <t>Name of Division</t>
  </si>
  <si>
    <t>Utilities</t>
  </si>
  <si>
    <t>Communication (Phone bill only)</t>
  </si>
  <si>
    <t>Snacks</t>
  </si>
  <si>
    <t>Leaflet</t>
  </si>
  <si>
    <t>Sign Board</t>
  </si>
  <si>
    <t>single unit</t>
  </si>
  <si>
    <t>Cost per CC</t>
  </si>
  <si>
    <t>Cost in Union</t>
  </si>
  <si>
    <t>Yard Meeting Banner</t>
  </si>
  <si>
    <t>single unit - national level</t>
  </si>
  <si>
    <t>Lifetime</t>
  </si>
  <si>
    <t>National Level</t>
  </si>
  <si>
    <t>Probe for breast sonography / ultrasound</t>
  </si>
  <si>
    <t>Amount</t>
  </si>
  <si>
    <t>Cost per day of training</t>
  </si>
  <si>
    <t>Total training cost</t>
  </si>
  <si>
    <t xml:space="preserve">Per Session Allowance </t>
  </si>
  <si>
    <t>Sample Test</t>
  </si>
  <si>
    <t>Union</t>
  </si>
  <si>
    <t>Community Clinic</t>
  </si>
  <si>
    <t>Item</t>
  </si>
  <si>
    <t>National</t>
  </si>
  <si>
    <t>Total Annual Test Cost</t>
  </si>
  <si>
    <t>Charge</t>
  </si>
  <si>
    <t>Testing Charge</t>
  </si>
  <si>
    <t>Number of UHC</t>
  </si>
  <si>
    <t>Cost per UHC</t>
  </si>
  <si>
    <t>Note 1: Census 2022 is data source</t>
  </si>
  <si>
    <t>Note 2: Number of upazilla is 495 according to Census 2022, but according to DGHS dashboard, number of UHC is 433</t>
  </si>
  <si>
    <t>Total Cost from Tertiary Facility</t>
  </si>
  <si>
    <t>Referred Case in a month</t>
  </si>
  <si>
    <t>Per Union</t>
  </si>
  <si>
    <t>Per sample</t>
  </si>
  <si>
    <t>Urban</t>
  </si>
  <si>
    <t>City Corporation</t>
  </si>
  <si>
    <t>Note: Cost calculation for Community Clinics used the data from Nauli Pliot</t>
  </si>
  <si>
    <t>Note: Lifetime is collected through internet search. All life years is minimum</t>
  </si>
  <si>
    <t>Note: Unit Prices are market price</t>
  </si>
  <si>
    <t>Note: For Union, multiplied the cost of CC by 3</t>
  </si>
  <si>
    <t>Note: Multiplied by 3 for union and again by 3 for quarter to year conversion</t>
  </si>
  <si>
    <t>Note: The amount of supplied were originally given in quarters</t>
  </si>
  <si>
    <t>Note: For items with lifeyears more than 1, we discounted the future costs</t>
  </si>
  <si>
    <t>Note: Nurses - Roster basis - 2 days per CC</t>
  </si>
  <si>
    <t>Note: Assitants - Roster basis - 2 days per CC</t>
  </si>
  <si>
    <t>Note: Incentive for CHCP - service purchase concept</t>
  </si>
  <si>
    <t>Note: 2 voulnteers for each CC</t>
  </si>
  <si>
    <t>Supplements</t>
  </si>
  <si>
    <t>Grade 10 Gross Salary
1. Basic (min) 16,000
2. Rent (40% of basic): 6,400 
3. Medical: 1,500 
4. Other Allowance - Equal to one month of gross salary - 23,900 annual - 1992 monthly
- 13 months salary</t>
  </si>
  <si>
    <t>Grade 13 Gross Salary
1. Basic (min) 11,000
2. Rent (40% of basic): 4,400 
3. Medical: 1,500 
4. Other allowances - 16,090 annual, 1408 monthly</t>
  </si>
  <si>
    <t>Note: Annualization Factor Formula = Total cost * ((r*(1+r)^(n))/((1+r)^(n) - 1)), where discount factor, r = 3%, lifetime = n</t>
  </si>
  <si>
    <t>Note: All price are market price</t>
  </si>
  <si>
    <t>Note: All price from voucher</t>
  </si>
  <si>
    <t>Note: Multiplied by 3 for quarter to year conversion</t>
  </si>
  <si>
    <t>Assumption</t>
  </si>
  <si>
    <t>Assumption 1: Screenabl population is age 30 to 59 years</t>
  </si>
  <si>
    <t>Cost Side</t>
  </si>
  <si>
    <t>Number of CC (est.)</t>
  </si>
  <si>
    <t>Rural</t>
  </si>
  <si>
    <t>Area</t>
  </si>
  <si>
    <t>Per rural spot i.e., community clinic</t>
  </si>
  <si>
    <t>Total rural</t>
  </si>
  <si>
    <t>SOURCE: POPULATION &amp; HOUSING CENSUS 2022 NATIONAL REPORT (Volume 1)</t>
  </si>
  <si>
    <t>Annual Cost Per GP Center</t>
  </si>
  <si>
    <t>Total Urban centers</t>
  </si>
  <si>
    <t>Centers required</t>
  </si>
  <si>
    <t>Sub Total Per City Corporation (BDT)</t>
  </si>
  <si>
    <t>Sub Total Per City Corporation (USD)</t>
  </si>
  <si>
    <t>Sub Total Per Division (BDT)</t>
  </si>
  <si>
    <t>Sub Total Per Division (USD)</t>
  </si>
  <si>
    <t>Sub Total (BDT)</t>
  </si>
  <si>
    <t>Sub Total (USD)</t>
  </si>
  <si>
    <t>Total Cost (BDT)</t>
  </si>
  <si>
    <t>Total Cost (USD)</t>
  </si>
  <si>
    <t>USD - Annual</t>
  </si>
  <si>
    <t>Cost per union spots (BDT)</t>
  </si>
  <si>
    <t>Cost per union spots (USD)</t>
  </si>
  <si>
    <t>Total Cost from Union (USD)</t>
  </si>
  <si>
    <t>Total Cost from Union (BDT)</t>
  </si>
  <si>
    <t>Total Cost form UHC (BDT)</t>
  </si>
  <si>
    <t>Total Cost form UHC (USD)</t>
  </si>
  <si>
    <t>Total cost - Rural (BDT)</t>
  </si>
  <si>
    <t>Total cost - Rural (USD)</t>
  </si>
  <si>
    <t>Annual Cost (BDT)</t>
  </si>
  <si>
    <t>Annual Cost (USD)</t>
  </si>
  <si>
    <t>Per GP Center in ward</t>
  </si>
  <si>
    <t>GP Centers Required</t>
  </si>
  <si>
    <t xml:space="preserve">Total urban </t>
  </si>
  <si>
    <t>Cost Per Month (USD)</t>
  </si>
  <si>
    <t>Cost Per Month (BDT)</t>
  </si>
  <si>
    <t>Number of Wards with 9,000 - 18,000 Population</t>
  </si>
  <si>
    <t>Number of Wards &gt; 18,000 Population</t>
  </si>
  <si>
    <t>Number of Wards with (&lt;)  9,000 Population</t>
  </si>
  <si>
    <t>Case 5 uses 50 percent reduction in incidence</t>
  </si>
  <si>
    <t>Case 6 uses 70 percent reduction in incidence</t>
  </si>
  <si>
    <t>Case 1 uses 5 percent reduction in incidence</t>
  </si>
  <si>
    <t>Case 2 uses 10 percent reduction in incidence</t>
  </si>
  <si>
    <t>Case 3 uses 20 percent reduction in incidence</t>
  </si>
  <si>
    <t>Case 7 uses 80 percent reduction in incidence</t>
  </si>
  <si>
    <t>Case 8 uses 90 percent reduction in incidence</t>
  </si>
  <si>
    <t>Case 4 uses incidence reduction rate mentioned in literature</t>
  </si>
  <si>
    <t>BDT</t>
  </si>
  <si>
    <t>USD</t>
  </si>
  <si>
    <t>Exchange rate</t>
  </si>
  <si>
    <t>Note: Unit Priices are used from the Project Voucher</t>
  </si>
  <si>
    <t>Cost-Benefit Analysis of a Nationally Organized Community-Based Cancer Screening Program in Bangladesh: A Health Systems Investment Perspective</t>
  </si>
  <si>
    <t>Note 1: There are 4596 unions in Bangladesh</t>
  </si>
  <si>
    <t>Note 2: We have 3 CC in a union</t>
  </si>
  <si>
    <t>Note 3: Total urban spots needed are 4874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</si>
</sst>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[$৳-845]_-;\-* #,##0[$৳-845]_-;_-* &quot;-&quot;??[$৳-845]_-;_-@_-"/>
    <numFmt numFmtId="166" formatCode="_-* #,##0.00[$৳-845]_-;\-* #,##0.00[$৳-845]_-;_-* &quot;-&quot;??[$৳-845]_-;_-@_-"/>
    <numFmt numFmtId="167" formatCode="#,##0[$৳-845]"/>
    <numFmt numFmtId="168" formatCode="_(&quot;$&quot;* #,##0_);_(&quot;$&quot;* \(#,##0\);_(&quot;$&quot;* &quot;-&quot;??_);_(@_)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Times New Roman"/>
      <family val="1"/>
    </font>
    <font>
      <sz val="11"/>
      <name val="Aptos Narrow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9"/>
      <color rgb="FFFF0000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i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3" fontId="0" fillId="0" borderId="1" xfId="0" applyNumberFormat="1" applyBorder="1"/>
    <xf numFmtId="0" fontId="0" fillId="0" borderId="1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13" xfId="0" applyFont="1" applyBorder="1"/>
    <xf numFmtId="164" fontId="0" fillId="0" borderId="11" xfId="1" applyNumberFormat="1" applyFont="1" applyBorder="1"/>
    <xf numFmtId="164" fontId="0" fillId="0" borderId="16" xfId="1" applyNumberFormat="1" applyFont="1" applyBorder="1"/>
    <xf numFmtId="164" fontId="0" fillId="0" borderId="9" xfId="1" applyNumberFormat="1" applyFont="1" applyBorder="1"/>
    <xf numFmtId="0" fontId="9" fillId="0" borderId="0" xfId="0" applyFont="1"/>
    <xf numFmtId="164" fontId="3" fillId="0" borderId="3" xfId="1" applyNumberFormat="1" applyFont="1" applyBorder="1" applyAlignment="1">
      <alignment horizontal="left"/>
    </xf>
    <xf numFmtId="164" fontId="3" fillId="0" borderId="2" xfId="1" applyNumberFormat="1" applyFont="1" applyBorder="1"/>
    <xf numFmtId="164" fontId="2" fillId="0" borderId="1" xfId="1" applyNumberFormat="1" applyFont="1" applyBorder="1"/>
    <xf numFmtId="164" fontId="0" fillId="0" borderId="0" xfId="1" applyNumberFormat="1" applyFont="1" applyBorder="1"/>
    <xf numFmtId="164" fontId="2" fillId="0" borderId="0" xfId="0" applyNumberFormat="1" applyFont="1"/>
    <xf numFmtId="164" fontId="0" fillId="0" borderId="0" xfId="1" applyNumberFormat="1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164" fontId="12" fillId="0" borderId="1" xfId="1" applyNumberFormat="1" applyFont="1" applyBorder="1" applyAlignment="1">
      <alignment vertical="center" wrapText="1"/>
    </xf>
    <xf numFmtId="164" fontId="4" fillId="0" borderId="0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horizontal="left"/>
    </xf>
    <xf numFmtId="164" fontId="4" fillId="0" borderId="7" xfId="1" applyNumberFormat="1" applyFont="1" applyBorder="1"/>
    <xf numFmtId="164" fontId="3" fillId="0" borderId="1" xfId="1" applyNumberFormat="1" applyFont="1" applyBorder="1"/>
    <xf numFmtId="164" fontId="4" fillId="0" borderId="1" xfId="1" applyNumberFormat="1" applyFont="1" applyBorder="1" applyAlignment="1">
      <alignment horizontal="left"/>
    </xf>
    <xf numFmtId="164" fontId="4" fillId="0" borderId="1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center"/>
    </xf>
    <xf numFmtId="164" fontId="3" fillId="0" borderId="20" xfId="1" applyNumberFormat="1" applyFont="1" applyBorder="1" applyAlignment="1">
      <alignment horizontal="left"/>
    </xf>
    <xf numFmtId="164" fontId="3" fillId="0" borderId="18" xfId="1" applyNumberFormat="1" applyFont="1" applyBorder="1"/>
    <xf numFmtId="0" fontId="4" fillId="0" borderId="1" xfId="0" applyFont="1" applyBorder="1"/>
    <xf numFmtId="0" fontId="4" fillId="0" borderId="0" xfId="0" applyFont="1"/>
    <xf numFmtId="165" fontId="14" fillId="0" borderId="2" xfId="1" applyNumberFormat="1" applyFont="1" applyBorder="1" applyAlignment="1">
      <alignment horizontal="center" vertical="center" wrapText="1"/>
    </xf>
    <xf numFmtId="164" fontId="4" fillId="0" borderId="0" xfId="1" applyNumberFormat="1" applyFont="1" applyBorder="1"/>
    <xf numFmtId="164" fontId="3" fillId="0" borderId="0" xfId="1" applyNumberFormat="1" applyFont="1" applyFill="1" applyBorder="1" applyAlignment="1"/>
    <xf numFmtId="164" fontId="4" fillId="0" borderId="0" xfId="1" applyNumberFormat="1" applyFont="1"/>
    <xf numFmtId="164" fontId="15" fillId="2" borderId="1" xfId="1" applyNumberFormat="1" applyFont="1" applyFill="1" applyBorder="1" applyAlignment="1">
      <alignment vertical="center" wrapText="1"/>
    </xf>
    <xf numFmtId="164" fontId="3" fillId="2" borderId="8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9" xfId="1" applyNumberFormat="1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/>
    <xf numFmtId="165" fontId="3" fillId="0" borderId="1" xfId="0" applyNumberFormat="1" applyFont="1" applyBorder="1"/>
    <xf numFmtId="164" fontId="3" fillId="0" borderId="0" xfId="0" applyNumberFormat="1" applyFont="1"/>
    <xf numFmtId="164" fontId="3" fillId="2" borderId="10" xfId="1" applyNumberFormat="1" applyFont="1" applyFill="1" applyBorder="1" applyAlignment="1">
      <alignment horizontal="center" vertical="center" wrapText="1"/>
    </xf>
    <xf numFmtId="164" fontId="1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 applyAlignment="1">
      <alignment horizontal="center" vertical="center"/>
    </xf>
    <xf numFmtId="164" fontId="14" fillId="0" borderId="1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/>
    <xf numFmtId="164" fontId="4" fillId="0" borderId="1" xfId="1" applyNumberFormat="1" applyFont="1" applyBorder="1"/>
    <xf numFmtId="164" fontId="4" fillId="0" borderId="1" xfId="1" applyNumberFormat="1" applyFont="1" applyFill="1" applyBorder="1" applyAlignment="1"/>
    <xf numFmtId="165" fontId="3" fillId="0" borderId="1" xfId="1" applyNumberFormat="1" applyFont="1" applyBorder="1"/>
    <xf numFmtId="164" fontId="4" fillId="0" borderId="1" xfId="0" applyNumberFormat="1" applyFont="1" applyBorder="1"/>
    <xf numFmtId="164" fontId="3" fillId="0" borderId="4" xfId="1" applyNumberFormat="1" applyFont="1" applyBorder="1"/>
    <xf numFmtId="164" fontId="3" fillId="0" borderId="1" xfId="1" applyNumberFormat="1" applyFont="1" applyBorder="1" applyAlignment="1">
      <alignment horizontal="center"/>
    </xf>
    <xf numFmtId="165" fontId="4" fillId="0" borderId="1" xfId="0" applyNumberFormat="1" applyFont="1" applyBorder="1"/>
    <xf numFmtId="165" fontId="4" fillId="0" borderId="1" xfId="1" applyNumberFormat="1" applyFont="1" applyBorder="1"/>
    <xf numFmtId="0" fontId="3" fillId="0" borderId="1" xfId="0" applyFont="1" applyBorder="1"/>
    <xf numFmtId="0" fontId="17" fillId="0" borderId="1" xfId="0" applyFont="1" applyBorder="1"/>
    <xf numFmtId="0" fontId="4" fillId="0" borderId="7" xfId="0" applyFont="1" applyBorder="1"/>
    <xf numFmtId="164" fontId="18" fillId="0" borderId="7" xfId="1" applyNumberFormat="1" applyFont="1" applyFill="1" applyBorder="1" applyAlignment="1"/>
    <xf numFmtId="0" fontId="19" fillId="0" borderId="7" xfId="0" applyFont="1" applyBorder="1"/>
    <xf numFmtId="164" fontId="0" fillId="0" borderId="6" xfId="1" applyNumberFormat="1" applyFont="1" applyBorder="1"/>
    <xf numFmtId="3" fontId="2" fillId="0" borderId="1" xfId="0" applyNumberFormat="1" applyFont="1" applyBorder="1"/>
    <xf numFmtId="0" fontId="0" fillId="0" borderId="19" xfId="0" applyBorder="1"/>
    <xf numFmtId="0" fontId="13" fillId="0" borderId="10" xfId="0" applyFont="1" applyBorder="1"/>
    <xf numFmtId="0" fontId="0" fillId="0" borderId="5" xfId="0" applyBorder="1"/>
    <xf numFmtId="0" fontId="13" fillId="0" borderId="12" xfId="0" applyFont="1" applyBorder="1"/>
    <xf numFmtId="0" fontId="0" fillId="0" borderId="18" xfId="0" applyBorder="1"/>
    <xf numFmtId="0" fontId="13" fillId="0" borderId="17" xfId="0" applyFont="1" applyBorder="1"/>
    <xf numFmtId="0" fontId="0" fillId="0" borderId="6" xfId="0" applyBorder="1"/>
    <xf numFmtId="164" fontId="0" fillId="0" borderId="0" xfId="1" applyNumberFormat="1" applyFont="1" applyBorder="1" applyAlignment="1">
      <alignment horizontal="right"/>
    </xf>
    <xf numFmtId="164" fontId="1" fillId="0" borderId="0" xfId="1" applyNumberFormat="1" applyFont="1" applyBorder="1" applyAlignment="1">
      <alignment horizontal="right"/>
    </xf>
    <xf numFmtId="164" fontId="2" fillId="0" borderId="7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7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0" fillId="0" borderId="1" xfId="0" applyFont="1" applyBorder="1"/>
    <xf numFmtId="3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164" fontId="2" fillId="0" borderId="1" xfId="1" applyNumberFormat="1" applyFont="1" applyBorder="1" applyAlignment="1"/>
    <xf numFmtId="164" fontId="1" fillId="0" borderId="1" xfId="1" applyNumberFormat="1" applyFont="1" applyBorder="1"/>
    <xf numFmtId="3" fontId="0" fillId="0" borderId="8" xfId="0" applyNumberFormat="1" applyBorder="1"/>
    <xf numFmtId="164" fontId="21" fillId="0" borderId="1" xfId="1" applyNumberFormat="1" applyFont="1" applyBorder="1" applyAlignment="1">
      <alignment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top"/>
    </xf>
    <xf numFmtId="165" fontId="14" fillId="0" borderId="2" xfId="1" applyNumberFormat="1" applyFont="1" applyFill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/>
    <xf numFmtId="165" fontId="16" fillId="0" borderId="1" xfId="1" applyNumberFormat="1" applyFont="1" applyBorder="1"/>
    <xf numFmtId="164" fontId="23" fillId="2" borderId="8" xfId="1" applyNumberFormat="1" applyFont="1" applyFill="1" applyBorder="1" applyAlignment="1">
      <alignment vertical="center" wrapText="1"/>
    </xf>
    <xf numFmtId="164" fontId="4" fillId="0" borderId="0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horizontal="left"/>
    </xf>
    <xf numFmtId="0" fontId="2" fillId="3" borderId="1" xfId="0" applyFont="1" applyFill="1" applyBorder="1"/>
    <xf numFmtId="0" fontId="2" fillId="3" borderId="8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3" fillId="0" borderId="7" xfId="0" applyFont="1" applyBorder="1" applyAlignment="1">
      <alignment horizontal="right" vertical="center" wrapText="1"/>
    </xf>
    <xf numFmtId="0" fontId="3" fillId="0" borderId="7" xfId="0" applyFont="1" applyBorder="1"/>
    <xf numFmtId="0" fontId="4" fillId="0" borderId="6" xfId="0" applyFont="1" applyBorder="1"/>
    <xf numFmtId="164" fontId="21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10" fontId="4" fillId="0" borderId="1" xfId="2" applyNumberFormat="1" applyFont="1" applyBorder="1" applyAlignment="1">
      <alignment horizontal="center"/>
    </xf>
    <xf numFmtId="164" fontId="14" fillId="0" borderId="1" xfId="1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165" fontId="12" fillId="0" borderId="2" xfId="1" applyNumberFormat="1" applyFont="1" applyBorder="1" applyAlignment="1">
      <alignment horizontal="center" vertical="center" wrapText="1"/>
    </xf>
    <xf numFmtId="165" fontId="25" fillId="0" borderId="2" xfId="1" applyNumberFormat="1" applyFont="1" applyBorder="1" applyAlignment="1">
      <alignment horizontal="center" vertical="center" wrapText="1"/>
    </xf>
    <xf numFmtId="164" fontId="18" fillId="0" borderId="7" xfId="1" applyNumberFormat="1" applyFont="1" applyFill="1" applyBorder="1" applyAlignment="1">
      <alignment horizontal="center"/>
    </xf>
    <xf numFmtId="164" fontId="25" fillId="2" borderId="1" xfId="1" applyNumberFormat="1" applyFont="1" applyFill="1" applyBorder="1" applyAlignment="1">
      <alignment vertical="center" wrapText="1"/>
    </xf>
    <xf numFmtId="164" fontId="4" fillId="0" borderId="1" xfId="1" applyNumberFormat="1" applyFont="1" applyBorder="1" applyAlignment="1"/>
    <xf numFmtId="164" fontId="4" fillId="0" borderId="0" xfId="1" applyNumberFormat="1" applyFont="1" applyAlignment="1">
      <alignment horizontal="center"/>
    </xf>
    <xf numFmtId="164" fontId="12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vertical="center" wrapText="1"/>
    </xf>
    <xf numFmtId="166" fontId="12" fillId="0" borderId="2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/>
    <xf numFmtId="164" fontId="18" fillId="0" borderId="7" xfId="1" applyNumberFormat="1" applyFont="1" applyBorder="1"/>
    <xf numFmtId="164" fontId="18" fillId="0" borderId="0" xfId="1" applyNumberFormat="1" applyFont="1" applyFill="1" applyBorder="1" applyAlignment="1"/>
    <xf numFmtId="164" fontId="3" fillId="0" borderId="0" xfId="1" applyNumberFormat="1" applyFont="1" applyBorder="1"/>
    <xf numFmtId="164" fontId="18" fillId="0" borderId="0" xfId="1" applyNumberFormat="1" applyFont="1"/>
    <xf numFmtId="164" fontId="4" fillId="0" borderId="4" xfId="1" applyNumberFormat="1" applyFont="1" applyBorder="1" applyAlignment="1">
      <alignment vertical="top"/>
    </xf>
    <xf numFmtId="164" fontId="4" fillId="0" borderId="1" xfId="1" applyNumberFormat="1" applyFont="1" applyBorder="1" applyAlignment="1">
      <alignment vertical="top"/>
    </xf>
    <xf numFmtId="165" fontId="12" fillId="0" borderId="2" xfId="1" applyNumberFormat="1" applyFont="1" applyBorder="1" applyAlignment="1">
      <alignment horizontal="center" vertical="top" wrapText="1"/>
    </xf>
    <xf numFmtId="165" fontId="12" fillId="0" borderId="1" xfId="1" applyNumberFormat="1" applyFont="1" applyBorder="1" applyAlignment="1">
      <alignment horizontal="center" vertical="top" wrapText="1"/>
    </xf>
    <xf numFmtId="164" fontId="4" fillId="0" borderId="1" xfId="1" applyNumberFormat="1" applyFont="1" applyBorder="1" applyAlignment="1">
      <alignment vertical="top" wrapText="1"/>
    </xf>
    <xf numFmtId="164" fontId="4" fillId="0" borderId="4" xfId="1" applyNumberFormat="1" applyFont="1" applyBorder="1"/>
    <xf numFmtId="165" fontId="12" fillId="0" borderId="1" xfId="1" applyNumberFormat="1" applyFont="1" applyBorder="1" applyAlignment="1">
      <alignment horizontal="center" vertical="center" wrapText="1"/>
    </xf>
    <xf numFmtId="165" fontId="25" fillId="0" borderId="1" xfId="1" applyNumberFormat="1" applyFont="1" applyBorder="1" applyAlignment="1">
      <alignment horizontal="center" vertical="center" wrapText="1"/>
    </xf>
    <xf numFmtId="164" fontId="4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center" wrapText="1"/>
    </xf>
    <xf numFmtId="164" fontId="12" fillId="0" borderId="4" xfId="1" applyNumberFormat="1" applyFont="1" applyFill="1" applyBorder="1" applyAlignment="1">
      <alignment vertical="center"/>
    </xf>
    <xf numFmtId="165" fontId="12" fillId="0" borderId="0" xfId="1" applyNumberFormat="1" applyFont="1" applyFill="1" applyBorder="1" applyAlignment="1">
      <alignment horizontal="center" vertical="center" wrapText="1"/>
    </xf>
    <xf numFmtId="164" fontId="21" fillId="0" borderId="4" xfId="1" applyNumberFormat="1" applyFont="1" applyFill="1" applyBorder="1" applyAlignment="1">
      <alignment vertical="center"/>
    </xf>
    <xf numFmtId="165" fontId="21" fillId="0" borderId="2" xfId="1" applyNumberFormat="1" applyFont="1" applyBorder="1" applyAlignment="1">
      <alignment horizontal="center" vertical="center" wrapText="1"/>
    </xf>
    <xf numFmtId="165" fontId="21" fillId="0" borderId="0" xfId="1" applyNumberFormat="1" applyFont="1" applyFill="1" applyBorder="1" applyAlignment="1">
      <alignment horizontal="center" vertical="center" wrapText="1"/>
    </xf>
    <xf numFmtId="0" fontId="16" fillId="0" borderId="0" xfId="0" applyFont="1"/>
    <xf numFmtId="164" fontId="26" fillId="2" borderId="4" xfId="1" applyNumberFormat="1" applyFont="1" applyFill="1" applyBorder="1" applyAlignment="1">
      <alignment vertical="center" wrapText="1"/>
    </xf>
    <xf numFmtId="164" fontId="16" fillId="0" borderId="1" xfId="1" applyNumberFormat="1" applyFont="1" applyFill="1" applyBorder="1"/>
    <xf numFmtId="164" fontId="21" fillId="0" borderId="1" xfId="1" applyNumberFormat="1" applyFont="1" applyFill="1" applyBorder="1" applyAlignment="1">
      <alignment vertical="center" wrapText="1"/>
    </xf>
    <xf numFmtId="164" fontId="4" fillId="0" borderId="6" xfId="1" applyNumberFormat="1" applyFont="1" applyBorder="1"/>
    <xf numFmtId="164" fontId="4" fillId="0" borderId="0" xfId="1" applyNumberFormat="1" applyFont="1" applyFill="1"/>
    <xf numFmtId="164" fontId="14" fillId="0" borderId="4" xfId="1" applyNumberFormat="1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 wrapText="1"/>
    </xf>
    <xf numFmtId="165" fontId="3" fillId="0" borderId="1" xfId="1" applyNumberFormat="1" applyFont="1" applyFill="1" applyBorder="1"/>
    <xf numFmtId="164" fontId="16" fillId="0" borderId="1" xfId="1" applyNumberFormat="1" applyFont="1" applyBorder="1"/>
    <xf numFmtId="164" fontId="19" fillId="0" borderId="6" xfId="1" applyNumberFormat="1" applyFont="1" applyBorder="1"/>
    <xf numFmtId="164" fontId="4" fillId="0" borderId="1" xfId="1" applyNumberFormat="1" applyFont="1" applyFill="1" applyBorder="1" applyAlignment="1">
      <alignment horizontal="left"/>
    </xf>
    <xf numFmtId="165" fontId="14" fillId="0" borderId="1" xfId="1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164" fontId="4" fillId="0" borderId="17" xfId="1" applyNumberFormat="1" applyFont="1" applyFill="1" applyBorder="1" applyAlignment="1">
      <alignment vertical="center"/>
    </xf>
    <xf numFmtId="0" fontId="27" fillId="0" borderId="0" xfId="0" applyFont="1"/>
    <xf numFmtId="164" fontId="12" fillId="0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164" fontId="6" fillId="0" borderId="1" xfId="1" applyNumberFormat="1" applyFont="1" applyBorder="1"/>
    <xf numFmtId="165" fontId="6" fillId="0" borderId="1" xfId="0" applyNumberFormat="1" applyFont="1" applyBorder="1"/>
    <xf numFmtId="0" fontId="6" fillId="0" borderId="0" xfId="0" applyFont="1"/>
    <xf numFmtId="164" fontId="2" fillId="0" borderId="0" xfId="1" applyNumberFormat="1" applyFont="1" applyBorder="1" applyAlignment="1"/>
    <xf numFmtId="164" fontId="0" fillId="0" borderId="1" xfId="1" applyNumberFormat="1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164" fontId="28" fillId="0" borderId="1" xfId="1" applyNumberFormat="1" applyFont="1" applyBorder="1"/>
    <xf numFmtId="167" fontId="0" fillId="0" borderId="1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8" fontId="0" fillId="0" borderId="1" xfId="3" applyNumberFormat="1" applyFont="1" applyBorder="1"/>
    <xf numFmtId="168" fontId="2" fillId="0" borderId="1" xfId="3" applyNumberFormat="1" applyFont="1" applyBorder="1" applyAlignment="1">
      <alignment horizontal="right"/>
    </xf>
    <xf numFmtId="44" fontId="0" fillId="0" borderId="1" xfId="3" applyFont="1" applyBorder="1" applyAlignment="1">
      <alignment horizontal="right"/>
    </xf>
    <xf numFmtId="167" fontId="28" fillId="0" borderId="1" xfId="3" applyNumberFormat="1" applyFont="1" applyBorder="1" applyAlignment="1">
      <alignment horizontal="right"/>
    </xf>
    <xf numFmtId="168" fontId="4" fillId="0" borderId="1" xfId="3" applyNumberFormat="1" applyFont="1" applyBorder="1"/>
    <xf numFmtId="168" fontId="14" fillId="0" borderId="2" xfId="3" applyNumberFormat="1" applyFont="1" applyBorder="1" applyAlignment="1">
      <alignment horizontal="center" vertical="center" wrapText="1"/>
    </xf>
    <xf numFmtId="9" fontId="4" fillId="0" borderId="4" xfId="2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68" fontId="0" fillId="0" borderId="0" xfId="3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4" fontId="1" fillId="0" borderId="0" xfId="1" applyNumberFormat="1" applyFont="1" applyBorder="1"/>
    <xf numFmtId="164" fontId="28" fillId="0" borderId="1" xfId="1" applyNumberFormat="1" applyFont="1" applyFill="1" applyBorder="1" applyAlignment="1">
      <alignment horizontal="left"/>
    </xf>
    <xf numFmtId="164" fontId="28" fillId="0" borderId="1" xfId="1" applyNumberFormat="1" applyFont="1" applyFill="1" applyBorder="1"/>
    <xf numFmtId="164" fontId="1" fillId="0" borderId="1" xfId="1" applyNumberFormat="1" applyFont="1" applyBorder="1" applyAlignment="1">
      <alignment horizontal="left"/>
    </xf>
    <xf numFmtId="164" fontId="0" fillId="0" borderId="1" xfId="1" applyNumberFormat="1" applyFont="1" applyFill="1" applyBorder="1"/>
    <xf numFmtId="44" fontId="1" fillId="0" borderId="0" xfId="3" applyFont="1" applyBorder="1"/>
    <xf numFmtId="165" fontId="4" fillId="0" borderId="0" xfId="0" applyNumberFormat="1" applyFont="1"/>
    <xf numFmtId="168" fontId="0" fillId="0" borderId="0" xfId="3" applyNumberFormat="1" applyFont="1" applyBorder="1"/>
    <xf numFmtId="168" fontId="1" fillId="0" borderId="0" xfId="3" applyNumberFormat="1" applyFont="1" applyBorder="1"/>
    <xf numFmtId="0" fontId="0" fillId="0" borderId="0" xfId="0" applyAlignment="1">
      <alignment horizontal="right"/>
    </xf>
    <xf numFmtId="44" fontId="16" fillId="0" borderId="1" xfId="3" applyFont="1" applyBorder="1"/>
    <xf numFmtId="0" fontId="3" fillId="0" borderId="0" xfId="0" applyFont="1"/>
    <xf numFmtId="44" fontId="28" fillId="0" borderId="1" xfId="3" applyFont="1" applyBorder="1" applyAlignment="1">
      <alignment horizontal="right"/>
    </xf>
    <xf numFmtId="2" fontId="4" fillId="0" borderId="0" xfId="0" applyNumberFormat="1" applyFont="1"/>
    <xf numFmtId="164" fontId="6" fillId="0" borderId="0" xfId="1" applyNumberFormat="1" applyFont="1"/>
    <xf numFmtId="2" fontId="6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164" fontId="24" fillId="4" borderId="1" xfId="1" applyNumberFormat="1" applyFont="1" applyFill="1" applyBorder="1" applyAlignment="1">
      <alignment horizont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left"/>
    </xf>
    <xf numFmtId="164" fontId="6" fillId="0" borderId="4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left"/>
    </xf>
    <xf numFmtId="164" fontId="3" fillId="4" borderId="18" xfId="1" applyNumberFormat="1" applyFont="1" applyFill="1" applyBorder="1" applyAlignment="1">
      <alignment horizontal="center"/>
    </xf>
    <xf numFmtId="164" fontId="3" fillId="4" borderId="7" xfId="1" applyNumberFormat="1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21" xfId="1" applyNumberFormat="1" applyFont="1" applyBorder="1" applyAlignment="1">
      <alignment horizontal="center" vertical="center"/>
    </xf>
    <xf numFmtId="164" fontId="2" fillId="0" borderId="20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Border="1"/>
    <xf numFmtId="165" fontId="12" fillId="0" borderId="2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7781107</xdr:colOff>
      <xdr:row>6</xdr:row>
      <xdr:rowOff>106679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CF48D-24EE-4AD5-A0BC-023635C8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81107" cy="12039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2025\3.%20March\4.%20CBA%20Paper\1.%20CBA%20-%20Benefit\Benefit%20of%20Screening_v.5%2027Jan2025.xlsm" TargetMode="External"/><Relationship Id="rId1" Type="http://schemas.openxmlformats.org/officeDocument/2006/relationships/externalLinkPath" Target="/Users/HP/Desktop/2025/3.%20March/4.%20CBA%20Paper/1.%20CBA%20-%20Benefit/Benefit%20of%20Screening_v.5%2027Jan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1. Direct Cost Savings"/>
      <sheetName val="2. Indirect Cost Savings"/>
      <sheetName val="3. Intangible Cost Savings"/>
      <sheetName val="4. Provider Cost Difference"/>
      <sheetName val="5. Discounted Future Income"/>
      <sheetName val="6. Societal Costs"/>
      <sheetName val="7. National Cost Savings"/>
      <sheetName val="8. Sensitivity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53126152603.664749</v>
          </cell>
        </row>
      </sheetData>
      <sheetData sheetId="8">
        <row r="3">
          <cell r="L3">
            <v>7391799884.0207338</v>
          </cell>
        </row>
        <row r="4">
          <cell r="L4">
            <v>14783599768.041468</v>
          </cell>
        </row>
        <row r="5">
          <cell r="L5">
            <v>29567199536.082935</v>
          </cell>
        </row>
        <row r="6">
          <cell r="L6">
            <v>73917998840.207336</v>
          </cell>
        </row>
        <row r="7">
          <cell r="L7">
            <v>103485198376.29024</v>
          </cell>
        </row>
        <row r="8">
          <cell r="L8">
            <v>118268798144.33174</v>
          </cell>
        </row>
        <row r="9">
          <cell r="L9">
            <v>133052397912.37318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showGridLines="0" showRowColHeaders="0" workbookViewId="0">
      <selection activeCell="A13" sqref="A13"/>
    </sheetView>
  </sheetViews>
  <sheetFormatPr defaultRowHeight="14.4" x14ac:dyDescent="0.3"/>
  <cols>
    <col min="1" max="1" width="127.44140625" bestFit="1" customWidth="1"/>
  </cols>
  <sheetData>
    <row r="1" spans="1:1" x14ac:dyDescent="0.3">
      <c r="A1" s="1"/>
    </row>
    <row r="2" spans="1:1" x14ac:dyDescent="0.3">
      <c r="A2" s="26"/>
    </row>
    <row r="3" spans="1:1" x14ac:dyDescent="0.3">
      <c r="A3" s="26"/>
    </row>
    <row r="8" spans="1:1" ht="21" x14ac:dyDescent="0.4">
      <c r="A8" s="175" t="s">
        <v>290</v>
      </c>
    </row>
    <row r="10" spans="1:1" ht="21" x14ac:dyDescent="0.4">
      <c r="A10" s="175" t="s">
        <v>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zoomScale="60" zoomScaleNormal="60" workbookViewId="0">
      <selection activeCell="G92" sqref="G92"/>
    </sheetView>
  </sheetViews>
  <sheetFormatPr defaultColWidth="49.33203125" defaultRowHeight="13.8" x14ac:dyDescent="0.25"/>
  <cols>
    <col min="1" max="1" width="43.5546875" style="45" bestFit="1" customWidth="1"/>
    <col min="2" max="2" width="25.88671875" style="45" bestFit="1" customWidth="1"/>
    <col min="3" max="3" width="19.109375" style="45" bestFit="1" customWidth="1"/>
    <col min="4" max="4" width="20.44140625" style="45" bestFit="1" customWidth="1"/>
    <col min="5" max="5" width="18.33203125" style="45" customWidth="1"/>
    <col min="6" max="6" width="45.77734375" style="45" customWidth="1"/>
    <col min="7" max="7" width="26.5546875" style="45" bestFit="1" customWidth="1"/>
    <col min="8" max="8" width="62.6640625" style="45" customWidth="1"/>
    <col min="9" max="9" width="65.6640625" style="45" bestFit="1" customWidth="1"/>
    <col min="10" max="16384" width="49.33203125" style="45"/>
  </cols>
  <sheetData>
    <row r="1" spans="1:10" ht="15.6" x14ac:dyDescent="0.3">
      <c r="A1" s="221" t="s">
        <v>109</v>
      </c>
      <c r="B1" s="221"/>
      <c r="C1" s="221"/>
      <c r="D1" s="221"/>
      <c r="G1" s="41" t="s">
        <v>235</v>
      </c>
    </row>
    <row r="2" spans="1:10" x14ac:dyDescent="0.25">
      <c r="A2" s="20" t="s">
        <v>1</v>
      </c>
      <c r="B2" s="20"/>
      <c r="C2" s="21" t="s">
        <v>141</v>
      </c>
      <c r="D2" s="21" t="s">
        <v>259</v>
      </c>
      <c r="E2" s="20" t="s">
        <v>2</v>
      </c>
      <c r="G2" s="41"/>
    </row>
    <row r="3" spans="1:10" ht="15.6" x14ac:dyDescent="0.25">
      <c r="A3" s="222" t="s">
        <v>3</v>
      </c>
      <c r="B3" s="29" t="s">
        <v>4</v>
      </c>
      <c r="C3" s="130">
        <f>H25</f>
        <v>40903.866233082554</v>
      </c>
      <c r="D3" s="195">
        <f>C3/121.39</f>
        <v>336.96240409492179</v>
      </c>
      <c r="E3" s="197">
        <f t="shared" ref="E3:E11" si="0">(C3)/$C$11</f>
        <v>2.9836243279678154E-2</v>
      </c>
    </row>
    <row r="4" spans="1:10" ht="15.6" x14ac:dyDescent="0.25">
      <c r="A4" s="223"/>
      <c r="B4" s="29" t="s">
        <v>5</v>
      </c>
      <c r="C4" s="130">
        <f>H33</f>
        <v>6600</v>
      </c>
      <c r="D4" s="195">
        <f t="shared" ref="D4:D11" si="1">C4/121.39</f>
        <v>54.370211714309249</v>
      </c>
      <c r="E4" s="197">
        <f t="shared" si="0"/>
        <v>4.8141954240650715E-3</v>
      </c>
      <c r="G4" s="41"/>
    </row>
    <row r="5" spans="1:10" ht="15.6" x14ac:dyDescent="0.3">
      <c r="A5" s="224" t="s">
        <v>6</v>
      </c>
      <c r="B5" s="225"/>
      <c r="C5" s="130">
        <f>SUM(C3:C4)</f>
        <v>47503.866233082554</v>
      </c>
      <c r="D5" s="195">
        <f t="shared" si="1"/>
        <v>391.33261580923102</v>
      </c>
      <c r="E5" s="197">
        <f t="shared" si="0"/>
        <v>3.4650438703743222E-2</v>
      </c>
      <c r="G5" s="41"/>
    </row>
    <row r="6" spans="1:10" ht="15.6" x14ac:dyDescent="0.25">
      <c r="A6" s="222" t="s">
        <v>7</v>
      </c>
      <c r="B6" s="29" t="s">
        <v>8</v>
      </c>
      <c r="C6" s="130">
        <f>E55</f>
        <v>1106412</v>
      </c>
      <c r="D6" s="195">
        <f t="shared" si="1"/>
        <v>9114.5234368564124</v>
      </c>
      <c r="E6" s="197">
        <f t="shared" si="0"/>
        <v>0.80704296780767937</v>
      </c>
      <c r="G6" s="41"/>
    </row>
    <row r="7" spans="1:10" ht="15.6" x14ac:dyDescent="0.25">
      <c r="A7" s="226"/>
      <c r="B7" s="29" t="s">
        <v>93</v>
      </c>
      <c r="C7" s="130">
        <f>E64</f>
        <v>118080</v>
      </c>
      <c r="D7" s="195">
        <f t="shared" si="1"/>
        <v>972.73251503418737</v>
      </c>
      <c r="E7" s="197">
        <f t="shared" si="0"/>
        <v>8.6130332677818722E-2</v>
      </c>
      <c r="G7" s="41"/>
    </row>
    <row r="8" spans="1:10" ht="15.6" x14ac:dyDescent="0.25">
      <c r="A8" s="226"/>
      <c r="B8" s="29" t="s">
        <v>94</v>
      </c>
      <c r="C8" s="130">
        <f>G72</f>
        <v>18489.726670790198</v>
      </c>
      <c r="D8" s="195">
        <f t="shared" si="1"/>
        <v>152.31672024705657</v>
      </c>
      <c r="E8" s="197">
        <f t="shared" si="0"/>
        <v>1.3486842050110921E-2</v>
      </c>
      <c r="G8" s="41"/>
    </row>
    <row r="9" spans="1:10" ht="15.6" x14ac:dyDescent="0.25">
      <c r="A9" s="223"/>
      <c r="B9" s="30" t="s">
        <v>9</v>
      </c>
      <c r="C9" s="130">
        <f>G47</f>
        <v>80460</v>
      </c>
      <c r="D9" s="195">
        <f t="shared" si="1"/>
        <v>662.82230826262457</v>
      </c>
      <c r="E9" s="197">
        <f t="shared" si="0"/>
        <v>5.8689418760647823E-2</v>
      </c>
      <c r="G9" s="41"/>
    </row>
    <row r="10" spans="1:10" ht="15.6" x14ac:dyDescent="0.3">
      <c r="A10" s="224" t="s">
        <v>10</v>
      </c>
      <c r="B10" s="225"/>
      <c r="C10" s="130">
        <f>SUM(C6:C9)</f>
        <v>1323441.7266707902</v>
      </c>
      <c r="D10" s="195">
        <f>C10/121.39</f>
        <v>10902.394980400282</v>
      </c>
      <c r="E10" s="197">
        <f t="shared" si="0"/>
        <v>0.96534956129625682</v>
      </c>
      <c r="G10" s="41"/>
    </row>
    <row r="11" spans="1:10" ht="15.6" x14ac:dyDescent="0.3">
      <c r="A11" s="31" t="s">
        <v>165</v>
      </c>
      <c r="B11" s="31"/>
      <c r="C11" s="130">
        <f>SUM(C10,C5)</f>
        <v>1370945.5929038727</v>
      </c>
      <c r="D11" s="195">
        <f t="shared" si="1"/>
        <v>11293.727596209512</v>
      </c>
      <c r="E11" s="197">
        <f t="shared" si="0"/>
        <v>1</v>
      </c>
      <c r="G11" s="41"/>
    </row>
    <row r="12" spans="1:10" ht="15.6" x14ac:dyDescent="0.25">
      <c r="A12" s="32" t="s">
        <v>166</v>
      </c>
      <c r="B12" s="32"/>
      <c r="C12" s="130">
        <f>C11/3</f>
        <v>456981.86430129089</v>
      </c>
      <c r="D12" s="195">
        <f>C12/121.39</f>
        <v>3764.5758654031706</v>
      </c>
      <c r="E12" s="150"/>
      <c r="F12" s="41"/>
    </row>
    <row r="13" spans="1:10" x14ac:dyDescent="0.25">
      <c r="F13" s="41"/>
    </row>
    <row r="14" spans="1:10" x14ac:dyDescent="0.25">
      <c r="F14" s="41"/>
      <c r="H14" s="41"/>
    </row>
    <row r="15" spans="1:10" x14ac:dyDescent="0.25">
      <c r="H15" s="41"/>
    </row>
    <row r="16" spans="1:10" ht="17.399999999999999" x14ac:dyDescent="0.3">
      <c r="A16" s="76" t="s">
        <v>125</v>
      </c>
      <c r="B16" s="76"/>
      <c r="C16" s="76"/>
      <c r="D16" s="76"/>
      <c r="E16" s="132"/>
      <c r="F16" s="76"/>
      <c r="G16" s="76"/>
      <c r="H16" s="76"/>
      <c r="I16" s="132"/>
      <c r="J16" s="43"/>
    </row>
    <row r="17" spans="1:10" x14ac:dyDescent="0.25">
      <c r="G17" s="43"/>
      <c r="H17" s="43"/>
      <c r="I17" s="43"/>
      <c r="J17" s="43"/>
    </row>
    <row r="18" spans="1:10" ht="15.6" x14ac:dyDescent="0.25">
      <c r="A18" s="133" t="s">
        <v>39</v>
      </c>
    </row>
    <row r="19" spans="1:10" x14ac:dyDescent="0.25">
      <c r="A19" s="47" t="s">
        <v>20</v>
      </c>
      <c r="B19" s="47" t="s">
        <v>111</v>
      </c>
      <c r="C19" s="47" t="s">
        <v>112</v>
      </c>
      <c r="D19" s="47" t="s">
        <v>35</v>
      </c>
      <c r="E19" s="47" t="s">
        <v>17</v>
      </c>
      <c r="F19" s="47" t="s">
        <v>113</v>
      </c>
      <c r="G19" s="47" t="s">
        <v>114</v>
      </c>
      <c r="H19" s="49" t="s">
        <v>14</v>
      </c>
      <c r="I19" s="49" t="s">
        <v>18</v>
      </c>
    </row>
    <row r="20" spans="1:10" ht="15.6" x14ac:dyDescent="0.25">
      <c r="A20" s="64" t="s">
        <v>25</v>
      </c>
      <c r="B20" s="56">
        <v>20</v>
      </c>
      <c r="C20" s="56">
        <f>B20*3</f>
        <v>60</v>
      </c>
      <c r="D20" s="56" t="s">
        <v>36</v>
      </c>
      <c r="E20" s="55">
        <v>950</v>
      </c>
      <c r="F20" s="130">
        <f>PRODUCT(E20,C20)</f>
        <v>57000</v>
      </c>
      <c r="G20" s="53">
        <v>5</v>
      </c>
      <c r="H20" s="130">
        <f>F20*((0.03*(1+0.03)^5)/((1+0.03)^5 -1))</f>
        <v>12446.210569832843</v>
      </c>
      <c r="I20" s="134" t="s">
        <v>221</v>
      </c>
    </row>
    <row r="21" spans="1:10" ht="15.6" x14ac:dyDescent="0.25">
      <c r="A21" s="64" t="s">
        <v>85</v>
      </c>
      <c r="B21" s="56">
        <v>20</v>
      </c>
      <c r="C21" s="56">
        <f>B21*3</f>
        <v>60</v>
      </c>
      <c r="D21" s="56" t="s">
        <v>36</v>
      </c>
      <c r="E21" s="55">
        <v>850</v>
      </c>
      <c r="F21" s="130">
        <f>PRODUCT(E21,C21)</f>
        <v>51000</v>
      </c>
      <c r="G21" s="53">
        <v>5</v>
      </c>
      <c r="H21" s="130">
        <f>F21*((0.03*(1+0.03)^5)/((1+0.03)^5 -1))</f>
        <v>11136.083141429386</v>
      </c>
      <c r="I21" s="134" t="s">
        <v>289</v>
      </c>
    </row>
    <row r="22" spans="1:10" ht="15.6" x14ac:dyDescent="0.25">
      <c r="A22" s="64" t="s">
        <v>83</v>
      </c>
      <c r="B22" s="56">
        <v>1</v>
      </c>
      <c r="C22" s="56">
        <f>B22*3</f>
        <v>3</v>
      </c>
      <c r="D22" s="56" t="s">
        <v>84</v>
      </c>
      <c r="E22" s="55">
        <v>18500</v>
      </c>
      <c r="F22" s="130">
        <f>PRODUCT(E22,C22)</f>
        <v>55500</v>
      </c>
      <c r="G22" s="53">
        <v>5</v>
      </c>
      <c r="H22" s="130">
        <f>F22*((0.03*(1+0.03)^5)/((1+0.03)^5 -1))</f>
        <v>12118.67871273198</v>
      </c>
      <c r="I22" s="134" t="s">
        <v>222</v>
      </c>
    </row>
    <row r="23" spans="1:10" ht="15.6" x14ac:dyDescent="0.25">
      <c r="A23" s="64" t="s">
        <v>86</v>
      </c>
      <c r="B23" s="56">
        <v>1</v>
      </c>
      <c r="C23" s="56">
        <f>B23*3</f>
        <v>3</v>
      </c>
      <c r="D23" s="135" t="s">
        <v>38</v>
      </c>
      <c r="E23" s="55">
        <v>12000</v>
      </c>
      <c r="F23" s="130">
        <f>PRODUCT(E23,C23)</f>
        <v>36000</v>
      </c>
      <c r="G23" s="53">
        <v>10</v>
      </c>
      <c r="H23" s="130">
        <f>F23*((0.03*(1+0.03)^10)/((1+0.03)^10 -1))</f>
        <v>4220.298237785747</v>
      </c>
      <c r="I23" s="134" t="s">
        <v>224</v>
      </c>
    </row>
    <row r="24" spans="1:10" ht="15.6" x14ac:dyDescent="0.25">
      <c r="A24" s="64" t="s">
        <v>87</v>
      </c>
      <c r="B24" s="56">
        <v>2</v>
      </c>
      <c r="C24" s="56">
        <f>B24*3</f>
        <v>6</v>
      </c>
      <c r="D24" s="56" t="s">
        <v>38</v>
      </c>
      <c r="E24" s="55">
        <v>750</v>
      </c>
      <c r="F24" s="130">
        <f>PRODUCT(E24,C24)</f>
        <v>4500</v>
      </c>
      <c r="G24" s="53">
        <v>5</v>
      </c>
      <c r="H24" s="130">
        <f>F24*((0.03*(1+0.03)^5)/((1+0.03)^5 -1))</f>
        <v>982.59557130259293</v>
      </c>
      <c r="I24" s="134" t="s">
        <v>227</v>
      </c>
    </row>
    <row r="25" spans="1:10" ht="15.6" x14ac:dyDescent="0.25">
      <c r="A25" s="57" t="s">
        <v>124</v>
      </c>
      <c r="B25" s="56"/>
      <c r="C25" s="56"/>
      <c r="D25" s="55"/>
      <c r="E25" s="65"/>
      <c r="F25" s="65"/>
      <c r="G25" s="65"/>
      <c r="H25" s="131">
        <f>SUM(H20:H24)</f>
        <v>40903.866233082554</v>
      </c>
      <c r="I25" s="134"/>
    </row>
    <row r="28" spans="1:10" ht="15.6" x14ac:dyDescent="0.25">
      <c r="A28" s="133" t="s">
        <v>40</v>
      </c>
    </row>
    <row r="29" spans="1:10" x14ac:dyDescent="0.25">
      <c r="A29" s="48" t="s">
        <v>20</v>
      </c>
      <c r="B29" s="48" t="s">
        <v>123</v>
      </c>
      <c r="C29" s="48" t="s">
        <v>122</v>
      </c>
      <c r="D29" s="48" t="s">
        <v>35</v>
      </c>
      <c r="E29" s="48" t="s">
        <v>17</v>
      </c>
      <c r="F29" s="48" t="s">
        <v>15</v>
      </c>
      <c r="G29" s="48" t="s">
        <v>151</v>
      </c>
      <c r="H29" s="60" t="s">
        <v>14</v>
      </c>
      <c r="I29" s="49" t="s">
        <v>18</v>
      </c>
    </row>
    <row r="30" spans="1:10" ht="15.6" x14ac:dyDescent="0.25">
      <c r="A30" s="136" t="s">
        <v>117</v>
      </c>
      <c r="B30" s="56">
        <v>2</v>
      </c>
      <c r="C30" s="137">
        <f>B30*3</f>
        <v>6</v>
      </c>
      <c r="D30" s="56" t="s">
        <v>38</v>
      </c>
      <c r="E30" s="130">
        <v>500</v>
      </c>
      <c r="F30" s="130">
        <f>PRODUCT(E30,C30)</f>
        <v>3000</v>
      </c>
      <c r="G30" s="176">
        <v>1</v>
      </c>
      <c r="H30" s="139">
        <f>F30*G30</f>
        <v>3000</v>
      </c>
      <c r="I30" s="34" t="s">
        <v>223</v>
      </c>
    </row>
    <row r="31" spans="1:10" ht="15.6" x14ac:dyDescent="0.25">
      <c r="A31" s="64" t="s">
        <v>118</v>
      </c>
      <c r="B31" s="65">
        <v>1</v>
      </c>
      <c r="C31" s="137">
        <f t="shared" ref="C31:C32" si="2">B31*3</f>
        <v>3</v>
      </c>
      <c r="D31" s="56" t="s">
        <v>38</v>
      </c>
      <c r="E31" s="130">
        <v>200</v>
      </c>
      <c r="F31" s="130">
        <f>PRODUCT(E31,C31)</f>
        <v>600</v>
      </c>
      <c r="G31" s="66">
        <v>1</v>
      </c>
      <c r="H31" s="130">
        <f t="shared" ref="H31:H32" si="3">F31*G31</f>
        <v>600</v>
      </c>
      <c r="I31" s="34"/>
    </row>
    <row r="32" spans="1:10" ht="15.6" x14ac:dyDescent="0.25">
      <c r="A32" s="64" t="s">
        <v>119</v>
      </c>
      <c r="B32" s="65">
        <v>1</v>
      </c>
      <c r="C32" s="137">
        <f t="shared" si="2"/>
        <v>3</v>
      </c>
      <c r="D32" s="56" t="s">
        <v>38</v>
      </c>
      <c r="E32" s="130">
        <v>1000</v>
      </c>
      <c r="F32" s="130">
        <f>PRODUCT(E32,C32)</f>
        <v>3000</v>
      </c>
      <c r="G32" s="66">
        <v>1</v>
      </c>
      <c r="H32" s="130">
        <f t="shared" si="3"/>
        <v>3000</v>
      </c>
      <c r="I32" s="34"/>
    </row>
    <row r="33" spans="1:9" ht="15.6" x14ac:dyDescent="0.25">
      <c r="A33" s="57" t="s">
        <v>124</v>
      </c>
      <c r="B33" s="65"/>
      <c r="C33" s="65"/>
      <c r="D33" s="65"/>
      <c r="E33" s="65"/>
      <c r="F33" s="130"/>
      <c r="G33" s="65"/>
      <c r="H33" s="131">
        <f>SUM(H30:H32)</f>
        <v>6600</v>
      </c>
      <c r="I33" s="34"/>
    </row>
    <row r="35" spans="1:9" x14ac:dyDescent="0.25">
      <c r="E35" s="43"/>
    </row>
    <row r="36" spans="1:9" ht="17.399999999999999" x14ac:dyDescent="0.3">
      <c r="A36" s="76" t="s">
        <v>126</v>
      </c>
      <c r="B36" s="76"/>
      <c r="C36" s="76"/>
      <c r="D36" s="76"/>
      <c r="E36" s="76"/>
      <c r="F36" s="140"/>
      <c r="G36" s="141"/>
      <c r="H36" s="32"/>
      <c r="I36" s="32"/>
    </row>
    <row r="37" spans="1:9" ht="17.399999999999999" x14ac:dyDescent="0.3">
      <c r="A37" s="142"/>
      <c r="B37" s="142"/>
      <c r="C37" s="142"/>
      <c r="D37" s="142"/>
      <c r="E37" s="142"/>
      <c r="F37" s="143"/>
      <c r="G37" s="144"/>
    </row>
    <row r="38" spans="1:9" ht="15.6" x14ac:dyDescent="0.25">
      <c r="A38" s="133" t="s">
        <v>92</v>
      </c>
    </row>
    <row r="39" spans="1:9" x14ac:dyDescent="0.25">
      <c r="A39" s="47" t="s">
        <v>20</v>
      </c>
      <c r="B39" s="47" t="s">
        <v>137</v>
      </c>
      <c r="C39" s="47" t="s">
        <v>136</v>
      </c>
      <c r="D39" s="47" t="s">
        <v>35</v>
      </c>
      <c r="E39" s="47" t="s">
        <v>17</v>
      </c>
      <c r="F39" s="48" t="s">
        <v>138</v>
      </c>
      <c r="G39" s="47" t="s">
        <v>139</v>
      </c>
      <c r="H39" s="48" t="s">
        <v>18</v>
      </c>
    </row>
    <row r="40" spans="1:9" ht="15.6" x14ac:dyDescent="0.25">
      <c r="A40" s="64" t="s">
        <v>26</v>
      </c>
      <c r="B40" s="56">
        <v>1</v>
      </c>
      <c r="C40" s="65">
        <f>B40*3</f>
        <v>3</v>
      </c>
      <c r="D40" s="56" t="s">
        <v>37</v>
      </c>
      <c r="E40" s="130">
        <v>160</v>
      </c>
      <c r="F40" s="65">
        <f>C40*3</f>
        <v>9</v>
      </c>
      <c r="G40" s="130">
        <f>PRODUCT(F40,E40)</f>
        <v>1440</v>
      </c>
      <c r="H40" s="134" t="s">
        <v>225</v>
      </c>
    </row>
    <row r="41" spans="1:9" ht="15.6" x14ac:dyDescent="0.25">
      <c r="A41" s="64" t="s">
        <v>116</v>
      </c>
      <c r="B41" s="56">
        <v>50</v>
      </c>
      <c r="C41" s="65">
        <f t="shared" ref="C41:C46" si="4">B41*3</f>
        <v>150</v>
      </c>
      <c r="D41" s="56" t="s">
        <v>38</v>
      </c>
      <c r="E41" s="130">
        <v>10</v>
      </c>
      <c r="F41" s="65">
        <f t="shared" ref="F41:F46" si="5">C41*3</f>
        <v>450</v>
      </c>
      <c r="G41" s="130">
        <f t="shared" ref="G41:G46" si="6">PRODUCT(F41,E41)</f>
        <v>4500</v>
      </c>
      <c r="H41" s="134" t="s">
        <v>226</v>
      </c>
    </row>
    <row r="42" spans="1:9" ht="15.6" x14ac:dyDescent="0.25">
      <c r="A42" s="64" t="s">
        <v>32</v>
      </c>
      <c r="B42" s="56">
        <v>50</v>
      </c>
      <c r="C42" s="65">
        <f t="shared" si="4"/>
        <v>150</v>
      </c>
      <c r="D42" s="56" t="s">
        <v>38</v>
      </c>
      <c r="E42" s="130">
        <v>5</v>
      </c>
      <c r="F42" s="65">
        <f t="shared" si="5"/>
        <v>450</v>
      </c>
      <c r="G42" s="130">
        <f t="shared" si="6"/>
        <v>2250</v>
      </c>
      <c r="H42" s="134"/>
    </row>
    <row r="43" spans="1:9" ht="15.6" x14ac:dyDescent="0.25">
      <c r="A43" s="64" t="s">
        <v>60</v>
      </c>
      <c r="B43" s="56">
        <v>5</v>
      </c>
      <c r="C43" s="65">
        <f t="shared" si="4"/>
        <v>15</v>
      </c>
      <c r="D43" s="56" t="s">
        <v>80</v>
      </c>
      <c r="E43" s="130">
        <v>520</v>
      </c>
      <c r="F43" s="65">
        <f t="shared" si="5"/>
        <v>45</v>
      </c>
      <c r="G43" s="130">
        <f t="shared" si="6"/>
        <v>23400</v>
      </c>
      <c r="H43" s="134"/>
    </row>
    <row r="44" spans="1:9" ht="15.6" x14ac:dyDescent="0.25">
      <c r="A44" s="64" t="s">
        <v>88</v>
      </c>
      <c r="B44" s="56">
        <v>5</v>
      </c>
      <c r="C44" s="65">
        <f t="shared" si="4"/>
        <v>15</v>
      </c>
      <c r="D44" s="56" t="s">
        <v>89</v>
      </c>
      <c r="E44" s="130">
        <v>250</v>
      </c>
      <c r="F44" s="65">
        <f t="shared" si="5"/>
        <v>45</v>
      </c>
      <c r="G44" s="130">
        <f t="shared" si="6"/>
        <v>11250</v>
      </c>
      <c r="H44" s="134"/>
    </row>
    <row r="45" spans="1:9" ht="15.6" x14ac:dyDescent="0.25">
      <c r="A45" s="64" t="s">
        <v>115</v>
      </c>
      <c r="B45" s="65">
        <v>4</v>
      </c>
      <c r="C45" s="65">
        <f t="shared" si="4"/>
        <v>12</v>
      </c>
      <c r="D45" s="56" t="s">
        <v>38</v>
      </c>
      <c r="E45" s="130">
        <v>1000</v>
      </c>
      <c r="F45" s="65">
        <f t="shared" si="5"/>
        <v>36</v>
      </c>
      <c r="G45" s="130">
        <f t="shared" si="6"/>
        <v>36000</v>
      </c>
      <c r="H45" s="134"/>
    </row>
    <row r="46" spans="1:9" ht="15.6" x14ac:dyDescent="0.25">
      <c r="A46" s="64" t="s">
        <v>120</v>
      </c>
      <c r="B46" s="65">
        <v>2</v>
      </c>
      <c r="C46" s="65">
        <f t="shared" si="4"/>
        <v>6</v>
      </c>
      <c r="D46" s="56" t="s">
        <v>121</v>
      </c>
      <c r="E46" s="130">
        <v>90</v>
      </c>
      <c r="F46" s="65">
        <f t="shared" si="5"/>
        <v>18</v>
      </c>
      <c r="G46" s="130">
        <f t="shared" si="6"/>
        <v>1620</v>
      </c>
      <c r="H46" s="134"/>
    </row>
    <row r="47" spans="1:9" ht="15.6" x14ac:dyDescent="0.25">
      <c r="A47" s="57" t="s">
        <v>140</v>
      </c>
      <c r="B47" s="65"/>
      <c r="C47" s="65"/>
      <c r="D47" s="56"/>
      <c r="E47" s="65"/>
      <c r="F47" s="65"/>
      <c r="G47" s="131">
        <f>SUM(G40:G46)</f>
        <v>80460</v>
      </c>
      <c r="H47" s="134"/>
    </row>
    <row r="48" spans="1:9" ht="17.399999999999999" x14ac:dyDescent="0.3">
      <c r="A48" s="144"/>
      <c r="E48" s="43"/>
      <c r="F48" s="43"/>
    </row>
    <row r="49" spans="1:12" ht="15.6" x14ac:dyDescent="0.25">
      <c r="A49" s="133" t="s">
        <v>12</v>
      </c>
      <c r="F49" s="43"/>
    </row>
    <row r="50" spans="1:12" x14ac:dyDescent="0.25">
      <c r="A50" s="69" t="s">
        <v>13</v>
      </c>
      <c r="B50" s="70" t="s">
        <v>122</v>
      </c>
      <c r="C50" s="33" t="s">
        <v>127</v>
      </c>
      <c r="D50" s="33" t="s">
        <v>90</v>
      </c>
      <c r="E50" s="33" t="s">
        <v>14</v>
      </c>
      <c r="F50" s="48" t="s">
        <v>18</v>
      </c>
      <c r="G50" s="48" t="s">
        <v>232</v>
      </c>
    </row>
    <row r="51" spans="1:12" ht="110.4" x14ac:dyDescent="0.25">
      <c r="A51" s="145" t="s">
        <v>130</v>
      </c>
      <c r="B51" s="146">
        <v>1</v>
      </c>
      <c r="C51" s="147">
        <v>25893</v>
      </c>
      <c r="D51" s="147">
        <f>C51*B51</f>
        <v>25893</v>
      </c>
      <c r="E51" s="148">
        <f>D51*12</f>
        <v>310716</v>
      </c>
      <c r="F51" s="146" t="s">
        <v>228</v>
      </c>
      <c r="G51" s="149" t="s">
        <v>233</v>
      </c>
    </row>
    <row r="52" spans="1:12" ht="82.8" x14ac:dyDescent="0.25">
      <c r="A52" s="145" t="s">
        <v>129</v>
      </c>
      <c r="B52" s="146">
        <v>1</v>
      </c>
      <c r="C52" s="147">
        <v>18308</v>
      </c>
      <c r="D52" s="147">
        <f t="shared" ref="D52:D54" si="7">C52*B52</f>
        <v>18308</v>
      </c>
      <c r="E52" s="148">
        <f t="shared" ref="E52:E54" si="8">D52*12</f>
        <v>219696</v>
      </c>
      <c r="F52" s="146" t="s">
        <v>229</v>
      </c>
      <c r="G52" s="149" t="s">
        <v>234</v>
      </c>
    </row>
    <row r="53" spans="1:12" ht="15.6" x14ac:dyDescent="0.25">
      <c r="A53" s="150" t="s">
        <v>128</v>
      </c>
      <c r="B53" s="65">
        <v>3</v>
      </c>
      <c r="C53" s="130">
        <v>6000</v>
      </c>
      <c r="D53" s="130">
        <f t="shared" si="7"/>
        <v>18000</v>
      </c>
      <c r="E53" s="151">
        <f t="shared" si="8"/>
        <v>216000</v>
      </c>
      <c r="F53" s="134" t="s">
        <v>230</v>
      </c>
      <c r="G53" s="134"/>
    </row>
    <row r="54" spans="1:12" ht="15.6" x14ac:dyDescent="0.25">
      <c r="A54" s="150" t="s">
        <v>172</v>
      </c>
      <c r="B54" s="65">
        <v>6</v>
      </c>
      <c r="C54" s="130">
        <v>5000</v>
      </c>
      <c r="D54" s="130">
        <f t="shared" si="7"/>
        <v>30000</v>
      </c>
      <c r="E54" s="151">
        <f t="shared" si="8"/>
        <v>360000</v>
      </c>
      <c r="F54" s="134" t="s">
        <v>231</v>
      </c>
      <c r="G54" s="134"/>
    </row>
    <row r="55" spans="1:12" ht="15.6" x14ac:dyDescent="0.25">
      <c r="A55" s="33" t="s">
        <v>133</v>
      </c>
      <c r="B55" s="65"/>
      <c r="C55" s="130"/>
      <c r="D55" s="65"/>
      <c r="E55" s="152">
        <f>SUM(E51:E54)</f>
        <v>1106412</v>
      </c>
      <c r="F55" s="134"/>
      <c r="G55" s="134"/>
    </row>
    <row r="57" spans="1:12" ht="15.6" x14ac:dyDescent="0.25">
      <c r="A57" s="133" t="s">
        <v>19</v>
      </c>
      <c r="G57" s="153"/>
    </row>
    <row r="58" spans="1:12" ht="27.6" x14ac:dyDescent="0.25">
      <c r="A58" s="60" t="s">
        <v>20</v>
      </c>
      <c r="B58" s="47" t="s">
        <v>35</v>
      </c>
      <c r="C58" s="47" t="s">
        <v>134</v>
      </c>
      <c r="D58" s="47" t="s">
        <v>131</v>
      </c>
      <c r="E58" s="49" t="s">
        <v>91</v>
      </c>
      <c r="F58" s="48" t="s">
        <v>18</v>
      </c>
      <c r="G58" s="154"/>
    </row>
    <row r="59" spans="1:12" ht="15.6" x14ac:dyDescent="0.25">
      <c r="A59" s="155" t="s">
        <v>21</v>
      </c>
      <c r="B59" s="28" t="s">
        <v>82</v>
      </c>
      <c r="C59" s="130">
        <v>300</v>
      </c>
      <c r="D59" s="130">
        <f>C59*3</f>
        <v>900</v>
      </c>
      <c r="E59" s="130">
        <f>D59*12</f>
        <v>10800</v>
      </c>
      <c r="F59" s="107"/>
      <c r="G59" s="156"/>
    </row>
    <row r="60" spans="1:12" ht="15.6" x14ac:dyDescent="0.25">
      <c r="A60" s="155" t="s">
        <v>186</v>
      </c>
      <c r="B60" s="28" t="s">
        <v>82</v>
      </c>
      <c r="C60" s="130">
        <f>(40*450)/100</f>
        <v>180</v>
      </c>
      <c r="D60" s="130">
        <f t="shared" ref="D60:D62" si="9">C60*3</f>
        <v>540</v>
      </c>
      <c r="E60" s="130">
        <f t="shared" ref="E60:E63" si="10">D60*12</f>
        <v>6480</v>
      </c>
      <c r="F60" s="107"/>
      <c r="G60" s="156"/>
      <c r="I60" s="43"/>
      <c r="J60" s="43"/>
      <c r="K60" s="43"/>
      <c r="L60" s="43"/>
    </row>
    <row r="61" spans="1:12" ht="15.6" x14ac:dyDescent="0.25">
      <c r="A61" s="155" t="s">
        <v>187</v>
      </c>
      <c r="B61" s="28" t="s">
        <v>82</v>
      </c>
      <c r="C61" s="130">
        <v>100</v>
      </c>
      <c r="D61" s="130">
        <f t="shared" si="9"/>
        <v>300</v>
      </c>
      <c r="E61" s="130">
        <f t="shared" si="10"/>
        <v>3600</v>
      </c>
      <c r="F61" s="107"/>
      <c r="G61" s="156"/>
      <c r="I61" s="43"/>
      <c r="J61" s="43"/>
      <c r="K61" s="43"/>
      <c r="L61" s="43"/>
    </row>
    <row r="62" spans="1:12" ht="15.6" x14ac:dyDescent="0.25">
      <c r="A62" s="157" t="s">
        <v>188</v>
      </c>
      <c r="B62" s="103" t="s">
        <v>82</v>
      </c>
      <c r="C62" s="158">
        <v>300</v>
      </c>
      <c r="D62" s="158">
        <f t="shared" si="9"/>
        <v>900</v>
      </c>
      <c r="E62" s="158">
        <f t="shared" si="10"/>
        <v>10800</v>
      </c>
      <c r="F62" s="107"/>
      <c r="G62" s="159"/>
      <c r="I62" s="43"/>
      <c r="J62" s="43"/>
      <c r="K62" s="43"/>
      <c r="L62" s="43"/>
    </row>
    <row r="63" spans="1:12" ht="15.6" x14ac:dyDescent="0.3">
      <c r="A63" s="157" t="s">
        <v>79</v>
      </c>
      <c r="B63" s="124" t="s">
        <v>81</v>
      </c>
      <c r="C63" s="158">
        <v>2400</v>
      </c>
      <c r="D63" s="158">
        <f>C63*3</f>
        <v>7200</v>
      </c>
      <c r="E63" s="158">
        <f t="shared" si="10"/>
        <v>86400</v>
      </c>
      <c r="F63" s="107"/>
      <c r="G63" s="159"/>
      <c r="I63" s="43"/>
      <c r="J63" s="43"/>
      <c r="K63" s="43"/>
      <c r="L63" s="43"/>
    </row>
    <row r="64" spans="1:12" ht="15.6" x14ac:dyDescent="0.25">
      <c r="A64" s="33" t="s">
        <v>132</v>
      </c>
      <c r="B64" s="65"/>
      <c r="C64" s="65"/>
      <c r="D64" s="65"/>
      <c r="E64" s="131">
        <f>SUM(E59:E63)</f>
        <v>118080</v>
      </c>
      <c r="F64" s="160"/>
      <c r="G64" s="153"/>
      <c r="I64" s="43"/>
      <c r="J64" s="43"/>
      <c r="K64" s="43"/>
      <c r="L64" s="43"/>
    </row>
    <row r="65" spans="1:12" x14ac:dyDescent="0.25">
      <c r="D65" s="143"/>
      <c r="E65" s="143"/>
      <c r="I65" s="43"/>
      <c r="J65" s="43"/>
      <c r="K65" s="43"/>
      <c r="L65" s="43"/>
    </row>
    <row r="66" spans="1:12" ht="15.6" x14ac:dyDescent="0.25">
      <c r="A66" s="161" t="s">
        <v>22</v>
      </c>
      <c r="I66" s="43"/>
      <c r="J66" s="43"/>
      <c r="K66" s="43"/>
      <c r="L66" s="43"/>
    </row>
    <row r="67" spans="1:12" x14ac:dyDescent="0.25">
      <c r="A67" s="60" t="s">
        <v>20</v>
      </c>
      <c r="B67" s="47" t="s">
        <v>35</v>
      </c>
      <c r="C67" s="47" t="s">
        <v>192</v>
      </c>
      <c r="D67" s="47" t="s">
        <v>193</v>
      </c>
      <c r="E67" s="47" t="s">
        <v>197</v>
      </c>
      <c r="F67" s="47" t="s">
        <v>196</v>
      </c>
      <c r="G67" s="49" t="s">
        <v>14</v>
      </c>
      <c r="H67" s="48" t="s">
        <v>18</v>
      </c>
      <c r="I67" s="43"/>
      <c r="J67" s="43"/>
      <c r="K67" s="43"/>
      <c r="L67" s="43"/>
    </row>
    <row r="68" spans="1:12" ht="15.6" x14ac:dyDescent="0.25">
      <c r="A68" s="155" t="s">
        <v>190</v>
      </c>
      <c r="B68" s="65" t="s">
        <v>191</v>
      </c>
      <c r="C68" s="28">
        <v>18000</v>
      </c>
      <c r="D68" s="138">
        <f>C68*3</f>
        <v>54000</v>
      </c>
      <c r="E68" s="138"/>
      <c r="F68" s="138">
        <v>5</v>
      </c>
      <c r="G68" s="130">
        <f>D68*((0.03*(1+0.03)^5)/((1+0.03)^5 -1))</f>
        <v>11791.146855631116</v>
      </c>
      <c r="H68" s="107"/>
      <c r="I68" s="43"/>
      <c r="J68" s="43"/>
      <c r="K68" s="43"/>
      <c r="L68" s="43"/>
    </row>
    <row r="69" spans="1:12" ht="15.6" x14ac:dyDescent="0.25">
      <c r="A69" s="155" t="s">
        <v>189</v>
      </c>
      <c r="B69" s="65" t="s">
        <v>91</v>
      </c>
      <c r="C69" s="28">
        <v>2000</v>
      </c>
      <c r="D69" s="138">
        <f t="shared" ref="D69:D70" si="11">C69*3</f>
        <v>6000</v>
      </c>
      <c r="E69" s="138"/>
      <c r="F69" s="138"/>
      <c r="G69" s="130">
        <f>D69</f>
        <v>6000</v>
      </c>
      <c r="H69" s="107"/>
      <c r="I69" s="43"/>
      <c r="J69" s="43"/>
      <c r="K69" s="43"/>
      <c r="L69" s="43"/>
    </row>
    <row r="70" spans="1:12" ht="15.6" x14ac:dyDescent="0.25">
      <c r="A70" s="155" t="s">
        <v>194</v>
      </c>
      <c r="B70" s="65" t="s">
        <v>191</v>
      </c>
      <c r="C70" s="28">
        <v>1000</v>
      </c>
      <c r="D70" s="138">
        <f t="shared" si="11"/>
        <v>3000</v>
      </c>
      <c r="E70" s="138"/>
      <c r="F70" s="138">
        <v>5</v>
      </c>
      <c r="G70" s="130">
        <f>D70*((0.03*(1+0.03)^5)/((1+0.03)^5 -1))</f>
        <v>655.06371420172866</v>
      </c>
      <c r="H70" s="107"/>
      <c r="I70" s="43"/>
      <c r="J70" s="43"/>
      <c r="K70" s="43"/>
      <c r="L70" s="43"/>
    </row>
    <row r="71" spans="1:12" ht="15.6" x14ac:dyDescent="0.25">
      <c r="A71" s="157" t="s">
        <v>23</v>
      </c>
      <c r="B71" s="162" t="s">
        <v>195</v>
      </c>
      <c r="C71" s="163">
        <f>E71/'3. Rural Screening'!B6</f>
        <v>14.50536698578474</v>
      </c>
      <c r="D71" s="163">
        <f>E71/'3. Rural Screening'!B5</f>
        <v>43.516100957354219</v>
      </c>
      <c r="E71" s="163">
        <v>200000</v>
      </c>
      <c r="F71" s="163">
        <v>1</v>
      </c>
      <c r="G71" s="249">
        <f>D71</f>
        <v>43.516100957354219</v>
      </c>
      <c r="H71" s="107"/>
      <c r="I71" s="43"/>
      <c r="J71" s="43"/>
      <c r="K71" s="43"/>
      <c r="L71" s="43"/>
    </row>
    <row r="72" spans="1:12" ht="15.6" x14ac:dyDescent="0.25">
      <c r="A72" s="33" t="s">
        <v>135</v>
      </c>
      <c r="B72" s="65"/>
      <c r="C72" s="65"/>
      <c r="D72" s="65"/>
      <c r="E72" s="65"/>
      <c r="F72" s="65"/>
      <c r="G72" s="131">
        <f>SUM(G68:G71)</f>
        <v>18489.726670790198</v>
      </c>
      <c r="H72" s="107"/>
      <c r="I72" s="43"/>
      <c r="J72" s="43"/>
      <c r="K72" s="43"/>
      <c r="L72" s="43"/>
    </row>
    <row r="73" spans="1:12" x14ac:dyDescent="0.25">
      <c r="H73" s="43"/>
      <c r="I73" s="43"/>
      <c r="J73" s="43"/>
      <c r="K73" s="43"/>
      <c r="L73" s="43"/>
    </row>
    <row r="74" spans="1:12" x14ac:dyDescent="0.25">
      <c r="I74" s="43"/>
      <c r="J74" s="43"/>
      <c r="K74" s="43"/>
      <c r="L74" s="43"/>
    </row>
    <row r="75" spans="1:12" ht="18" x14ac:dyDescent="0.35">
      <c r="A75" s="170" t="s">
        <v>170</v>
      </c>
      <c r="B75" s="164"/>
      <c r="C75" s="164"/>
      <c r="D75" s="164"/>
      <c r="E75" s="164"/>
      <c r="F75" s="164"/>
      <c r="G75" s="164"/>
      <c r="H75" s="164"/>
      <c r="I75" s="43"/>
      <c r="J75" s="43"/>
      <c r="K75" s="43"/>
      <c r="L75" s="43"/>
    </row>
    <row r="76" spans="1:12" x14ac:dyDescent="0.25">
      <c r="I76" s="43"/>
      <c r="J76" s="43"/>
      <c r="K76" s="43"/>
      <c r="L76" s="43"/>
    </row>
    <row r="77" spans="1:12" x14ac:dyDescent="0.25">
      <c r="I77" s="43"/>
      <c r="J77" s="43"/>
      <c r="K77" s="43"/>
      <c r="L77" s="43"/>
    </row>
  </sheetData>
  <mergeCells count="5">
    <mergeCell ref="A1:D1"/>
    <mergeCell ref="A3:A4"/>
    <mergeCell ref="A5:B5"/>
    <mergeCell ref="A10:B10"/>
    <mergeCell ref="A6:A9"/>
  </mergeCells>
  <phoneticPr fontId="8" type="noConversion"/>
  <pageMargins left="0.7" right="0.7" top="0.75" bottom="0.75" header="0.3" footer="0.3"/>
  <ignoredErrors>
    <ignoredError sqref="G69 H23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3B9F-E085-44B9-B151-D1D87F957969}">
  <dimension ref="A1:Q65"/>
  <sheetViews>
    <sheetView zoomScale="50" zoomScaleNormal="50" workbookViewId="0">
      <selection activeCell="J26" sqref="J26"/>
    </sheetView>
  </sheetViews>
  <sheetFormatPr defaultColWidth="12.109375" defaultRowHeight="13.8" x14ac:dyDescent="0.25"/>
  <cols>
    <col min="1" max="1" width="52.77734375" style="41" bestFit="1" customWidth="1"/>
    <col min="2" max="2" width="25.6640625" style="41" bestFit="1" customWidth="1"/>
    <col min="3" max="3" width="40" style="41" bestFit="1" customWidth="1"/>
    <col min="4" max="4" width="30.21875" style="41" bestFit="1" customWidth="1"/>
    <col min="5" max="5" width="23" style="41" bestFit="1" customWidth="1"/>
    <col min="6" max="6" width="29" style="41" customWidth="1"/>
    <col min="7" max="7" width="56.44140625" style="41" bestFit="1" customWidth="1"/>
    <col min="8" max="8" width="50.6640625" style="41" customWidth="1"/>
    <col min="9" max="9" width="36.109375" style="41" bestFit="1" customWidth="1"/>
    <col min="10" max="10" width="14.21875" style="41" bestFit="1" customWidth="1"/>
    <col min="11" max="11" width="21.5546875" style="41" bestFit="1" customWidth="1"/>
    <col min="12" max="12" width="42.33203125" style="41" bestFit="1" customWidth="1"/>
    <col min="13" max="16384" width="12.109375" style="41"/>
  </cols>
  <sheetData>
    <row r="1" spans="1:9" x14ac:dyDescent="0.25">
      <c r="A1" s="229" t="s">
        <v>167</v>
      </c>
      <c r="B1" s="230"/>
      <c r="C1" s="230"/>
      <c r="D1" s="230"/>
      <c r="E1" s="230"/>
      <c r="G1" s="247"/>
    </row>
    <row r="2" spans="1:9" x14ac:dyDescent="0.25">
      <c r="A2" s="38" t="s">
        <v>1</v>
      </c>
      <c r="B2" s="38"/>
      <c r="C2" s="39" t="s">
        <v>141</v>
      </c>
      <c r="D2" s="39" t="s">
        <v>259</v>
      </c>
      <c r="E2" s="126" t="s">
        <v>2</v>
      </c>
      <c r="G2" s="248"/>
    </row>
    <row r="3" spans="1:9" x14ac:dyDescent="0.25">
      <c r="A3" s="227" t="s">
        <v>3</v>
      </c>
      <c r="B3" s="34" t="s">
        <v>4</v>
      </c>
      <c r="C3" s="42">
        <f>G27</f>
        <v>202829.02757659339</v>
      </c>
      <c r="D3" s="195">
        <f>C3/121.39</f>
        <v>1670.8874501737655</v>
      </c>
      <c r="E3" s="127">
        <f t="shared" ref="E3:E10" si="0">C3/$C$10</f>
        <v>0.53572697368301503</v>
      </c>
      <c r="G3" s="248"/>
    </row>
    <row r="4" spans="1:9" x14ac:dyDescent="0.25">
      <c r="A4" s="227"/>
      <c r="B4" s="34" t="s">
        <v>5</v>
      </c>
      <c r="C4" s="42">
        <f>G35</f>
        <v>7326.1902682066711</v>
      </c>
      <c r="D4" s="195">
        <f t="shared" ref="D4:D9" si="1">C4/121.39</f>
        <v>60.35250241541042</v>
      </c>
      <c r="E4" s="127">
        <f t="shared" si="0"/>
        <v>1.9350473588057793E-2</v>
      </c>
      <c r="G4" s="248"/>
    </row>
    <row r="5" spans="1:9" x14ac:dyDescent="0.25">
      <c r="A5" s="228" t="s">
        <v>6</v>
      </c>
      <c r="B5" s="228"/>
      <c r="C5" s="42">
        <f>SUM(C3:C4)</f>
        <v>210155.21784480006</v>
      </c>
      <c r="D5" s="195">
        <f t="shared" si="1"/>
        <v>1731.2399525891758</v>
      </c>
      <c r="E5" s="127">
        <f t="shared" si="0"/>
        <v>0.55507744727107278</v>
      </c>
      <c r="G5" s="248"/>
    </row>
    <row r="6" spans="1:9" x14ac:dyDescent="0.25">
      <c r="A6" s="227"/>
      <c r="B6" s="34" t="s">
        <v>93</v>
      </c>
      <c r="C6" s="42">
        <f>D62</f>
        <v>24000</v>
      </c>
      <c r="D6" s="195">
        <f t="shared" si="1"/>
        <v>197.70986077930635</v>
      </c>
      <c r="E6" s="127">
        <f t="shared" si="0"/>
        <v>6.339056850990947E-2</v>
      </c>
    </row>
    <row r="7" spans="1:9" x14ac:dyDescent="0.25">
      <c r="A7" s="227"/>
      <c r="B7" s="34" t="s">
        <v>146</v>
      </c>
      <c r="C7" s="42">
        <f>H57</f>
        <v>120030</v>
      </c>
      <c r="D7" s="195">
        <f t="shared" si="1"/>
        <v>988.79644122250602</v>
      </c>
      <c r="E7" s="127">
        <f t="shared" si="0"/>
        <v>0.31703208076018474</v>
      </c>
    </row>
    <row r="8" spans="1:9" x14ac:dyDescent="0.25">
      <c r="A8" s="227"/>
      <c r="B8" s="35" t="s">
        <v>9</v>
      </c>
      <c r="C8" s="42">
        <f>F49</f>
        <v>24420</v>
      </c>
      <c r="D8" s="195">
        <f t="shared" si="1"/>
        <v>201.16978334294424</v>
      </c>
      <c r="E8" s="127">
        <f t="shared" si="0"/>
        <v>6.4499903458832886E-2</v>
      </c>
    </row>
    <row r="9" spans="1:9" x14ac:dyDescent="0.25">
      <c r="A9" s="228" t="s">
        <v>10</v>
      </c>
      <c r="B9" s="228"/>
      <c r="C9" s="42">
        <f>SUM(C6:C8)</f>
        <v>168450</v>
      </c>
      <c r="D9" s="195">
        <f t="shared" si="1"/>
        <v>1387.6760853447565</v>
      </c>
      <c r="E9" s="127">
        <f t="shared" si="0"/>
        <v>0.44492255272892711</v>
      </c>
    </row>
    <row r="10" spans="1:9" ht="14.4" x14ac:dyDescent="0.3">
      <c r="A10" s="36" t="s">
        <v>11</v>
      </c>
      <c r="B10" s="36"/>
      <c r="C10" s="42">
        <f>SUM(C5,C9)</f>
        <v>378605.21784480009</v>
      </c>
      <c r="D10" s="196">
        <f>SUM(D5,D9)</f>
        <v>3118.9160379339323</v>
      </c>
      <c r="E10" s="127">
        <f t="shared" si="0"/>
        <v>1</v>
      </c>
    </row>
    <row r="13" spans="1:9" ht="17.399999999999999" x14ac:dyDescent="0.3">
      <c r="A13" s="76" t="s">
        <v>168</v>
      </c>
      <c r="B13" s="75"/>
      <c r="C13" s="75"/>
      <c r="D13" s="75"/>
      <c r="E13" s="75"/>
      <c r="F13" s="75"/>
      <c r="G13" s="75"/>
    </row>
    <row r="14" spans="1:9" x14ac:dyDescent="0.25">
      <c r="A14" s="45"/>
    </row>
    <row r="15" spans="1:9" x14ac:dyDescent="0.25">
      <c r="A15" s="46" t="s">
        <v>39</v>
      </c>
    </row>
    <row r="16" spans="1:9" x14ac:dyDescent="0.25">
      <c r="A16" s="47" t="s">
        <v>20</v>
      </c>
      <c r="B16" s="47" t="s">
        <v>142</v>
      </c>
      <c r="C16" s="47" t="s">
        <v>35</v>
      </c>
      <c r="D16" s="47" t="s">
        <v>147</v>
      </c>
      <c r="E16" s="47" t="s">
        <v>15</v>
      </c>
      <c r="F16" s="48" t="s">
        <v>151</v>
      </c>
      <c r="G16" s="49" t="s">
        <v>14</v>
      </c>
      <c r="H16" s="48" t="s">
        <v>18</v>
      </c>
      <c r="I16" s="105"/>
    </row>
    <row r="17" spans="1:8" x14ac:dyDescent="0.25">
      <c r="A17" s="40" t="s">
        <v>24</v>
      </c>
      <c r="B17" s="50">
        <v>1</v>
      </c>
      <c r="C17" s="51" t="s">
        <v>36</v>
      </c>
      <c r="D17" s="104">
        <v>550000</v>
      </c>
      <c r="E17" s="52">
        <f>PRODUCT(B17,D17)</f>
        <v>550000</v>
      </c>
      <c r="F17" s="53">
        <v>5</v>
      </c>
      <c r="G17" s="42">
        <f>E17*((0.03*(1+0.03)^5)/((1+0.03)^5 -1))</f>
        <v>120095.01427031691</v>
      </c>
      <c r="H17" s="128" t="s">
        <v>237</v>
      </c>
    </row>
    <row r="18" spans="1:8" x14ac:dyDescent="0.25">
      <c r="A18" s="40" t="s">
        <v>198</v>
      </c>
      <c r="B18" s="50">
        <v>1</v>
      </c>
      <c r="C18" s="51" t="s">
        <v>36</v>
      </c>
      <c r="D18" s="104">
        <v>170000</v>
      </c>
      <c r="E18" s="52">
        <f>PRODUCT(B18,D18)</f>
        <v>170000</v>
      </c>
      <c r="F18" s="53">
        <v>5</v>
      </c>
      <c r="G18" s="42">
        <f>E18*((0.03*(1+0.03)^5)/((1+0.03)^5 -1))</f>
        <v>37120.277138097954</v>
      </c>
      <c r="H18" s="128"/>
    </row>
    <row r="19" spans="1:8" x14ac:dyDescent="0.25">
      <c r="A19" s="40" t="s">
        <v>28</v>
      </c>
      <c r="B19" s="54">
        <v>2</v>
      </c>
      <c r="C19" s="51" t="s">
        <v>36</v>
      </c>
      <c r="D19" s="55">
        <v>325</v>
      </c>
      <c r="E19" s="52">
        <f t="shared" ref="E19:E26" si="2">PRODUCT(B19,D19)</f>
        <v>650</v>
      </c>
      <c r="F19" s="53">
        <v>5</v>
      </c>
      <c r="G19" s="42">
        <f>E19*((0.03*(1+0.03)^5)/((1+0.03)^5 -1))</f>
        <v>141.93047141037454</v>
      </c>
      <c r="H19" s="128"/>
    </row>
    <row r="20" spans="1:8" x14ac:dyDescent="0.25">
      <c r="A20" s="40" t="s">
        <v>152</v>
      </c>
      <c r="B20" s="56">
        <v>10</v>
      </c>
      <c r="C20" s="56" t="s">
        <v>36</v>
      </c>
      <c r="D20" s="55">
        <v>950</v>
      </c>
      <c r="E20" s="52">
        <f t="shared" si="2"/>
        <v>9500</v>
      </c>
      <c r="F20" s="53">
        <v>5</v>
      </c>
      <c r="G20" s="42">
        <f>E20*((0.03*(1+0.03)^5)/((1+0.03)^5 -1))</f>
        <v>2074.368428305474</v>
      </c>
      <c r="H20" s="128"/>
    </row>
    <row r="21" spans="1:8" x14ac:dyDescent="0.25">
      <c r="A21" s="40" t="s">
        <v>85</v>
      </c>
      <c r="B21" s="56">
        <v>10</v>
      </c>
      <c r="C21" s="56" t="s">
        <v>36</v>
      </c>
      <c r="D21" s="55">
        <v>850</v>
      </c>
      <c r="E21" s="52">
        <f t="shared" si="2"/>
        <v>8500</v>
      </c>
      <c r="F21" s="53">
        <v>5</v>
      </c>
      <c r="G21" s="42">
        <f>E21*((0.03*(1+0.03)^5)/((1+0.03)^5 -1))</f>
        <v>1856.0138569048977</v>
      </c>
      <c r="H21" s="128"/>
    </row>
    <row r="22" spans="1:8" x14ac:dyDescent="0.25">
      <c r="A22" s="40" t="s">
        <v>29</v>
      </c>
      <c r="B22" s="56">
        <v>100</v>
      </c>
      <c r="C22" s="56" t="s">
        <v>38</v>
      </c>
      <c r="D22" s="55">
        <v>100</v>
      </c>
      <c r="E22" s="52">
        <f t="shared" si="2"/>
        <v>10000</v>
      </c>
      <c r="F22" s="53">
        <v>1</v>
      </c>
      <c r="G22" s="42">
        <f t="shared" ref="G22" si="3">E22/F22</f>
        <v>10000</v>
      </c>
      <c r="H22" s="128"/>
    </row>
    <row r="23" spans="1:8" x14ac:dyDescent="0.25">
      <c r="A23" s="40" t="s">
        <v>31</v>
      </c>
      <c r="B23" s="56">
        <v>5</v>
      </c>
      <c r="C23" s="56" t="s">
        <v>38</v>
      </c>
      <c r="D23" s="55">
        <v>150</v>
      </c>
      <c r="E23" s="52">
        <f t="shared" si="2"/>
        <v>750</v>
      </c>
      <c r="F23" s="53">
        <v>3</v>
      </c>
      <c r="G23" s="42">
        <f>E23*((0.03*(1+0.03)^3)/((1+0.03)^3 -1))</f>
        <v>265.14777249344854</v>
      </c>
      <c r="H23" s="128"/>
    </row>
    <row r="24" spans="1:8" x14ac:dyDescent="0.25">
      <c r="A24" s="40" t="s">
        <v>33</v>
      </c>
      <c r="B24" s="56">
        <v>2</v>
      </c>
      <c r="C24" s="56" t="s">
        <v>38</v>
      </c>
      <c r="D24" s="55">
        <v>14500</v>
      </c>
      <c r="E24" s="52">
        <f t="shared" si="2"/>
        <v>29000</v>
      </c>
      <c r="F24" s="53">
        <v>5</v>
      </c>
      <c r="G24" s="42">
        <f>E24*((0.03*(1+0.03)^5)/((1+0.03)^5 -1))</f>
        <v>6332.2825706167105</v>
      </c>
      <c r="H24" s="128"/>
    </row>
    <row r="25" spans="1:8" x14ac:dyDescent="0.25">
      <c r="A25" s="40" t="s">
        <v>83</v>
      </c>
      <c r="B25" s="56">
        <v>1</v>
      </c>
      <c r="C25" s="56" t="s">
        <v>84</v>
      </c>
      <c r="D25" s="55">
        <v>18500</v>
      </c>
      <c r="E25" s="52">
        <f t="shared" si="2"/>
        <v>18500</v>
      </c>
      <c r="F25" s="53">
        <v>5</v>
      </c>
      <c r="G25" s="42">
        <f>E25*((0.03*(1+0.03)^5)/((1+0.03)^5 -1))</f>
        <v>4039.5595709106597</v>
      </c>
      <c r="H25" s="128"/>
    </row>
    <row r="26" spans="1:8" x14ac:dyDescent="0.25">
      <c r="A26" s="40" t="s">
        <v>145</v>
      </c>
      <c r="B26" s="56">
        <v>1</v>
      </c>
      <c r="C26" s="56" t="s">
        <v>84</v>
      </c>
      <c r="D26" s="55">
        <v>40000</v>
      </c>
      <c r="E26" s="52">
        <f t="shared" si="2"/>
        <v>40000</v>
      </c>
      <c r="F26" s="53">
        <v>2</v>
      </c>
      <c r="G26" s="42">
        <f>E26*((0.03*(1+0.03)^2)/((1+0.03)^2 -1))</f>
        <v>20904.433497536957</v>
      </c>
      <c r="H26" s="128"/>
    </row>
    <row r="27" spans="1:8" x14ac:dyDescent="0.25">
      <c r="A27" s="57" t="s">
        <v>149</v>
      </c>
      <c r="B27" s="40"/>
      <c r="C27" s="40"/>
      <c r="D27" s="40"/>
      <c r="E27" s="40"/>
      <c r="F27" s="40"/>
      <c r="G27" s="58">
        <f>SUM(G17:G26)</f>
        <v>202829.02757659339</v>
      </c>
      <c r="H27" s="129"/>
    </row>
    <row r="28" spans="1:8" x14ac:dyDescent="0.25">
      <c r="A28" s="57"/>
      <c r="G28" s="59"/>
    </row>
    <row r="29" spans="1:8" s="45" customFormat="1" x14ac:dyDescent="0.25">
      <c r="A29" s="46" t="s">
        <v>40</v>
      </c>
    </row>
    <row r="30" spans="1:8" s="45" customFormat="1" x14ac:dyDescent="0.25">
      <c r="A30" s="48" t="s">
        <v>20</v>
      </c>
      <c r="B30" s="48" t="s">
        <v>16</v>
      </c>
      <c r="C30" s="48" t="s">
        <v>35</v>
      </c>
      <c r="D30" s="48" t="s">
        <v>17</v>
      </c>
      <c r="E30" s="47" t="s">
        <v>15</v>
      </c>
      <c r="F30" s="48" t="s">
        <v>151</v>
      </c>
      <c r="G30" s="60" t="s">
        <v>14</v>
      </c>
      <c r="H30" s="49" t="s">
        <v>18</v>
      </c>
    </row>
    <row r="31" spans="1:8" s="45" customFormat="1" x14ac:dyDescent="0.25">
      <c r="A31" s="61" t="s">
        <v>150</v>
      </c>
      <c r="B31" s="56">
        <v>1</v>
      </c>
      <c r="C31" s="56" t="s">
        <v>84</v>
      </c>
      <c r="D31" s="55">
        <v>14500</v>
      </c>
      <c r="E31" s="52">
        <f>PRODUCT(D31,B31)</f>
        <v>14500</v>
      </c>
      <c r="F31" s="55">
        <v>3</v>
      </c>
      <c r="G31" s="42">
        <f>E31*((0.03*(1+0.03)^3)/((1+0.03)^3 -1))</f>
        <v>5126.1902682066711</v>
      </c>
      <c r="H31" s="34" t="s">
        <v>236</v>
      </c>
    </row>
    <row r="32" spans="1:8" s="45" customFormat="1" x14ac:dyDescent="0.25">
      <c r="A32" s="61" t="s">
        <v>117</v>
      </c>
      <c r="B32" s="56">
        <v>2</v>
      </c>
      <c r="C32" s="56" t="s">
        <v>38</v>
      </c>
      <c r="D32" s="55">
        <v>500</v>
      </c>
      <c r="E32" s="52">
        <f t="shared" ref="E32:E34" si="4">PRODUCT(D32,B32)</f>
        <v>1000</v>
      </c>
      <c r="F32" s="63">
        <v>1</v>
      </c>
      <c r="G32" s="62">
        <f t="shared" ref="G32:G34" si="5">E32/F32</f>
        <v>1000</v>
      </c>
      <c r="H32" s="56"/>
    </row>
    <row r="33" spans="1:8" s="45" customFormat="1" x14ac:dyDescent="0.25">
      <c r="A33" s="64" t="s">
        <v>118</v>
      </c>
      <c r="B33" s="65">
        <v>1</v>
      </c>
      <c r="C33" s="56" t="s">
        <v>38</v>
      </c>
      <c r="D33" s="65">
        <v>200</v>
      </c>
      <c r="E33" s="52">
        <f t="shared" si="4"/>
        <v>200</v>
      </c>
      <c r="F33" s="66">
        <v>1</v>
      </c>
      <c r="G33" s="62">
        <f t="shared" si="5"/>
        <v>200</v>
      </c>
      <c r="H33" s="56"/>
    </row>
    <row r="34" spans="1:8" s="45" customFormat="1" x14ac:dyDescent="0.25">
      <c r="A34" s="64" t="s">
        <v>119</v>
      </c>
      <c r="B34" s="65">
        <v>1</v>
      </c>
      <c r="C34" s="56" t="s">
        <v>38</v>
      </c>
      <c r="D34" s="65">
        <v>1000</v>
      </c>
      <c r="E34" s="52">
        <f t="shared" si="4"/>
        <v>1000</v>
      </c>
      <c r="F34" s="66">
        <v>1</v>
      </c>
      <c r="G34" s="62">
        <f t="shared" si="5"/>
        <v>1000</v>
      </c>
      <c r="H34" s="56"/>
    </row>
    <row r="35" spans="1:8" s="45" customFormat="1" x14ac:dyDescent="0.25">
      <c r="A35" s="57" t="s">
        <v>149</v>
      </c>
      <c r="B35" s="65"/>
      <c r="C35" s="65"/>
      <c r="D35" s="65"/>
      <c r="E35" s="56"/>
      <c r="F35" s="65"/>
      <c r="G35" s="67">
        <f>SUM(G31:G34)</f>
        <v>7326.1902682066711</v>
      </c>
      <c r="H35" s="65"/>
    </row>
    <row r="37" spans="1:8" ht="18" x14ac:dyDescent="0.35">
      <c r="A37" s="76" t="s">
        <v>169</v>
      </c>
      <c r="B37" s="77"/>
      <c r="C37" s="77"/>
      <c r="D37" s="77"/>
      <c r="E37" s="77"/>
      <c r="F37" s="77"/>
      <c r="G37" s="77"/>
      <c r="H37" s="75"/>
    </row>
    <row r="38" spans="1:8" x14ac:dyDescent="0.25">
      <c r="A38" s="44"/>
    </row>
    <row r="39" spans="1:8" x14ac:dyDescent="0.25">
      <c r="A39" s="46" t="s">
        <v>92</v>
      </c>
    </row>
    <row r="40" spans="1:8" ht="27.6" x14ac:dyDescent="0.25">
      <c r="A40" s="47" t="s">
        <v>20</v>
      </c>
      <c r="B40" s="47" t="s">
        <v>143</v>
      </c>
      <c r="C40" s="47" t="s">
        <v>144</v>
      </c>
      <c r="D40" s="47" t="s">
        <v>35</v>
      </c>
      <c r="E40" s="47" t="s">
        <v>17</v>
      </c>
      <c r="F40" s="49" t="s">
        <v>155</v>
      </c>
      <c r="G40" s="48" t="s">
        <v>18</v>
      </c>
    </row>
    <row r="41" spans="1:8" x14ac:dyDescent="0.25">
      <c r="A41" s="65" t="s">
        <v>26</v>
      </c>
      <c r="B41" s="56">
        <v>1</v>
      </c>
      <c r="C41" s="68">
        <f>B41*3</f>
        <v>3</v>
      </c>
      <c r="D41" s="56" t="s">
        <v>37</v>
      </c>
      <c r="E41" s="55">
        <v>160</v>
      </c>
      <c r="F41" s="42">
        <f>PRODUCT(E41,C41)</f>
        <v>480</v>
      </c>
      <c r="G41" s="34" t="s">
        <v>238</v>
      </c>
    </row>
    <row r="42" spans="1:8" x14ac:dyDescent="0.25">
      <c r="A42" s="65" t="s">
        <v>27</v>
      </c>
      <c r="B42" s="56">
        <v>1</v>
      </c>
      <c r="C42" s="68">
        <f t="shared" ref="C42:C48" si="6">B42*3</f>
        <v>3</v>
      </c>
      <c r="D42" s="56" t="s">
        <v>37</v>
      </c>
      <c r="E42" s="55">
        <v>2720</v>
      </c>
      <c r="F42" s="42">
        <f t="shared" ref="F42:F48" si="7">PRODUCT(E42,C42)</f>
        <v>8160</v>
      </c>
      <c r="G42" s="56"/>
    </row>
    <row r="43" spans="1:8" x14ac:dyDescent="0.25">
      <c r="A43" s="65" t="s">
        <v>30</v>
      </c>
      <c r="B43" s="56">
        <v>1</v>
      </c>
      <c r="C43" s="68">
        <f t="shared" si="6"/>
        <v>3</v>
      </c>
      <c r="D43" s="56" t="s">
        <v>37</v>
      </c>
      <c r="E43" s="55">
        <v>750</v>
      </c>
      <c r="F43" s="42">
        <f t="shared" si="7"/>
        <v>2250</v>
      </c>
      <c r="G43" s="56"/>
    </row>
    <row r="44" spans="1:8" x14ac:dyDescent="0.25">
      <c r="A44" s="65" t="s">
        <v>116</v>
      </c>
      <c r="B44" s="56">
        <v>50</v>
      </c>
      <c r="C44" s="68">
        <f t="shared" si="6"/>
        <v>150</v>
      </c>
      <c r="D44" s="56" t="s">
        <v>38</v>
      </c>
      <c r="E44" s="55">
        <v>10</v>
      </c>
      <c r="F44" s="106">
        <f t="shared" si="7"/>
        <v>1500</v>
      </c>
      <c r="G44" s="56"/>
    </row>
    <row r="45" spans="1:8" x14ac:dyDescent="0.25">
      <c r="A45" s="65" t="s">
        <v>32</v>
      </c>
      <c r="B45" s="56">
        <v>50</v>
      </c>
      <c r="C45" s="68">
        <f t="shared" si="6"/>
        <v>150</v>
      </c>
      <c r="D45" s="56" t="s">
        <v>38</v>
      </c>
      <c r="E45" s="55">
        <v>5</v>
      </c>
      <c r="F45" s="106">
        <f t="shared" si="7"/>
        <v>750</v>
      </c>
      <c r="G45" s="56"/>
    </row>
    <row r="46" spans="1:8" x14ac:dyDescent="0.25">
      <c r="A46" s="65" t="s">
        <v>88</v>
      </c>
      <c r="B46" s="56">
        <v>2</v>
      </c>
      <c r="C46" s="68">
        <f t="shared" si="6"/>
        <v>6</v>
      </c>
      <c r="D46" s="56" t="s">
        <v>89</v>
      </c>
      <c r="E46" s="55">
        <v>80</v>
      </c>
      <c r="F46" s="106">
        <f t="shared" si="7"/>
        <v>480</v>
      </c>
      <c r="G46" s="56"/>
    </row>
    <row r="47" spans="1:8" x14ac:dyDescent="0.25">
      <c r="A47" s="65" t="s">
        <v>153</v>
      </c>
      <c r="B47" s="56">
        <v>2</v>
      </c>
      <c r="C47" s="68">
        <f t="shared" si="6"/>
        <v>6</v>
      </c>
      <c r="D47" s="56" t="s">
        <v>154</v>
      </c>
      <c r="E47" s="55">
        <v>600</v>
      </c>
      <c r="F47" s="106">
        <f t="shared" si="7"/>
        <v>3600</v>
      </c>
      <c r="G47" s="56"/>
    </row>
    <row r="48" spans="1:8" x14ac:dyDescent="0.25">
      <c r="A48" s="65" t="s">
        <v>34</v>
      </c>
      <c r="B48" s="56">
        <v>12</v>
      </c>
      <c r="C48" s="68">
        <f t="shared" si="6"/>
        <v>36</v>
      </c>
      <c r="D48" s="56" t="s">
        <v>38</v>
      </c>
      <c r="E48" s="55">
        <v>200</v>
      </c>
      <c r="F48" s="106">
        <f t="shared" si="7"/>
        <v>7200</v>
      </c>
      <c r="G48" s="56"/>
    </row>
    <row r="49" spans="1:17" x14ac:dyDescent="0.25">
      <c r="A49" s="57" t="s">
        <v>148</v>
      </c>
      <c r="B49" s="40"/>
      <c r="C49" s="40"/>
      <c r="D49" s="40"/>
      <c r="E49" s="40"/>
      <c r="F49" s="58">
        <f>SUM(F41:F48)</f>
        <v>24420</v>
      </c>
      <c r="G49" s="40"/>
    </row>
    <row r="53" spans="1:17" x14ac:dyDescent="0.25">
      <c r="A53" s="110" t="s">
        <v>146</v>
      </c>
    </row>
    <row r="54" spans="1:17" x14ac:dyDescent="0.25">
      <c r="A54" s="110" t="s">
        <v>157</v>
      </c>
      <c r="B54" s="110" t="s">
        <v>156</v>
      </c>
      <c r="C54" s="110" t="s">
        <v>199</v>
      </c>
      <c r="D54" s="110" t="s">
        <v>202</v>
      </c>
      <c r="E54" s="110" t="s">
        <v>174</v>
      </c>
      <c r="F54" s="110" t="s">
        <v>159</v>
      </c>
      <c r="G54" s="110" t="s">
        <v>200</v>
      </c>
      <c r="H54" s="110" t="s">
        <v>201</v>
      </c>
      <c r="I54" s="110" t="s">
        <v>56</v>
      </c>
    </row>
    <row r="55" spans="1:17" x14ac:dyDescent="0.25">
      <c r="A55" s="107" t="s">
        <v>158</v>
      </c>
      <c r="B55" s="40">
        <v>15</v>
      </c>
      <c r="C55" s="40">
        <v>1</v>
      </c>
      <c r="D55" s="72">
        <v>1600</v>
      </c>
      <c r="E55" s="109">
        <v>1500</v>
      </c>
      <c r="F55" s="108">
        <v>200</v>
      </c>
      <c r="G55" s="108">
        <f>SUM(F55,E55,D55,C55)</f>
        <v>3301</v>
      </c>
      <c r="H55" s="72">
        <f>G55*B55</f>
        <v>49515</v>
      </c>
      <c r="I55" s="40"/>
    </row>
    <row r="56" spans="1:17" x14ac:dyDescent="0.25">
      <c r="A56" s="107" t="s">
        <v>173</v>
      </c>
      <c r="B56" s="40">
        <v>15</v>
      </c>
      <c r="C56" s="40">
        <v>1</v>
      </c>
      <c r="D56" s="72">
        <v>3000</v>
      </c>
      <c r="E56" s="109">
        <v>1500</v>
      </c>
      <c r="F56" s="108">
        <v>200</v>
      </c>
      <c r="G56" s="108">
        <f>SUM(F56,E56,D56,C56)</f>
        <v>4701</v>
      </c>
      <c r="H56" s="72">
        <f>G56*B56</f>
        <v>70515</v>
      </c>
      <c r="I56" s="40"/>
    </row>
    <row r="57" spans="1:17" x14ac:dyDescent="0.25">
      <c r="A57" s="73" t="s">
        <v>160</v>
      </c>
      <c r="B57" s="40"/>
      <c r="C57" s="40"/>
      <c r="D57" s="40"/>
      <c r="E57" s="95"/>
      <c r="F57" s="95"/>
      <c r="G57" s="95"/>
      <c r="H57" s="58">
        <f>SUM(H55:H56)</f>
        <v>120030</v>
      </c>
      <c r="I57" s="74"/>
    </row>
    <row r="59" spans="1:17" x14ac:dyDescent="0.25">
      <c r="A59" s="110" t="s">
        <v>19</v>
      </c>
      <c r="B59" s="165"/>
      <c r="C59" s="165"/>
      <c r="D59" s="165"/>
      <c r="E59" s="45"/>
    </row>
    <row r="60" spans="1:17" x14ac:dyDescent="0.25">
      <c r="A60" s="110" t="s">
        <v>20</v>
      </c>
      <c r="B60" s="110" t="s">
        <v>35</v>
      </c>
      <c r="C60" s="110" t="s">
        <v>162</v>
      </c>
      <c r="D60" s="110" t="s">
        <v>91</v>
      </c>
      <c r="E60" s="48" t="s">
        <v>18</v>
      </c>
    </row>
    <row r="61" spans="1:17" x14ac:dyDescent="0.25">
      <c r="A61" s="166" t="s">
        <v>161</v>
      </c>
      <c r="B61" s="63" t="s">
        <v>82</v>
      </c>
      <c r="C61" s="167">
        <v>2000</v>
      </c>
      <c r="D61" s="167">
        <f>C61*12</f>
        <v>24000</v>
      </c>
      <c r="E61" s="220"/>
    </row>
    <row r="62" spans="1:17" x14ac:dyDescent="0.25">
      <c r="A62" s="57" t="s">
        <v>163</v>
      </c>
      <c r="B62" s="64"/>
      <c r="C62" s="64"/>
      <c r="D62" s="168">
        <f>SUM(D61:D61)</f>
        <v>24000</v>
      </c>
      <c r="E62" s="40"/>
    </row>
    <row r="64" spans="1:17" x14ac:dyDescent="0.25">
      <c r="H64" s="75"/>
      <c r="I64" s="75"/>
      <c r="J64" s="75"/>
      <c r="K64" s="75"/>
      <c r="L64" s="75"/>
      <c r="M64" s="75"/>
      <c r="N64" s="75"/>
      <c r="O64" s="75"/>
      <c r="P64" s="75"/>
      <c r="Q64" s="75"/>
    </row>
    <row r="65" spans="1:8" ht="18" x14ac:dyDescent="0.35">
      <c r="A65" s="170" t="s">
        <v>170</v>
      </c>
      <c r="B65" s="164"/>
      <c r="C65" s="164"/>
      <c r="D65" s="164"/>
      <c r="E65" s="164"/>
      <c r="F65" s="164"/>
      <c r="G65" s="164"/>
      <c r="H65" s="43"/>
    </row>
  </sheetData>
  <mergeCells count="5">
    <mergeCell ref="A3:A4"/>
    <mergeCell ref="A5:B5"/>
    <mergeCell ref="A6:A8"/>
    <mergeCell ref="A9:B9"/>
    <mergeCell ref="A1: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85" zoomScaleNormal="85" workbookViewId="0">
      <selection activeCell="E8" sqref="E8"/>
    </sheetView>
  </sheetViews>
  <sheetFormatPr defaultRowHeight="14.4" x14ac:dyDescent="0.3"/>
  <cols>
    <col min="1" max="1" width="25.5546875" style="5" customWidth="1"/>
    <col min="2" max="2" width="19.21875" style="5" bestFit="1" customWidth="1"/>
    <col min="3" max="3" width="24.21875" style="5" bestFit="1" customWidth="1"/>
    <col min="4" max="4" width="24.21875" style="5" customWidth="1"/>
    <col min="5" max="6" width="20.21875" style="5" customWidth="1"/>
    <col min="7" max="7" width="17.21875" style="5" customWidth="1"/>
    <col min="8" max="8" width="23.109375" style="5" bestFit="1" customWidth="1"/>
    <col min="9" max="9" width="33.109375" style="5" customWidth="1"/>
    <col min="10" max="10" width="19.5546875" style="5" customWidth="1"/>
    <col min="11" max="11" width="11.44140625" style="5" bestFit="1" customWidth="1"/>
    <col min="12" max="16384" width="8.88671875" style="5"/>
  </cols>
  <sheetData>
    <row r="1" spans="1:10" x14ac:dyDescent="0.3">
      <c r="A1" s="23" t="s">
        <v>213</v>
      </c>
      <c r="B1" s="23"/>
    </row>
    <row r="2" spans="1:10" x14ac:dyDescent="0.3">
      <c r="A2" s="23" t="s">
        <v>214</v>
      </c>
      <c r="B2" s="23"/>
    </row>
    <row r="3" spans="1:10" x14ac:dyDescent="0.3">
      <c r="A3" s="23"/>
      <c r="B3" s="23"/>
    </row>
    <row r="4" spans="1:10" s="25" customFormat="1" x14ac:dyDescent="0.3">
      <c r="A4" s="203" t="s">
        <v>59</v>
      </c>
      <c r="B4" s="204" t="s">
        <v>199</v>
      </c>
      <c r="C4" s="199"/>
      <c r="D4" s="200"/>
      <c r="E4" s="201"/>
      <c r="F4" s="201"/>
      <c r="H4" s="199"/>
      <c r="I4" s="201"/>
      <c r="J4" s="199"/>
    </row>
    <row r="5" spans="1:10" s="25" customFormat="1" x14ac:dyDescent="0.3">
      <c r="A5" s="205" t="s">
        <v>164</v>
      </c>
      <c r="B5" s="125">
        <v>4596</v>
      </c>
      <c r="C5" s="199"/>
      <c r="D5" s="200"/>
      <c r="E5" s="201"/>
      <c r="F5" s="201"/>
      <c r="H5" s="199"/>
      <c r="I5" s="201"/>
      <c r="J5" s="199"/>
    </row>
    <row r="6" spans="1:10" s="25" customFormat="1" x14ac:dyDescent="0.3">
      <c r="A6" s="101" t="s">
        <v>242</v>
      </c>
      <c r="B6" s="6">
        <f>B5*3</f>
        <v>13788</v>
      </c>
      <c r="C6" s="199"/>
      <c r="D6" s="200"/>
      <c r="E6" s="201"/>
      <c r="F6" s="201"/>
      <c r="H6" s="199"/>
      <c r="I6" s="201"/>
      <c r="J6" s="199"/>
    </row>
    <row r="7" spans="1:10" s="25" customFormat="1" x14ac:dyDescent="0.3">
      <c r="A7" s="205" t="s">
        <v>260</v>
      </c>
      <c r="B7" s="206">
        <f>'1. Union'!C11</f>
        <v>1370945.5929038727</v>
      </c>
      <c r="C7" s="199"/>
      <c r="D7" s="200"/>
      <c r="E7" s="201"/>
      <c r="F7" s="201"/>
      <c r="H7" s="199"/>
      <c r="I7" s="201"/>
      <c r="J7" s="199"/>
    </row>
    <row r="8" spans="1:10" s="25" customFormat="1" x14ac:dyDescent="0.3">
      <c r="A8" s="205" t="s">
        <v>261</v>
      </c>
      <c r="B8" s="206">
        <f>B7/121.39</f>
        <v>11293.727596209512</v>
      </c>
      <c r="C8" s="199"/>
      <c r="D8" s="200"/>
      <c r="E8" s="201"/>
      <c r="F8" s="201"/>
      <c r="H8" s="199"/>
      <c r="I8" s="201"/>
      <c r="J8" s="199"/>
    </row>
    <row r="9" spans="1:10" s="25" customFormat="1" x14ac:dyDescent="0.3">
      <c r="A9" s="101" t="s">
        <v>263</v>
      </c>
      <c r="B9" s="206">
        <f>B5*B7</f>
        <v>6300865944.9861994</v>
      </c>
      <c r="C9" s="199"/>
      <c r="D9" s="200"/>
      <c r="E9" s="201"/>
      <c r="F9" s="201"/>
      <c r="H9" s="199"/>
      <c r="I9" s="201"/>
      <c r="J9" s="199"/>
    </row>
    <row r="10" spans="1:10" s="25" customFormat="1" x14ac:dyDescent="0.3">
      <c r="A10" s="101" t="s">
        <v>262</v>
      </c>
      <c r="B10" s="206">
        <f>B9/121.39</f>
        <v>51905972.032178923</v>
      </c>
      <c r="C10" s="199"/>
      <c r="D10" s="200"/>
      <c r="E10" s="201"/>
      <c r="F10" s="201"/>
      <c r="H10" s="199"/>
      <c r="I10" s="201"/>
      <c r="J10" s="199"/>
    </row>
    <row r="11" spans="1:10" s="25" customFormat="1" x14ac:dyDescent="0.3">
      <c r="A11" s="101" t="s">
        <v>211</v>
      </c>
      <c r="B11" s="6">
        <v>433</v>
      </c>
      <c r="C11" s="199"/>
      <c r="D11" s="200"/>
      <c r="E11" s="201"/>
      <c r="F11" s="201"/>
      <c r="H11" s="199"/>
      <c r="I11" s="201"/>
      <c r="J11" s="199"/>
    </row>
    <row r="12" spans="1:10" s="25" customFormat="1" x14ac:dyDescent="0.3">
      <c r="A12" s="101" t="s">
        <v>212</v>
      </c>
      <c r="B12" s="206">
        <f>'2. Upazilla'!C10</f>
        <v>378605.21784480009</v>
      </c>
      <c r="C12" s="199"/>
      <c r="D12" s="200"/>
      <c r="E12" s="201"/>
      <c r="F12" s="201"/>
      <c r="H12" s="199"/>
      <c r="I12" s="201"/>
      <c r="J12" s="199"/>
    </row>
    <row r="13" spans="1:10" s="25" customFormat="1" x14ac:dyDescent="0.3">
      <c r="A13" s="101" t="s">
        <v>264</v>
      </c>
      <c r="B13" s="206">
        <f>B11*B12</f>
        <v>163936059.32679844</v>
      </c>
      <c r="C13" s="199"/>
      <c r="D13" s="200"/>
      <c r="E13" s="201"/>
      <c r="F13" s="201"/>
      <c r="H13" s="199"/>
      <c r="I13" s="201"/>
      <c r="J13" s="199"/>
    </row>
    <row r="14" spans="1:10" s="25" customFormat="1" x14ac:dyDescent="0.3">
      <c r="A14" s="101" t="s">
        <v>265</v>
      </c>
      <c r="B14" s="206">
        <f>B13/121.39</f>
        <v>1350490.6444253928</v>
      </c>
      <c r="C14" s="199"/>
      <c r="D14" s="200"/>
      <c r="E14" s="201"/>
      <c r="F14" s="201"/>
      <c r="H14" s="199"/>
      <c r="I14" s="201"/>
      <c r="J14" s="199"/>
    </row>
    <row r="15" spans="1:10" s="25" customFormat="1" x14ac:dyDescent="0.3">
      <c r="A15" s="205" t="s">
        <v>266</v>
      </c>
      <c r="B15" s="206">
        <f>SUM(B9,B13)</f>
        <v>6464802004.3129978</v>
      </c>
      <c r="C15" s="199"/>
      <c r="D15" s="200"/>
      <c r="E15" s="201"/>
      <c r="F15" s="201"/>
      <c r="H15" s="199"/>
      <c r="I15" s="201"/>
      <c r="J15" s="199"/>
    </row>
    <row r="16" spans="1:10" s="25" customFormat="1" x14ac:dyDescent="0.3">
      <c r="A16" s="205" t="s">
        <v>267</v>
      </c>
      <c r="B16" s="206">
        <f>B15/121.39</f>
        <v>53256462.676604316</v>
      </c>
      <c r="C16" s="199"/>
      <c r="D16" s="200"/>
      <c r="E16" s="201"/>
      <c r="F16" s="201"/>
      <c r="H16" s="199"/>
      <c r="I16" s="201"/>
      <c r="J16" s="199"/>
    </row>
    <row r="17" spans="1:15" s="25" customFormat="1" x14ac:dyDescent="0.3">
      <c r="A17" s="198"/>
      <c r="C17" s="199"/>
      <c r="D17" s="200"/>
      <c r="E17" s="201"/>
      <c r="F17" s="201"/>
      <c r="H17" s="199"/>
      <c r="I17" s="201"/>
      <c r="J17" s="199"/>
    </row>
    <row r="18" spans="1:15" x14ac:dyDescent="0.3">
      <c r="A18" s="78" t="s">
        <v>170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zoomScale="55" zoomScaleNormal="55" workbookViewId="0">
      <selection activeCell="G35" sqref="G35"/>
    </sheetView>
  </sheetViews>
  <sheetFormatPr defaultRowHeight="14.4" x14ac:dyDescent="0.3"/>
  <cols>
    <col min="1" max="1" width="22.33203125" bestFit="1" customWidth="1"/>
    <col min="2" max="2" width="30" bestFit="1" customWidth="1"/>
    <col min="3" max="3" width="38.109375" bestFit="1" customWidth="1"/>
    <col min="4" max="4" width="42.33203125" bestFit="1" customWidth="1"/>
    <col min="5" max="5" width="33.33203125" bestFit="1" customWidth="1"/>
    <col min="6" max="6" width="28.88671875" customWidth="1"/>
    <col min="7" max="7" width="54.6640625" bestFit="1" customWidth="1"/>
    <col min="8" max="8" width="43.5546875" bestFit="1" customWidth="1"/>
    <col min="9" max="9" width="43.77734375" customWidth="1"/>
    <col min="10" max="10" width="44.5546875" bestFit="1" customWidth="1"/>
  </cols>
  <sheetData>
    <row r="1" spans="1:9" x14ac:dyDescent="0.3">
      <c r="B1" s="8"/>
      <c r="C1" s="96"/>
      <c r="D1" s="96"/>
      <c r="E1" s="96"/>
      <c r="G1" s="184"/>
    </row>
    <row r="2" spans="1:9" x14ac:dyDescent="0.3">
      <c r="A2" s="113" t="s">
        <v>220</v>
      </c>
    </row>
    <row r="3" spans="1:9" x14ac:dyDescent="0.3">
      <c r="A3" s="113" t="s">
        <v>55</v>
      </c>
      <c r="B3" s="113" t="s">
        <v>53</v>
      </c>
      <c r="C3" s="113" t="s">
        <v>277</v>
      </c>
      <c r="D3" s="113" t="s">
        <v>275</v>
      </c>
      <c r="E3" s="113" t="s">
        <v>276</v>
      </c>
      <c r="F3" s="113" t="s">
        <v>271</v>
      </c>
      <c r="G3" s="113" t="s">
        <v>248</v>
      </c>
      <c r="H3" s="113" t="s">
        <v>251</v>
      </c>
      <c r="I3" s="113" t="s">
        <v>252</v>
      </c>
    </row>
    <row r="4" spans="1:9" x14ac:dyDescent="0.3">
      <c r="A4" s="3">
        <v>1</v>
      </c>
      <c r="B4" s="3" t="s">
        <v>41</v>
      </c>
      <c r="C4" s="102">
        <v>30</v>
      </c>
      <c r="D4" s="102">
        <v>0</v>
      </c>
      <c r="E4" s="102">
        <v>0</v>
      </c>
      <c r="F4" s="99">
        <f>(C4*1)+(D4*2)+(E4*3)</f>
        <v>30</v>
      </c>
      <c r="G4" s="231">
        <f>'1. Union'!C12</f>
        <v>456981.86430129089</v>
      </c>
      <c r="H4" s="189">
        <f>F4*$G$4</f>
        <v>13709455.929038726</v>
      </c>
      <c r="I4" s="191">
        <f>H4/121.39</f>
        <v>112937.27596209511</v>
      </c>
    </row>
    <row r="5" spans="1:9" x14ac:dyDescent="0.3">
      <c r="A5" s="3">
        <v>2</v>
      </c>
      <c r="B5" s="3" t="s">
        <v>42</v>
      </c>
      <c r="C5" s="10">
        <v>8</v>
      </c>
      <c r="D5" s="102">
        <v>18</v>
      </c>
      <c r="E5" s="102">
        <v>15</v>
      </c>
      <c r="F5" s="99">
        <f t="shared" ref="F5:F15" si="0">(C5*1)+(D5*2)+(E5*3)</f>
        <v>89</v>
      </c>
      <c r="G5" s="232"/>
      <c r="H5" s="189">
        <f t="shared" ref="H5:H15" si="1">F5*$G$4</f>
        <v>40671385.922814891</v>
      </c>
      <c r="I5" s="191">
        <f t="shared" ref="I5:I15" si="2">H5/121.39</f>
        <v>335047.25202088221</v>
      </c>
    </row>
    <row r="6" spans="1:9" x14ac:dyDescent="0.3">
      <c r="A6" s="3">
        <v>3</v>
      </c>
      <c r="B6" s="3" t="s">
        <v>43</v>
      </c>
      <c r="C6" s="10">
        <v>27</v>
      </c>
      <c r="D6" s="102">
        <v>0</v>
      </c>
      <c r="E6" s="102">
        <v>0</v>
      </c>
      <c r="F6" s="99">
        <f t="shared" si="0"/>
        <v>27</v>
      </c>
      <c r="G6" s="232"/>
      <c r="H6" s="189">
        <f t="shared" si="1"/>
        <v>12338510.336134855</v>
      </c>
      <c r="I6" s="191">
        <f t="shared" si="2"/>
        <v>101643.54836588561</v>
      </c>
    </row>
    <row r="7" spans="1:9" x14ac:dyDescent="0.3">
      <c r="A7" s="3">
        <v>4</v>
      </c>
      <c r="B7" s="3" t="s">
        <v>44</v>
      </c>
      <c r="C7" s="10">
        <v>3</v>
      </c>
      <c r="D7" s="102">
        <v>9</v>
      </c>
      <c r="E7" s="102">
        <v>42</v>
      </c>
      <c r="F7" s="99">
        <f t="shared" si="0"/>
        <v>147</v>
      </c>
      <c r="G7" s="232"/>
      <c r="H7" s="189">
        <f t="shared" si="1"/>
        <v>67176334.052289754</v>
      </c>
      <c r="I7" s="191">
        <f t="shared" si="2"/>
        <v>553392.65221426601</v>
      </c>
    </row>
    <row r="8" spans="1:9" x14ac:dyDescent="0.3">
      <c r="A8" s="3">
        <v>5</v>
      </c>
      <c r="B8" s="3" t="s">
        <v>45</v>
      </c>
      <c r="C8" s="10">
        <v>20</v>
      </c>
      <c r="D8" s="102">
        <v>36</v>
      </c>
      <c r="E8" s="102">
        <v>19</v>
      </c>
      <c r="F8" s="99">
        <f t="shared" si="0"/>
        <v>149</v>
      </c>
      <c r="G8" s="232"/>
      <c r="H8" s="189">
        <f t="shared" si="1"/>
        <v>68090297.780892342</v>
      </c>
      <c r="I8" s="191">
        <f t="shared" si="2"/>
        <v>560921.80394507246</v>
      </c>
    </row>
    <row r="9" spans="1:9" x14ac:dyDescent="0.3">
      <c r="A9" s="3">
        <v>6</v>
      </c>
      <c r="B9" s="3" t="s">
        <v>46</v>
      </c>
      <c r="C9" s="10">
        <v>18</v>
      </c>
      <c r="D9" s="102">
        <v>20</v>
      </c>
      <c r="E9" s="102">
        <v>19</v>
      </c>
      <c r="F9" s="99">
        <f t="shared" si="0"/>
        <v>115</v>
      </c>
      <c r="G9" s="232"/>
      <c r="H9" s="189">
        <f t="shared" si="1"/>
        <v>52552914.394648455</v>
      </c>
      <c r="I9" s="191">
        <f t="shared" si="2"/>
        <v>432926.22452136467</v>
      </c>
    </row>
    <row r="10" spans="1:9" x14ac:dyDescent="0.3">
      <c r="A10" s="3">
        <v>7</v>
      </c>
      <c r="B10" s="3" t="s">
        <v>47</v>
      </c>
      <c r="C10" s="10">
        <v>14</v>
      </c>
      <c r="D10" s="102">
        <v>12</v>
      </c>
      <c r="E10" s="102">
        <v>1</v>
      </c>
      <c r="F10" s="99">
        <f t="shared" si="0"/>
        <v>41</v>
      </c>
      <c r="G10" s="232"/>
      <c r="H10" s="189">
        <f t="shared" si="1"/>
        <v>18736256.436352927</v>
      </c>
      <c r="I10" s="191">
        <f t="shared" si="2"/>
        <v>154347.61048152999</v>
      </c>
    </row>
    <row r="11" spans="1:9" x14ac:dyDescent="0.3">
      <c r="A11" s="3">
        <v>8</v>
      </c>
      <c r="B11" s="3" t="s">
        <v>48</v>
      </c>
      <c r="C11" s="10">
        <v>24</v>
      </c>
      <c r="D11" s="102">
        <v>7</v>
      </c>
      <c r="E11" s="102">
        <v>0</v>
      </c>
      <c r="F11" s="99">
        <f t="shared" si="0"/>
        <v>38</v>
      </c>
      <c r="G11" s="232"/>
      <c r="H11" s="189">
        <f t="shared" si="1"/>
        <v>17365310.843449052</v>
      </c>
      <c r="I11" s="191">
        <f t="shared" si="2"/>
        <v>143053.88288532046</v>
      </c>
    </row>
    <row r="12" spans="1:9" x14ac:dyDescent="0.3">
      <c r="A12" s="3">
        <v>9</v>
      </c>
      <c r="B12" s="3" t="s">
        <v>49</v>
      </c>
      <c r="C12" s="10">
        <v>33</v>
      </c>
      <c r="D12" s="102">
        <v>0</v>
      </c>
      <c r="E12" s="102">
        <v>0</v>
      </c>
      <c r="F12" s="99">
        <f t="shared" si="0"/>
        <v>33</v>
      </c>
      <c r="G12" s="232"/>
      <c r="H12" s="189">
        <f t="shared" si="1"/>
        <v>15080401.521942599</v>
      </c>
      <c r="I12" s="191">
        <f t="shared" si="2"/>
        <v>124231.00355830463</v>
      </c>
    </row>
    <row r="13" spans="1:9" x14ac:dyDescent="0.3">
      <c r="A13" s="3">
        <v>10</v>
      </c>
      <c r="B13" s="3" t="s">
        <v>50</v>
      </c>
      <c r="C13" s="10">
        <v>30</v>
      </c>
      <c r="D13" s="102">
        <v>0</v>
      </c>
      <c r="E13" s="102">
        <v>0</v>
      </c>
      <c r="F13" s="99">
        <f t="shared" si="0"/>
        <v>30</v>
      </c>
      <c r="G13" s="232"/>
      <c r="H13" s="189">
        <f t="shared" si="1"/>
        <v>13709455.929038726</v>
      </c>
      <c r="I13" s="191">
        <f t="shared" si="2"/>
        <v>112937.27596209511</v>
      </c>
    </row>
    <row r="14" spans="1:9" x14ac:dyDescent="0.3">
      <c r="A14" s="3">
        <v>11</v>
      </c>
      <c r="B14" s="3" t="s">
        <v>51</v>
      </c>
      <c r="C14" s="10">
        <v>32</v>
      </c>
      <c r="D14" s="102">
        <v>1</v>
      </c>
      <c r="E14" s="102">
        <v>0</v>
      </c>
      <c r="F14" s="99">
        <f t="shared" si="0"/>
        <v>34</v>
      </c>
      <c r="G14" s="232"/>
      <c r="H14" s="189">
        <f t="shared" si="1"/>
        <v>15537383.386243891</v>
      </c>
      <c r="I14" s="191">
        <f t="shared" si="2"/>
        <v>127995.57942370781</v>
      </c>
    </row>
    <row r="15" spans="1:9" x14ac:dyDescent="0.3">
      <c r="A15" s="3">
        <v>12</v>
      </c>
      <c r="B15" s="3" t="s">
        <v>52</v>
      </c>
      <c r="C15" s="10">
        <v>27</v>
      </c>
      <c r="D15" s="102">
        <v>0</v>
      </c>
      <c r="E15" s="102">
        <v>0</v>
      </c>
      <c r="F15" s="99">
        <f t="shared" si="0"/>
        <v>27</v>
      </c>
      <c r="G15" s="232"/>
      <c r="H15" s="189">
        <f t="shared" si="1"/>
        <v>12338510.336134855</v>
      </c>
      <c r="I15" s="191">
        <f t="shared" si="2"/>
        <v>101643.54836588561</v>
      </c>
    </row>
    <row r="16" spans="1:9" x14ac:dyDescent="0.3">
      <c r="A16" s="4"/>
      <c r="B16" s="7" t="s">
        <v>58</v>
      </c>
      <c r="C16" s="79">
        <f>SUM(C4:C15)</f>
        <v>266</v>
      </c>
      <c r="D16" s="79"/>
      <c r="E16" s="79"/>
      <c r="F16" s="79">
        <f>SUM(F4:F15)</f>
        <v>760</v>
      </c>
      <c r="G16" s="233"/>
      <c r="H16" s="190">
        <f>SUM(H4:H15)</f>
        <v>347306216.86898106</v>
      </c>
      <c r="I16" s="191">
        <f>SUM(I4:I15)</f>
        <v>2861077.6577064097</v>
      </c>
    </row>
    <row r="17" spans="1:10" x14ac:dyDescent="0.3">
      <c r="A17" t="s">
        <v>247</v>
      </c>
      <c r="B17" s="8"/>
      <c r="C17" s="96"/>
      <c r="D17" s="96"/>
      <c r="E17" s="96"/>
      <c r="G17" s="184"/>
    </row>
    <row r="18" spans="1:10" x14ac:dyDescent="0.3">
      <c r="B18" s="8"/>
      <c r="C18" s="96"/>
      <c r="D18" s="96"/>
      <c r="E18" s="96"/>
      <c r="G18" s="184"/>
    </row>
    <row r="19" spans="1:10" x14ac:dyDescent="0.3">
      <c r="B19" s="8"/>
      <c r="C19" s="96"/>
      <c r="D19" s="96"/>
      <c r="E19" s="96"/>
      <c r="G19" s="184"/>
    </row>
    <row r="20" spans="1:10" x14ac:dyDescent="0.3">
      <c r="A20" s="113" t="s">
        <v>175</v>
      </c>
      <c r="B20" s="8"/>
      <c r="C20" s="96"/>
      <c r="D20" s="96"/>
      <c r="E20" s="96"/>
      <c r="G20" s="97"/>
    </row>
    <row r="21" spans="1:10" x14ac:dyDescent="0.3">
      <c r="A21" s="113" t="s">
        <v>55</v>
      </c>
      <c r="B21" s="113" t="s">
        <v>185</v>
      </c>
      <c r="C21" s="113" t="s">
        <v>54</v>
      </c>
      <c r="D21" s="113"/>
      <c r="E21" s="113"/>
      <c r="F21" s="113" t="s">
        <v>250</v>
      </c>
      <c r="G21" s="113" t="s">
        <v>57</v>
      </c>
      <c r="H21" s="113" t="s">
        <v>253</v>
      </c>
      <c r="I21" s="113" t="s">
        <v>254</v>
      </c>
    </row>
    <row r="22" spans="1:10" x14ac:dyDescent="0.3">
      <c r="A22" s="3">
        <v>1</v>
      </c>
      <c r="B22" s="3" t="s">
        <v>176</v>
      </c>
      <c r="C22" s="6">
        <v>836250</v>
      </c>
      <c r="D22" s="6"/>
      <c r="E22" s="6"/>
      <c r="F22" s="186">
        <f>C22/6000</f>
        <v>139.375</v>
      </c>
      <c r="G22" s="231">
        <f>'1. Union'!C12</f>
        <v>456981.86430129089</v>
      </c>
      <c r="H22" s="189">
        <f>F22*$G$22</f>
        <v>63691847.33699242</v>
      </c>
      <c r="I22" s="191">
        <f>H22/121.39</f>
        <v>524687.76124056696</v>
      </c>
    </row>
    <row r="23" spans="1:10" x14ac:dyDescent="0.3">
      <c r="A23" s="3">
        <v>2</v>
      </c>
      <c r="B23" s="3" t="s">
        <v>177</v>
      </c>
      <c r="C23" s="6">
        <v>3951199</v>
      </c>
      <c r="D23" s="6"/>
      <c r="E23" s="6"/>
      <c r="F23" s="186">
        <f t="shared" ref="F23:F29" si="3">C23/6000</f>
        <v>658.53316666666672</v>
      </c>
      <c r="G23" s="232"/>
      <c r="H23" s="189">
        <f t="shared" ref="H23:H29" si="4">F23*$G$22</f>
        <v>300937714.20756608</v>
      </c>
      <c r="I23" s="191">
        <f t="shared" ref="I23:I29" si="5">H23/121.39</f>
        <v>2479098.0658008573</v>
      </c>
      <c r="J23" s="98"/>
    </row>
    <row r="24" spans="1:10" x14ac:dyDescent="0.3">
      <c r="A24" s="3">
        <v>3</v>
      </c>
      <c r="B24" s="3" t="s">
        <v>178</v>
      </c>
      <c r="C24" s="6">
        <v>4411135</v>
      </c>
      <c r="D24" s="6"/>
      <c r="E24" s="6"/>
      <c r="F24" s="186">
        <f t="shared" si="3"/>
        <v>735.18916666666667</v>
      </c>
      <c r="G24" s="232"/>
      <c r="H24" s="189">
        <f t="shared" si="4"/>
        <v>335968115.99744582</v>
      </c>
      <c r="I24" s="191">
        <f t="shared" si="5"/>
        <v>2767675.3933392027</v>
      </c>
      <c r="J24" s="98"/>
    </row>
    <row r="25" spans="1:10" x14ac:dyDescent="0.3">
      <c r="A25" s="3">
        <v>4</v>
      </c>
      <c r="B25" s="3" t="s">
        <v>179</v>
      </c>
      <c r="C25" s="6">
        <v>1965712</v>
      </c>
      <c r="D25" s="6"/>
      <c r="E25" s="6"/>
      <c r="F25" s="186">
        <f t="shared" si="3"/>
        <v>327.61866666666668</v>
      </c>
      <c r="G25" s="232"/>
      <c r="H25" s="189">
        <f t="shared" si="4"/>
        <v>149715789.07323653</v>
      </c>
      <c r="I25" s="191">
        <f t="shared" si="5"/>
        <v>1233345.3255888997</v>
      </c>
      <c r="J25" s="98"/>
    </row>
    <row r="26" spans="1:10" x14ac:dyDescent="0.3">
      <c r="A26" s="3">
        <v>5</v>
      </c>
      <c r="B26" s="3" t="s">
        <v>180</v>
      </c>
      <c r="C26" s="6">
        <v>1290659</v>
      </c>
      <c r="D26" s="6"/>
      <c r="E26" s="6"/>
      <c r="F26" s="186">
        <f t="shared" si="3"/>
        <v>215.10983333333334</v>
      </c>
      <c r="G26" s="232"/>
      <c r="H26" s="189">
        <f t="shared" si="4"/>
        <v>98301292.666206643</v>
      </c>
      <c r="I26" s="191">
        <f t="shared" si="5"/>
        <v>809797.28697756527</v>
      </c>
      <c r="J26" s="98"/>
    </row>
    <row r="27" spans="1:10" x14ac:dyDescent="0.3">
      <c r="A27" s="3">
        <v>6</v>
      </c>
      <c r="B27" s="3" t="s">
        <v>181</v>
      </c>
      <c r="C27" s="6">
        <v>3069811</v>
      </c>
      <c r="D27" s="6"/>
      <c r="E27" s="6"/>
      <c r="F27" s="186">
        <f t="shared" si="3"/>
        <v>511.63516666666669</v>
      </c>
      <c r="G27" s="232"/>
      <c r="H27" s="189">
        <f t="shared" si="4"/>
        <v>233807992.30543503</v>
      </c>
      <c r="I27" s="191">
        <f t="shared" si="5"/>
        <v>1926089.4003248622</v>
      </c>
      <c r="J27" s="98"/>
    </row>
    <row r="28" spans="1:10" x14ac:dyDescent="0.3">
      <c r="A28" s="3">
        <v>7</v>
      </c>
      <c r="B28" s="3" t="s">
        <v>182</v>
      </c>
      <c r="C28" s="6">
        <v>1623950</v>
      </c>
      <c r="D28" s="6"/>
      <c r="E28" s="6"/>
      <c r="F28" s="186">
        <f t="shared" si="3"/>
        <v>270.65833333333336</v>
      </c>
      <c r="G28" s="232"/>
      <c r="H28" s="189">
        <f t="shared" si="4"/>
        <v>123685949.75534689</v>
      </c>
      <c r="I28" s="191">
        <f t="shared" si="5"/>
        <v>1018913.8294369132</v>
      </c>
      <c r="J28" s="98"/>
    </row>
    <row r="29" spans="1:10" x14ac:dyDescent="0.3">
      <c r="A29" s="3">
        <v>8</v>
      </c>
      <c r="B29" s="3" t="s">
        <v>183</v>
      </c>
      <c r="C29" s="6">
        <v>749158</v>
      </c>
      <c r="D29" s="6"/>
      <c r="E29" s="6"/>
      <c r="F29" s="186">
        <f t="shared" si="3"/>
        <v>124.85966666666667</v>
      </c>
      <c r="G29" s="232"/>
      <c r="H29" s="189">
        <f t="shared" si="4"/>
        <v>57058603.249371082</v>
      </c>
      <c r="I29" s="191">
        <f t="shared" si="5"/>
        <v>470043.68769561808</v>
      </c>
      <c r="J29" s="98"/>
    </row>
    <row r="30" spans="1:10" x14ac:dyDescent="0.3">
      <c r="A30" s="4"/>
      <c r="B30" s="7" t="s">
        <v>58</v>
      </c>
      <c r="C30" s="22">
        <f>SUM(C22:C29)</f>
        <v>17897874</v>
      </c>
      <c r="D30" s="22"/>
      <c r="E30" s="22"/>
      <c r="F30" s="100">
        <f>SUM(F22:F29)</f>
        <v>2982.9790000000003</v>
      </c>
      <c r="G30" s="233"/>
      <c r="H30" s="190">
        <f>SUM(H22:H29)</f>
        <v>1363167304.5916004</v>
      </c>
      <c r="I30" s="192">
        <f>SUM(I22:I29)</f>
        <v>11229650.750404485</v>
      </c>
      <c r="J30" s="98"/>
    </row>
    <row r="31" spans="1:10" x14ac:dyDescent="0.3">
      <c r="A31" t="s">
        <v>247</v>
      </c>
      <c r="B31" s="2"/>
      <c r="J31" s="98"/>
    </row>
    <row r="32" spans="1:10" x14ac:dyDescent="0.3">
      <c r="B32" s="2"/>
      <c r="J32" s="98"/>
    </row>
    <row r="33" spans="1:10" x14ac:dyDescent="0.3">
      <c r="B33" s="2"/>
      <c r="J33" s="98"/>
    </row>
    <row r="34" spans="1:10" x14ac:dyDescent="0.3">
      <c r="A34" s="114" t="s">
        <v>219</v>
      </c>
      <c r="B34" s="2"/>
      <c r="G34" s="97"/>
      <c r="J34" s="98"/>
    </row>
    <row r="35" spans="1:10" x14ac:dyDescent="0.3">
      <c r="A35" s="116" t="s">
        <v>59</v>
      </c>
      <c r="B35" s="7" t="s">
        <v>249</v>
      </c>
      <c r="C35" s="177" t="s">
        <v>255</v>
      </c>
      <c r="D35" s="116" t="s">
        <v>256</v>
      </c>
      <c r="E35" s="177"/>
      <c r="G35" s="97"/>
      <c r="J35" s="98"/>
    </row>
    <row r="36" spans="1:10" x14ac:dyDescent="0.3">
      <c r="A36" s="115" t="s">
        <v>220</v>
      </c>
      <c r="B36" s="185">
        <f>F16</f>
        <v>760</v>
      </c>
      <c r="C36" s="189">
        <f>H16</f>
        <v>347306216.86898106</v>
      </c>
      <c r="D36" s="193">
        <f>I16</f>
        <v>2861077.6577064097</v>
      </c>
      <c r="E36" s="189"/>
    </row>
    <row r="37" spans="1:10" x14ac:dyDescent="0.3">
      <c r="A37" s="115" t="s">
        <v>184</v>
      </c>
      <c r="B37" s="6">
        <f>F30</f>
        <v>2982.9790000000003</v>
      </c>
      <c r="C37" s="189">
        <f>H30</f>
        <v>1363167304.5916004</v>
      </c>
      <c r="D37" s="193">
        <f>I30</f>
        <v>11229650.750404485</v>
      </c>
      <c r="E37" s="189"/>
    </row>
    <row r="38" spans="1:10" x14ac:dyDescent="0.3">
      <c r="A38" s="187" t="s">
        <v>58</v>
      </c>
      <c r="B38" s="188">
        <f>SUM(B36:B37)</f>
        <v>3742.9790000000003</v>
      </c>
      <c r="C38" s="194">
        <f>SUM(C36:C37)</f>
        <v>1710473521.4605815</v>
      </c>
      <c r="D38" s="214">
        <f>SUM(D36:D37)</f>
        <v>14090728.408110894</v>
      </c>
      <c r="E38" s="194"/>
    </row>
    <row r="40" spans="1:10" x14ac:dyDescent="0.3">
      <c r="A40" s="78" t="s">
        <v>170</v>
      </c>
      <c r="B40" s="78"/>
      <c r="C40" s="78"/>
      <c r="D40" s="78"/>
      <c r="E40" s="78"/>
      <c r="F40" s="78"/>
      <c r="G40" s="78"/>
      <c r="H40" s="78"/>
      <c r="I40" s="86"/>
    </row>
  </sheetData>
  <mergeCells count="2">
    <mergeCell ref="G4:G16"/>
    <mergeCell ref="G22:G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835-922A-4E72-A950-14BE1D6B5DB8}">
  <dimension ref="A1:AD20"/>
  <sheetViews>
    <sheetView topLeftCell="C1" zoomScale="70" zoomScaleNormal="70" workbookViewId="0">
      <selection activeCell="H34" sqref="H34"/>
    </sheetView>
  </sheetViews>
  <sheetFormatPr defaultRowHeight="13.8" x14ac:dyDescent="0.25"/>
  <cols>
    <col min="1" max="1" width="28.88671875" style="41" bestFit="1" customWidth="1"/>
    <col min="2" max="2" width="30.21875" style="41" bestFit="1" customWidth="1"/>
    <col min="3" max="3" width="25" style="41" customWidth="1"/>
    <col min="4" max="4" width="15.5546875" style="41" bestFit="1" customWidth="1"/>
    <col min="5" max="5" width="39.6640625" style="41" bestFit="1" customWidth="1"/>
    <col min="6" max="6" width="19.5546875" style="41" customWidth="1"/>
    <col min="7" max="7" width="16.88671875" style="41" bestFit="1" customWidth="1"/>
    <col min="8" max="8" width="13.6640625" style="41" customWidth="1"/>
    <col min="9" max="9" width="8.88671875" style="41"/>
    <col min="10" max="10" width="29.109375" style="41" bestFit="1" customWidth="1"/>
    <col min="11" max="16384" width="8.88671875" style="41"/>
  </cols>
  <sheetData>
    <row r="1" spans="1:19" x14ac:dyDescent="0.25">
      <c r="A1" s="112" t="s">
        <v>1</v>
      </c>
      <c r="B1" s="112"/>
      <c r="C1" s="57" t="s">
        <v>141</v>
      </c>
      <c r="E1" s="41" t="s">
        <v>291</v>
      </c>
    </row>
    <row r="2" spans="1:19" x14ac:dyDescent="0.25">
      <c r="A2" s="111" t="s">
        <v>203</v>
      </c>
      <c r="B2" s="171" t="s">
        <v>205</v>
      </c>
      <c r="C2" s="172">
        <f>G13</f>
        <v>72000</v>
      </c>
      <c r="E2" s="41" t="s">
        <v>292</v>
      </c>
    </row>
    <row r="3" spans="1:19" x14ac:dyDescent="0.25">
      <c r="A3" s="111"/>
      <c r="B3" s="171" t="s">
        <v>204</v>
      </c>
      <c r="C3" s="172">
        <f>G14</f>
        <v>216000</v>
      </c>
      <c r="E3" s="41" t="s">
        <v>293</v>
      </c>
    </row>
    <row r="4" spans="1:19" x14ac:dyDescent="0.25">
      <c r="A4" s="174"/>
      <c r="B4" s="171" t="s">
        <v>207</v>
      </c>
      <c r="C4" s="173">
        <f>G18</f>
        <v>1262230488</v>
      </c>
    </row>
    <row r="8" spans="1:19" ht="17.399999999999999" x14ac:dyDescent="0.3">
      <c r="A8" s="76" t="s">
        <v>208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1.4" customHeight="1" x14ac:dyDescent="0.3">
      <c r="A9" s="76"/>
    </row>
    <row r="10" spans="1:19" x14ac:dyDescent="0.25">
      <c r="A10" s="46" t="s">
        <v>210</v>
      </c>
    </row>
    <row r="11" spans="1:19" ht="27.6" x14ac:dyDescent="0.25">
      <c r="A11" s="47" t="s">
        <v>244</v>
      </c>
      <c r="B11" s="47" t="s">
        <v>206</v>
      </c>
      <c r="C11" s="47" t="s">
        <v>216</v>
      </c>
      <c r="D11" s="47" t="s">
        <v>209</v>
      </c>
      <c r="E11" s="48" t="s">
        <v>274</v>
      </c>
      <c r="F11" s="48" t="s">
        <v>273</v>
      </c>
      <c r="G11" s="47" t="s">
        <v>268</v>
      </c>
      <c r="H11" s="47" t="s">
        <v>269</v>
      </c>
    </row>
    <row r="12" spans="1:19" x14ac:dyDescent="0.25">
      <c r="B12" s="40" t="s">
        <v>218</v>
      </c>
      <c r="C12" s="50"/>
      <c r="D12" s="71">
        <v>1200</v>
      </c>
      <c r="E12" s="40"/>
      <c r="F12" s="40"/>
      <c r="G12" s="51"/>
      <c r="H12" s="40"/>
    </row>
    <row r="13" spans="1:19" x14ac:dyDescent="0.25">
      <c r="A13" s="235" t="s">
        <v>243</v>
      </c>
      <c r="B13" s="40" t="s">
        <v>245</v>
      </c>
      <c r="C13" s="40">
        <v>5</v>
      </c>
      <c r="D13" s="40"/>
      <c r="E13" s="71">
        <f>$D$12*C13</f>
        <v>6000</v>
      </c>
      <c r="F13" s="195">
        <f>E13/121.39</f>
        <v>49.427465194826588</v>
      </c>
      <c r="G13" s="71">
        <f t="shared" ref="G13:G17" si="0">E13*12</f>
        <v>72000</v>
      </c>
      <c r="H13" s="195">
        <f>G13/121.39</f>
        <v>593.12958233791915</v>
      </c>
    </row>
    <row r="14" spans="1:19" x14ac:dyDescent="0.25">
      <c r="A14" s="236"/>
      <c r="B14" s="40" t="s">
        <v>217</v>
      </c>
      <c r="C14" s="107">
        <f>C13*3</f>
        <v>15</v>
      </c>
      <c r="D14" s="107"/>
      <c r="E14" s="71">
        <f>$D$12*C14</f>
        <v>18000</v>
      </c>
      <c r="F14" s="195">
        <f t="shared" ref="F14:F18" si="1">E14/121.39</f>
        <v>148.28239558447979</v>
      </c>
      <c r="G14" s="71">
        <f t="shared" si="0"/>
        <v>216000</v>
      </c>
      <c r="H14" s="195">
        <f t="shared" ref="H14:H18" si="2">G14/121.39</f>
        <v>1779.3887470137572</v>
      </c>
    </row>
    <row r="15" spans="1:19" x14ac:dyDescent="0.25">
      <c r="A15" s="237"/>
      <c r="B15" s="40" t="s">
        <v>246</v>
      </c>
      <c r="C15" s="65">
        <f>C14*'3. Rural Screening'!B5</f>
        <v>68940</v>
      </c>
      <c r="D15" s="212">
        <f>D12/121.39</f>
        <v>9.8854930389653184</v>
      </c>
      <c r="E15" s="71">
        <f>$D$12*C15</f>
        <v>82728000</v>
      </c>
      <c r="F15" s="195">
        <f t="shared" si="1"/>
        <v>681505.89010626904</v>
      </c>
      <c r="G15" s="71">
        <f t="shared" si="0"/>
        <v>992736000</v>
      </c>
      <c r="H15" s="195">
        <f t="shared" si="2"/>
        <v>8178070.681275229</v>
      </c>
    </row>
    <row r="16" spans="1:19" x14ac:dyDescent="0.25">
      <c r="A16" s="234" t="s">
        <v>219</v>
      </c>
      <c r="B16" s="40" t="s">
        <v>270</v>
      </c>
      <c r="C16" s="107">
        <f>C13</f>
        <v>5</v>
      </c>
      <c r="D16" s="107"/>
      <c r="E16" s="71">
        <f>$D$12*C16</f>
        <v>6000</v>
      </c>
      <c r="F16" s="195">
        <f t="shared" si="1"/>
        <v>49.427465194826588</v>
      </c>
      <c r="G16" s="71">
        <f t="shared" si="0"/>
        <v>72000</v>
      </c>
      <c r="H16" s="195">
        <f t="shared" si="2"/>
        <v>593.12958233791915</v>
      </c>
    </row>
    <row r="17" spans="1:30" x14ac:dyDescent="0.25">
      <c r="A17" s="234"/>
      <c r="B17" s="40" t="s">
        <v>272</v>
      </c>
      <c r="C17" s="169">
        <f>C16*'4. Urban Screening'!B38</f>
        <v>18714.895</v>
      </c>
      <c r="D17" s="107"/>
      <c r="E17" s="71">
        <f>$D$12*C17</f>
        <v>22457874</v>
      </c>
      <c r="F17" s="195">
        <f t="shared" si="1"/>
        <v>185005.96424746685</v>
      </c>
      <c r="G17" s="71">
        <f t="shared" si="0"/>
        <v>269494488</v>
      </c>
      <c r="H17" s="195">
        <f t="shared" si="2"/>
        <v>2220071.5709696021</v>
      </c>
    </row>
    <row r="18" spans="1:30" s="183" customFormat="1" ht="14.4" x14ac:dyDescent="0.3">
      <c r="A18" s="178" t="s">
        <v>207</v>
      </c>
      <c r="B18" s="179"/>
      <c r="C18" s="180">
        <f>SUM(C15,C17)</f>
        <v>87654.895000000004</v>
      </c>
      <c r="D18" s="181"/>
      <c r="E18" s="182">
        <f>SUM(E15,E17)</f>
        <v>105185874</v>
      </c>
      <c r="F18" s="195">
        <f t="shared" si="1"/>
        <v>866511.85435373592</v>
      </c>
      <c r="G18" s="182">
        <f>SUM(G15,G17)</f>
        <v>1262230488</v>
      </c>
      <c r="H18" s="195">
        <f t="shared" si="2"/>
        <v>10398142.25224483</v>
      </c>
    </row>
    <row r="19" spans="1:30" x14ac:dyDescent="0.25">
      <c r="J19" s="75"/>
    </row>
    <row r="20" spans="1:30" ht="18" x14ac:dyDescent="0.35">
      <c r="A20" s="170" t="s">
        <v>170</v>
      </c>
      <c r="B20" s="123"/>
      <c r="C20" s="123"/>
      <c r="D20" s="123"/>
      <c r="E20" s="123"/>
      <c r="F20" s="123"/>
      <c r="G20" s="123"/>
      <c r="H20" s="123"/>
      <c r="I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</row>
  </sheetData>
  <mergeCells count="2">
    <mergeCell ref="A16:A17"/>
    <mergeCell ref="A13:A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4C64-3A85-4E8D-8F7A-6283D05E4EC7}">
  <dimension ref="A1:K22"/>
  <sheetViews>
    <sheetView workbookViewId="0">
      <selection activeCell="J10" sqref="J10"/>
    </sheetView>
  </sheetViews>
  <sheetFormatPr defaultRowHeight="14.4" x14ac:dyDescent="0.3"/>
  <cols>
    <col min="1" max="1" width="14.109375" bestFit="1" customWidth="1"/>
    <col min="2" max="2" width="20.6640625" bestFit="1" customWidth="1"/>
    <col min="3" max="3" width="13.33203125" customWidth="1"/>
    <col min="4" max="4" width="7.5546875" bestFit="1" customWidth="1"/>
    <col min="5" max="5" width="46.6640625" bestFit="1" customWidth="1"/>
    <col min="6" max="7" width="11.44140625" bestFit="1" customWidth="1"/>
    <col min="8" max="8" width="14.5546875" bestFit="1" customWidth="1"/>
    <col min="9" max="11" width="11.21875" bestFit="1" customWidth="1"/>
    <col min="12" max="12" width="13.88671875" bestFit="1" customWidth="1"/>
  </cols>
  <sheetData>
    <row r="1" spans="1:10" ht="15" thickBot="1" x14ac:dyDescent="0.35">
      <c r="A1" s="238" t="s">
        <v>76</v>
      </c>
      <c r="B1" s="238"/>
      <c r="E1" s="7" t="s">
        <v>239</v>
      </c>
    </row>
    <row r="2" spans="1:10" x14ac:dyDescent="0.3">
      <c r="A2" s="15" t="s">
        <v>72</v>
      </c>
      <c r="B2" s="93" t="s">
        <v>74</v>
      </c>
      <c r="C2" s="94" t="s">
        <v>75</v>
      </c>
      <c r="E2" t="s">
        <v>240</v>
      </c>
    </row>
    <row r="3" spans="1:10" ht="15" thickBot="1" x14ac:dyDescent="0.35">
      <c r="A3" s="16">
        <v>165158616</v>
      </c>
      <c r="B3" s="17">
        <v>81712824</v>
      </c>
      <c r="C3" s="18">
        <v>83347206</v>
      </c>
    </row>
    <row r="4" spans="1:10" x14ac:dyDescent="0.3">
      <c r="A4" s="23"/>
      <c r="B4" s="23"/>
      <c r="C4" s="23"/>
    </row>
    <row r="5" spans="1:10" x14ac:dyDescent="0.3">
      <c r="A5" s="240" t="s">
        <v>64</v>
      </c>
      <c r="B5" s="242" t="s">
        <v>71</v>
      </c>
      <c r="C5" s="243"/>
      <c r="D5" s="244"/>
      <c r="E5" s="242" t="s">
        <v>73</v>
      </c>
      <c r="F5" s="243"/>
      <c r="G5" s="244"/>
    </row>
    <row r="6" spans="1:10" x14ac:dyDescent="0.3">
      <c r="A6" s="241"/>
      <c r="B6" s="9" t="s">
        <v>0</v>
      </c>
      <c r="C6" s="9" t="s">
        <v>62</v>
      </c>
      <c r="D6" s="9" t="s">
        <v>63</v>
      </c>
      <c r="E6" s="9" t="s">
        <v>0</v>
      </c>
      <c r="F6" s="9" t="s">
        <v>62</v>
      </c>
      <c r="G6" s="9" t="s">
        <v>63</v>
      </c>
    </row>
    <row r="7" spans="1:10" x14ac:dyDescent="0.3">
      <c r="A7" s="11" t="s">
        <v>65</v>
      </c>
      <c r="B7" s="2">
        <v>6.74</v>
      </c>
      <c r="C7" s="2">
        <v>6.41</v>
      </c>
      <c r="D7" s="11">
        <v>7.08</v>
      </c>
      <c r="E7" s="12">
        <f t="shared" ref="E7:E12" si="0">(B7*$A$3)/100</f>
        <v>11131690.718400002</v>
      </c>
      <c r="F7" s="13">
        <f t="shared" ref="F7:F12" si="1" xml:space="preserve"> (C7*$B$3) / 100</f>
        <v>5237792.0184000004</v>
      </c>
      <c r="G7" s="14">
        <f t="shared" ref="G7:G12" si="2" xml:space="preserve"> (D7*$C$3) / 100</f>
        <v>5900982.1847999999</v>
      </c>
    </row>
    <row r="8" spans="1:10" x14ac:dyDescent="0.3">
      <c r="A8" s="11" t="s">
        <v>66</v>
      </c>
      <c r="B8" s="2">
        <v>7.55</v>
      </c>
      <c r="C8" s="2">
        <v>6.85</v>
      </c>
      <c r="D8" s="11">
        <v>8.26</v>
      </c>
      <c r="E8" s="12">
        <f t="shared" si="0"/>
        <v>12469475.507999999</v>
      </c>
      <c r="F8" s="13">
        <f t="shared" si="1"/>
        <v>5597328.4440000001</v>
      </c>
      <c r="G8" s="14">
        <f t="shared" si="2"/>
        <v>6884479.2155999998</v>
      </c>
    </row>
    <row r="9" spans="1:10" x14ac:dyDescent="0.3">
      <c r="A9" s="11" t="s">
        <v>67</v>
      </c>
      <c r="B9" s="2">
        <v>6.33</v>
      </c>
      <c r="C9" s="2">
        <v>6.22</v>
      </c>
      <c r="D9" s="11">
        <v>6.43</v>
      </c>
      <c r="E9" s="12">
        <f t="shared" si="0"/>
        <v>10454540.3928</v>
      </c>
      <c r="F9" s="13">
        <f t="shared" si="1"/>
        <v>5082537.6527999993</v>
      </c>
      <c r="G9" s="14">
        <f t="shared" si="2"/>
        <v>5359225.3458000002</v>
      </c>
      <c r="J9" s="19"/>
    </row>
    <row r="10" spans="1:10" x14ac:dyDescent="0.3">
      <c r="A10" s="11" t="s">
        <v>68</v>
      </c>
      <c r="B10" s="2">
        <v>5.19</v>
      </c>
      <c r="C10" s="2">
        <v>5.33</v>
      </c>
      <c r="D10" s="11">
        <v>5.05</v>
      </c>
      <c r="E10" s="12">
        <f t="shared" si="0"/>
        <v>8571732.1704000011</v>
      </c>
      <c r="F10" s="13">
        <f t="shared" si="1"/>
        <v>4355293.5192</v>
      </c>
      <c r="G10" s="14">
        <f t="shared" si="2"/>
        <v>4209033.9029999999</v>
      </c>
    </row>
    <row r="11" spans="1:10" x14ac:dyDescent="0.3">
      <c r="A11" s="11" t="s">
        <v>69</v>
      </c>
      <c r="B11" s="2">
        <v>4.9800000000000004</v>
      </c>
      <c r="C11" s="2">
        <v>4.8499999999999996</v>
      </c>
      <c r="D11" s="11">
        <v>5.0999999999999996</v>
      </c>
      <c r="E11" s="12">
        <f t="shared" si="0"/>
        <v>8224899.0768000009</v>
      </c>
      <c r="F11" s="13">
        <f t="shared" si="1"/>
        <v>3963071.9639999997</v>
      </c>
      <c r="G11" s="14">
        <f t="shared" si="2"/>
        <v>4250707.5060000001</v>
      </c>
    </row>
    <row r="12" spans="1:10" x14ac:dyDescent="0.3">
      <c r="A12" s="11" t="s">
        <v>70</v>
      </c>
      <c r="B12" s="2">
        <v>4.12</v>
      </c>
      <c r="C12" s="2">
        <v>4.18</v>
      </c>
      <c r="D12" s="11">
        <v>4.0599999999999996</v>
      </c>
      <c r="E12" s="12">
        <f t="shared" si="0"/>
        <v>6804534.9792000009</v>
      </c>
      <c r="F12" s="13">
        <f t="shared" si="1"/>
        <v>3415596.0431999997</v>
      </c>
      <c r="G12" s="14">
        <f t="shared" si="2"/>
        <v>3383896.5635999995</v>
      </c>
    </row>
    <row r="13" spans="1:10" x14ac:dyDescent="0.3">
      <c r="A13" s="117"/>
      <c r="B13" s="118"/>
      <c r="C13" s="118"/>
      <c r="D13" s="118"/>
      <c r="E13" s="119">
        <f>SUM(E7:E12)</f>
        <v>57656872.845600009</v>
      </c>
      <c r="F13" s="119">
        <f>SUM(F7:F12)</f>
        <v>27651619.641599998</v>
      </c>
      <c r="G13" s="120">
        <f>SUM(G7:G12)</f>
        <v>29988324.718800001</v>
      </c>
    </row>
    <row r="16" spans="1:10" x14ac:dyDescent="0.3">
      <c r="A16" s="239" t="s">
        <v>97</v>
      </c>
      <c r="B16" s="239"/>
    </row>
    <row r="17" spans="1:11" x14ac:dyDescent="0.3">
      <c r="A17" s="7" t="s">
        <v>101</v>
      </c>
      <c r="B17" s="7" t="s">
        <v>104</v>
      </c>
    </row>
    <row r="18" spans="1:11" x14ac:dyDescent="0.3">
      <c r="A18" s="80" t="s">
        <v>98</v>
      </c>
      <c r="B18" s="81" t="s">
        <v>102</v>
      </c>
    </row>
    <row r="19" spans="1:11" x14ac:dyDescent="0.3">
      <c r="A19" s="82" t="s">
        <v>99</v>
      </c>
      <c r="B19" s="83" t="s">
        <v>103</v>
      </c>
    </row>
    <row r="20" spans="1:11" x14ac:dyDescent="0.3">
      <c r="A20" s="84" t="s">
        <v>100</v>
      </c>
      <c r="B20" s="85" t="s">
        <v>103</v>
      </c>
    </row>
    <row r="22" spans="1:11" x14ac:dyDescent="0.3">
      <c r="A22" s="86" t="s">
        <v>170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5">
    <mergeCell ref="A1:B1"/>
    <mergeCell ref="A16:B16"/>
    <mergeCell ref="A5:A6"/>
    <mergeCell ref="B5:D5"/>
    <mergeCell ref="E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zoomScale="85" zoomScaleNormal="85" workbookViewId="0">
      <selection activeCell="E17" sqref="E17"/>
    </sheetView>
  </sheetViews>
  <sheetFormatPr defaultRowHeight="14.4" x14ac:dyDescent="0.3"/>
  <cols>
    <col min="1" max="1" width="30" bestFit="1" customWidth="1"/>
    <col min="2" max="2" width="16.109375" bestFit="1" customWidth="1"/>
    <col min="3" max="3" width="42.6640625" bestFit="1" customWidth="1"/>
    <col min="4" max="4" width="29.6640625" bestFit="1" customWidth="1"/>
    <col min="5" max="5" width="14.109375" bestFit="1" customWidth="1"/>
    <col min="7" max="7" width="16.109375" bestFit="1" customWidth="1"/>
    <col min="8" max="9" width="12.21875" bestFit="1" customWidth="1"/>
    <col min="10" max="10" width="15.21875" bestFit="1" customWidth="1"/>
    <col min="11" max="12" width="15" bestFit="1" customWidth="1"/>
  </cols>
  <sheetData>
    <row r="1" spans="1:4" ht="15.6" x14ac:dyDescent="0.3">
      <c r="A1" s="91" t="s">
        <v>171</v>
      </c>
      <c r="B1" s="92"/>
      <c r="D1" s="19"/>
    </row>
    <row r="4" spans="1:4" x14ac:dyDescent="0.3">
      <c r="A4" s="89" t="s">
        <v>59</v>
      </c>
      <c r="B4" s="89" t="s">
        <v>257</v>
      </c>
      <c r="C4" s="89" t="s">
        <v>258</v>
      </c>
    </row>
    <row r="5" spans="1:4" x14ac:dyDescent="0.3">
      <c r="A5" s="90" t="s">
        <v>77</v>
      </c>
      <c r="B5" s="37"/>
    </row>
    <row r="6" spans="1:4" x14ac:dyDescent="0.3">
      <c r="A6" s="87" t="s">
        <v>95</v>
      </c>
      <c r="B6" s="208">
        <f>'4. Urban Screening'!C38</f>
        <v>1710473521.4605815</v>
      </c>
      <c r="C6" s="209">
        <f>'4. Urban Screening'!D38</f>
        <v>14090728.408110894</v>
      </c>
    </row>
    <row r="7" spans="1:4" x14ac:dyDescent="0.3">
      <c r="A7" s="88" t="s">
        <v>96</v>
      </c>
      <c r="B7" s="208">
        <f>'3. Rural Screening'!B15</f>
        <v>6464802004.3129978</v>
      </c>
      <c r="C7" s="209">
        <f>'3. Rural Screening'!B16</f>
        <v>53256462.676604316</v>
      </c>
    </row>
    <row r="8" spans="1:4" x14ac:dyDescent="0.3">
      <c r="A8" s="88" t="s">
        <v>215</v>
      </c>
      <c r="B8" s="208">
        <f>'5. Tertiary Facility'!G18</f>
        <v>1262230488</v>
      </c>
      <c r="C8" s="209">
        <f>'5. Tertiary Facility'!H18</f>
        <v>10398142.25224483</v>
      </c>
    </row>
    <row r="9" spans="1:4" x14ac:dyDescent="0.3">
      <c r="A9" s="90" t="s">
        <v>78</v>
      </c>
      <c r="B9" s="208">
        <f>SUM(B6,B7,B8)</f>
        <v>9437506013.7735786</v>
      </c>
      <c r="C9" s="210">
        <f>SUM(C6,C7,C8)</f>
        <v>77745333.336960047</v>
      </c>
    </row>
    <row r="10" spans="1:4" x14ac:dyDescent="0.3">
      <c r="A10" s="88" t="s">
        <v>61</v>
      </c>
      <c r="B10" s="202">
        <f>'6. Screenable Population'!E13</f>
        <v>57656872.845600009</v>
      </c>
      <c r="C10" s="202">
        <f>'6. Screenable Population'!E13</f>
        <v>57656872.845600009</v>
      </c>
      <c r="D10" s="19"/>
    </row>
    <row r="11" spans="1:4" x14ac:dyDescent="0.3">
      <c r="A11" s="211" t="s">
        <v>105</v>
      </c>
      <c r="B11" s="208">
        <f>B9/B10</f>
        <v>163.68397292455285</v>
      </c>
      <c r="C11" s="207">
        <f>C9/C10</f>
        <v>1.3484139791132126</v>
      </c>
    </row>
    <row r="12" spans="1:4" ht="18" customHeight="1" x14ac:dyDescent="0.3"/>
    <row r="13" spans="1:4" x14ac:dyDescent="0.3">
      <c r="A13" s="86" t="s">
        <v>170</v>
      </c>
      <c r="B13" s="86"/>
      <c r="C13" s="86"/>
    </row>
    <row r="15" spans="1:4" x14ac:dyDescent="0.3">
      <c r="D15" s="27"/>
    </row>
    <row r="19" spans="1:12" x14ac:dyDescent="0.3">
      <c r="A19" s="2"/>
      <c r="B19" s="2"/>
    </row>
    <row r="23" spans="1:12" x14ac:dyDescent="0.3">
      <c r="D23" s="238"/>
      <c r="E23" s="238"/>
    </row>
    <row r="25" spans="1:12" x14ac:dyDescent="0.3">
      <c r="J25" s="8"/>
      <c r="K25" s="8"/>
      <c r="L25" s="8"/>
    </row>
    <row r="26" spans="1:12" x14ac:dyDescent="0.3">
      <c r="G26" s="25"/>
      <c r="H26" s="23"/>
      <c r="I26" s="23"/>
    </row>
    <row r="27" spans="1:12" x14ac:dyDescent="0.3">
      <c r="C27" s="245"/>
      <c r="D27" s="238"/>
      <c r="E27" s="238"/>
      <c r="F27" s="238"/>
    </row>
    <row r="28" spans="1:12" x14ac:dyDescent="0.3">
      <c r="C28" s="245"/>
      <c r="D28" s="1"/>
      <c r="E28" s="1"/>
      <c r="F28" s="1"/>
    </row>
    <row r="29" spans="1:12" x14ac:dyDescent="0.3">
      <c r="C29" s="2"/>
      <c r="D29" s="2"/>
      <c r="E29" s="2"/>
      <c r="F29" s="2"/>
      <c r="G29" s="13"/>
      <c r="H29" s="13"/>
      <c r="I29" s="13"/>
    </row>
    <row r="30" spans="1:12" x14ac:dyDescent="0.3">
      <c r="C30" s="2"/>
      <c r="D30" s="2"/>
      <c r="E30" s="2"/>
      <c r="F30" s="2"/>
      <c r="G30" s="13"/>
      <c r="H30" s="13"/>
      <c r="I30" s="13"/>
    </row>
    <row r="31" spans="1:12" x14ac:dyDescent="0.3">
      <c r="C31" s="2"/>
      <c r="D31" s="2"/>
      <c r="E31" s="2"/>
      <c r="F31" s="2"/>
      <c r="G31" s="13"/>
      <c r="H31" s="13"/>
      <c r="I31" s="13"/>
    </row>
    <row r="32" spans="1:12" x14ac:dyDescent="0.3">
      <c r="C32" s="2"/>
      <c r="D32" s="2"/>
      <c r="E32" s="2"/>
      <c r="F32" s="2"/>
      <c r="G32" s="13"/>
      <c r="H32" s="13"/>
      <c r="I32" s="13"/>
    </row>
    <row r="33" spans="3:10" x14ac:dyDescent="0.3">
      <c r="C33" s="2"/>
      <c r="D33" s="2"/>
      <c r="E33" s="2"/>
      <c r="F33" s="2"/>
      <c r="G33" s="13"/>
      <c r="H33" s="13"/>
      <c r="I33" s="13"/>
    </row>
    <row r="34" spans="3:10" x14ac:dyDescent="0.3">
      <c r="C34" s="2"/>
      <c r="D34" s="2"/>
      <c r="E34" s="2"/>
      <c r="F34" s="2"/>
      <c r="G34" s="13"/>
      <c r="H34" s="13"/>
      <c r="I34" s="13"/>
    </row>
    <row r="35" spans="3:10" x14ac:dyDescent="0.3">
      <c r="C35" s="2"/>
      <c r="D35" s="2"/>
      <c r="E35" s="2"/>
      <c r="F35" s="2"/>
      <c r="G35" s="13"/>
      <c r="H35" s="13"/>
      <c r="I35" s="13"/>
    </row>
    <row r="36" spans="3:10" x14ac:dyDescent="0.3">
      <c r="C36" s="2"/>
      <c r="D36" s="2"/>
      <c r="E36" s="2"/>
      <c r="F36" s="2"/>
      <c r="G36" s="13"/>
      <c r="H36" s="13"/>
      <c r="I36" s="13"/>
    </row>
    <row r="37" spans="3:10" x14ac:dyDescent="0.3">
      <c r="C37" s="2"/>
      <c r="D37" s="2"/>
      <c r="E37" s="2"/>
      <c r="F37" s="2"/>
      <c r="G37" s="13"/>
      <c r="H37" s="13"/>
      <c r="I37" s="13"/>
    </row>
    <row r="38" spans="3:10" x14ac:dyDescent="0.3">
      <c r="C38" s="2"/>
      <c r="D38" s="2"/>
      <c r="E38" s="2"/>
      <c r="F38" s="2"/>
      <c r="G38" s="13"/>
      <c r="H38" s="13"/>
      <c r="I38" s="13"/>
    </row>
    <row r="39" spans="3:10" x14ac:dyDescent="0.3">
      <c r="C39" s="2"/>
      <c r="D39" s="2"/>
      <c r="E39" s="2"/>
      <c r="F39" s="2"/>
      <c r="G39" s="13"/>
      <c r="H39" s="13"/>
      <c r="I39" s="13"/>
    </row>
    <row r="40" spans="3:10" x14ac:dyDescent="0.3">
      <c r="G40" s="24"/>
      <c r="H40" s="24"/>
      <c r="I40" s="24"/>
    </row>
    <row r="42" spans="3:10" x14ac:dyDescent="0.3">
      <c r="J42" s="19"/>
    </row>
  </sheetData>
  <mergeCells count="3">
    <mergeCell ref="D27:F27"/>
    <mergeCell ref="D23:E23"/>
    <mergeCell ref="C27:C28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C4A8-9D27-44FC-A67A-F8622AFD02C0}">
  <dimension ref="A1:J12"/>
  <sheetViews>
    <sheetView tabSelected="1" zoomScaleNormal="100" workbookViewId="0">
      <selection activeCell="A5" sqref="A5"/>
    </sheetView>
  </sheetViews>
  <sheetFormatPr defaultColWidth="14.109375" defaultRowHeight="13.8" x14ac:dyDescent="0.25"/>
  <cols>
    <col min="1" max="1" width="14.21875" style="41" bestFit="1" customWidth="1"/>
    <col min="2" max="2" width="16.6640625" style="41" bestFit="1" customWidth="1"/>
    <col min="3" max="3" width="16.6640625" style="41" customWidth="1"/>
    <col min="4" max="5" width="22.88671875" style="41" customWidth="1"/>
    <col min="6" max="6" width="16.21875" style="41" bestFit="1" customWidth="1"/>
    <col min="7" max="7" width="5" style="41" customWidth="1"/>
    <col min="8" max="8" width="52.88671875" style="41" bestFit="1" customWidth="1"/>
    <col min="9" max="16384" width="14.109375" style="41"/>
  </cols>
  <sheetData>
    <row r="1" spans="1:10" x14ac:dyDescent="0.25">
      <c r="A1" s="121" t="s">
        <v>110</v>
      </c>
      <c r="B1" s="246" t="s">
        <v>106</v>
      </c>
      <c r="C1" s="246"/>
      <c r="D1" s="121" t="s">
        <v>107</v>
      </c>
      <c r="E1" s="121"/>
      <c r="F1" s="121" t="s">
        <v>108</v>
      </c>
      <c r="G1" s="122"/>
      <c r="H1" s="122" t="s">
        <v>56</v>
      </c>
      <c r="J1" s="41" t="s">
        <v>288</v>
      </c>
    </row>
    <row r="2" spans="1:10" x14ac:dyDescent="0.25">
      <c r="A2" s="218"/>
      <c r="B2" s="219" t="s">
        <v>286</v>
      </c>
      <c r="C2" s="219" t="s">
        <v>287</v>
      </c>
      <c r="D2" s="219" t="s">
        <v>286</v>
      </c>
      <c r="E2" s="219" t="s">
        <v>287</v>
      </c>
      <c r="F2" s="218"/>
      <c r="G2" s="213"/>
      <c r="H2" s="41" t="s">
        <v>288</v>
      </c>
      <c r="J2" s="41">
        <v>121.39</v>
      </c>
    </row>
    <row r="3" spans="1:10" x14ac:dyDescent="0.25">
      <c r="A3" s="41">
        <v>1</v>
      </c>
      <c r="B3" s="45">
        <f>'7. National Cost'!B9</f>
        <v>9437506013.7735786</v>
      </c>
      <c r="C3" s="45">
        <f>'7. National Cost'!C9</f>
        <v>77745333.336960047</v>
      </c>
      <c r="D3" s="45">
        <f>'[1]8. Sensitivity Analysis'!$L$3</f>
        <v>7391799884.0207338</v>
      </c>
      <c r="E3" s="45">
        <f>D3/$J$2</f>
        <v>60892988.582426347</v>
      </c>
      <c r="F3" s="215">
        <f>D3/B3</f>
        <v>0.78323657470869568</v>
      </c>
      <c r="H3" s="41" t="s">
        <v>280</v>
      </c>
    </row>
    <row r="4" spans="1:10" x14ac:dyDescent="0.25">
      <c r="A4" s="41">
        <v>2</v>
      </c>
      <c r="B4" s="45">
        <f>'8. Benefit-cost ratio'!B3</f>
        <v>9437506013.7735786</v>
      </c>
      <c r="C4" s="45">
        <f>C3</f>
        <v>77745333.336960047</v>
      </c>
      <c r="D4" s="45">
        <f>'[1]8. Sensitivity Analysis'!$L$4</f>
        <v>14783599768.041468</v>
      </c>
      <c r="E4" s="45">
        <f>D4/$J$2</f>
        <v>121785977.16485269</v>
      </c>
      <c r="F4" s="215">
        <f t="shared" ref="F4:F10" si="0">D4/B4</f>
        <v>1.5664731494173914</v>
      </c>
      <c r="H4" s="41" t="s">
        <v>281</v>
      </c>
    </row>
    <row r="5" spans="1:10" x14ac:dyDescent="0.25">
      <c r="A5" s="41">
        <v>3</v>
      </c>
      <c r="B5" s="45">
        <f>B4</f>
        <v>9437506013.7735786</v>
      </c>
      <c r="C5" s="45">
        <f t="shared" ref="C5:C10" si="1">C4</f>
        <v>77745333.336960047</v>
      </c>
      <c r="D5" s="45">
        <f>'[1]8. Sensitivity Analysis'!$L$5</f>
        <v>29567199536.082935</v>
      </c>
      <c r="E5" s="45">
        <f>D5/$J$2</f>
        <v>243571954.32970539</v>
      </c>
      <c r="F5" s="215">
        <f t="shared" si="0"/>
        <v>3.1329462988347827</v>
      </c>
      <c r="H5" s="41" t="s">
        <v>282</v>
      </c>
    </row>
    <row r="6" spans="1:10" ht="14.4" x14ac:dyDescent="0.3">
      <c r="A6" s="183">
        <v>4</v>
      </c>
      <c r="B6" s="216">
        <f t="shared" ref="B6:B10" si="2">B5</f>
        <v>9437506013.7735786</v>
      </c>
      <c r="C6" s="45">
        <f t="shared" si="1"/>
        <v>77745333.336960047</v>
      </c>
      <c r="D6" s="216">
        <f>'[1]7. National Cost Savings'!$E$10</f>
        <v>53126152603.664749</v>
      </c>
      <c r="E6" s="45">
        <f>D6/$J$2</f>
        <v>437648509.79211426</v>
      </c>
      <c r="F6" s="217">
        <f t="shared" si="0"/>
        <v>5.6292576159559236</v>
      </c>
      <c r="G6" s="183"/>
      <c r="H6" s="183" t="s">
        <v>285</v>
      </c>
    </row>
    <row r="7" spans="1:10" x14ac:dyDescent="0.25">
      <c r="A7" s="41">
        <v>5</v>
      </c>
      <c r="B7" s="45">
        <f t="shared" si="2"/>
        <v>9437506013.7735786</v>
      </c>
      <c r="C7" s="45">
        <f t="shared" si="1"/>
        <v>77745333.336960047</v>
      </c>
      <c r="D7" s="45">
        <f>'[1]8. Sensitivity Analysis'!$L$6</f>
        <v>73917998840.207336</v>
      </c>
      <c r="E7" s="45">
        <f>D7/$J$2</f>
        <v>608929885.82426345</v>
      </c>
      <c r="F7" s="215">
        <f>D7/B7</f>
        <v>7.8323657470869561</v>
      </c>
      <c r="H7" s="41" t="s">
        <v>278</v>
      </c>
    </row>
    <row r="8" spans="1:10" x14ac:dyDescent="0.25">
      <c r="A8" s="41">
        <v>6</v>
      </c>
      <c r="B8" s="45">
        <f t="shared" si="2"/>
        <v>9437506013.7735786</v>
      </c>
      <c r="C8" s="45">
        <f t="shared" si="1"/>
        <v>77745333.336960047</v>
      </c>
      <c r="D8" s="45">
        <f>'[1]8. Sensitivity Analysis'!$L$7</f>
        <v>103485198376.29024</v>
      </c>
      <c r="E8" s="45">
        <f>D8/$J$2</f>
        <v>852501840.15396845</v>
      </c>
      <c r="F8" s="215">
        <f t="shared" si="0"/>
        <v>10.965312045921735</v>
      </c>
      <c r="H8" s="41" t="s">
        <v>279</v>
      </c>
    </row>
    <row r="9" spans="1:10" x14ac:dyDescent="0.25">
      <c r="A9" s="41">
        <v>7</v>
      </c>
      <c r="B9" s="45">
        <f t="shared" si="2"/>
        <v>9437506013.7735786</v>
      </c>
      <c r="C9" s="45">
        <f t="shared" si="1"/>
        <v>77745333.336960047</v>
      </c>
      <c r="D9" s="45">
        <f>'[1]8. Sensitivity Analysis'!$L$8</f>
        <v>118268798144.33174</v>
      </c>
      <c r="E9" s="45">
        <f>D9/$J$2</f>
        <v>974287817.31882155</v>
      </c>
      <c r="F9" s="215">
        <f t="shared" si="0"/>
        <v>12.531785195339131</v>
      </c>
      <c r="H9" s="41" t="s">
        <v>283</v>
      </c>
    </row>
    <row r="10" spans="1:10" x14ac:dyDescent="0.25">
      <c r="A10" s="41">
        <v>8</v>
      </c>
      <c r="B10" s="45">
        <f t="shared" si="2"/>
        <v>9437506013.7735786</v>
      </c>
      <c r="C10" s="45">
        <f t="shared" si="1"/>
        <v>77745333.336960047</v>
      </c>
      <c r="D10" s="45">
        <f>'[1]8. Sensitivity Analysis'!$L$9</f>
        <v>133052397912.37318</v>
      </c>
      <c r="E10" s="45">
        <f>D10/$J$2</f>
        <v>1096073794.483674</v>
      </c>
      <c r="F10" s="215">
        <f t="shared" si="0"/>
        <v>14.098258344756518</v>
      </c>
      <c r="H10" s="41" t="s">
        <v>284</v>
      </c>
    </row>
    <row r="12" spans="1:10" x14ac:dyDescent="0.25">
      <c r="A12" s="123" t="s">
        <v>170</v>
      </c>
      <c r="B12" s="123"/>
      <c r="C12" s="123"/>
      <c r="D12" s="123"/>
      <c r="E12" s="123"/>
      <c r="F12" s="123"/>
      <c r="G12" s="123"/>
      <c r="H12" s="12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 Union</vt:lpstr>
      <vt:lpstr>2. Upazilla</vt:lpstr>
      <vt:lpstr>3. Rural Screening</vt:lpstr>
      <vt:lpstr>4. Urban Screening</vt:lpstr>
      <vt:lpstr>5. Tertiary Facility</vt:lpstr>
      <vt:lpstr>6. Screenable Population</vt:lpstr>
      <vt:lpstr>7. National Cost</vt:lpstr>
      <vt:lpstr>8. Benefit-cost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 Nazmus Sakib</dc:creator>
  <cp:lastModifiedBy>Quazi Nazmus Sakib</cp:lastModifiedBy>
  <dcterms:created xsi:type="dcterms:W3CDTF">2024-10-13T18:07:14Z</dcterms:created>
  <dcterms:modified xsi:type="dcterms:W3CDTF">2025-06-21T21:45:47Z</dcterms:modified>
</cp:coreProperties>
</file>