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Z:\Jobs\1900-1999\1987 Ho166m intercomparison\LSC\FASEA\Accidental coincidences test from #1895\"/>
    </mc:Choice>
  </mc:AlternateContent>
  <xr:revisionPtr revIDLastSave="0" documentId="13_ncr:1_{3F164B6C-6F84-48C7-AA0B-024A3DFBD1FF}" xr6:coauthVersionLast="47" xr6:coauthVersionMax="47" xr10:uidLastSave="{00000000-0000-0000-0000-000000000000}"/>
  <bookViews>
    <workbookView xWindow="-23148" yWindow="876" windowWidth="23256" windowHeight="12576" xr2:uid="{C9546757-10B3-489C-9ABE-865E7A2462BB}"/>
  </bookViews>
  <sheets>
    <sheet name="STD_Data" sheetId="1" r:id="rId1"/>
    <sheet name="BKG_20m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2" i="1" l="1"/>
  <c r="Q33" i="1"/>
  <c r="Q34" i="1"/>
  <c r="Q35" i="1"/>
  <c r="Q31" i="1"/>
  <c r="Q36" i="2"/>
  <c r="Q43" i="2"/>
  <c r="P36" i="2" l="1"/>
  <c r="P32" i="1" s="1"/>
  <c r="P43" i="2"/>
  <c r="P38" i="1" s="1"/>
  <c r="P31" i="2"/>
  <c r="F24" i="1"/>
  <c r="Q39" i="2"/>
  <c r="Q42" i="2"/>
  <c r="Q41" i="2"/>
  <c r="Q40" i="2"/>
  <c r="Q38" i="2"/>
  <c r="Q31" i="2"/>
  <c r="U24" i="2"/>
  <c r="R24" i="2"/>
  <c r="R28" i="2"/>
  <c r="R27" i="2"/>
  <c r="R26" i="2"/>
  <c r="R25" i="2"/>
  <c r="V28" i="2"/>
  <c r="U28" i="2"/>
  <c r="V27" i="2"/>
  <c r="U27" i="2"/>
  <c r="V26" i="2"/>
  <c r="U26" i="2"/>
  <c r="V25" i="2"/>
  <c r="U25" i="2"/>
  <c r="V24" i="2"/>
  <c r="R25" i="1"/>
  <c r="R26" i="1"/>
  <c r="R27" i="1"/>
  <c r="R28" i="1"/>
  <c r="V25" i="1"/>
  <c r="V26" i="1"/>
  <c r="V27" i="1"/>
  <c r="V28" i="1"/>
  <c r="V24" i="1"/>
  <c r="R24" i="1" s="1"/>
  <c r="U28" i="1"/>
  <c r="U25" i="1"/>
  <c r="U26" i="1"/>
  <c r="U27" i="1"/>
  <c r="U24" i="1"/>
  <c r="I43" i="1"/>
  <c r="I39" i="1"/>
  <c r="I40" i="1"/>
  <c r="I41" i="1"/>
  <c r="I42" i="1"/>
  <c r="I38" i="1"/>
  <c r="I36" i="1"/>
  <c r="I32" i="1"/>
  <c r="I33" i="1"/>
  <c r="I34" i="1"/>
  <c r="I35" i="1"/>
  <c r="I31" i="1"/>
  <c r="P39" i="2"/>
  <c r="M43" i="2"/>
  <c r="M38" i="2"/>
  <c r="S25" i="2"/>
  <c r="M39" i="2" s="1"/>
  <c r="S26" i="2"/>
  <c r="S27" i="2"/>
  <c r="M41" i="2" s="1"/>
  <c r="S28" i="2"/>
  <c r="S24" i="2"/>
  <c r="J16" i="2"/>
  <c r="I16" i="2"/>
  <c r="M40" i="2"/>
  <c r="M42" i="2"/>
  <c r="I43" i="2"/>
  <c r="P40" i="2"/>
  <c r="P41" i="2"/>
  <c r="P42" i="2"/>
  <c r="P38" i="2"/>
  <c r="I39" i="2"/>
  <c r="I40" i="2"/>
  <c r="I41" i="2"/>
  <c r="I42" i="2"/>
  <c r="I38" i="2"/>
  <c r="M36" i="2"/>
  <c r="I36" i="2"/>
  <c r="I32" i="2"/>
  <c r="M32" i="2"/>
  <c r="P32" i="2"/>
  <c r="Q32" i="2"/>
  <c r="I33" i="2"/>
  <c r="M33" i="2"/>
  <c r="P33" i="2"/>
  <c r="Q33" i="2"/>
  <c r="I34" i="2"/>
  <c r="M34" i="2"/>
  <c r="P34" i="2"/>
  <c r="Q34" i="2"/>
  <c r="I35" i="2"/>
  <c r="M35" i="2"/>
  <c r="P35" i="2"/>
  <c r="Q35" i="2"/>
  <c r="M31" i="2"/>
  <c r="I31" i="2"/>
  <c r="N16" i="1"/>
  <c r="Q28" i="1"/>
  <c r="P28" i="1"/>
  <c r="O28" i="1"/>
  <c r="N28" i="1"/>
  <c r="M28" i="1"/>
  <c r="L28" i="1"/>
  <c r="K28" i="1"/>
  <c r="J28" i="1"/>
  <c r="I28" i="1"/>
  <c r="H28" i="1"/>
  <c r="G28" i="1"/>
  <c r="E28" i="1"/>
  <c r="D28" i="1"/>
  <c r="C28" i="1"/>
  <c r="B28" i="1"/>
  <c r="F28" i="1" s="1"/>
  <c r="Q27" i="1"/>
  <c r="P27" i="1"/>
  <c r="O27" i="1"/>
  <c r="N27" i="1"/>
  <c r="M27" i="1"/>
  <c r="L27" i="1"/>
  <c r="K27" i="1"/>
  <c r="J27" i="1"/>
  <c r="I27" i="1"/>
  <c r="H27" i="1"/>
  <c r="G27" i="1"/>
  <c r="E27" i="1"/>
  <c r="D27" i="1"/>
  <c r="C27" i="1"/>
  <c r="B27" i="1"/>
  <c r="F27" i="1" s="1"/>
  <c r="Q26" i="1"/>
  <c r="P26" i="1"/>
  <c r="O26" i="1"/>
  <c r="N26" i="1"/>
  <c r="M26" i="1"/>
  <c r="L26" i="1"/>
  <c r="K26" i="1"/>
  <c r="J26" i="1"/>
  <c r="I26" i="1"/>
  <c r="H26" i="1"/>
  <c r="G26" i="1"/>
  <c r="E26" i="1"/>
  <c r="D26" i="1"/>
  <c r="C26" i="1"/>
  <c r="B26" i="1"/>
  <c r="F26" i="1" s="1"/>
  <c r="Q25" i="1"/>
  <c r="P25" i="1"/>
  <c r="O25" i="1"/>
  <c r="N25" i="1"/>
  <c r="M25" i="1"/>
  <c r="L25" i="1"/>
  <c r="K25" i="1"/>
  <c r="J25" i="1"/>
  <c r="I25" i="1"/>
  <c r="H25" i="1"/>
  <c r="G25" i="1"/>
  <c r="E25" i="1"/>
  <c r="D25" i="1"/>
  <c r="C25" i="1"/>
  <c r="F25" i="1" s="1"/>
  <c r="B25" i="1"/>
  <c r="Q24" i="1"/>
  <c r="P24" i="1"/>
  <c r="O24" i="1"/>
  <c r="N24" i="1"/>
  <c r="M24" i="1"/>
  <c r="L24" i="1"/>
  <c r="K24" i="1"/>
  <c r="J24" i="1"/>
  <c r="I24" i="1"/>
  <c r="H24" i="1"/>
  <c r="G24" i="1"/>
  <c r="E24" i="1"/>
  <c r="D24" i="1"/>
  <c r="C24" i="1"/>
  <c r="B24" i="1"/>
  <c r="H20" i="1"/>
  <c r="G20" i="1"/>
  <c r="F20" i="1"/>
  <c r="E20" i="1"/>
  <c r="J20" i="1" s="1"/>
  <c r="D20" i="1"/>
  <c r="I20" i="1" s="1"/>
  <c r="C20" i="1"/>
  <c r="B20" i="1"/>
  <c r="H19" i="1"/>
  <c r="G19" i="1"/>
  <c r="F19" i="1"/>
  <c r="E19" i="1"/>
  <c r="J19" i="1" s="1"/>
  <c r="D19" i="1"/>
  <c r="I19" i="1" s="1"/>
  <c r="C19" i="1"/>
  <c r="B19" i="1"/>
  <c r="H18" i="1"/>
  <c r="G18" i="1"/>
  <c r="F18" i="1"/>
  <c r="E18" i="1"/>
  <c r="J18" i="1" s="1"/>
  <c r="D18" i="1"/>
  <c r="I18" i="1" s="1"/>
  <c r="C18" i="1"/>
  <c r="B18" i="1"/>
  <c r="H17" i="1"/>
  <c r="G17" i="1"/>
  <c r="F17" i="1"/>
  <c r="E17" i="1"/>
  <c r="J17" i="1" s="1"/>
  <c r="D17" i="1"/>
  <c r="I17" i="1" s="1"/>
  <c r="C17" i="1"/>
  <c r="B17" i="1"/>
  <c r="H16" i="1"/>
  <c r="G16" i="1"/>
  <c r="F16" i="1"/>
  <c r="E16" i="1"/>
  <c r="J16" i="1" s="1"/>
  <c r="D16" i="1"/>
  <c r="I16" i="1" s="1"/>
  <c r="C16" i="1"/>
  <c r="B16" i="1"/>
  <c r="Q28" i="2"/>
  <c r="P28" i="2"/>
  <c r="O28" i="2"/>
  <c r="N28" i="2"/>
  <c r="M28" i="2"/>
  <c r="L28" i="2"/>
  <c r="K28" i="2"/>
  <c r="J28" i="2"/>
  <c r="I28" i="2"/>
  <c r="H28" i="2"/>
  <c r="G28" i="2"/>
  <c r="E28" i="2"/>
  <c r="D28" i="2"/>
  <c r="C28" i="2"/>
  <c r="B28" i="2"/>
  <c r="F28" i="2" s="1"/>
  <c r="Q27" i="2"/>
  <c r="P27" i="2"/>
  <c r="O27" i="2"/>
  <c r="N27" i="2"/>
  <c r="M27" i="2"/>
  <c r="L27" i="2"/>
  <c r="K27" i="2"/>
  <c r="J27" i="2"/>
  <c r="I27" i="2"/>
  <c r="H27" i="2"/>
  <c r="G27" i="2"/>
  <c r="E27" i="2"/>
  <c r="D27" i="2"/>
  <c r="C27" i="2"/>
  <c r="B27" i="2"/>
  <c r="F27" i="2" s="1"/>
  <c r="Q26" i="2"/>
  <c r="P26" i="2"/>
  <c r="O26" i="2"/>
  <c r="N26" i="2"/>
  <c r="M26" i="2"/>
  <c r="L26" i="2"/>
  <c r="K26" i="2"/>
  <c r="J26" i="2"/>
  <c r="I26" i="2"/>
  <c r="H26" i="2"/>
  <c r="G26" i="2"/>
  <c r="E26" i="2"/>
  <c r="D26" i="2"/>
  <c r="C26" i="2"/>
  <c r="B26" i="2"/>
  <c r="F26" i="2" s="1"/>
  <c r="Q25" i="2"/>
  <c r="P25" i="2"/>
  <c r="O25" i="2"/>
  <c r="N25" i="2"/>
  <c r="M25" i="2"/>
  <c r="L25" i="2"/>
  <c r="K25" i="2"/>
  <c r="J25" i="2"/>
  <c r="I25" i="2"/>
  <c r="H25" i="2"/>
  <c r="G25" i="2"/>
  <c r="E25" i="2"/>
  <c r="D25" i="2"/>
  <c r="C25" i="2"/>
  <c r="B25" i="2"/>
  <c r="F25" i="2" s="1"/>
  <c r="Q24" i="2"/>
  <c r="P24" i="2"/>
  <c r="O24" i="2"/>
  <c r="N24" i="2"/>
  <c r="M24" i="2"/>
  <c r="L24" i="2"/>
  <c r="K24" i="2"/>
  <c r="J24" i="2"/>
  <c r="I24" i="2"/>
  <c r="H24" i="2"/>
  <c r="G24" i="2"/>
  <c r="E24" i="2"/>
  <c r="D24" i="2"/>
  <c r="C24" i="2"/>
  <c r="B24" i="2"/>
  <c r="F24" i="2" s="1"/>
  <c r="I20" i="2"/>
  <c r="H20" i="2"/>
  <c r="G20" i="2"/>
  <c r="F20" i="2"/>
  <c r="E20" i="2"/>
  <c r="J20" i="2" s="1"/>
  <c r="D20" i="2"/>
  <c r="C20" i="2"/>
  <c r="B20" i="2"/>
  <c r="H19" i="2"/>
  <c r="G19" i="2"/>
  <c r="J19" i="2" s="1"/>
  <c r="F19" i="2"/>
  <c r="E19" i="2"/>
  <c r="D19" i="2"/>
  <c r="C19" i="2"/>
  <c r="B19" i="2"/>
  <c r="I19" i="2" s="1"/>
  <c r="I18" i="2"/>
  <c r="H18" i="2"/>
  <c r="G18" i="2"/>
  <c r="F18" i="2"/>
  <c r="E18" i="2"/>
  <c r="D18" i="2"/>
  <c r="C18" i="2"/>
  <c r="B18" i="2"/>
  <c r="H17" i="2"/>
  <c r="G17" i="2"/>
  <c r="F17" i="2"/>
  <c r="E17" i="2"/>
  <c r="J17" i="2" s="1"/>
  <c r="D17" i="2"/>
  <c r="C17" i="2"/>
  <c r="B17" i="2"/>
  <c r="H16" i="2"/>
  <c r="G16" i="2"/>
  <c r="F16" i="2"/>
  <c r="E16" i="2"/>
  <c r="M16" i="2" s="1"/>
  <c r="D16" i="2"/>
  <c r="C16" i="2"/>
  <c r="L16" i="2" s="1"/>
  <c r="B16" i="2"/>
  <c r="P31" i="1" l="1"/>
  <c r="P35" i="1"/>
  <c r="P34" i="1"/>
  <c r="P33" i="1"/>
  <c r="P36" i="1" s="1"/>
  <c r="P39" i="1"/>
  <c r="P40" i="1"/>
  <c r="P42" i="1"/>
  <c r="P41" i="1"/>
  <c r="Q36" i="1"/>
  <c r="P43" i="1"/>
  <c r="Q38" i="1"/>
  <c r="O16" i="1"/>
  <c r="O17" i="1"/>
  <c r="O18" i="1"/>
  <c r="O19" i="1"/>
  <c r="O20" i="1"/>
  <c r="K16" i="1"/>
  <c r="K18" i="1"/>
  <c r="K19" i="1"/>
  <c r="K17" i="1"/>
  <c r="K20" i="1"/>
  <c r="L16" i="1"/>
  <c r="L19" i="1"/>
  <c r="M17" i="1"/>
  <c r="M18" i="1"/>
  <c r="M19" i="1"/>
  <c r="M20" i="1"/>
  <c r="N19" i="1"/>
  <c r="L17" i="1"/>
  <c r="L18" i="1"/>
  <c r="L20" i="1"/>
  <c r="M16" i="1"/>
  <c r="N18" i="1"/>
  <c r="N17" i="1"/>
  <c r="N20" i="1"/>
  <c r="K20" i="2"/>
  <c r="L17" i="2"/>
  <c r="L20" i="2"/>
  <c r="K16" i="2"/>
  <c r="K19" i="2"/>
  <c r="J18" i="2"/>
  <c r="M18" i="2" s="1"/>
  <c r="L19" i="2"/>
  <c r="O16" i="2"/>
  <c r="I17" i="2"/>
  <c r="O17" i="2" s="1"/>
  <c r="M19" i="2"/>
  <c r="O20" i="2"/>
  <c r="M20" i="2"/>
  <c r="N16" i="2"/>
  <c r="N20" i="2"/>
  <c r="N19" i="2"/>
  <c r="K17" i="2"/>
  <c r="O19" i="2"/>
  <c r="M17" i="2"/>
  <c r="T36" i="1" l="1"/>
  <c r="S36" i="1"/>
  <c r="Q40" i="1"/>
  <c r="Q42" i="1"/>
  <c r="Q39" i="1"/>
  <c r="Q41" i="1"/>
  <c r="L18" i="2"/>
  <c r="O18" i="2"/>
  <c r="K18" i="2"/>
  <c r="N17" i="2"/>
  <c r="N18" i="2"/>
  <c r="Q43" i="1" l="1"/>
  <c r="S43" i="1" l="1"/>
  <c r="T43" i="1"/>
</calcChain>
</file>

<file path=xl/sharedStrings.xml><?xml version="1.0" encoding="utf-8"?>
<sst xmlns="http://schemas.openxmlformats.org/spreadsheetml/2006/main" count="213" uniqueCount="80">
  <si>
    <t>Sample:</t>
  </si>
  <si>
    <t>Ho166m-1987-D-LS2_win2_20mV</t>
  </si>
  <si>
    <t>Beta DT:</t>
  </si>
  <si>
    <t>ns</t>
  </si>
  <si>
    <t>Gamma DT:</t>
  </si>
  <si>
    <t>Resolving Window Width:</t>
  </si>
  <si>
    <t>Gamma Time Shift Factor:</t>
  </si>
  <si>
    <t xml:space="preserve"> Sample</t>
  </si>
  <si>
    <t xml:space="preserve"> A</t>
  </si>
  <si>
    <t xml:space="preserve"> B</t>
  </si>
  <si>
    <t xml:space="preserve"> C</t>
  </si>
  <si>
    <t xml:space="preserve"> AB</t>
  </si>
  <si>
    <t xml:space="preserve"> AC</t>
  </si>
  <si>
    <t xml:space="preserve"> BC</t>
  </si>
  <si>
    <t xml:space="preserve"> ABC</t>
  </si>
  <si>
    <t xml:space="preserve"> X</t>
  </si>
  <si>
    <t xml:space="preserve"> ABX</t>
  </si>
  <si>
    <t xml:space="preserve"> ACX</t>
  </si>
  <si>
    <t xml:space="preserve"> BCX</t>
  </si>
  <si>
    <t xml:space="preserve"> ABCX</t>
  </si>
  <si>
    <t xml:space="preserve"> Real</t>
  </si>
  <si>
    <t xml:space="preserve"> Live</t>
  </si>
  <si>
    <t xml:space="preserve"> LD</t>
  </si>
  <si>
    <t xml:space="preserve"> LDX</t>
  </si>
  <si>
    <t xml:space="preserve"> TDCR</t>
  </si>
  <si>
    <t xml:space="preserve"> </t>
  </si>
  <si>
    <t xml:space="preserve"> Started</t>
  </si>
  <si>
    <t xml:space="preserve"> Finished</t>
  </si>
  <si>
    <t xml:space="preserve"> AX</t>
  </si>
  <si>
    <t xml:space="preserve"> BX</t>
  </si>
  <si>
    <t xml:space="preserve"> CX</t>
  </si>
  <si>
    <t>Ho166m-1987-D-LS2_win2_20mV S0</t>
  </si>
  <si>
    <t>Ho166m-1987-D-LS2_win2_20mV S1</t>
  </si>
  <si>
    <t>Ho166m-1987-D-LS2_win2_20mV S2</t>
  </si>
  <si>
    <t>Ho166m-1987-D-LS2_win2_20mV S3</t>
  </si>
  <si>
    <t>Ho166m-1987-D-LS2_win2_20mV S4</t>
  </si>
  <si>
    <t>BKG_win2_20mV</t>
  </si>
  <si>
    <t>BKG_win2_20mV S0</t>
  </si>
  <si>
    <t>BKG_win2_20mV S1</t>
  </si>
  <si>
    <t>BKG_win2_20mV S2</t>
  </si>
  <si>
    <t>BKG_win2_20mV S3</t>
  </si>
  <si>
    <t>BKG_win2_20mV S4</t>
  </si>
  <si>
    <t>ASSUMING ONLY 3 CHANNELS</t>
  </si>
  <si>
    <t>pA</t>
  </si>
  <si>
    <t>pB</t>
  </si>
  <si>
    <t>pC</t>
  </si>
  <si>
    <t>pAB</t>
  </si>
  <si>
    <t>pAC</t>
  </si>
  <si>
    <t>pBC</t>
  </si>
  <si>
    <t>pT</t>
  </si>
  <si>
    <t>pS</t>
  </si>
  <si>
    <t>pD</t>
  </si>
  <si>
    <t>aAB</t>
  </si>
  <si>
    <t>aBC</t>
  </si>
  <si>
    <t>aAC</t>
  </si>
  <si>
    <t>aD</t>
  </si>
  <si>
    <t>aT</t>
  </si>
  <si>
    <t>ASSUMING 4 CHANNELS</t>
  </si>
  <si>
    <t>pX</t>
  </si>
  <si>
    <t>pAX</t>
  </si>
  <si>
    <t>pBX</t>
  </si>
  <si>
    <t>pCX</t>
  </si>
  <si>
    <t>pABX</t>
  </si>
  <si>
    <t>pACX</t>
  </si>
  <si>
    <t>pBCX</t>
  </si>
  <si>
    <t>pABC</t>
  </si>
  <si>
    <t>pABCX</t>
  </si>
  <si>
    <t>a(DX)</t>
  </si>
  <si>
    <t>With corrections</t>
  </si>
  <si>
    <t>Without corrections</t>
  </si>
  <si>
    <t>AVE</t>
  </si>
  <si>
    <t>a(ABCX)</t>
  </si>
  <si>
    <t>a(DX) Type 1</t>
  </si>
  <si>
    <t>a(DX) Type 2</t>
  </si>
  <si>
    <t>Without correction</t>
  </si>
  <si>
    <t>With accidentals correction</t>
  </si>
  <si>
    <t>With accidentals and background correction</t>
  </si>
  <si>
    <t>Without accidentals correction, with background</t>
  </si>
  <si>
    <t>C/G</t>
  </si>
  <si>
    <t>BG/C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</si>
</sst>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47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701E1-51DF-4C44-BEA4-9B51F4816AAC}">
  <dimension ref="A1:X43"/>
  <sheetViews>
    <sheetView tabSelected="1" topLeftCell="B24" workbookViewId="0">
      <selection activeCell="R49" sqref="R49"/>
    </sheetView>
  </sheetViews>
  <sheetFormatPr defaultRowHeight="14.4" x14ac:dyDescent="0.3"/>
  <cols>
    <col min="1" max="1" width="31.33203125" bestFit="1" customWidth="1"/>
    <col min="2" max="2" width="11.6640625" customWidth="1"/>
    <col min="6" max="6" width="10.5546875" bestFit="1" customWidth="1"/>
    <col min="22" max="22" width="11" bestFit="1" customWidth="1"/>
  </cols>
  <sheetData>
    <row r="1" spans="1:24" x14ac:dyDescent="0.3">
      <c r="A1" t="s">
        <v>0</v>
      </c>
      <c r="B1" t="s">
        <v>1</v>
      </c>
    </row>
    <row r="2" spans="1:24" x14ac:dyDescent="0.3">
      <c r="A2" t="s">
        <v>2</v>
      </c>
      <c r="B2">
        <v>50000</v>
      </c>
      <c r="C2" t="s">
        <v>3</v>
      </c>
    </row>
    <row r="3" spans="1:24" x14ac:dyDescent="0.3">
      <c r="A3" t="s">
        <v>4</v>
      </c>
      <c r="B3">
        <v>50000</v>
      </c>
      <c r="C3" t="s">
        <v>3</v>
      </c>
    </row>
    <row r="4" spans="1:24" x14ac:dyDescent="0.3">
      <c r="A4" t="s">
        <v>5</v>
      </c>
      <c r="B4">
        <v>250</v>
      </c>
      <c r="C4" t="s">
        <v>3</v>
      </c>
    </row>
    <row r="5" spans="1:24" x14ac:dyDescent="0.3">
      <c r="A5" t="s">
        <v>6</v>
      </c>
      <c r="B5">
        <v>-5050</v>
      </c>
      <c r="C5" t="s">
        <v>3</v>
      </c>
    </row>
    <row r="6" spans="1:24" x14ac:dyDescent="0.3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16</v>
      </c>
      <c r="K6" t="s">
        <v>17</v>
      </c>
      <c r="L6" t="s">
        <v>18</v>
      </c>
      <c r="M6" t="s">
        <v>19</v>
      </c>
      <c r="N6" t="s">
        <v>20</v>
      </c>
      <c r="O6" t="s">
        <v>21</v>
      </c>
      <c r="P6" t="s">
        <v>22</v>
      </c>
      <c r="Q6" t="s">
        <v>23</v>
      </c>
      <c r="R6" t="s">
        <v>24</v>
      </c>
      <c r="S6" t="s">
        <v>25</v>
      </c>
      <c r="T6" t="s">
        <v>26</v>
      </c>
      <c r="U6" t="s">
        <v>27</v>
      </c>
      <c r="V6" t="s">
        <v>28</v>
      </c>
      <c r="W6" t="s">
        <v>29</v>
      </c>
      <c r="X6" t="s">
        <v>30</v>
      </c>
    </row>
    <row r="8" spans="1:24" x14ac:dyDescent="0.3">
      <c r="A8" t="s">
        <v>31</v>
      </c>
      <c r="B8">
        <v>4058914</v>
      </c>
      <c r="C8">
        <v>4061363</v>
      </c>
      <c r="D8">
        <v>4057204</v>
      </c>
      <c r="E8">
        <v>3959057</v>
      </c>
      <c r="F8">
        <v>3957693</v>
      </c>
      <c r="G8">
        <v>3958060</v>
      </c>
      <c r="H8">
        <v>3947302</v>
      </c>
      <c r="I8">
        <v>458492</v>
      </c>
      <c r="J8">
        <v>443492</v>
      </c>
      <c r="K8">
        <v>443299</v>
      </c>
      <c r="L8">
        <v>443390</v>
      </c>
      <c r="M8">
        <v>442052</v>
      </c>
      <c r="N8">
        <v>600.00433290499996</v>
      </c>
      <c r="O8">
        <v>310.06145720000001</v>
      </c>
      <c r="P8">
        <v>3980206</v>
      </c>
      <c r="Q8">
        <v>446077</v>
      </c>
      <c r="R8">
        <v>99.173309120181202</v>
      </c>
      <c r="T8" s="1">
        <v>45791.582272685184</v>
      </c>
      <c r="U8" s="1">
        <v>45791.589241203706</v>
      </c>
      <c r="V8">
        <v>445679</v>
      </c>
      <c r="W8">
        <v>445683</v>
      </c>
      <c r="X8">
        <v>445495</v>
      </c>
    </row>
    <row r="9" spans="1:24" x14ac:dyDescent="0.3">
      <c r="A9" t="s">
        <v>32</v>
      </c>
      <c r="B9">
        <v>4058877</v>
      </c>
      <c r="C9">
        <v>4060557</v>
      </c>
      <c r="D9">
        <v>4055038</v>
      </c>
      <c r="E9">
        <v>3958041</v>
      </c>
      <c r="F9">
        <v>3956773</v>
      </c>
      <c r="G9">
        <v>3956667</v>
      </c>
      <c r="H9">
        <v>3946143</v>
      </c>
      <c r="I9">
        <v>458526</v>
      </c>
      <c r="J9">
        <v>443519</v>
      </c>
      <c r="K9">
        <v>443358</v>
      </c>
      <c r="L9">
        <v>443348</v>
      </c>
      <c r="M9">
        <v>442100</v>
      </c>
      <c r="N9">
        <v>600.01654173500003</v>
      </c>
      <c r="O9">
        <v>310.22770242500002</v>
      </c>
      <c r="P9">
        <v>3979195</v>
      </c>
      <c r="Q9">
        <v>446025</v>
      </c>
      <c r="R9">
        <v>99.169379736353704</v>
      </c>
      <c r="T9" s="1">
        <v>45791.589254398146</v>
      </c>
      <c r="U9" s="1">
        <v>45791.596223842593</v>
      </c>
      <c r="V9">
        <v>445652</v>
      </c>
      <c r="W9">
        <v>445650</v>
      </c>
      <c r="X9">
        <v>445471</v>
      </c>
    </row>
    <row r="10" spans="1:24" x14ac:dyDescent="0.3">
      <c r="A10" t="s">
        <v>33</v>
      </c>
      <c r="B10">
        <v>4057805</v>
      </c>
      <c r="C10">
        <v>4060319</v>
      </c>
      <c r="D10">
        <v>4055533</v>
      </c>
      <c r="E10">
        <v>3957766</v>
      </c>
      <c r="F10">
        <v>3956743</v>
      </c>
      <c r="G10">
        <v>3956948</v>
      </c>
      <c r="H10">
        <v>3946084</v>
      </c>
      <c r="I10">
        <v>459377</v>
      </c>
      <c r="J10">
        <v>444074</v>
      </c>
      <c r="K10">
        <v>444039</v>
      </c>
      <c r="L10">
        <v>443938</v>
      </c>
      <c r="M10">
        <v>442709</v>
      </c>
      <c r="N10">
        <v>600.00173204999999</v>
      </c>
      <c r="O10">
        <v>310.12445105500001</v>
      </c>
      <c r="P10">
        <v>3979289</v>
      </c>
      <c r="Q10">
        <v>446633</v>
      </c>
      <c r="R10">
        <v>99.165554449551095</v>
      </c>
      <c r="T10" s="1">
        <v>45791.596237152778</v>
      </c>
      <c r="U10" s="1">
        <v>45791.603205439817</v>
      </c>
      <c r="V10">
        <v>446316</v>
      </c>
      <c r="W10">
        <v>446197</v>
      </c>
      <c r="X10">
        <v>446108</v>
      </c>
    </row>
    <row r="11" spans="1:24" x14ac:dyDescent="0.3">
      <c r="A11" t="s">
        <v>34</v>
      </c>
      <c r="B11">
        <v>4059057</v>
      </c>
      <c r="C11">
        <v>4061465</v>
      </c>
      <c r="D11">
        <v>4056173</v>
      </c>
      <c r="E11">
        <v>3959170</v>
      </c>
      <c r="F11">
        <v>3957780</v>
      </c>
      <c r="G11">
        <v>3957938</v>
      </c>
      <c r="H11">
        <v>3947359</v>
      </c>
      <c r="I11">
        <v>459722</v>
      </c>
      <c r="J11">
        <v>444551</v>
      </c>
      <c r="K11">
        <v>444470</v>
      </c>
      <c r="L11">
        <v>444390</v>
      </c>
      <c r="M11">
        <v>443145</v>
      </c>
      <c r="N11">
        <v>600.01905474</v>
      </c>
      <c r="O11">
        <v>310.15337357999999</v>
      </c>
      <c r="P11">
        <v>3980170</v>
      </c>
      <c r="Q11">
        <v>447121</v>
      </c>
      <c r="R11">
        <v>99.1756382265079</v>
      </c>
      <c r="T11" s="1">
        <v>45791.603218865741</v>
      </c>
      <c r="U11" s="1">
        <v>45791.610187384256</v>
      </c>
      <c r="V11">
        <v>446742</v>
      </c>
      <c r="W11">
        <v>446737</v>
      </c>
      <c r="X11">
        <v>446546</v>
      </c>
    </row>
    <row r="12" spans="1:24" x14ac:dyDescent="0.3">
      <c r="A12" t="s">
        <v>35</v>
      </c>
      <c r="B12">
        <v>4059240</v>
      </c>
      <c r="C12">
        <v>4060348</v>
      </c>
      <c r="D12">
        <v>4055927</v>
      </c>
      <c r="E12">
        <v>3958605</v>
      </c>
      <c r="F12">
        <v>3957230</v>
      </c>
      <c r="G12">
        <v>3957337</v>
      </c>
      <c r="H12">
        <v>3946762</v>
      </c>
      <c r="I12">
        <v>460565</v>
      </c>
      <c r="J12">
        <v>445279</v>
      </c>
      <c r="K12">
        <v>445072</v>
      </c>
      <c r="L12">
        <v>445128</v>
      </c>
      <c r="M12">
        <v>443806</v>
      </c>
      <c r="N12">
        <v>600.00221036999994</v>
      </c>
      <c r="O12">
        <v>310.18587120500001</v>
      </c>
      <c r="P12">
        <v>3979648</v>
      </c>
      <c r="Q12">
        <v>447867</v>
      </c>
      <c r="R12">
        <v>99.173645508346397</v>
      </c>
      <c r="T12" s="1">
        <v>45791.610200925927</v>
      </c>
      <c r="U12" s="1">
        <v>45791.617169328703</v>
      </c>
      <c r="V12">
        <v>447530</v>
      </c>
      <c r="W12">
        <v>447503</v>
      </c>
      <c r="X12">
        <v>447261</v>
      </c>
    </row>
    <row r="14" spans="1:24" x14ac:dyDescent="0.3">
      <c r="A14" t="s">
        <v>42</v>
      </c>
    </row>
    <row r="15" spans="1:24" x14ac:dyDescent="0.3">
      <c r="B15" t="s">
        <v>43</v>
      </c>
      <c r="C15" t="s">
        <v>44</v>
      </c>
      <c r="D15" t="s">
        <v>45</v>
      </c>
      <c r="E15" t="s">
        <v>46</v>
      </c>
      <c r="F15" t="s">
        <v>47</v>
      </c>
      <c r="G15" t="s">
        <v>48</v>
      </c>
      <c r="H15" t="s">
        <v>49</v>
      </c>
      <c r="I15" t="s">
        <v>50</v>
      </c>
      <c r="J15" t="s">
        <v>51</v>
      </c>
      <c r="K15" t="s">
        <v>52</v>
      </c>
      <c r="L15" t="s">
        <v>53</v>
      </c>
      <c r="M15" t="s">
        <v>54</v>
      </c>
      <c r="N15" t="s">
        <v>55</v>
      </c>
      <c r="O15" t="s">
        <v>56</v>
      </c>
    </row>
    <row r="16" spans="1:24" x14ac:dyDescent="0.3">
      <c r="B16">
        <f>(B8-F8-E8+H8)/O8</f>
        <v>288.54279666979517</v>
      </c>
      <c r="C16">
        <f>(C8-E8-G8+H8)/O8</f>
        <v>295.25759449988163</v>
      </c>
      <c r="D16">
        <f>(D8-F8-G8+H8)/O8</f>
        <v>286.24325255219111</v>
      </c>
      <c r="E16">
        <f>(E8-H8)/O8</f>
        <v>37.911838853345877</v>
      </c>
      <c r="F16">
        <f>(F8-H8)/O8</f>
        <v>33.512710976190306</v>
      </c>
      <c r="G16">
        <f>(G8-H8)/O8</f>
        <v>34.69634728917864</v>
      </c>
      <c r="H16">
        <f>H8/O8</f>
        <v>12730.70840744278</v>
      </c>
      <c r="I16">
        <f>B16+C16+D16</f>
        <v>870.04364372186797</v>
      </c>
      <c r="J16">
        <f>E16+G16+F16</f>
        <v>106.12089711871482</v>
      </c>
      <c r="K16">
        <f>(2*(B16*C16+B16*G16+C16*F16+F16*G16)+(I16+J16-E16)*(E16+H16))*$B$4*10^(-9)</f>
        <v>3.0481798537954048</v>
      </c>
      <c r="L16">
        <f>(2*(C16*D16+C16*F16+D16*E16+E16*F16)+(I16+J16-G16)*(G16+H16))*$B$4*10^-9</f>
        <v>3.0578220951875341</v>
      </c>
      <c r="M16">
        <f>(2*(B16*D16+B16*G16+D16*E16+E16*G16)+(I16+J16-F16)*(F16+H16))*$B$4*10^-9</f>
        <v>3.0604402085634197</v>
      </c>
      <c r="N16">
        <f>(2*(B16*C16+C16*D16+D16*B16)+I16*(J16+H16))*$B$4*10^-9</f>
        <v>2.9183021229264048</v>
      </c>
      <c r="O16">
        <f>(2*(B16*G16+C16*F16+D16*E16)+(I16+J16)*H16+2*(G16*E16+F16*G16+F16*E16))*$B$4*10^-9</f>
        <v>3.1240700173099767</v>
      </c>
      <c r="T16" s="3"/>
    </row>
    <row r="17" spans="1:24" x14ac:dyDescent="0.3">
      <c r="B17">
        <f>(B9-F9-E9+H9)/O9</f>
        <v>290.7735166617108</v>
      </c>
      <c r="C17">
        <f>(C9-E9-G9+H9)/O9</f>
        <v>296.53057828463847</v>
      </c>
      <c r="D17">
        <f>(D9-F9-G9+H9)/O9</f>
        <v>282.82774012166783</v>
      </c>
      <c r="E17">
        <f>(E9-H9)/O9</f>
        <v>38.352474350276424</v>
      </c>
      <c r="F17">
        <f>(F9-H9)/O9</f>
        <v>34.265154004323279</v>
      </c>
      <c r="G17">
        <f>(G9-H9)/O9</f>
        <v>33.923469495907639</v>
      </c>
      <c r="H17">
        <f>H9/O9</f>
        <v>12720.15029332853</v>
      </c>
      <c r="I17">
        <f t="shared" ref="I17:I20" si="0">B17+C17+D17</f>
        <v>870.13183506801715</v>
      </c>
      <c r="J17">
        <f t="shared" ref="J17:J20" si="1">E17+G17+F17</f>
        <v>106.54109785050734</v>
      </c>
      <c r="K17">
        <f t="shared" ref="K17:K20" si="2">(2*(B17*C17+B17*G17+C17*F17+F17*G17)+(I17+J17-E17)*(E17+H17))*$B$4*10^(-9)</f>
        <v>3.0465962141065588</v>
      </c>
      <c r="L17">
        <f t="shared" ref="L17:L20" si="3">(2*(C17*D17+C17*F17+D17*E17+E17*F17)+(I17+J17-G17)*(G17+H17))*$B$4*10^-9</f>
        <v>3.0590685672656797</v>
      </c>
      <c r="M17">
        <f t="shared" ref="M17:M20" si="4">(2*(B17*D17+B17*G17+D17*E17+E17*G17)+(I17+J17-F17)*(F17+H17))*$B$4*10^-9</f>
        <v>3.0570906111522977</v>
      </c>
      <c r="N17">
        <f t="shared" ref="N17:N20" si="5">(2*(B17*C17+C17*D17+D17*B17)+I17*(J17+H17))*$B$4*10^-9</f>
        <v>2.9163926940061553</v>
      </c>
      <c r="O17">
        <f t="shared" ref="O17:O20" si="6">(2*(B17*G17+C17*F17+D17*E17)+(I17+J17)*H17+2*(G17*E17+F17*G17+F17*E17))*$B$4*10^-9</f>
        <v>3.1231813492591911</v>
      </c>
    </row>
    <row r="18" spans="1:24" x14ac:dyDescent="0.3">
      <c r="B18">
        <f>(B10-F10-E10+H10)/O10</f>
        <v>288.20687854808529</v>
      </c>
      <c r="C18">
        <f>(C10-E10-G10+H10)/O10</f>
        <v>295.65227665244339</v>
      </c>
      <c r="D18">
        <f>(D10-F10-G10+H10)/O10</f>
        <v>283.51843816534955</v>
      </c>
      <c r="E18">
        <f>(E10-H10)/O10</f>
        <v>37.668748659641217</v>
      </c>
      <c r="F18">
        <f>(F10-H10)/O10</f>
        <v>34.37007292955964</v>
      </c>
      <c r="G18">
        <f>(G10-H10)/O10</f>
        <v>35.031097880358004</v>
      </c>
      <c r="H18">
        <f>H10/O10</f>
        <v>12724.195033883894</v>
      </c>
      <c r="I18">
        <f t="shared" si="0"/>
        <v>867.37759336587828</v>
      </c>
      <c r="J18">
        <f t="shared" si="1"/>
        <v>107.06991946955885</v>
      </c>
      <c r="K18">
        <f t="shared" si="2"/>
        <v>3.0420961631283112</v>
      </c>
      <c r="L18">
        <f t="shared" si="3"/>
        <v>3.0495360798023272</v>
      </c>
      <c r="M18">
        <f t="shared" si="4"/>
        <v>3.050413570549225</v>
      </c>
      <c r="N18">
        <f t="shared" si="5"/>
        <v>2.907759856560229</v>
      </c>
      <c r="O18">
        <f t="shared" si="6"/>
        <v>3.1171429784598175</v>
      </c>
    </row>
    <row r="19" spans="1:24" x14ac:dyDescent="0.3">
      <c r="B19">
        <f>(B11-F11-E11+H11)/O11</f>
        <v>288.45728475342031</v>
      </c>
      <c r="C19">
        <f>(C11-E11-G11+H11)/O11</f>
        <v>295.71176009260159</v>
      </c>
      <c r="D19">
        <f>(D11-F11-G11+H11)/O11</f>
        <v>283.13088774883028</v>
      </c>
      <c r="E19">
        <f>(E11-H11)/O11</f>
        <v>38.081159213809123</v>
      </c>
      <c r="F19">
        <f>(F11-H11)/O11</f>
        <v>33.599505559826</v>
      </c>
      <c r="G19">
        <f>(G11-H11)/O11</f>
        <v>34.108930939199624</v>
      </c>
      <c r="H19">
        <f>H11/O11</f>
        <v>12727.119342397966</v>
      </c>
      <c r="I19">
        <f t="shared" si="0"/>
        <v>867.29993259485218</v>
      </c>
      <c r="J19">
        <f t="shared" si="1"/>
        <v>105.78959571283475</v>
      </c>
      <c r="K19">
        <f t="shared" si="2"/>
        <v>3.037002822108394</v>
      </c>
      <c r="L19">
        <f t="shared" si="3"/>
        <v>3.048497618121222</v>
      </c>
      <c r="M19">
        <f t="shared" si="4"/>
        <v>3.0489375085661496</v>
      </c>
      <c r="N19">
        <f t="shared" si="5"/>
        <v>2.907843520079147</v>
      </c>
      <c r="O19">
        <f t="shared" si="6"/>
        <v>3.1132972143583091</v>
      </c>
    </row>
    <row r="20" spans="1:24" x14ac:dyDescent="0.3">
      <c r="B20">
        <f>(B12-F12-E12+H12)/O12</f>
        <v>290.68699889431508</v>
      </c>
      <c r="C20">
        <f>(C12-E12-G12+H12)/O12</f>
        <v>293.91409623473021</v>
      </c>
      <c r="D20">
        <f>(D12-F12-G12+H12)/O12</f>
        <v>284.09417765440611</v>
      </c>
      <c r="E20">
        <f>(E12-H12)/O12</f>
        <v>38.180333469067101</v>
      </c>
      <c r="F20">
        <f>(F12-H12)/O12</f>
        <v>33.74750745201338</v>
      </c>
      <c r="G20">
        <f>(G12-H12)/O12</f>
        <v>34.09246191297683</v>
      </c>
      <c r="H20">
        <f>H12/O12</f>
        <v>12723.861292159268</v>
      </c>
      <c r="I20">
        <f t="shared" si="0"/>
        <v>868.6952727834514</v>
      </c>
      <c r="J20">
        <f t="shared" si="1"/>
        <v>106.02030283405732</v>
      </c>
      <c r="K20">
        <f t="shared" si="2"/>
        <v>3.0412337589270861</v>
      </c>
      <c r="L20">
        <f t="shared" si="3"/>
        <v>3.0528832727392197</v>
      </c>
      <c r="M20">
        <f t="shared" si="4"/>
        <v>3.0534462223194354</v>
      </c>
      <c r="N20">
        <f t="shared" si="5"/>
        <v>2.9120737599574076</v>
      </c>
      <c r="O20">
        <f t="shared" si="6"/>
        <v>3.117744747014167</v>
      </c>
    </row>
    <row r="22" spans="1:24" x14ac:dyDescent="0.3">
      <c r="A22" t="s">
        <v>57</v>
      </c>
    </row>
    <row r="23" spans="1:24" x14ac:dyDescent="0.3">
      <c r="B23" t="s">
        <v>43</v>
      </c>
      <c r="C23" t="s">
        <v>44</v>
      </c>
      <c r="D23" t="s">
        <v>45</v>
      </c>
      <c r="E23" t="s">
        <v>58</v>
      </c>
      <c r="F23" t="s">
        <v>50</v>
      </c>
      <c r="G23" t="s">
        <v>46</v>
      </c>
      <c r="H23" t="s">
        <v>47</v>
      </c>
      <c r="I23" t="s">
        <v>48</v>
      </c>
      <c r="J23" t="s">
        <v>59</v>
      </c>
      <c r="K23" t="s">
        <v>60</v>
      </c>
      <c r="L23" t="s">
        <v>61</v>
      </c>
      <c r="M23" t="s">
        <v>62</v>
      </c>
      <c r="N23" t="s">
        <v>63</v>
      </c>
      <c r="O23" t="s">
        <v>64</v>
      </c>
      <c r="P23" t="s">
        <v>65</v>
      </c>
      <c r="Q23" t="s">
        <v>66</v>
      </c>
      <c r="R23" s="6" t="s">
        <v>67</v>
      </c>
      <c r="U23" s="6" t="s">
        <v>72</v>
      </c>
      <c r="V23" s="6" t="s">
        <v>73</v>
      </c>
    </row>
    <row r="24" spans="1:24" x14ac:dyDescent="0.3">
      <c r="B24" s="2">
        <f>(B8-E8-F8-V8+J8+K8+H8-M8)/$O8</f>
        <v>285.51113962835365</v>
      </c>
      <c r="C24">
        <f>(C8-E8-G8-W8+J8+H8+L8-M8)/O8</f>
        <v>292.50652699312667</v>
      </c>
      <c r="D24">
        <f>(D8-F8-G8-X8+H8+L8+K8-M8)/$O8</f>
        <v>283.47605921010938</v>
      </c>
      <c r="E24">
        <f>(I8-V8-W8-X8+J8+L8+K8-M8)/$O8</f>
        <v>31.490531226207498</v>
      </c>
      <c r="F24" s="2">
        <f>SUM(B24:E24)</f>
        <v>892.98425705779721</v>
      </c>
      <c r="G24">
        <f>(E8-J8-H8+M8)/$O8</f>
        <v>33.267598279222689</v>
      </c>
      <c r="H24">
        <f>(F8-K8-H8+M8)/$O8</f>
        <v>29.490927645682238</v>
      </c>
      <c r="I24">
        <f>(G8-L8-H8+M8)/$O8</f>
        <v>30.381073755722515</v>
      </c>
      <c r="J24">
        <f>(V8-J8-K8+M8)/$O8</f>
        <v>3.0316570414415249</v>
      </c>
      <c r="K24">
        <f>(W8-J8-L8+M8)/$O8</f>
        <v>2.7510675067549157</v>
      </c>
      <c r="L24">
        <f>(X8-K8-L8+M8)/$O8</f>
        <v>2.7671933420817321</v>
      </c>
      <c r="M24">
        <f>(J8-M8)/$O8</f>
        <v>4.6442405741231871</v>
      </c>
      <c r="N24">
        <f>(K8-M8)/$O8</f>
        <v>4.0217833305080655</v>
      </c>
      <c r="O24">
        <f>(L8-M8)/$O8</f>
        <v>4.3152735334561276</v>
      </c>
      <c r="P24">
        <f>(H8-M8)/$O8</f>
        <v>11305.016855864793</v>
      </c>
      <c r="Q24">
        <f>M8/$O8</f>
        <v>1425.6915515779883</v>
      </c>
      <c r="R24" s="6">
        <f>U24+V24</f>
        <v>4.6166389001418358</v>
      </c>
      <c r="U24" s="6">
        <f>2*B$4*10^-9*((E24+J24+K24+L24)*(P24+G24+H24+I24)+B24*(K24+L24)+C24*(J24+L24)+D24*(J24+K24)+J24*K24+J24*L24+K24*L24)</f>
        <v>0.23066131814321586</v>
      </c>
      <c r="V24" s="6">
        <f>(Q24*(F24+SUM(G24:L24)+P24)+M24*(F24-D24+G24+J24+K24)+N24*(F24-C24+H24+J24+L24)+O24*(F24-B24+I24+K24+L24))*B$4*10^-9</f>
        <v>4.3859775819986195</v>
      </c>
    </row>
    <row r="25" spans="1:24" x14ac:dyDescent="0.3">
      <c r="B25" s="2">
        <f t="shared" ref="B25:B28" si="7">(B9-E9-F9-V9+J9+K9+H9-M9)/$O9</f>
        <v>287.9530077479024</v>
      </c>
      <c r="C25">
        <f t="shared" ref="C25:C28" si="8">(C9-E9-G9-W9+J9+H9+L9-M9)/O9</f>
        <v>293.68428186076102</v>
      </c>
      <c r="D25">
        <f t="shared" ref="D25:D28" si="9">(D9-F9-G9-X9+H9+L9+K9-M9)/$O9</f>
        <v>280.03946559544585</v>
      </c>
      <c r="E25">
        <f t="shared" ref="E25:E28" si="10">(I9-V9-W9-X9+J9+L9+K9-M9)/$O9</f>
        <v>31.841128057827408</v>
      </c>
      <c r="F25" s="2">
        <f t="shared" ref="F25:F28" si="11">SUM(B25:E25)</f>
        <v>893.51788326193662</v>
      </c>
      <c r="G25">
        <f t="shared" ref="G25:G28" si="12">(E9-J9-H9+M9)/$O9</f>
        <v>33.778414751768921</v>
      </c>
      <c r="H25">
        <f t="shared" ref="H25:H28" si="13">(F9-K9-H9+M9)/$O9</f>
        <v>30.210068045956518</v>
      </c>
      <c r="I25">
        <f t="shared" ref="I25:I28" si="14">(G9-L9-H9+M9)/$O9</f>
        <v>29.900617925127257</v>
      </c>
      <c r="J25">
        <f t="shared" ref="J25:J28" si="15">(V9-J9-K9+M9)/$O9</f>
        <v>2.8205089138083603</v>
      </c>
      <c r="K25">
        <f t="shared" ref="K25:K28" si="16">(W9-J9-L9+M9)/$O9</f>
        <v>2.8462964238774653</v>
      </c>
      <c r="L25">
        <f t="shared" ref="L25:L28" si="17">(X9-K9-L9+M9)/$O9</f>
        <v>2.7882745262219788</v>
      </c>
      <c r="M25">
        <f t="shared" ref="M25:M28" si="18">(J9-M9)/$O9</f>
        <v>4.5740595985075005</v>
      </c>
      <c r="N25">
        <f t="shared" ref="N25:N28" si="19">(K9-M9)/$O9</f>
        <v>4.0550859583667629</v>
      </c>
      <c r="O25">
        <f t="shared" ref="O25:O28" si="20">(L9-M9)/$O9</f>
        <v>4.0228515707803814</v>
      </c>
      <c r="P25">
        <f t="shared" ref="P25:P28" si="21">(H9-M9)/$O9</f>
        <v>11295.068018134614</v>
      </c>
      <c r="Q25">
        <f t="shared" ref="Q25:Q28" si="22">M9/$O9</f>
        <v>1425.0822751939154</v>
      </c>
      <c r="R25" s="6">
        <f t="shared" ref="R25:R28" si="23">U25+V25</f>
        <v>4.6128385707199904</v>
      </c>
      <c r="U25" s="6">
        <f t="shared" ref="U25:U27" si="24">2*B$4*10^-9*((E25+J25+K25+L25)*(P25+G25+H25+I25)+B25*(K25+L25)+C25*(J25+L25)+D25*(J25+K25)+J25*K25+J25*L25+K25*L25)</f>
        <v>0.2319061225070784</v>
      </c>
      <c r="V25" s="6">
        <f t="shared" ref="V25:V28" si="25">(Q25*(F25+SUM(G25:L25)+P25)+M25*(F25-D25+G25+J25+K25)+N25*(F25-C25+H25+J25+L25)+O25*(F25-B25+I25+K25+L25))*B$4*10^-9</f>
        <v>4.3809324482129117</v>
      </c>
    </row>
    <row r="26" spans="1:24" x14ac:dyDescent="0.3">
      <c r="B26" s="2">
        <f t="shared" si="7"/>
        <v>285.26612364502131</v>
      </c>
      <c r="C26">
        <f t="shared" si="8"/>
        <v>292.76956296457149</v>
      </c>
      <c r="D26">
        <f t="shared" si="9"/>
        <v>280.80984812305383</v>
      </c>
      <c r="E26">
        <f t="shared" si="10"/>
        <v>32.561121722740715</v>
      </c>
      <c r="F26" s="2">
        <f t="shared" si="11"/>
        <v>891.40665645538741</v>
      </c>
      <c r="G26">
        <f t="shared" si="12"/>
        <v>33.267289840910671</v>
      </c>
      <c r="H26">
        <f t="shared" si="13"/>
        <v>30.081472029258084</v>
      </c>
      <c r="I26">
        <f t="shared" si="14"/>
        <v>31.068172687522953</v>
      </c>
      <c r="J26">
        <f t="shared" si="15"/>
        <v>2.9407549030639264</v>
      </c>
      <c r="K26">
        <f t="shared" si="16"/>
        <v>2.8827136878718753</v>
      </c>
      <c r="L26">
        <f t="shared" si="17"/>
        <v>2.7085900422957221</v>
      </c>
      <c r="M26">
        <f t="shared" si="18"/>
        <v>4.4014588187305481</v>
      </c>
      <c r="N26">
        <f t="shared" si="19"/>
        <v>4.2886009003015593</v>
      </c>
      <c r="O26">
        <f t="shared" si="20"/>
        <v>3.9629251928350504</v>
      </c>
      <c r="P26">
        <f t="shared" si="21"/>
        <v>11296.674570747351</v>
      </c>
      <c r="Q26">
        <f t="shared" si="22"/>
        <v>1427.5204631365436</v>
      </c>
      <c r="R26" s="6">
        <f t="shared" si="23"/>
        <v>4.6249585019859696</v>
      </c>
      <c r="U26" s="6">
        <f t="shared" si="24"/>
        <v>0.23650234077240914</v>
      </c>
      <c r="V26" s="6">
        <f t="shared" si="25"/>
        <v>4.3884561612135604</v>
      </c>
    </row>
    <row r="27" spans="1:24" x14ac:dyDescent="0.3">
      <c r="B27" s="2">
        <f t="shared" si="7"/>
        <v>285.66511780065093</v>
      </c>
      <c r="C27">
        <f t="shared" si="8"/>
        <v>292.67777729519287</v>
      </c>
      <c r="D27">
        <f t="shared" si="9"/>
        <v>280.451568190226</v>
      </c>
      <c r="E27">
        <f t="shared" si="10"/>
        <v>32.122816801894871</v>
      </c>
      <c r="F27" s="2">
        <f t="shared" si="11"/>
        <v>890.91728008796463</v>
      </c>
      <c r="G27">
        <f t="shared" si="12"/>
        <v>33.547918179636262</v>
      </c>
      <c r="H27">
        <f t="shared" si="13"/>
        <v>29.327425637863669</v>
      </c>
      <c r="I27">
        <f t="shared" si="14"/>
        <v>30.094787918185958</v>
      </c>
      <c r="J27">
        <f t="shared" si="15"/>
        <v>2.7921669527693425</v>
      </c>
      <c r="K27">
        <f t="shared" si="16"/>
        <v>3.0339827974087195</v>
      </c>
      <c r="L27">
        <f t="shared" si="17"/>
        <v>2.6793195586042997</v>
      </c>
      <c r="M27">
        <f t="shared" si="18"/>
        <v>4.5332410341728586</v>
      </c>
      <c r="N27">
        <f t="shared" si="19"/>
        <v>4.2720799219623311</v>
      </c>
      <c r="O27">
        <f t="shared" si="20"/>
        <v>4.0141430210136617</v>
      </c>
      <c r="P27">
        <f t="shared" si="21"/>
        <v>11298.326242761741</v>
      </c>
      <c r="Q27">
        <f t="shared" si="22"/>
        <v>1428.7930996362243</v>
      </c>
      <c r="R27" s="6">
        <f t="shared" si="23"/>
        <v>4.6261297412525462</v>
      </c>
      <c r="U27" s="6">
        <f t="shared" si="24"/>
        <v>0.2338501781566201</v>
      </c>
      <c r="V27" s="6">
        <f t="shared" si="25"/>
        <v>4.3922795630959257</v>
      </c>
    </row>
    <row r="28" spans="1:24" x14ac:dyDescent="0.3">
      <c r="B28" s="2">
        <f t="shared" si="7"/>
        <v>287.51148352937116</v>
      </c>
      <c r="C28">
        <f t="shared" si="8"/>
        <v>291.00616236754297</v>
      </c>
      <c r="D28">
        <f t="shared" si="9"/>
        <v>281.29907935856204</v>
      </c>
      <c r="E28">
        <f t="shared" si="10"/>
        <v>32.058197755332543</v>
      </c>
      <c r="F28" s="2">
        <f t="shared" si="11"/>
        <v>891.87492301080874</v>
      </c>
      <c r="G28">
        <f t="shared" si="12"/>
        <v>33.431567852252456</v>
      </c>
      <c r="H28">
        <f t="shared" si="13"/>
        <v>29.666083642857004</v>
      </c>
      <c r="I28">
        <f t="shared" si="14"/>
        <v>29.830501189671359</v>
      </c>
      <c r="J28">
        <f t="shared" si="15"/>
        <v>3.1755153649439412</v>
      </c>
      <c r="K28">
        <f t="shared" si="16"/>
        <v>2.9079338671872437</v>
      </c>
      <c r="L28">
        <f t="shared" si="17"/>
        <v>2.795098295844058</v>
      </c>
      <c r="M28">
        <f t="shared" si="18"/>
        <v>4.7487656168146453</v>
      </c>
      <c r="N28">
        <f t="shared" si="19"/>
        <v>4.0814238091563757</v>
      </c>
      <c r="O28">
        <f t="shared" si="20"/>
        <v>4.2619607233054726</v>
      </c>
      <c r="P28">
        <f t="shared" si="21"/>
        <v>11293.086904286873</v>
      </c>
      <c r="Q28">
        <f t="shared" si="22"/>
        <v>1430.7743878723968</v>
      </c>
      <c r="R28" s="6">
        <f t="shared" si="23"/>
        <v>4.6326120168159139</v>
      </c>
      <c r="U28" s="6">
        <f>2*B$4*10^-9*((E28+J28+K28+L28)*(P28+G28+H28+I28)+B28*(K28+L28)+C28*(J28+L28)+D28*(J28+K28)+J28*K28+J28*L28+K28*L28)</f>
        <v>0.23561053874047494</v>
      </c>
      <c r="V28" s="6">
        <f t="shared" si="25"/>
        <v>4.3970014780754392</v>
      </c>
    </row>
    <row r="30" spans="1:24" x14ac:dyDescent="0.3">
      <c r="A30" t="s">
        <v>7</v>
      </c>
      <c r="B30" t="s">
        <v>8</v>
      </c>
      <c r="C30" t="s">
        <v>9</v>
      </c>
      <c r="D30" t="s">
        <v>10</v>
      </c>
      <c r="E30" t="s">
        <v>11</v>
      </c>
      <c r="F30" t="s">
        <v>12</v>
      </c>
      <c r="G30" t="s">
        <v>13</v>
      </c>
      <c r="H30" t="s">
        <v>14</v>
      </c>
      <c r="I30" t="s">
        <v>15</v>
      </c>
      <c r="J30" t="s">
        <v>16</v>
      </c>
      <c r="K30" t="s">
        <v>17</v>
      </c>
      <c r="L30" t="s">
        <v>18</v>
      </c>
      <c r="M30" t="s">
        <v>19</v>
      </c>
      <c r="N30" t="s">
        <v>20</v>
      </c>
      <c r="O30" t="s">
        <v>21</v>
      </c>
      <c r="P30" s="6" t="s">
        <v>22</v>
      </c>
      <c r="Q30" t="s">
        <v>23</v>
      </c>
      <c r="R30" t="s">
        <v>24</v>
      </c>
      <c r="S30" t="s">
        <v>25</v>
      </c>
      <c r="T30" t="s">
        <v>26</v>
      </c>
      <c r="U30" t="s">
        <v>27</v>
      </c>
      <c r="V30" t="s">
        <v>28</v>
      </c>
      <c r="W30" t="s">
        <v>29</v>
      </c>
      <c r="X30" t="s">
        <v>30</v>
      </c>
    </row>
    <row r="31" spans="1:24" x14ac:dyDescent="0.3">
      <c r="A31" t="s">
        <v>69</v>
      </c>
      <c r="I31">
        <f>I8/$O8-BKG_20mV!I$36</f>
        <v>1456.2306333662684</v>
      </c>
      <c r="P31" s="6">
        <f>P8/$O8-BKG_20mV!P$36</f>
        <v>12828.530659370095</v>
      </c>
      <c r="Q31">
        <f>Q8/$O8-BKG_20mV!Q$36</f>
        <v>1438.4259809333212</v>
      </c>
      <c r="R31" t="s">
        <v>77</v>
      </c>
    </row>
    <row r="32" spans="1:24" x14ac:dyDescent="0.3">
      <c r="I32">
        <f>I9/$O9-BKG_20mV!I$36</f>
        <v>1455.5478154770126</v>
      </c>
      <c r="P32" s="6">
        <f>P9/$O9-BKG_20mV!P$36</f>
        <v>12818.392745987638</v>
      </c>
      <c r="Q32">
        <f>Q9/$O9-BKG_20mV!Q$36</f>
        <v>1437.4874042388158</v>
      </c>
    </row>
    <row r="33" spans="1:20" x14ac:dyDescent="0.3">
      <c r="I33">
        <f>I10/$O10-BKG_20mV!I$36</f>
        <v>1458.7839636380902</v>
      </c>
      <c r="P33" s="6">
        <f>P10/$O10-BKG_20mV!P$36</f>
        <v>12822.966308162053</v>
      </c>
      <c r="Q33">
        <f>Q10/$O10-BKG_20mV!Q$36</f>
        <v>1439.9265799656564</v>
      </c>
    </row>
    <row r="34" spans="1:20" x14ac:dyDescent="0.3">
      <c r="I34">
        <f>I11/$O11-BKG_20mV!I$36</f>
        <v>1459.7581849577575</v>
      </c>
      <c r="P34" s="6">
        <f>P11/$O11-BKG_20mV!P$36</f>
        <v>12824.6102929194</v>
      </c>
      <c r="Q34">
        <f>Q11/$O11-BKG_20mV!Q$36</f>
        <v>1441.3656955306187</v>
      </c>
    </row>
    <row r="35" spans="1:20" x14ac:dyDescent="0.3">
      <c r="I35">
        <f>I12/$O12-BKG_20mV!I$36</f>
        <v>1462.3206185386882</v>
      </c>
      <c r="J35" s="4"/>
      <c r="K35" s="4"/>
      <c r="L35" s="4"/>
      <c r="N35" s="4"/>
      <c r="O35" s="4"/>
      <c r="P35" s="6">
        <f>P12/$O12-BKG_20mV!P$36</f>
        <v>12821.582949801927</v>
      </c>
      <c r="Q35">
        <f>Q12/$O12-BKG_20mV!Q$36</f>
        <v>1443.6196699389188</v>
      </c>
      <c r="S35" t="s">
        <v>78</v>
      </c>
      <c r="T35" t="s">
        <v>79</v>
      </c>
    </row>
    <row r="36" spans="1:20" x14ac:dyDescent="0.3">
      <c r="A36" t="s">
        <v>70</v>
      </c>
      <c r="I36" s="5">
        <f>AVERAGE(I31:I35)</f>
        <v>1458.5282431955634</v>
      </c>
      <c r="J36" s="5"/>
      <c r="K36" s="5"/>
      <c r="L36" s="5"/>
      <c r="M36" s="5"/>
      <c r="N36" s="5"/>
      <c r="O36" s="5"/>
      <c r="P36" s="5">
        <f t="shared" ref="P36" si="26">AVERAGE(P31:P35)</f>
        <v>12823.216591248221</v>
      </c>
      <c r="Q36" s="5">
        <f>AVERAGE(Q31:Q35)</f>
        <v>1440.1650661214662</v>
      </c>
      <c r="S36">
        <f>Q36/I36</f>
        <v>0.98740978986196093</v>
      </c>
      <c r="T36">
        <f>P36*I36/Q36</f>
        <v>12986.722152148093</v>
      </c>
    </row>
    <row r="38" spans="1:20" x14ac:dyDescent="0.3">
      <c r="A38" t="s">
        <v>68</v>
      </c>
      <c r="I38">
        <f>I8/$O8-BKG_20mV!I$43</f>
        <v>1456.2306333662684</v>
      </c>
      <c r="P38">
        <f>P8/$O8-N16-BKG_20mV!P$43</f>
        <v>12825.65620355829</v>
      </c>
      <c r="Q38">
        <f>Q8/$O8-R24-BKG_20mV!Q$43</f>
        <v>1433.8094725347851</v>
      </c>
      <c r="R38" t="s">
        <v>76</v>
      </c>
    </row>
    <row r="39" spans="1:20" x14ac:dyDescent="0.3">
      <c r="I39">
        <f>I9/$O9-BKG_20mV!I$43</f>
        <v>1455.5478154770126</v>
      </c>
      <c r="P39">
        <f>P9/$O9-N17-BKG_20mV!P$43</f>
        <v>12815.520199604753</v>
      </c>
      <c r="Q39">
        <f>Q9/$O9-R25-BKG_20mV!Q$43</f>
        <v>1432.8746961697016</v>
      </c>
    </row>
    <row r="40" spans="1:20" x14ac:dyDescent="0.3">
      <c r="I40">
        <f>I10/$O10-BKG_20mV!I$43</f>
        <v>1458.7839636380902</v>
      </c>
      <c r="P40">
        <f>P10/$O10-N18-BKG_20mV!P$43</f>
        <v>12820.102394616613</v>
      </c>
      <c r="Q40">
        <f>Q10/$O10-R26-BKG_20mV!Q$43</f>
        <v>1435.3017519652763</v>
      </c>
    </row>
    <row r="41" spans="1:20" x14ac:dyDescent="0.3">
      <c r="I41">
        <f>I11/$O11-BKG_20mV!I$43</f>
        <v>1459.7581849577575</v>
      </c>
      <c r="P41">
        <f>P11/$O11-N19-BKG_20mV!P$43</f>
        <v>12821.746295710442</v>
      </c>
      <c r="Q41">
        <f>Q11/$O11-R27-BKG_20mV!Q$43</f>
        <v>1436.739696290972</v>
      </c>
    </row>
    <row r="42" spans="1:20" x14ac:dyDescent="0.3">
      <c r="I42">
        <f>I12/$O12-BKG_20mV!I$43</f>
        <v>1462.3206185386882</v>
      </c>
      <c r="P42">
        <f>P12/$O12-N20-BKG_20mV!P$43</f>
        <v>12818.71472235309</v>
      </c>
      <c r="Q42">
        <f>Q12/$O12-R28-BKG_20mV!Q$43</f>
        <v>1438.9871884237086</v>
      </c>
      <c r="S42" t="s">
        <v>78</v>
      </c>
      <c r="T42" t="s">
        <v>79</v>
      </c>
    </row>
    <row r="43" spans="1:20" x14ac:dyDescent="0.3">
      <c r="A43" t="s">
        <v>70</v>
      </c>
      <c r="I43" s="5">
        <f>AVERAGE(I38:I42)</f>
        <v>1458.5282431955634</v>
      </c>
      <c r="J43" s="5"/>
      <c r="K43" s="5"/>
      <c r="L43" s="5"/>
      <c r="M43" s="5"/>
      <c r="N43" s="5"/>
      <c r="O43" s="5"/>
      <c r="P43" s="5">
        <f>AVERAGE(P38:P42)</f>
        <v>12820.347963168639</v>
      </c>
      <c r="Q43" s="5">
        <f t="shared" ref="Q43" si="27">AVERAGE(Q38:Q42)</f>
        <v>1435.5425610768889</v>
      </c>
      <c r="S43">
        <f>Q43/I43</f>
        <v>0.98424049570112271</v>
      </c>
      <c r="T43">
        <f>P43*I43/Q43</f>
        <v>13025.625362057552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3F4A-FA5A-496D-BBF3-6F93C0A64A8E}">
  <dimension ref="A1:X43"/>
  <sheetViews>
    <sheetView topLeftCell="A19" workbookViewId="0">
      <selection activeCell="A30" sqref="A30:XFD44"/>
    </sheetView>
  </sheetViews>
  <sheetFormatPr defaultRowHeight="14.4" x14ac:dyDescent="0.3"/>
  <cols>
    <col min="1" max="1" width="24.33203125" bestFit="1" customWidth="1"/>
    <col min="2" max="2" width="16" bestFit="1" customWidth="1"/>
    <col min="6" max="6" width="12" bestFit="1" customWidth="1"/>
    <col min="19" max="19" width="12" bestFit="1" customWidth="1"/>
  </cols>
  <sheetData>
    <row r="1" spans="1:24" x14ac:dyDescent="0.3">
      <c r="A1" t="s">
        <v>0</v>
      </c>
      <c r="B1" t="s">
        <v>36</v>
      </c>
    </row>
    <row r="2" spans="1:24" x14ac:dyDescent="0.3">
      <c r="A2" t="s">
        <v>2</v>
      </c>
      <c r="B2">
        <v>50000</v>
      </c>
      <c r="C2" t="s">
        <v>3</v>
      </c>
    </row>
    <row r="3" spans="1:24" x14ac:dyDescent="0.3">
      <c r="A3" t="s">
        <v>4</v>
      </c>
      <c r="B3">
        <v>50000</v>
      </c>
      <c r="C3" t="s">
        <v>3</v>
      </c>
    </row>
    <row r="4" spans="1:24" x14ac:dyDescent="0.3">
      <c r="A4" t="s">
        <v>5</v>
      </c>
      <c r="B4">
        <v>250</v>
      </c>
      <c r="C4" t="s">
        <v>3</v>
      </c>
    </row>
    <row r="5" spans="1:24" x14ac:dyDescent="0.3">
      <c r="A5" t="s">
        <v>6</v>
      </c>
      <c r="B5">
        <v>-5050</v>
      </c>
      <c r="C5" t="s">
        <v>3</v>
      </c>
    </row>
    <row r="6" spans="1:24" x14ac:dyDescent="0.3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16</v>
      </c>
      <c r="K6" t="s">
        <v>17</v>
      </c>
      <c r="L6" t="s">
        <v>18</v>
      </c>
      <c r="M6" t="s">
        <v>19</v>
      </c>
      <c r="N6" t="s">
        <v>20</v>
      </c>
      <c r="O6" t="s">
        <v>21</v>
      </c>
      <c r="P6" t="s">
        <v>22</v>
      </c>
      <c r="Q6" t="s">
        <v>23</v>
      </c>
      <c r="R6" t="s">
        <v>24</v>
      </c>
      <c r="S6" t="s">
        <v>25</v>
      </c>
      <c r="T6" t="s">
        <v>26</v>
      </c>
      <c r="U6" t="s">
        <v>27</v>
      </c>
      <c r="V6" t="s">
        <v>28</v>
      </c>
      <c r="W6" t="s">
        <v>29</v>
      </c>
      <c r="X6" t="s">
        <v>30</v>
      </c>
    </row>
    <row r="8" spans="1:24" x14ac:dyDescent="0.3">
      <c r="A8" t="s">
        <v>37</v>
      </c>
      <c r="B8">
        <v>85740</v>
      </c>
      <c r="C8">
        <v>83757</v>
      </c>
      <c r="D8">
        <v>84002</v>
      </c>
      <c r="E8">
        <v>3430</v>
      </c>
      <c r="F8">
        <v>3413</v>
      </c>
      <c r="G8">
        <v>3460</v>
      </c>
      <c r="H8">
        <v>3148</v>
      </c>
      <c r="I8">
        <v>11039</v>
      </c>
      <c r="J8">
        <v>117</v>
      </c>
      <c r="K8">
        <v>119</v>
      </c>
      <c r="L8">
        <v>113</v>
      </c>
      <c r="M8">
        <v>111</v>
      </c>
      <c r="N8">
        <v>500.01516361500001</v>
      </c>
      <c r="O8">
        <v>487.12804312499998</v>
      </c>
      <c r="P8">
        <v>4007</v>
      </c>
      <c r="Q8">
        <v>127</v>
      </c>
      <c r="R8">
        <v>78.562515597704007</v>
      </c>
      <c r="T8" s="1">
        <v>45790.390922569444</v>
      </c>
      <c r="U8" s="1">
        <v>45790.396696296295</v>
      </c>
      <c r="V8">
        <v>132</v>
      </c>
      <c r="W8">
        <v>139</v>
      </c>
      <c r="X8">
        <v>130</v>
      </c>
    </row>
    <row r="9" spans="1:24" x14ac:dyDescent="0.3">
      <c r="A9" t="s">
        <v>38</v>
      </c>
      <c r="B9">
        <v>86175</v>
      </c>
      <c r="C9">
        <v>85949</v>
      </c>
      <c r="D9">
        <v>85559</v>
      </c>
      <c r="E9">
        <v>3511</v>
      </c>
      <c r="F9">
        <v>3463</v>
      </c>
      <c r="G9">
        <v>3517</v>
      </c>
      <c r="H9">
        <v>3223</v>
      </c>
      <c r="I9">
        <v>10874</v>
      </c>
      <c r="J9">
        <v>101</v>
      </c>
      <c r="K9">
        <v>98</v>
      </c>
      <c r="L9">
        <v>96</v>
      </c>
      <c r="M9">
        <v>95</v>
      </c>
      <c r="N9">
        <v>500.00402954499998</v>
      </c>
      <c r="O9">
        <v>486.92015051999999</v>
      </c>
      <c r="P9">
        <v>4045</v>
      </c>
      <c r="Q9">
        <v>105</v>
      </c>
      <c r="R9">
        <v>79.678615574783606</v>
      </c>
      <c r="T9" s="1">
        <v>45790.396709953704</v>
      </c>
      <c r="U9" s="1">
        <v>45790.402497800926</v>
      </c>
      <c r="V9">
        <v>113</v>
      </c>
      <c r="W9">
        <v>111</v>
      </c>
      <c r="X9">
        <v>108</v>
      </c>
    </row>
    <row r="10" spans="1:24" x14ac:dyDescent="0.3">
      <c r="A10" t="s">
        <v>39</v>
      </c>
      <c r="B10">
        <v>86395</v>
      </c>
      <c r="C10">
        <v>86766</v>
      </c>
      <c r="D10">
        <v>85832</v>
      </c>
      <c r="E10">
        <v>3466</v>
      </c>
      <c r="F10">
        <v>3508</v>
      </c>
      <c r="G10">
        <v>3503</v>
      </c>
      <c r="H10">
        <v>3211</v>
      </c>
      <c r="I10">
        <v>10953</v>
      </c>
      <c r="J10">
        <v>105</v>
      </c>
      <c r="K10">
        <v>107</v>
      </c>
      <c r="L10">
        <v>104</v>
      </c>
      <c r="M10">
        <v>102</v>
      </c>
      <c r="N10">
        <v>499.99083660500003</v>
      </c>
      <c r="O10">
        <v>486.83716971000001</v>
      </c>
      <c r="P10">
        <v>4055</v>
      </c>
      <c r="Q10">
        <v>112</v>
      </c>
      <c r="R10">
        <v>79.186189889025798</v>
      </c>
      <c r="T10" s="1">
        <v>45790.402511458335</v>
      </c>
      <c r="U10" s="1">
        <v>45790.408299305556</v>
      </c>
      <c r="V10">
        <v>115</v>
      </c>
      <c r="W10">
        <v>117</v>
      </c>
      <c r="X10">
        <v>116</v>
      </c>
    </row>
    <row r="11" spans="1:24" x14ac:dyDescent="0.3">
      <c r="A11" t="s">
        <v>40</v>
      </c>
      <c r="B11">
        <v>86038</v>
      </c>
      <c r="C11">
        <v>87669</v>
      </c>
      <c r="D11">
        <v>86530</v>
      </c>
      <c r="E11">
        <v>3408</v>
      </c>
      <c r="F11">
        <v>3404</v>
      </c>
      <c r="G11">
        <v>3488</v>
      </c>
      <c r="H11">
        <v>3163</v>
      </c>
      <c r="I11">
        <v>10838</v>
      </c>
      <c r="J11">
        <v>114</v>
      </c>
      <c r="K11">
        <v>112</v>
      </c>
      <c r="L11">
        <v>113</v>
      </c>
      <c r="M11">
        <v>108</v>
      </c>
      <c r="N11">
        <v>500.00465685</v>
      </c>
      <c r="O11">
        <v>486.78995678000001</v>
      </c>
      <c r="P11">
        <v>3974</v>
      </c>
      <c r="Q11">
        <v>123</v>
      </c>
      <c r="R11">
        <v>79.592350276799095</v>
      </c>
      <c r="T11" s="1">
        <v>45790.408312615742</v>
      </c>
      <c r="U11" s="1">
        <v>45790.414100347225</v>
      </c>
      <c r="V11">
        <v>127</v>
      </c>
      <c r="W11">
        <v>122</v>
      </c>
      <c r="X11">
        <v>124</v>
      </c>
    </row>
    <row r="12" spans="1:24" x14ac:dyDescent="0.3">
      <c r="A12" t="s">
        <v>41</v>
      </c>
      <c r="B12">
        <v>85948</v>
      </c>
      <c r="C12">
        <v>87366</v>
      </c>
      <c r="D12">
        <v>86275</v>
      </c>
      <c r="E12">
        <v>3578</v>
      </c>
      <c r="F12">
        <v>3530</v>
      </c>
      <c r="G12">
        <v>3566</v>
      </c>
      <c r="H12">
        <v>3276</v>
      </c>
      <c r="I12">
        <v>11030</v>
      </c>
      <c r="J12">
        <v>125</v>
      </c>
      <c r="K12">
        <v>122</v>
      </c>
      <c r="L12">
        <v>121</v>
      </c>
      <c r="M12">
        <v>117</v>
      </c>
      <c r="N12">
        <v>500.00264630999999</v>
      </c>
      <c r="O12">
        <v>486.82048656500001</v>
      </c>
      <c r="P12">
        <v>4122</v>
      </c>
      <c r="Q12">
        <v>134</v>
      </c>
      <c r="R12">
        <v>79.475982532751004</v>
      </c>
      <c r="T12" s="1">
        <v>45790.414113888888</v>
      </c>
      <c r="U12" s="1">
        <v>45790.41990173611</v>
      </c>
      <c r="V12">
        <v>135</v>
      </c>
      <c r="W12">
        <v>146</v>
      </c>
      <c r="X12">
        <v>131</v>
      </c>
    </row>
    <row r="14" spans="1:24" x14ac:dyDescent="0.3">
      <c r="A14" t="s">
        <v>42</v>
      </c>
    </row>
    <row r="15" spans="1:24" x14ac:dyDescent="0.3">
      <c r="B15" t="s">
        <v>43</v>
      </c>
      <c r="C15" t="s">
        <v>44</v>
      </c>
      <c r="D15" t="s">
        <v>45</v>
      </c>
      <c r="E15" t="s">
        <v>46</v>
      </c>
      <c r="F15" t="s">
        <v>47</v>
      </c>
      <c r="G15" t="s">
        <v>48</v>
      </c>
      <c r="H15" t="s">
        <v>49</v>
      </c>
      <c r="I15" t="s">
        <v>50</v>
      </c>
      <c r="J15" t="s">
        <v>51</v>
      </c>
      <c r="K15" t="s">
        <v>52</v>
      </c>
      <c r="L15" t="s">
        <v>53</v>
      </c>
      <c r="M15" t="s">
        <v>54</v>
      </c>
      <c r="N15" t="s">
        <v>55</v>
      </c>
      <c r="O15" t="s">
        <v>56</v>
      </c>
    </row>
    <row r="16" spans="1:24" x14ac:dyDescent="0.3">
      <c r="B16">
        <f>(B8-F8-E8+H8)/O8</f>
        <v>168.42594294852938</v>
      </c>
      <c r="C16">
        <f>(C8-E8-G8+H8)/O8</f>
        <v>164.25866079622861</v>
      </c>
      <c r="D16">
        <f>(D8-F8-G8+H8)/O8</f>
        <v>164.79650706416103</v>
      </c>
      <c r="E16">
        <f>(E8-H8)/O8</f>
        <v>0.57890323495015272</v>
      </c>
      <c r="F16">
        <f>(F8-H8)/O8</f>
        <v>0.54400481298507264</v>
      </c>
      <c r="G16">
        <f>(G8-H8)/O8</f>
        <v>0.64048868547676474</v>
      </c>
      <c r="H16">
        <f>H8/O8</f>
        <v>6.4623666085924851</v>
      </c>
      <c r="I16">
        <f>B16+C16+D16</f>
        <v>497.48111080891897</v>
      </c>
      <c r="J16">
        <f>E16+G16+F16</f>
        <v>1.76339673341199</v>
      </c>
      <c r="K16">
        <f>(2*(B16*C16+B16*G16+C16*F16+F16*G16)+(I16+J16-E16)*(E16+H16))*$B$4*10^(-9)</f>
        <v>1.4809310107326343E-2</v>
      </c>
      <c r="L16">
        <f>(2*(C16*D16+C16*F16+D16*E16+E16*F16)+(I16+J16-G16)*(G16+H16))*$B$4*10^-9</f>
        <v>1.4512541655493875E-2</v>
      </c>
      <c r="M16">
        <f>(2*(B16*D16+B16*G16+D16*E16+E16*G16)+(I16+J16-F16)*(F16+H16))*$B$4*10^-9</f>
        <v>1.4853347247424561E-2</v>
      </c>
      <c r="N16">
        <f>(2*(B16*C16+C16*D16+D16*B16)+I16*(J16+H16))*$B$4*10^-9</f>
        <v>4.2268380712771947E-2</v>
      </c>
      <c r="O16">
        <f>(2*(B16*G16+C16*F16+D16*E16)+(I16+J16)*H16+2*(G16*E16+F16*G16+F16*E16))*$B$4*10^-9</f>
        <v>9.5340914873641306E-4</v>
      </c>
    </row>
    <row r="17" spans="1:24" x14ac:dyDescent="0.3">
      <c r="B17">
        <f>(B9-F9-E9+H9)/O9</f>
        <v>169.27621482080042</v>
      </c>
      <c r="C17">
        <f>(C9-E9-G9+H9)/O9</f>
        <v>168.70117187032699</v>
      </c>
      <c r="D17">
        <f>(D9-F9-G9+H9)/O9</f>
        <v>167.99879798082011</v>
      </c>
      <c r="E17">
        <f>(E9-H9)/O9</f>
        <v>0.59147274905841163</v>
      </c>
      <c r="F17">
        <f>(F9-H9)/O9</f>
        <v>0.49289395754867638</v>
      </c>
      <c r="G17">
        <f>(G9-H9)/O9</f>
        <v>0.6037950979971286</v>
      </c>
      <c r="H17">
        <f>H9/O9</f>
        <v>6.6191551049140998</v>
      </c>
      <c r="I17">
        <f t="shared" ref="I17:I20" si="0">B17+C17+D17</f>
        <v>505.97618467194752</v>
      </c>
      <c r="J17">
        <f t="shared" ref="J17:J20" si="1">E17+G17+F17</f>
        <v>1.6881618046042166</v>
      </c>
      <c r="K17">
        <f t="shared" ref="K17:K20" si="2">(2*(B17*C17+B17*G17+C17*F17+F17*G17)+(I17+J17-E17)*(E17+H17))*$B$4*10^(-9)</f>
        <v>1.5285455123803447E-2</v>
      </c>
      <c r="L17">
        <f t="shared" ref="L17:L20" si="3">(2*(C17*D17+C17*F17+D17*E17+E17*F17)+(I17+J17-G17)*(G17+H17))*$B$4*10^-9</f>
        <v>1.5177820340437621E-2</v>
      </c>
      <c r="M17">
        <f t="shared" ref="M17:M20" si="4">(2*(B17*D17+B17*G17+D17*E17+E17*G17)+(I17+J17-F17)*(F17+H17))*$B$4*10^-9</f>
        <v>1.5221823365639202E-2</v>
      </c>
      <c r="N17">
        <f t="shared" ref="N17:N20" si="5">(2*(B17*C17+C17*D17+D17*B17)+I17*(J17+H17))*$B$4*10^-9</f>
        <v>4.3719271388109937E-2</v>
      </c>
      <c r="O17">
        <f t="shared" ref="O17:O20" si="6">(2*(B17*G17+C17*F17+D17*E17)+(I17+J17)*H17+2*(G17*E17+F17*G17+F17*E17))*$B$4*10^-9</f>
        <v>9.8291372088515883E-4</v>
      </c>
    </row>
    <row r="18" spans="1:24" x14ac:dyDescent="0.3">
      <c r="B18">
        <f>(B10-F10-E10+H10)/O10</f>
        <v>169.7323153226414</v>
      </c>
      <c r="C18">
        <f>(C10-E10-G10+H10)/O10</f>
        <v>170.50464747678643</v>
      </c>
      <c r="D18">
        <f>(D10-F10-G10+H10)/O10</f>
        <v>168.49987039581418</v>
      </c>
      <c r="E18">
        <f>(E10-H10)/O10</f>
        <v>0.52378909390155814</v>
      </c>
      <c r="F18">
        <f>(F10-H10)/O10</f>
        <v>0.61006023877946181</v>
      </c>
      <c r="G18">
        <f>(G10-H10)/O10</f>
        <v>0.59978986438923521</v>
      </c>
      <c r="H18">
        <f>H10/O10</f>
        <v>6.5956344334035419</v>
      </c>
      <c r="I18">
        <f t="shared" si="0"/>
        <v>508.73683319524201</v>
      </c>
      <c r="J18">
        <f t="shared" si="1"/>
        <v>1.7336391970702552</v>
      </c>
      <c r="K18">
        <f t="shared" si="2"/>
        <v>1.5480799766584553E-2</v>
      </c>
      <c r="L18">
        <f t="shared" si="3"/>
        <v>1.5378487496954424E-2</v>
      </c>
      <c r="M18">
        <f t="shared" si="4"/>
        <v>1.5313599320884504E-2</v>
      </c>
      <c r="N18">
        <f t="shared" si="5"/>
        <v>4.4194368434933351E-2</v>
      </c>
      <c r="O18">
        <f t="shared" si="6"/>
        <v>9.8925907474506185E-4</v>
      </c>
    </row>
    <row r="19" spans="1:24" x14ac:dyDescent="0.3">
      <c r="B19">
        <f>(B11-F11-E11+H11)/O11</f>
        <v>169.24958876510863</v>
      </c>
      <c r="C19">
        <f>(C11-E11-G11+H11)/O11</f>
        <v>172.42755079668592</v>
      </c>
      <c r="D19">
        <f>(D11-F11-G11+H11)/O11</f>
        <v>170.09594969400962</v>
      </c>
      <c r="E19">
        <f>(E11-H11)/O11</f>
        <v>0.50329715432219846</v>
      </c>
      <c r="F19">
        <f>(F11-H11)/O11</f>
        <v>0.49508005792510135</v>
      </c>
      <c r="G19">
        <f>(G11-H11)/O11</f>
        <v>0.66763908226414082</v>
      </c>
      <c r="H19">
        <f>H11/O11</f>
        <v>6.4976689760045465</v>
      </c>
      <c r="I19">
        <f t="shared" si="0"/>
        <v>511.77308925580417</v>
      </c>
      <c r="J19">
        <f t="shared" si="1"/>
        <v>1.6660162945114405</v>
      </c>
      <c r="K19">
        <f t="shared" si="2"/>
        <v>1.5588754395834289E-2</v>
      </c>
      <c r="L19">
        <f t="shared" si="3"/>
        <v>1.5668767094102309E-2</v>
      </c>
      <c r="M19">
        <f t="shared" si="4"/>
        <v>1.5390528212046173E-2</v>
      </c>
      <c r="N19">
        <f t="shared" si="5"/>
        <v>4.4695083410956057E-2</v>
      </c>
      <c r="O19">
        <f t="shared" si="6"/>
        <v>9.7648314551335603E-4</v>
      </c>
    </row>
    <row r="20" spans="1:24" x14ac:dyDescent="0.3">
      <c r="B20">
        <f>(B12-F12-E12+H12)/O12</f>
        <v>168.67819302225672</v>
      </c>
      <c r="C20">
        <f>(C12-E12-G12+H12)/O12</f>
        <v>171.51702178591736</v>
      </c>
      <c r="D20">
        <f>(D12-F12-G12+H12)/O12</f>
        <v>169.37454826891442</v>
      </c>
      <c r="E20">
        <f>(E12-H12)/O12</f>
        <v>0.6203518716537767</v>
      </c>
      <c r="F20">
        <f>(F12-H12)/O12</f>
        <v>0.52175289867569297</v>
      </c>
      <c r="G20">
        <f>(G12-H12)/O12</f>
        <v>0.59570212840925574</v>
      </c>
      <c r="H20">
        <f>H12/O12</f>
        <v>6.7293799057542136</v>
      </c>
      <c r="I20">
        <f t="shared" si="0"/>
        <v>509.56976307708851</v>
      </c>
      <c r="J20">
        <f t="shared" si="1"/>
        <v>1.7378068987387254</v>
      </c>
      <c r="K20">
        <f t="shared" si="2"/>
        <v>1.54990853081083E-2</v>
      </c>
      <c r="L20">
        <f t="shared" si="3"/>
        <v>1.5558003120513147E-2</v>
      </c>
      <c r="M20">
        <f t="shared" si="4"/>
        <v>1.5313801982321674E-2</v>
      </c>
      <c r="N20">
        <f t="shared" si="5"/>
        <v>4.4354451662867916E-2</v>
      </c>
      <c r="O20">
        <f t="shared" si="6"/>
        <v>1.008219374037602E-3</v>
      </c>
    </row>
    <row r="22" spans="1:24" x14ac:dyDescent="0.3">
      <c r="A22" t="s">
        <v>57</v>
      </c>
    </row>
    <row r="23" spans="1:24" x14ac:dyDescent="0.3">
      <c r="B23" t="s">
        <v>43</v>
      </c>
      <c r="C23" t="s">
        <v>44</v>
      </c>
      <c r="D23" t="s">
        <v>45</v>
      </c>
      <c r="E23" t="s">
        <v>58</v>
      </c>
      <c r="F23" t="s">
        <v>50</v>
      </c>
      <c r="G23" t="s">
        <v>46</v>
      </c>
      <c r="H23" t="s">
        <v>47</v>
      </c>
      <c r="I23" t="s">
        <v>48</v>
      </c>
      <c r="J23" t="s">
        <v>59</v>
      </c>
      <c r="K23" t="s">
        <v>60</v>
      </c>
      <c r="L23" t="s">
        <v>61</v>
      </c>
      <c r="M23" t="s">
        <v>62</v>
      </c>
      <c r="N23" t="s">
        <v>63</v>
      </c>
      <c r="O23" t="s">
        <v>64</v>
      </c>
      <c r="P23" t="s">
        <v>65</v>
      </c>
      <c r="Q23" t="s">
        <v>66</v>
      </c>
      <c r="R23" s="6" t="s">
        <v>67</v>
      </c>
      <c r="S23" t="s">
        <v>71</v>
      </c>
      <c r="U23" s="6" t="s">
        <v>72</v>
      </c>
      <c r="V23" s="6" t="s">
        <v>73</v>
      </c>
    </row>
    <row r="24" spans="1:24" x14ac:dyDescent="0.3">
      <c r="B24" s="2">
        <f>(B8-E8-F8-V8+J8+K8+H8-M8)/$O8</f>
        <v>168.41157301007317</v>
      </c>
      <c r="C24">
        <f>(C8-E8-G8-W8+J8+H8+L8-M8)/O8</f>
        <v>164.21760382921087</v>
      </c>
      <c r="D24">
        <f>(D8-F8-G8-X8+H8+L8+K8-M8)/$O8</f>
        <v>164.77803142900305</v>
      </c>
      <c r="E24">
        <f>(I8-V8-W8-X8+J8+L8+K8-M8)/$O8</f>
        <v>22.326778664247733</v>
      </c>
      <c r="F24" s="2">
        <f>SUM(B24:E24)</f>
        <v>519.73398693253478</v>
      </c>
      <c r="G24">
        <f>(E8-J8-H8+M8)/$O8</f>
        <v>0.56658614484483039</v>
      </c>
      <c r="H24">
        <f>(F8-K8-H8+M8)/$O8</f>
        <v>0.52758202617797612</v>
      </c>
      <c r="I24">
        <f>(G8-L8-H8+M8)/$O8</f>
        <v>0.63638298877499055</v>
      </c>
      <c r="J24">
        <f>(V8-J8-K8+M8)/$O8</f>
        <v>1.4369938456209465E-2</v>
      </c>
      <c r="K24">
        <f>(W8-J8-L8+M8)/$O8</f>
        <v>4.1056967017741329E-2</v>
      </c>
      <c r="L24">
        <f>(X8-K8-L8+M8)/$O8</f>
        <v>1.8475635157983599E-2</v>
      </c>
      <c r="M24">
        <f>(J8-M8)/$O8</f>
        <v>1.2317090105322399E-2</v>
      </c>
      <c r="N24">
        <f>(K8-M8)/$O8</f>
        <v>1.642278680709653E-2</v>
      </c>
      <c r="O24">
        <f>(L8-M8)/$O8</f>
        <v>4.1056967017741326E-3</v>
      </c>
      <c r="P24">
        <f>(H8-M8)/$O8</f>
        <v>6.2345004416440206</v>
      </c>
      <c r="Q24">
        <f>M8/$O8</f>
        <v>0.22786616694846437</v>
      </c>
      <c r="R24" s="6">
        <f>U24+V24</f>
        <v>1.3447215059737819E-4</v>
      </c>
      <c r="S24">
        <f>(2*(B24*I24+C24*H24+D24*G24)+(F24+J16)*$B$4*10^-9+2*(G16*E16+F16*G16+F16*E16)*$B$4)*10^-9</f>
        <v>1.0914150850162264E-6</v>
      </c>
      <c r="U24" s="6">
        <f>2*B$4*10^-9*((E24+J24+K24+L24)*(P24+G24+H24+I24)+B24*(K24+L24)+C24*(J24+L24)+D24*(J24+K24)+J24*K24+J24*L24+K24*L24)</f>
        <v>1.0148856634150082E-4</v>
      </c>
      <c r="V24" s="6">
        <f>(Q24*(F24+SUM(G24:L24)+P24)+M24*(F24-D24+G24+J24+K24)+N24*(F24-C24+H24+J24+L24)+O24*(F24-B24+I24+K24+L24))*B$4*10^-9</f>
        <v>3.2983584255877361E-5</v>
      </c>
    </row>
    <row r="25" spans="1:24" x14ac:dyDescent="0.3">
      <c r="B25" s="2">
        <f t="shared" ref="B25:B28" si="7">(B9-E9-F9-V9+J9+K9+H9-M9)/$O9</f>
        <v>169.25773129739235</v>
      </c>
      <c r="C25">
        <f t="shared" ref="C25:C28" si="8">(C9-E9-G9-W9+J9+H9+L9-M9)/O9</f>
        <v>168.68268834691889</v>
      </c>
      <c r="D25">
        <f t="shared" ref="D25:D28" si="9">(D9-F9-G9-X9+H9+L9+K9-M9)/$O9</f>
        <v>167.98031445741205</v>
      </c>
      <c r="E25">
        <f t="shared" ref="E25:E28" si="10">(I9-V9-W9-X9+J9+L9+K9-M9)/$O9</f>
        <v>22.061112049949507</v>
      </c>
      <c r="F25" s="2">
        <f t="shared" ref="F25:F28" si="11">SUM(B25:E25)</f>
        <v>527.98184615167281</v>
      </c>
      <c r="G25">
        <f t="shared" ref="G25:G28" si="12">(E9-J9-H9+M9)/$O9</f>
        <v>0.57915040011969476</v>
      </c>
      <c r="H25">
        <f t="shared" ref="H25:H28" si="13">(F9-K9-H9+M9)/$O9</f>
        <v>0.48673278307931794</v>
      </c>
      <c r="I25">
        <f t="shared" ref="I25:I28" si="14">(G9-L9-H9+M9)/$O9</f>
        <v>0.60174137317400911</v>
      </c>
      <c r="J25">
        <f t="shared" ref="J25:J28" si="15">(V9-J9-K9+M9)/$O9</f>
        <v>1.8483523408075363E-2</v>
      </c>
      <c r="K25">
        <f t="shared" ref="K25:K28" si="16">(W9-J9-L9+M9)/$O9</f>
        <v>1.8483523408075363E-2</v>
      </c>
      <c r="L25">
        <f t="shared" ref="L25:L28" si="17">(X9-K9-L9+M9)/$O9</f>
        <v>1.8483523408075363E-2</v>
      </c>
      <c r="M25">
        <f t="shared" ref="M25:M28" si="18">(J9-M9)/$O9</f>
        <v>1.232234893871691E-2</v>
      </c>
      <c r="N25">
        <f t="shared" ref="N25:N28" si="19">(K9-M9)/$O9</f>
        <v>6.161174469358455E-3</v>
      </c>
      <c r="O25">
        <f t="shared" ref="O25:O28" si="20">(L9-M9)/$O9</f>
        <v>2.0537248231194852E-3</v>
      </c>
      <c r="P25">
        <f t="shared" ref="P25:P28" si="21">(H9-M9)/$O9</f>
        <v>6.4240512467177489</v>
      </c>
      <c r="Q25">
        <f t="shared" ref="Q25:Q28" si="22">M9/$O9</f>
        <v>0.19510385819635107</v>
      </c>
      <c r="R25" s="6">
        <f>U25+V25</f>
        <v>1.2683160031577286E-4</v>
      </c>
      <c r="S25">
        <f t="shared" ref="S25:S28" si="23">(2*(B25*I25+C25*H25+D25*G25)+(F25+J17)*$B$4*10^-9+2*(G17*E17+F17*G17+F17*E17)*$B$4)*10^-9</f>
        <v>1.0356117360663243E-6</v>
      </c>
      <c r="U25" s="6">
        <f t="shared" ref="U25:U27" si="24">2*B$4*10^-9*((E25+J25+K25+L25)*(P25+G25+H25+I25)+B25*(K25+L25)+C25*(J25+L25)+D25*(J25+K25)+J25*K25+J25*L25+K25*L25)</f>
        <v>9.8831737492957074E-5</v>
      </c>
      <c r="V25" s="6">
        <f t="shared" ref="V25:V28" si="25">(Q25*(F25+SUM(G25:L25)+P25)+M25*(F25-D25+G25+J25+K25)+N25*(F25-C25+H25+J25+L25)+O25*(F25-B25+I25+K25+L25))*B$4*10^-9</f>
        <v>2.7999862822815776E-5</v>
      </c>
    </row>
    <row r="26" spans="1:24" x14ac:dyDescent="0.3">
      <c r="B26" s="2">
        <f t="shared" si="7"/>
        <v>169.72204494825115</v>
      </c>
      <c r="C26">
        <f t="shared" si="8"/>
        <v>170.48410672800597</v>
      </c>
      <c r="D26">
        <f t="shared" si="9"/>
        <v>168.48549187166788</v>
      </c>
      <c r="E26">
        <f t="shared" si="10"/>
        <v>22.223036105572383</v>
      </c>
      <c r="F26" s="2">
        <f t="shared" si="11"/>
        <v>530.91467965349739</v>
      </c>
      <c r="G26">
        <f t="shared" si="12"/>
        <v>0.51762686926742218</v>
      </c>
      <c r="H26">
        <f t="shared" si="13"/>
        <v>0.59978986438923521</v>
      </c>
      <c r="I26">
        <f t="shared" si="14"/>
        <v>0.59568171463314457</v>
      </c>
      <c r="J26">
        <f t="shared" si="15"/>
        <v>1.0270374390226631E-2</v>
      </c>
      <c r="K26">
        <f t="shared" si="16"/>
        <v>2.0540748780453262E-2</v>
      </c>
      <c r="L26">
        <f t="shared" si="17"/>
        <v>1.4378524146317283E-2</v>
      </c>
      <c r="M26">
        <f t="shared" si="18"/>
        <v>6.1622246341359781E-3</v>
      </c>
      <c r="N26">
        <f t="shared" si="19"/>
        <v>1.0270374390226631E-2</v>
      </c>
      <c r="O26">
        <f t="shared" si="20"/>
        <v>4.1081497560906521E-3</v>
      </c>
      <c r="P26">
        <f t="shared" si="21"/>
        <v>6.3861187958429184</v>
      </c>
      <c r="Q26">
        <f t="shared" si="22"/>
        <v>0.20951563756062327</v>
      </c>
      <c r="R26" s="6">
        <f>U26+V26</f>
        <v>1.2793111055976674E-4</v>
      </c>
      <c r="S26">
        <f t="shared" si="23"/>
        <v>1.0809424031036811E-6</v>
      </c>
      <c r="U26" s="6">
        <f t="shared" si="24"/>
        <v>9.7837947547150435E-5</v>
      </c>
      <c r="V26" s="6">
        <f t="shared" si="25"/>
        <v>3.0093163012616299E-5</v>
      </c>
    </row>
    <row r="27" spans="1:24" x14ac:dyDescent="0.3">
      <c r="B27" s="2">
        <f t="shared" si="7"/>
        <v>169.23110029821515</v>
      </c>
      <c r="C27">
        <f t="shared" si="8"/>
        <v>172.4213879743881</v>
      </c>
      <c r="D27">
        <f t="shared" si="9"/>
        <v>170.0815697753147</v>
      </c>
      <c r="E27">
        <f t="shared" si="10"/>
        <v>21.972515765837695</v>
      </c>
      <c r="F27" s="2">
        <f t="shared" si="11"/>
        <v>533.70657381375565</v>
      </c>
      <c r="G27">
        <f t="shared" si="12"/>
        <v>0.49097150972655279</v>
      </c>
      <c r="H27">
        <f t="shared" si="13"/>
        <v>0.48686296152800423</v>
      </c>
      <c r="I27">
        <f t="shared" si="14"/>
        <v>0.65736771176776942</v>
      </c>
      <c r="J27">
        <f t="shared" si="15"/>
        <v>1.8488466893468516E-2</v>
      </c>
      <c r="K27">
        <f t="shared" si="16"/>
        <v>6.1628222978228385E-3</v>
      </c>
      <c r="L27">
        <f t="shared" si="17"/>
        <v>1.4379918694919957E-2</v>
      </c>
      <c r="M27">
        <f t="shared" si="18"/>
        <v>1.2325644595645677E-2</v>
      </c>
      <c r="N27">
        <f t="shared" si="19"/>
        <v>8.2170963970971175E-3</v>
      </c>
      <c r="O27">
        <f t="shared" si="20"/>
        <v>1.0271370496371397E-2</v>
      </c>
      <c r="P27">
        <f t="shared" si="21"/>
        <v>6.275807373282924</v>
      </c>
      <c r="Q27">
        <f t="shared" si="22"/>
        <v>0.2218616027216222</v>
      </c>
      <c r="R27" s="6">
        <f>U27+V27</f>
        <v>1.265813911253542E-4</v>
      </c>
      <c r="S27">
        <f t="shared" si="23"/>
        <v>1.0152598565343583E-6</v>
      </c>
      <c r="U27" s="6">
        <f t="shared" si="24"/>
        <v>9.3735220085236327E-5</v>
      </c>
      <c r="V27" s="6">
        <f t="shared" si="25"/>
        <v>3.2846171040117884E-5</v>
      </c>
    </row>
    <row r="28" spans="1:24" x14ac:dyDescent="0.3">
      <c r="B28" s="2">
        <f t="shared" si="7"/>
        <v>168.66792229590482</v>
      </c>
      <c r="C28">
        <f t="shared" si="8"/>
        <v>171.48210131632095</v>
      </c>
      <c r="D28">
        <f t="shared" si="9"/>
        <v>169.36427754256255</v>
      </c>
      <c r="E28">
        <f t="shared" si="10"/>
        <v>22.326504943724832</v>
      </c>
      <c r="F28" s="2">
        <f t="shared" si="11"/>
        <v>531.8408060985131</v>
      </c>
      <c r="G28">
        <f t="shared" si="12"/>
        <v>0.60391870949076276</v>
      </c>
      <c r="H28">
        <f t="shared" si="13"/>
        <v>0.51148217232380921</v>
      </c>
      <c r="I28">
        <f t="shared" si="14"/>
        <v>0.58748554732774882</v>
      </c>
      <c r="J28">
        <f t="shared" si="15"/>
        <v>1.0270726351883719E-2</v>
      </c>
      <c r="K28">
        <f t="shared" si="16"/>
        <v>3.492046959640465E-2</v>
      </c>
      <c r="L28">
        <f t="shared" si="17"/>
        <v>1.0270726351883719E-2</v>
      </c>
      <c r="M28">
        <f t="shared" si="18"/>
        <v>1.6433162163013951E-2</v>
      </c>
      <c r="N28">
        <f t="shared" si="19"/>
        <v>1.0270726351883719E-2</v>
      </c>
      <c r="O28">
        <f t="shared" si="20"/>
        <v>8.2165810815069754E-3</v>
      </c>
      <c r="P28">
        <f t="shared" si="21"/>
        <v>6.4890449091201345</v>
      </c>
      <c r="Q28">
        <f t="shared" si="22"/>
        <v>0.24033499663407903</v>
      </c>
      <c r="R28" s="6">
        <f>U28+V28</f>
        <v>1.3669177618959587E-4</v>
      </c>
      <c r="S28">
        <f t="shared" si="23"/>
        <v>1.0801769688274067E-6</v>
      </c>
      <c r="U28" s="6">
        <f>2*B$4*10^-9*((E28+J28+K28+L28)*(P28+G28+H28+I28)+B28*(K28+L28)+C28*(J28+L28)+D28*(J28+K28)+J28*K28+J28*L28+K28*L28)</f>
        <v>1.0107546472009981E-4</v>
      </c>
      <c r="V28" s="6">
        <f t="shared" si="25"/>
        <v>3.5616311469496048E-5</v>
      </c>
    </row>
    <row r="30" spans="1:24" x14ac:dyDescent="0.3">
      <c r="A30" t="s">
        <v>7</v>
      </c>
      <c r="B30" t="s">
        <v>8</v>
      </c>
      <c r="C30" t="s">
        <v>9</v>
      </c>
      <c r="D30" t="s">
        <v>10</v>
      </c>
      <c r="E30" t="s">
        <v>11</v>
      </c>
      <c r="F30" t="s">
        <v>12</v>
      </c>
      <c r="G30" t="s">
        <v>13</v>
      </c>
      <c r="H30" t="s">
        <v>14</v>
      </c>
      <c r="I30" t="s">
        <v>15</v>
      </c>
      <c r="J30" t="s">
        <v>16</v>
      </c>
      <c r="K30" t="s">
        <v>17</v>
      </c>
      <c r="L30" t="s">
        <v>18</v>
      </c>
      <c r="M30" t="s">
        <v>19</v>
      </c>
      <c r="N30" t="s">
        <v>20</v>
      </c>
      <c r="O30" t="s">
        <v>21</v>
      </c>
      <c r="P30" t="s">
        <v>22</v>
      </c>
      <c r="Q30" t="s">
        <v>23</v>
      </c>
      <c r="R30" t="s">
        <v>24</v>
      </c>
      <c r="S30" t="s">
        <v>25</v>
      </c>
      <c r="T30" t="s">
        <v>26</v>
      </c>
      <c r="U30" t="s">
        <v>27</v>
      </c>
      <c r="V30" t="s">
        <v>28</v>
      </c>
      <c r="W30" t="s">
        <v>29</v>
      </c>
      <c r="X30" t="s">
        <v>30</v>
      </c>
    </row>
    <row r="31" spans="1:24" x14ac:dyDescent="0.3">
      <c r="A31" t="s">
        <v>69</v>
      </c>
      <c r="I31">
        <f>I8/$O8</f>
        <v>22.661392945442326</v>
      </c>
      <c r="M31">
        <f>M8/$O8</f>
        <v>0.22786616694846437</v>
      </c>
      <c r="P31">
        <f>P8/$O8</f>
        <v>8.2257633420044751</v>
      </c>
      <c r="Q31">
        <f>Q8/$O8</f>
        <v>0.26071174056265745</v>
      </c>
      <c r="R31" t="s">
        <v>74</v>
      </c>
    </row>
    <row r="32" spans="1:24" x14ac:dyDescent="0.3">
      <c r="I32">
        <f t="shared" ref="I32:I35" si="26">I9/$O9</f>
        <v>22.332203726601279</v>
      </c>
      <c r="M32">
        <f t="shared" ref="M32:M35" si="27">M9/$O9</f>
        <v>0.19510385819635107</v>
      </c>
      <c r="P32">
        <f t="shared" ref="P32:Q32" si="28">P9/$O9</f>
        <v>8.3073169095183168</v>
      </c>
      <c r="Q32">
        <f t="shared" si="28"/>
        <v>0.21564110642754591</v>
      </c>
    </row>
    <row r="33" spans="1:18" x14ac:dyDescent="0.3">
      <c r="I33">
        <f t="shared" si="26"/>
        <v>22.498282139230458</v>
      </c>
      <c r="M33">
        <f t="shared" si="27"/>
        <v>0.20951563756062327</v>
      </c>
      <c r="P33">
        <f t="shared" ref="P33:Q33" si="29">P10/$O10</f>
        <v>8.3292736304737982</v>
      </c>
      <c r="Q33">
        <f t="shared" si="29"/>
        <v>0.23005638634107653</v>
      </c>
    </row>
    <row r="34" spans="1:18" x14ac:dyDescent="0.3">
      <c r="I34">
        <f t="shared" si="26"/>
        <v>22.264222687934641</v>
      </c>
      <c r="M34">
        <f t="shared" si="27"/>
        <v>0.2218616027216222</v>
      </c>
      <c r="P34">
        <f t="shared" ref="P34:Q34" si="30">P11/$O11</f>
        <v>8.1636852705159875</v>
      </c>
      <c r="Q34">
        <f t="shared" si="30"/>
        <v>0.25267571421073637</v>
      </c>
    </row>
    <row r="35" spans="1:18" x14ac:dyDescent="0.3">
      <c r="I35" s="4">
        <f t="shared" si="26"/>
        <v>22.657222332255486</v>
      </c>
      <c r="J35" s="4"/>
      <c r="K35" s="4"/>
      <c r="L35" s="4"/>
      <c r="M35" s="4">
        <f t="shared" si="27"/>
        <v>0.24033499663407903</v>
      </c>
      <c r="N35" s="4"/>
      <c r="O35" s="4"/>
      <c r="P35" s="4">
        <f t="shared" ref="P35:Q35" si="31">P12/$O12</f>
        <v>8.4671868044929379</v>
      </c>
      <c r="Q35" s="4">
        <f t="shared" si="31"/>
        <v>0.27525546623048369</v>
      </c>
    </row>
    <row r="36" spans="1:18" x14ac:dyDescent="0.3">
      <c r="A36" t="s">
        <v>70</v>
      </c>
      <c r="I36" s="5">
        <f>AVERAGE(I31:I35)</f>
        <v>22.482664766292839</v>
      </c>
      <c r="J36" s="5"/>
      <c r="K36" s="5"/>
      <c r="L36" s="5"/>
      <c r="M36" s="5">
        <f>AVERAGE(M31:M35)</f>
        <v>0.21893645241222801</v>
      </c>
      <c r="N36" s="5"/>
      <c r="O36" s="5"/>
      <c r="P36" s="5">
        <f>AVERAGE(P31:P35)</f>
        <v>8.2986451914011035</v>
      </c>
      <c r="Q36" s="5">
        <f>AVERAGE(Q31:Q35)</f>
        <v>0.24686808275449995</v>
      </c>
    </row>
    <row r="38" spans="1:18" x14ac:dyDescent="0.3">
      <c r="A38" t="s">
        <v>68</v>
      </c>
      <c r="I38">
        <f>I31</f>
        <v>22.661392945442326</v>
      </c>
      <c r="M38">
        <f>M31-S24</f>
        <v>0.22786507553337937</v>
      </c>
      <c r="P38">
        <f>P31-N16</f>
        <v>8.1834949612917036</v>
      </c>
      <c r="Q38" s="6">
        <f>Q31-R24</f>
        <v>0.26057726841206008</v>
      </c>
      <c r="R38" t="s">
        <v>75</v>
      </c>
    </row>
    <row r="39" spans="1:18" x14ac:dyDescent="0.3">
      <c r="I39">
        <f t="shared" ref="I39:I42" si="32">I32</f>
        <v>22.332203726601279</v>
      </c>
      <c r="M39">
        <f>M32-S25</f>
        <v>0.195102822584615</v>
      </c>
      <c r="P39">
        <f>P32-N17</f>
        <v>8.2635976381302072</v>
      </c>
      <c r="Q39" s="6">
        <f>Q32-R25</f>
        <v>0.21551427482723015</v>
      </c>
    </row>
    <row r="40" spans="1:18" x14ac:dyDescent="0.3">
      <c r="I40">
        <f t="shared" si="32"/>
        <v>22.498282139230458</v>
      </c>
      <c r="M40">
        <f>M33-S26</f>
        <v>0.20951455661822016</v>
      </c>
      <c r="P40">
        <f t="shared" ref="P40:P42" si="33">P33-N18</f>
        <v>8.2850792620388649</v>
      </c>
      <c r="Q40" s="6">
        <f t="shared" ref="Q40:Q42" si="34">Q33-R26</f>
        <v>0.22992845523051678</v>
      </c>
    </row>
    <row r="41" spans="1:18" x14ac:dyDescent="0.3">
      <c r="I41">
        <f t="shared" si="32"/>
        <v>22.264222687934641</v>
      </c>
      <c r="M41">
        <f t="shared" ref="M41:M42" si="35">M34-S27</f>
        <v>0.22186058746176565</v>
      </c>
      <c r="P41">
        <f t="shared" si="33"/>
        <v>8.1189901871050321</v>
      </c>
      <c r="Q41" s="6">
        <f t="shared" si="34"/>
        <v>0.252549132819611</v>
      </c>
    </row>
    <row r="42" spans="1:18" x14ac:dyDescent="0.3">
      <c r="I42">
        <f t="shared" si="32"/>
        <v>22.657222332255486</v>
      </c>
      <c r="M42">
        <f t="shared" si="35"/>
        <v>0.24033391645711022</v>
      </c>
      <c r="P42">
        <f t="shared" si="33"/>
        <v>8.4228323528300706</v>
      </c>
      <c r="Q42" s="6">
        <f t="shared" si="34"/>
        <v>0.27511877445429411</v>
      </c>
    </row>
    <row r="43" spans="1:18" x14ac:dyDescent="0.3">
      <c r="A43" t="s">
        <v>70</v>
      </c>
      <c r="I43" s="5">
        <f>AVERAGE(I38:I42)</f>
        <v>22.482664766292839</v>
      </c>
      <c r="J43" s="5"/>
      <c r="K43" s="5"/>
      <c r="L43" s="5"/>
      <c r="M43" s="5">
        <f>AVERAGE(M38:M42)</f>
        <v>0.21893539173101809</v>
      </c>
      <c r="N43" s="5"/>
      <c r="O43" s="5"/>
      <c r="P43" s="5">
        <f>AVERAGE(P38:P42)</f>
        <v>8.2547988802791767</v>
      </c>
      <c r="Q43" s="5">
        <f>AVERAGE(Q38:Q42)</f>
        <v>0.24673758114874245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STD_Data</vt:lpstr>
      <vt:lpstr>BKG_20mV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High Energy Physics Visitor</dc:creator>
  <cp:lastModifiedBy>Freda</cp:lastModifiedBy>
  <dcterms:created xsi:type="dcterms:W3CDTF">2025-06-05T06:53:54Z</dcterms:created>
  <dcterms:modified xsi:type="dcterms:W3CDTF">2025-08-05T22:51:08Z</dcterms:modified>
</cp:coreProperties>
</file>